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barbosa\Desktop\"/>
    </mc:Choice>
  </mc:AlternateContent>
  <bookViews>
    <workbookView xWindow="0" yWindow="0" windowWidth="24000" windowHeight="9135" activeTab="2"/>
  </bookViews>
  <sheets>
    <sheet name="Pliegos" sheetId="1" r:id="rId1"/>
    <sheet name="Matriz" sheetId="2" r:id="rId2"/>
    <sheet name="Evaluación final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" i="2" l="1"/>
  <c r="S9" i="2"/>
  <c r="AD18" i="2" l="1"/>
  <c r="S18" i="2"/>
  <c r="M33" i="4" l="1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P29" i="2"/>
  <c r="P28" i="2"/>
  <c r="Z5" i="2"/>
  <c r="C3" i="1"/>
  <c r="E3" i="1" s="1"/>
  <c r="S4" i="2"/>
  <c r="R4" i="2"/>
  <c r="W4" i="2" s="1"/>
  <c r="Q4" i="2"/>
  <c r="P4" i="2"/>
  <c r="U4" i="2" s="1"/>
  <c r="P32" i="2"/>
  <c r="P33" i="2"/>
  <c r="P31" i="2"/>
  <c r="P26" i="2"/>
  <c r="P27" i="2"/>
  <c r="P25" i="2"/>
  <c r="P23" i="2"/>
  <c r="D3" i="1" l="1"/>
  <c r="P22" i="2"/>
  <c r="P21" i="2"/>
  <c r="P20" i="2"/>
  <c r="P19" i="2"/>
  <c r="P18" i="2"/>
  <c r="P17" i="2"/>
  <c r="P15" i="2"/>
  <c r="P14" i="2"/>
  <c r="P12" i="2"/>
  <c r="P11" i="2"/>
  <c r="U11" i="2" s="1"/>
  <c r="P13" i="2"/>
  <c r="Z9" i="2"/>
  <c r="P10" i="2"/>
  <c r="R33" i="2"/>
  <c r="W33" i="2" s="1"/>
  <c r="R32" i="2"/>
  <c r="R31" i="2"/>
  <c r="R30" i="2"/>
  <c r="W30" i="2" s="1"/>
  <c r="R29" i="2"/>
  <c r="R28" i="2"/>
  <c r="R27" i="2"/>
  <c r="W27" i="2" s="1"/>
  <c r="R26" i="2"/>
  <c r="W26" i="2" s="1"/>
  <c r="R25" i="2"/>
  <c r="W25" i="2" s="1"/>
  <c r="R24" i="2"/>
  <c r="W24" i="2" s="1"/>
  <c r="R23" i="2"/>
  <c r="W23" i="2" s="1"/>
  <c r="R22" i="2"/>
  <c r="W22" i="2" s="1"/>
  <c r="R21" i="2"/>
  <c r="W21" i="2" s="1"/>
  <c r="R20" i="2"/>
  <c r="W20" i="2" s="1"/>
  <c r="R19" i="2"/>
  <c r="W19" i="2" s="1"/>
  <c r="R18" i="2"/>
  <c r="W18" i="2" s="1"/>
  <c r="R17" i="2"/>
  <c r="W17" i="2" s="1"/>
  <c r="R16" i="2"/>
  <c r="W16" i="2" s="1"/>
  <c r="R15" i="2"/>
  <c r="R14" i="2"/>
  <c r="W14" i="2" s="1"/>
  <c r="R13" i="2"/>
  <c r="W13" i="2" s="1"/>
  <c r="R12" i="2"/>
  <c r="R11" i="2"/>
  <c r="R10" i="2"/>
  <c r="W10" i="2" s="1"/>
  <c r="R9" i="2"/>
  <c r="R8" i="2"/>
  <c r="W8" i="2" s="1"/>
  <c r="R7" i="2"/>
  <c r="W7" i="2" s="1"/>
  <c r="R6" i="2"/>
  <c r="W6" i="2" s="1"/>
  <c r="R5" i="2"/>
  <c r="W5" i="2" s="1"/>
  <c r="W15" i="2"/>
  <c r="W28" i="2"/>
  <c r="W29" i="2"/>
  <c r="W31" i="2"/>
  <c r="W32" i="2"/>
  <c r="W12" i="2"/>
  <c r="W11" i="2"/>
  <c r="W9" i="2"/>
  <c r="V4" i="2" l="1"/>
  <c r="Q6" i="2"/>
  <c r="V6" i="2" s="1"/>
  <c r="P5" i="2"/>
  <c r="U5" i="2" s="1"/>
  <c r="Q5" i="2"/>
  <c r="V5" i="2" s="1"/>
  <c r="P6" i="2"/>
  <c r="U6" i="2" s="1"/>
  <c r="Z6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8" i="2"/>
  <c r="M7" i="2"/>
  <c r="M4" i="2"/>
  <c r="M5" i="2"/>
  <c r="AA5" i="2" s="1"/>
  <c r="M6" i="2"/>
  <c r="Z33" i="2" l="1"/>
  <c r="S33" i="2"/>
  <c r="Q33" i="2"/>
  <c r="V33" i="2" s="1"/>
  <c r="U33" i="2"/>
  <c r="AA33" i="2"/>
  <c r="Z32" i="2"/>
  <c r="AB32" i="2" s="1"/>
  <c r="S32" i="2"/>
  <c r="Q32" i="2"/>
  <c r="V32" i="2" s="1"/>
  <c r="AA32" i="2"/>
  <c r="AC32" i="2" s="1"/>
  <c r="AA31" i="2"/>
  <c r="Z31" i="2"/>
  <c r="S31" i="2"/>
  <c r="Q31" i="2"/>
  <c r="V31" i="2" s="1"/>
  <c r="U31" i="2"/>
  <c r="Z30" i="2"/>
  <c r="AB30" i="2" s="1"/>
  <c r="S30" i="2"/>
  <c r="Q30" i="2"/>
  <c r="V30" i="2" s="1"/>
  <c r="P30" i="2"/>
  <c r="AA30" i="2"/>
  <c r="Z29" i="2"/>
  <c r="S29" i="2"/>
  <c r="Q29" i="2"/>
  <c r="V29" i="2" s="1"/>
  <c r="U29" i="2"/>
  <c r="AA29" i="2"/>
  <c r="Z28" i="2"/>
  <c r="S28" i="2"/>
  <c r="Q28" i="2"/>
  <c r="V28" i="2" s="1"/>
  <c r="AA28" i="2"/>
  <c r="AC28" i="2" s="1"/>
  <c r="Z27" i="2"/>
  <c r="S27" i="2"/>
  <c r="Q27" i="2"/>
  <c r="V27" i="2" s="1"/>
  <c r="U27" i="2"/>
  <c r="AA27" i="2"/>
  <c r="Z26" i="2"/>
  <c r="S26" i="2"/>
  <c r="Q26" i="2"/>
  <c r="V26" i="2" s="1"/>
  <c r="AA26" i="2"/>
  <c r="AC26" i="2" s="1"/>
  <c r="Z25" i="2"/>
  <c r="S25" i="2"/>
  <c r="Q25" i="2"/>
  <c r="V25" i="2" s="1"/>
  <c r="U25" i="2"/>
  <c r="AA25" i="2"/>
  <c r="Z24" i="2"/>
  <c r="S24" i="2"/>
  <c r="Q24" i="2"/>
  <c r="V24" i="2" s="1"/>
  <c r="P24" i="2"/>
  <c r="U24" i="2" s="1"/>
  <c r="AA24" i="2"/>
  <c r="Z23" i="2"/>
  <c r="S23" i="2"/>
  <c r="Q23" i="2"/>
  <c r="V23" i="2" s="1"/>
  <c r="AA23" i="2"/>
  <c r="Z22" i="2"/>
  <c r="S22" i="2"/>
  <c r="Q22" i="2"/>
  <c r="V22" i="2" s="1"/>
  <c r="U22" i="2"/>
  <c r="AA22" i="2"/>
  <c r="Z21" i="2"/>
  <c r="S21" i="2"/>
  <c r="Q21" i="2"/>
  <c r="V21" i="2" s="1"/>
  <c r="U21" i="2"/>
  <c r="AA21" i="2"/>
  <c r="Z20" i="2"/>
  <c r="S20" i="2"/>
  <c r="Q20" i="2"/>
  <c r="V20" i="2" s="1"/>
  <c r="AA20" i="2"/>
  <c r="AA19" i="2"/>
  <c r="Z19" i="2"/>
  <c r="S19" i="2"/>
  <c r="Q19" i="2"/>
  <c r="V19" i="2" s="1"/>
  <c r="U19" i="2"/>
  <c r="Z18" i="2"/>
  <c r="AB18" i="2" s="1"/>
  <c r="Q18" i="2"/>
  <c r="V18" i="2" s="1"/>
  <c r="AA18" i="2"/>
  <c r="AC18" i="2" s="1"/>
  <c r="Z17" i="2"/>
  <c r="S17" i="2"/>
  <c r="Q17" i="2"/>
  <c r="V17" i="2" s="1"/>
  <c r="U17" i="2"/>
  <c r="AA17" i="2"/>
  <c r="Z16" i="2"/>
  <c r="S16" i="2"/>
  <c r="Q16" i="2"/>
  <c r="V16" i="2" s="1"/>
  <c r="P16" i="2"/>
  <c r="U16" i="2" s="1"/>
  <c r="AA16" i="2"/>
  <c r="Z15" i="2"/>
  <c r="S15" i="2"/>
  <c r="Q15" i="2"/>
  <c r="V15" i="2" s="1"/>
  <c r="U15" i="2"/>
  <c r="AA15" i="2"/>
  <c r="Z14" i="2"/>
  <c r="S14" i="2"/>
  <c r="Q14" i="2"/>
  <c r="V14" i="2" s="1"/>
  <c r="U14" i="2"/>
  <c r="AA14" i="2"/>
  <c r="Z13" i="2"/>
  <c r="S13" i="2"/>
  <c r="Q13" i="2"/>
  <c r="V13" i="2" s="1"/>
  <c r="U13" i="2"/>
  <c r="AA13" i="2"/>
  <c r="Z12" i="2"/>
  <c r="S12" i="2"/>
  <c r="Q12" i="2"/>
  <c r="V12" i="2" s="1"/>
  <c r="U12" i="2"/>
  <c r="AA12" i="2"/>
  <c r="Z11" i="2"/>
  <c r="S11" i="2"/>
  <c r="Q11" i="2"/>
  <c r="V11" i="2" s="1"/>
  <c r="AA11" i="2"/>
  <c r="AA10" i="2"/>
  <c r="Z10" i="2"/>
  <c r="S10" i="2"/>
  <c r="Q10" i="2"/>
  <c r="V10" i="2" s="1"/>
  <c r="U10" i="2"/>
  <c r="AB9" i="2"/>
  <c r="Q9" i="2"/>
  <c r="V9" i="2" s="1"/>
  <c r="P9" i="2"/>
  <c r="AA9" i="2"/>
  <c r="Z8" i="2"/>
  <c r="S8" i="2"/>
  <c r="Q8" i="2"/>
  <c r="V8" i="2" s="1"/>
  <c r="P8" i="2"/>
  <c r="U8" i="2" s="1"/>
  <c r="AA8" i="2"/>
  <c r="Z7" i="2"/>
  <c r="S7" i="2"/>
  <c r="Q7" i="2"/>
  <c r="V7" i="2" s="1"/>
  <c r="P7" i="2"/>
  <c r="AA7" i="2"/>
  <c r="AB28" i="2" l="1"/>
  <c r="AD28" i="2" s="1"/>
  <c r="AD32" i="2"/>
  <c r="AC30" i="2"/>
  <c r="AD30" i="2" s="1"/>
  <c r="AB26" i="2"/>
  <c r="AD26" i="2"/>
  <c r="AB23" i="2"/>
  <c r="AC23" i="2"/>
  <c r="AB20" i="2"/>
  <c r="AC20" i="2"/>
  <c r="AC16" i="2"/>
  <c r="AB16" i="2"/>
  <c r="AC14" i="2"/>
  <c r="AB14" i="2"/>
  <c r="AD14" i="2" s="1"/>
  <c r="AC11" i="2"/>
  <c r="AB11" i="2"/>
  <c r="U23" i="2"/>
  <c r="AC9" i="2"/>
  <c r="AD9" i="2" s="1"/>
  <c r="U18" i="2"/>
  <c r="U28" i="2"/>
  <c r="U32" i="2"/>
  <c r="U26" i="2"/>
  <c r="U20" i="2"/>
  <c r="U30" i="2"/>
  <c r="AC7" i="2"/>
  <c r="AB7" i="2"/>
  <c r="U9" i="2"/>
  <c r="U7" i="2"/>
  <c r="T32" i="2"/>
  <c r="X32" i="2" s="1"/>
  <c r="T30" i="2"/>
  <c r="X30" i="2" s="1"/>
  <c r="T28" i="2"/>
  <c r="X28" i="2" s="1"/>
  <c r="T26" i="2"/>
  <c r="X26" i="2" s="1"/>
  <c r="T23" i="2"/>
  <c r="X23" i="2" s="1"/>
  <c r="T20" i="2"/>
  <c r="X20" i="2" s="1"/>
  <c r="T18" i="2"/>
  <c r="T16" i="2"/>
  <c r="X16" i="2" s="1"/>
  <c r="T14" i="2"/>
  <c r="X14" i="2" s="1"/>
  <c r="T11" i="2"/>
  <c r="X9" i="2"/>
  <c r="T7" i="2"/>
  <c r="X7" i="2" s="1"/>
  <c r="Y28" i="2" l="1"/>
  <c r="AD23" i="2"/>
  <c r="AD16" i="2"/>
  <c r="AD20" i="2"/>
  <c r="AD11" i="2"/>
  <c r="AD7" i="2"/>
  <c r="S5" i="2"/>
  <c r="S6" i="2"/>
  <c r="T4" i="2" l="1"/>
  <c r="X4" i="2" s="1"/>
  <c r="Y16" i="2"/>
  <c r="Y20" i="2"/>
  <c r="X18" i="2"/>
  <c r="Y18" i="2" s="1"/>
  <c r="Y23" i="2"/>
  <c r="Y26" i="2"/>
  <c r="Y9" i="2"/>
  <c r="Y30" i="2"/>
  <c r="Y14" i="2"/>
  <c r="Y7" i="2"/>
  <c r="X11" i="2"/>
  <c r="Y11" i="2" s="1"/>
  <c r="Y32" i="2"/>
  <c r="Z4" i="2"/>
  <c r="AA4" i="2"/>
  <c r="AA6" i="2"/>
  <c r="AC4" i="2" l="1"/>
  <c r="AB4" i="2"/>
  <c r="Y4" i="2"/>
  <c r="AD4" i="2" l="1"/>
</calcChain>
</file>

<file path=xl/sharedStrings.xml><?xml version="1.0" encoding="utf-8"?>
<sst xmlns="http://schemas.openxmlformats.org/spreadsheetml/2006/main" count="315" uniqueCount="135">
  <si>
    <t>Módulo</t>
  </si>
  <si>
    <t>Presupuesto</t>
  </si>
  <si>
    <t>KT</t>
  </si>
  <si>
    <t>KT Líder</t>
  </si>
  <si>
    <t>Liquidez</t>
  </si>
  <si>
    <t>Endeudamiento</t>
  </si>
  <si>
    <t xml:space="preserve">Cobertura de Intereses </t>
  </si>
  <si>
    <t>N°.</t>
  </si>
  <si>
    <t>PROPONENTE</t>
  </si>
  <si>
    <t>MIEMBRO ESTRUCTURA</t>
  </si>
  <si>
    <t>PART. %</t>
  </si>
  <si>
    <t>FECHA DE CORTE</t>
  </si>
  <si>
    <t>MONEDA</t>
  </si>
  <si>
    <t>ACTIVO</t>
  </si>
  <si>
    <t>PASIVO</t>
  </si>
  <si>
    <t>HÁBIL/NO HÁBIL</t>
  </si>
  <si>
    <t>ACTIVO CTE.
$ COP</t>
  </si>
  <si>
    <t>ACTIVO TOTAL 
$ COP</t>
  </si>
  <si>
    <t>PASIVO CTE. 
$ COP</t>
  </si>
  <si>
    <t>PASIVO TOTAL 
$ COP</t>
  </si>
  <si>
    <t>KW</t>
  </si>
  <si>
    <t>Módulo &gt; al que aplica</t>
  </si>
  <si>
    <t>UTILIDAD OPERACIONAL</t>
  </si>
  <si>
    <t>GASTO INTERESES</t>
  </si>
  <si>
    <t>PATRIMONIO
$ COP</t>
  </si>
  <si>
    <t>LIQUIDEZ INTEGRANTE</t>
  </si>
  <si>
    <t>ENDEUDAMIENTO
INTEGRANTE</t>
  </si>
  <si>
    <t>COBERTURA INTERESES
INTEGRANTE</t>
  </si>
  <si>
    <t>CAPITAL DE TRABAJO
INTEGRANTE</t>
  </si>
  <si>
    <t>CAPITAL DE TRABAJO
ESTRUCTURA PLURAL</t>
  </si>
  <si>
    <t>CUMPLE LIQUIDEZ</t>
  </si>
  <si>
    <t>CUMPLE ENDEUDAMIENTO</t>
  </si>
  <si>
    <t>CUMPLE COBERTURA INTERESES</t>
  </si>
  <si>
    <t>CUMPLE CAPITAL DE TRABAJO</t>
  </si>
  <si>
    <t>RENTABILIDAD ACTIVO</t>
  </si>
  <si>
    <t>RENTABILIAD PATRIMONIO</t>
  </si>
  <si>
    <t>CUMPLE ROA</t>
  </si>
  <si>
    <t>CUMPLE ROE</t>
  </si>
  <si>
    <t>Rentabilidad Activo (ROA) &gt; 0</t>
  </si>
  <si>
    <t>Rentabilidad Patrimonio (ROE) &gt; 0</t>
  </si>
  <si>
    <t>P&amp;G</t>
  </si>
  <si>
    <t>CAPACIDAD 
FINANCIERA</t>
  </si>
  <si>
    <t>CAPACIDAD 
ORGANIZACIONAL</t>
  </si>
  <si>
    <t>otros</t>
  </si>
  <si>
    <t>CONSORCIO ANTIOQUIA 2014</t>
  </si>
  <si>
    <t>DIEGO IGNACIO ARENAS</t>
  </si>
  <si>
    <t>VELNEC S.A.</t>
  </si>
  <si>
    <t>16-59</t>
  </si>
  <si>
    <t>COP</t>
  </si>
  <si>
    <t>FOLIO RUP ó FORMATO 2 Y/O 5</t>
  </si>
  <si>
    <t>OBSERVACIONES</t>
  </si>
  <si>
    <t>60-99</t>
  </si>
  <si>
    <t>165-167</t>
  </si>
  <si>
    <t>CPS DE INGENIERÍA S.A.C.</t>
  </si>
  <si>
    <t>CONSO SUPERVISORES AEROPORTUARIOS</t>
  </si>
  <si>
    <t>DIS S.A.S.</t>
  </si>
  <si>
    <t>EDINTER S.A.S.</t>
  </si>
  <si>
    <t>33-50</t>
  </si>
  <si>
    <t>51-68</t>
  </si>
  <si>
    <t>CONSORCIO AERONORTE</t>
  </si>
  <si>
    <t>ICEACSA COSULTORES S.A. Sucursal COLOMBIA</t>
  </si>
  <si>
    <t>PRODEINCOL S.A.S.</t>
  </si>
  <si>
    <t>51-75</t>
  </si>
  <si>
    <t>El proponente ICEACSA presenta el RUP (folio 51-75) con información a diciembre 2012. La evaluación se realiza con la información presentada en el formato 05.</t>
  </si>
  <si>
    <t>77-105</t>
  </si>
  <si>
    <t>CONSORCIO UNIDO INGEXI</t>
  </si>
  <si>
    <t>GEOTECNIA Y CIMIENTOS INGEOCIM S.A.S.</t>
  </si>
  <si>
    <t>INGENIERÍA Y DESARROLLO XIMA DE COLOMBIA S.A.S.</t>
  </si>
  <si>
    <t>INGENIERÍA Y CONSULTORÍA INGECON S.A.S.</t>
  </si>
  <si>
    <t>56-74</t>
  </si>
  <si>
    <t>75-115</t>
  </si>
  <si>
    <t>116-119</t>
  </si>
  <si>
    <t>La información presentada en el RUP esta actualizada a diciembre de 2013, sin embargo, no está en firme.</t>
  </si>
  <si>
    <t>CONSORCIO MAB - OMICRON</t>
  </si>
  <si>
    <t>MAB INGENIERÍA DE VALOR S.A.</t>
  </si>
  <si>
    <t>OMICRON AMEPRO S.A.</t>
  </si>
  <si>
    <t>45-82</t>
  </si>
  <si>
    <t>90-98</t>
  </si>
  <si>
    <t>En los folios (165-170) se encuentra la conversión a persos de los estados financieros de Omicron Amepro S.A. debidamente suscritos por Contador Público Colombiano.</t>
  </si>
  <si>
    <t>CONSORCIO AEROPUERTOS COLOMBIA</t>
  </si>
  <si>
    <t>JAHV McGREGOR S.A. AUDITORES CONSULTORES</t>
  </si>
  <si>
    <t>BETTIN RECURSOS AMBIENTALES E INGENIERÍA S.A.S. BRAIN INGENIERA S.A.S.</t>
  </si>
  <si>
    <t>28-48</t>
  </si>
  <si>
    <t>49-75</t>
  </si>
  <si>
    <t>CONSORCIO EPSILON AEROPUERTOS</t>
  </si>
  <si>
    <t>PROYECTOS E INTERVENTORÍAS LTDA.</t>
  </si>
  <si>
    <t>CIVILTEC INGENIEROS LTDA.</t>
  </si>
  <si>
    <t>29-95</t>
  </si>
  <si>
    <t>El proponente Proyectos e Interventorias Limitada presenta el RUP (folio 29-95) con información a diciembre 2012. La evaluación se realiza con la información presentada en el formato 05.</t>
  </si>
  <si>
    <t>96-123</t>
  </si>
  <si>
    <t>CONSORCIO INCOPLAN - INTEGRAL - SEG</t>
  </si>
  <si>
    <t>INGENIERIA CONSULTORIA Y PLANEACIÓN INCOPLAN S.A.</t>
  </si>
  <si>
    <t>INTEGRAL INGENIERÍA DE SUPERVISIÓN S.A.S.</t>
  </si>
  <si>
    <t>SEG INGENIERÍA S.A.S.</t>
  </si>
  <si>
    <t>54-73</t>
  </si>
  <si>
    <t>99-115</t>
  </si>
  <si>
    <t>74-98</t>
  </si>
  <si>
    <t>CONSORCIO INTERVENTORÍA AEROPORTUARIA 2014</t>
  </si>
  <si>
    <t>AYESA COLOMBIA S.A.S.</t>
  </si>
  <si>
    <t>INTERSA S.A.</t>
  </si>
  <si>
    <t>ESTUDIOS TECNICOS Y ASESORIAS S.A. ETA S.A.</t>
  </si>
  <si>
    <t>61-70</t>
  </si>
  <si>
    <t>71-122</t>
  </si>
  <si>
    <t>123-164</t>
  </si>
  <si>
    <t>CONSORCIO JOYCO - CONSULTÉCNICOS</t>
  </si>
  <si>
    <t>JOYCO S.A.S.</t>
  </si>
  <si>
    <t>CONSULTORES TÉCNICOS Y ECONÓMICOS S.A.</t>
  </si>
  <si>
    <t>26-44</t>
  </si>
  <si>
    <t>45-67</t>
  </si>
  <si>
    <t>CONSORCIO R &amp; Q - PROEZA</t>
  </si>
  <si>
    <t>PROEZA CONSULTORES S.A.S.</t>
  </si>
  <si>
    <t>R &amp; Q INGENIERÍA COLOMBIA S.A.</t>
  </si>
  <si>
    <t>CONSORCIO ECOPIDDO</t>
  </si>
  <si>
    <t>JORGE PIDDO SEGUIDO DE LA EXPRESIÓN SUCURSAL COLOMBIA</t>
  </si>
  <si>
    <t>ESTRUCTURADOR COLOMBIA S.A.S.</t>
  </si>
  <si>
    <t>CONSORCIO INTERVENTORÍA AEROPUERTOS 2014</t>
  </si>
  <si>
    <t>CYM CONSULTORES S.A.</t>
  </si>
  <si>
    <t>EUROESTUDIOS S.A.S.</t>
  </si>
  <si>
    <t>27-59</t>
  </si>
  <si>
    <t>60-67</t>
  </si>
  <si>
    <t>23-32</t>
  </si>
  <si>
    <t>33-88</t>
  </si>
  <si>
    <t>15-194</t>
  </si>
  <si>
    <t>195-217</t>
  </si>
  <si>
    <t>Solicitar aclaración del formato 5 (folio 273) en la cifra de rentabilidad del patrimonio.</t>
  </si>
  <si>
    <t>CONCURSO DE MÉRITOS ABIERTO No. VJ-VGC-CM-001-2014</t>
  </si>
  <si>
    <t>HÁBIL</t>
  </si>
  <si>
    <t>CAPACIDAD FINANCIERA</t>
  </si>
  <si>
    <t>CAPACIDAD ORGANIZACIONAL</t>
  </si>
  <si>
    <t>ICEACSA COSULTORES S.A. SUCURSAL COLOMBIA</t>
  </si>
  <si>
    <t>En los folios (165-170) se encuentra la conversión a pesos de los estados financieros de Omicron Amepro S.A. debidamente suscritos por Contador Público Colombiano.</t>
  </si>
  <si>
    <t>La información presentada en el RUP INGENIERÍA Y DESARROLLO XIMA DE COLOMBIA S.A.S.esta actualizada a diciembre de 2013, sin embargo, no está en firme.</t>
  </si>
  <si>
    <t>Información subsanada en radicado 2014-409-027072-2 de junio 11 de 2014</t>
  </si>
  <si>
    <t>Solicitar aclaración del formato 5 (folio 273) en la cifra de rentabilidad del patrimonio.  Información subsanada en radicado 2014-409-027564-2</t>
  </si>
  <si>
    <t>El proponente ICEACSA presenta el RUP (folio 51-75) con información a diciembre 2012.  La información fue subsanada mediante radicado 2014-409-029655-2 de junio 25 de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</si>
</sst>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&quot;$&quot;\ #,##0_);\(&quot;$&quot;\ #,##0\)"/>
    <numFmt numFmtId="165" formatCode="_(&quot;$&quot;\ * #,##0.00_);_(&quot;$&quot;\ * \(#,##0.00\);_(&quot;$&quot;\ * &quot;-&quot;??_);_(@_)"/>
    <numFmt numFmtId="166" formatCode="_-* #,##0_-;\-* #,##0_-;_-* &quot;-&quot;??_-;_-@_-"/>
    <numFmt numFmtId="167" formatCode="0.0%"/>
    <numFmt numFmtId="168" formatCode="_-* #,##0\ _€_-;\-* #,##0\ _€_-;_-* &quot;-&quot;??\ _€_-;_-@_-"/>
    <numFmt numFmtId="169" formatCode="_(&quot;$&quot;\ * #,##0_);_(&quot;$&quot;\ * \(#,##0\);_(&quot;$&quot;\ * &quot;-&quot;??_);_(@_)"/>
    <numFmt numFmtId="170" formatCode="0.000%"/>
    <numFmt numFmtId="171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/>
    </xf>
    <xf numFmtId="166" fontId="0" fillId="0" borderId="0" xfId="1" applyNumberFormat="1" applyFont="1"/>
    <xf numFmtId="0" fontId="2" fillId="0" borderId="0" xfId="0" applyFont="1" applyAlignment="1">
      <alignment horizontal="center"/>
    </xf>
    <xf numFmtId="10" fontId="0" fillId="2" borderId="0" xfId="0" applyNumberFormat="1" applyFill="1" applyAlignment="1">
      <alignment horizontal="center"/>
    </xf>
    <xf numFmtId="9" fontId="0" fillId="0" borderId="0" xfId="0" applyNumberFormat="1"/>
    <xf numFmtId="9" fontId="0" fillId="2" borderId="0" xfId="0" applyNumberFormat="1" applyFill="1" applyAlignment="1">
      <alignment horizontal="center"/>
    </xf>
    <xf numFmtId="43" fontId="0" fillId="0" borderId="0" xfId="1" applyNumberFormat="1" applyFont="1"/>
    <xf numFmtId="169" fontId="5" fillId="0" borderId="5" xfId="5" applyNumberFormat="1" applyFont="1" applyFill="1" applyBorder="1" applyAlignment="1">
      <alignment horizontal="center" vertical="center" wrapText="1"/>
    </xf>
    <xf numFmtId="169" fontId="5" fillId="0" borderId="12" xfId="5" applyNumberFormat="1" applyFont="1" applyFill="1" applyBorder="1" applyAlignment="1">
      <alignment horizontal="center" vertical="center" wrapText="1"/>
    </xf>
    <xf numFmtId="169" fontId="5" fillId="0" borderId="5" xfId="5" applyNumberFormat="1" applyFont="1" applyFill="1" applyBorder="1" applyAlignment="1">
      <alignment horizontal="center" vertical="center" wrapText="1"/>
    </xf>
    <xf numFmtId="169" fontId="5" fillId="0" borderId="12" xfId="5" applyNumberFormat="1" applyFont="1" applyFill="1" applyBorder="1" applyAlignment="1">
      <alignment horizontal="center" vertical="center" wrapText="1"/>
    </xf>
    <xf numFmtId="2" fontId="4" fillId="3" borderId="9" xfId="7" applyNumberFormat="1" applyFont="1" applyFill="1" applyBorder="1" applyAlignment="1">
      <alignment horizontal="center" vertical="center"/>
    </xf>
    <xf numFmtId="10" fontId="4" fillId="3" borderId="9" xfId="6" applyNumberFormat="1" applyFont="1" applyFill="1" applyBorder="1" applyAlignment="1">
      <alignment horizontal="center" vertical="center"/>
    </xf>
    <xf numFmtId="2" fontId="4" fillId="3" borderId="12" xfId="7" applyNumberFormat="1" applyFont="1" applyFill="1" applyBorder="1" applyAlignment="1">
      <alignment horizontal="center" vertical="center"/>
    </xf>
    <xf numFmtId="10" fontId="4" fillId="3" borderId="12" xfId="6" applyNumberFormat="1" applyFont="1" applyFill="1" applyBorder="1" applyAlignment="1">
      <alignment horizontal="center" vertical="center"/>
    </xf>
    <xf numFmtId="37" fontId="4" fillId="0" borderId="12" xfId="5" applyNumberFormat="1" applyFont="1" applyFill="1" applyBorder="1" applyAlignment="1">
      <alignment horizontal="right" vertical="center"/>
    </xf>
    <xf numFmtId="2" fontId="4" fillId="3" borderId="7" xfId="7" applyNumberFormat="1" applyFont="1" applyFill="1" applyBorder="1" applyAlignment="1">
      <alignment horizontal="center" vertical="center"/>
    </xf>
    <xf numFmtId="37" fontId="4" fillId="0" borderId="7" xfId="5" applyNumberFormat="1" applyFont="1" applyFill="1" applyBorder="1" applyAlignment="1">
      <alignment horizontal="right" vertical="center"/>
    </xf>
    <xf numFmtId="37" fontId="4" fillId="0" borderId="9" xfId="5" applyNumberFormat="1" applyFont="1" applyFill="1" applyBorder="1" applyAlignment="1">
      <alignment horizontal="right" vertical="center"/>
    </xf>
    <xf numFmtId="3" fontId="4" fillId="4" borderId="9" xfId="5" applyNumberFormat="1" applyFont="1" applyFill="1" applyBorder="1" applyAlignment="1">
      <alignment horizontal="right" vertical="center" wrapText="1"/>
    </xf>
    <xf numFmtId="3" fontId="4" fillId="4" borderId="7" xfId="5" applyNumberFormat="1" applyFont="1" applyFill="1" applyBorder="1" applyAlignment="1">
      <alignment horizontal="right" vertical="center" wrapText="1"/>
    </xf>
    <xf numFmtId="3" fontId="4" fillId="4" borderId="12" xfId="5" applyNumberFormat="1" applyFont="1" applyFill="1" applyBorder="1" applyAlignment="1">
      <alignment horizontal="right" vertical="center" wrapText="1"/>
    </xf>
    <xf numFmtId="168" fontId="4" fillId="4" borderId="9" xfId="6" applyNumberFormat="1" applyFont="1" applyFill="1" applyBorder="1" applyAlignment="1">
      <alignment horizontal="left" vertical="center" shrinkToFit="1"/>
    </xf>
    <xf numFmtId="167" fontId="4" fillId="4" borderId="9" xfId="3" applyNumberFormat="1" applyFont="1" applyFill="1" applyBorder="1" applyAlignment="1">
      <alignment horizontal="center" vertical="center"/>
    </xf>
    <xf numFmtId="0" fontId="4" fillId="4" borderId="9" xfId="7" applyNumberFormat="1" applyFont="1" applyFill="1" applyBorder="1" applyAlignment="1">
      <alignment horizontal="center" vertical="center"/>
    </xf>
    <xf numFmtId="15" fontId="4" fillId="4" borderId="9" xfId="7" applyNumberFormat="1" applyFont="1" applyFill="1" applyBorder="1" applyAlignment="1">
      <alignment horizontal="center" vertical="center"/>
    </xf>
    <xf numFmtId="168" fontId="4" fillId="4" borderId="9" xfId="6" applyNumberFormat="1" applyFont="1" applyFill="1" applyBorder="1" applyAlignment="1">
      <alignment horizontal="center" vertical="center" wrapText="1"/>
    </xf>
    <xf numFmtId="168" fontId="4" fillId="4" borderId="7" xfId="6" applyNumberFormat="1" applyFont="1" applyFill="1" applyBorder="1" applyAlignment="1">
      <alignment horizontal="left" vertical="center" shrinkToFit="1"/>
    </xf>
    <xf numFmtId="167" fontId="4" fillId="4" borderId="7" xfId="3" applyNumberFormat="1" applyFont="1" applyFill="1" applyBorder="1" applyAlignment="1">
      <alignment horizontal="center" vertical="center"/>
    </xf>
    <xf numFmtId="0" fontId="4" fillId="4" borderId="7" xfId="7" applyNumberFormat="1" applyFont="1" applyFill="1" applyBorder="1" applyAlignment="1">
      <alignment horizontal="center" vertical="center"/>
    </xf>
    <xf numFmtId="15" fontId="4" fillId="4" borderId="7" xfId="7" applyNumberFormat="1" applyFont="1" applyFill="1" applyBorder="1" applyAlignment="1">
      <alignment horizontal="center" vertical="center"/>
    </xf>
    <xf numFmtId="168" fontId="4" fillId="4" borderId="7" xfId="6" applyNumberFormat="1" applyFont="1" applyFill="1" applyBorder="1" applyAlignment="1">
      <alignment horizontal="center" vertical="center" wrapText="1"/>
    </xf>
    <xf numFmtId="168" fontId="4" fillId="4" borderId="12" xfId="6" applyNumberFormat="1" applyFont="1" applyFill="1" applyBorder="1" applyAlignment="1">
      <alignment horizontal="left" vertical="center" shrinkToFit="1"/>
    </xf>
    <xf numFmtId="167" fontId="4" fillId="4" borderId="12" xfId="3" applyNumberFormat="1" applyFont="1" applyFill="1" applyBorder="1" applyAlignment="1">
      <alignment horizontal="center" vertical="center"/>
    </xf>
    <xf numFmtId="0" fontId="4" fillId="4" borderId="12" xfId="7" applyNumberFormat="1" applyFont="1" applyFill="1" applyBorder="1" applyAlignment="1">
      <alignment horizontal="center" vertical="center"/>
    </xf>
    <xf numFmtId="15" fontId="4" fillId="4" borderId="12" xfId="7" applyNumberFormat="1" applyFont="1" applyFill="1" applyBorder="1" applyAlignment="1">
      <alignment horizontal="center" vertical="center"/>
    </xf>
    <xf numFmtId="168" fontId="4" fillId="4" borderId="12" xfId="6" applyNumberFormat="1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10" fontId="5" fillId="0" borderId="4" xfId="12" applyNumberFormat="1" applyFont="1" applyFill="1" applyBorder="1" applyAlignment="1">
      <alignment horizontal="center" vertical="center"/>
    </xf>
    <xf numFmtId="3" fontId="4" fillId="4" borderId="23" xfId="5" applyNumberFormat="1" applyFont="1" applyFill="1" applyBorder="1" applyAlignment="1">
      <alignment horizontal="right" vertical="center" wrapText="1"/>
    </xf>
    <xf numFmtId="3" fontId="4" fillId="4" borderId="24" xfId="5" applyNumberFormat="1" applyFont="1" applyFill="1" applyBorder="1" applyAlignment="1">
      <alignment horizontal="right" vertical="center" wrapText="1"/>
    </xf>
    <xf numFmtId="3" fontId="4" fillId="4" borderId="25" xfId="5" applyNumberFormat="1" applyFont="1" applyFill="1" applyBorder="1" applyAlignment="1">
      <alignment horizontal="right" vertical="center" wrapText="1"/>
    </xf>
    <xf numFmtId="3" fontId="4" fillId="4" borderId="26" xfId="5" applyNumberFormat="1" applyFont="1" applyFill="1" applyBorder="1" applyAlignment="1">
      <alignment horizontal="right" vertical="center" wrapText="1"/>
    </xf>
    <xf numFmtId="3" fontId="4" fillId="4" borderId="27" xfId="5" applyNumberFormat="1" applyFont="1" applyFill="1" applyBorder="1" applyAlignment="1">
      <alignment horizontal="right" vertical="center" wrapText="1"/>
    </xf>
    <xf numFmtId="3" fontId="4" fillId="4" borderId="28" xfId="5" applyNumberFormat="1" applyFont="1" applyFill="1" applyBorder="1" applyAlignment="1">
      <alignment horizontal="right" vertical="center" wrapText="1"/>
    </xf>
    <xf numFmtId="3" fontId="4" fillId="0" borderId="29" xfId="5" applyNumberFormat="1" applyFont="1" applyFill="1" applyBorder="1" applyAlignment="1">
      <alignment horizontal="right" vertical="center" wrapText="1"/>
    </xf>
    <xf numFmtId="3" fontId="4" fillId="0" borderId="30" xfId="5" applyNumberFormat="1" applyFont="1" applyFill="1" applyBorder="1" applyAlignment="1">
      <alignment horizontal="right" vertical="center" wrapText="1"/>
    </xf>
    <xf numFmtId="3" fontId="4" fillId="0" borderId="31" xfId="5" applyNumberFormat="1" applyFont="1" applyFill="1" applyBorder="1" applyAlignment="1">
      <alignment horizontal="right" vertical="center" wrapText="1"/>
    </xf>
    <xf numFmtId="3" fontId="4" fillId="0" borderId="32" xfId="5" applyNumberFormat="1" applyFont="1" applyFill="1" applyBorder="1" applyAlignment="1">
      <alignment horizontal="right" vertical="center" wrapText="1"/>
    </xf>
    <xf numFmtId="9" fontId="4" fillId="3" borderId="12" xfId="6" applyNumberFormat="1" applyFont="1" applyFill="1" applyBorder="1" applyAlignment="1">
      <alignment horizontal="center" vertical="center"/>
    </xf>
    <xf numFmtId="9" fontId="4" fillId="3" borderId="9" xfId="6" applyNumberFormat="1" applyFont="1" applyFill="1" applyBorder="1" applyAlignment="1">
      <alignment horizontal="center" vertical="center"/>
    </xf>
    <xf numFmtId="9" fontId="4" fillId="3" borderId="7" xfId="6" applyNumberFormat="1" applyFont="1" applyFill="1" applyBorder="1" applyAlignment="1">
      <alignment horizontal="center" vertical="center"/>
    </xf>
    <xf numFmtId="10" fontId="5" fillId="0" borderId="7" xfId="12" applyNumberFormat="1" applyFont="1" applyFill="1" applyBorder="1" applyAlignment="1">
      <alignment horizontal="center" vertical="center"/>
    </xf>
    <xf numFmtId="10" fontId="5" fillId="0" borderId="9" xfId="12" applyNumberFormat="1" applyFont="1" applyFill="1" applyBorder="1" applyAlignment="1">
      <alignment horizontal="center" vertical="center"/>
    </xf>
    <xf numFmtId="10" fontId="5" fillId="0" borderId="12" xfId="12" applyNumberFormat="1" applyFont="1" applyFill="1" applyBorder="1" applyAlignment="1">
      <alignment horizontal="center" vertical="center"/>
    </xf>
    <xf numFmtId="167" fontId="4" fillId="3" borderId="12" xfId="6" applyNumberFormat="1" applyFont="1" applyFill="1" applyBorder="1" applyAlignment="1">
      <alignment horizontal="center" vertical="center"/>
    </xf>
    <xf numFmtId="168" fontId="4" fillId="4" borderId="9" xfId="6" applyNumberFormat="1" applyFont="1" applyFill="1" applyBorder="1" applyAlignment="1">
      <alignment horizontal="left" vertical="center" wrapText="1" shrinkToFit="1"/>
    </xf>
    <xf numFmtId="0" fontId="7" fillId="0" borderId="0" xfId="0" applyFont="1"/>
    <xf numFmtId="0" fontId="7" fillId="0" borderId="29" xfId="0" applyFont="1" applyBorder="1" applyAlignment="1">
      <alignment wrapText="1"/>
    </xf>
    <xf numFmtId="0" fontId="7" fillId="0" borderId="31" xfId="0" applyFont="1" applyBorder="1"/>
    <xf numFmtId="2" fontId="4" fillId="3" borderId="21" xfId="7" applyNumberFormat="1" applyFont="1" applyFill="1" applyBorder="1" applyAlignment="1">
      <alignment horizontal="center" vertical="center"/>
    </xf>
    <xf numFmtId="168" fontId="4" fillId="4" borderId="7" xfId="6" applyNumberFormat="1" applyFont="1" applyFill="1" applyBorder="1" applyAlignment="1">
      <alignment horizontal="left" vertical="center" wrapText="1" shrinkToFit="1"/>
    </xf>
    <xf numFmtId="168" fontId="4" fillId="4" borderId="12" xfId="6" applyNumberFormat="1" applyFont="1" applyFill="1" applyBorder="1" applyAlignment="1">
      <alignment horizontal="left" vertical="center" wrapText="1" shrinkToFit="1"/>
    </xf>
    <xf numFmtId="167" fontId="4" fillId="3" borderId="9" xfId="6" applyNumberFormat="1" applyFont="1" applyFill="1" applyBorder="1" applyAlignment="1">
      <alignment horizontal="center" vertical="center"/>
    </xf>
    <xf numFmtId="170" fontId="4" fillId="3" borderId="9" xfId="6" applyNumberFormat="1" applyFont="1" applyFill="1" applyBorder="1" applyAlignment="1">
      <alignment horizontal="center" vertical="center"/>
    </xf>
    <xf numFmtId="171" fontId="4" fillId="3" borderId="9" xfId="7" applyNumberFormat="1" applyFont="1" applyFill="1" applyBorder="1" applyAlignment="1">
      <alignment horizontal="center" vertical="center"/>
    </xf>
    <xf numFmtId="0" fontId="7" fillId="0" borderId="29" xfId="0" applyFont="1" applyBorder="1"/>
    <xf numFmtId="0" fontId="7" fillId="0" borderId="30" xfId="0" applyFont="1" applyBorder="1"/>
    <xf numFmtId="0" fontId="7" fillId="0" borderId="32" xfId="0" applyFont="1" applyBorder="1"/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wrapText="1"/>
    </xf>
    <xf numFmtId="0" fontId="8" fillId="0" borderId="39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6" fillId="0" borderId="37" xfId="0" applyFont="1" applyBorder="1" applyAlignment="1">
      <alignment horizontal="center" vertical="center" wrapText="1"/>
    </xf>
    <xf numFmtId="0" fontId="7" fillId="0" borderId="30" xfId="0" applyFont="1" applyBorder="1" applyAlignment="1">
      <alignment vertical="center" wrapText="1"/>
    </xf>
    <xf numFmtId="0" fontId="7" fillId="0" borderId="32" xfId="0" applyFont="1" applyBorder="1" applyAlignment="1">
      <alignment wrapText="1"/>
    </xf>
    <xf numFmtId="0" fontId="4" fillId="0" borderId="19" xfId="6" applyNumberFormat="1" applyFont="1" applyFill="1" applyBorder="1" applyAlignment="1">
      <alignment horizontal="center" vertical="center"/>
    </xf>
    <xf numFmtId="0" fontId="4" fillId="0" borderId="20" xfId="6" applyNumberFormat="1" applyFont="1" applyFill="1" applyBorder="1" applyAlignment="1">
      <alignment horizontal="center" vertical="center"/>
    </xf>
    <xf numFmtId="168" fontId="4" fillId="4" borderId="9" xfId="6" applyNumberFormat="1" applyFont="1" applyFill="1" applyBorder="1" applyAlignment="1">
      <alignment vertical="center" wrapText="1"/>
    </xf>
    <xf numFmtId="168" fontId="4" fillId="4" borderId="12" xfId="6" applyNumberFormat="1" applyFont="1" applyFill="1" applyBorder="1" applyAlignment="1">
      <alignment vertical="center" wrapText="1"/>
    </xf>
    <xf numFmtId="10" fontId="5" fillId="3" borderId="1" xfId="6" applyNumberFormat="1" applyFont="1" applyFill="1" applyBorder="1" applyAlignment="1">
      <alignment horizontal="center" vertical="center"/>
    </xf>
    <xf numFmtId="10" fontId="5" fillId="3" borderId="5" xfId="6" applyNumberFormat="1" applyFont="1" applyFill="1" applyBorder="1" applyAlignment="1">
      <alignment horizontal="center" vertical="center"/>
    </xf>
    <xf numFmtId="168" fontId="5" fillId="3" borderId="33" xfId="6" applyNumberFormat="1" applyFont="1" applyFill="1" applyBorder="1" applyAlignment="1">
      <alignment horizontal="center" vertical="center" wrapText="1"/>
    </xf>
    <xf numFmtId="168" fontId="5" fillId="3" borderId="35" xfId="6" applyNumberFormat="1" applyFont="1" applyFill="1" applyBorder="1" applyAlignment="1">
      <alignment horizontal="center" vertical="center" wrapText="1"/>
    </xf>
    <xf numFmtId="37" fontId="4" fillId="0" borderId="4" xfId="5" applyNumberFormat="1" applyFont="1" applyFill="1" applyBorder="1" applyAlignment="1">
      <alignment horizontal="center" vertical="center"/>
    </xf>
    <xf numFmtId="37" fontId="4" fillId="0" borderId="5" xfId="5" applyNumberFormat="1" applyFont="1" applyFill="1" applyBorder="1" applyAlignment="1">
      <alignment horizontal="center" vertical="center"/>
    </xf>
    <xf numFmtId="37" fontId="5" fillId="0" borderId="4" xfId="5" applyNumberFormat="1" applyFont="1" applyFill="1" applyBorder="1" applyAlignment="1">
      <alignment horizontal="center" vertical="center"/>
    </xf>
    <xf numFmtId="37" fontId="5" fillId="0" borderId="5" xfId="5" applyNumberFormat="1" applyFont="1" applyFill="1" applyBorder="1" applyAlignment="1">
      <alignment horizontal="center" vertical="center"/>
    </xf>
    <xf numFmtId="168" fontId="5" fillId="3" borderId="16" xfId="6" applyNumberFormat="1" applyFont="1" applyFill="1" applyBorder="1" applyAlignment="1">
      <alignment horizontal="center" vertical="center" wrapText="1"/>
    </xf>
    <xf numFmtId="168" fontId="5" fillId="3" borderId="18" xfId="6" applyNumberFormat="1" applyFont="1" applyFill="1" applyBorder="1" applyAlignment="1">
      <alignment horizontal="center" vertical="center" wrapText="1"/>
    </xf>
    <xf numFmtId="168" fontId="5" fillId="3" borderId="34" xfId="6" applyNumberFormat="1" applyFont="1" applyFill="1" applyBorder="1" applyAlignment="1">
      <alignment horizontal="center" vertical="center" wrapText="1"/>
    </xf>
    <xf numFmtId="37" fontId="4" fillId="0" borderId="1" xfId="5" applyNumberFormat="1" applyFont="1" applyFill="1" applyBorder="1" applyAlignment="1">
      <alignment horizontal="center" vertical="center"/>
    </xf>
    <xf numFmtId="37" fontId="5" fillId="0" borderId="1" xfId="5" applyNumberFormat="1" applyFont="1" applyFill="1" applyBorder="1" applyAlignment="1">
      <alignment horizontal="center" vertical="center"/>
    </xf>
    <xf numFmtId="168" fontId="5" fillId="3" borderId="17" xfId="6" applyNumberFormat="1" applyFont="1" applyFill="1" applyBorder="1" applyAlignment="1">
      <alignment horizontal="center" vertical="center" wrapText="1"/>
    </xf>
    <xf numFmtId="0" fontId="4" fillId="0" borderId="22" xfId="6" applyNumberFormat="1" applyFont="1" applyFill="1" applyBorder="1" applyAlignment="1">
      <alignment horizontal="center" vertical="center"/>
    </xf>
    <xf numFmtId="168" fontId="4" fillId="4" borderId="7" xfId="6" applyNumberFormat="1" applyFont="1" applyFill="1" applyBorder="1" applyAlignment="1">
      <alignment vertical="center" wrapText="1"/>
    </xf>
    <xf numFmtId="0" fontId="4" fillId="0" borderId="8" xfId="6" applyNumberFormat="1" applyFont="1" applyFill="1" applyBorder="1" applyAlignment="1">
      <alignment horizontal="center" vertical="center"/>
    </xf>
    <xf numFmtId="0" fontId="4" fillId="0" borderId="11" xfId="6" applyNumberFormat="1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wrapText="1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39" xfId="0" applyFont="1" applyBorder="1" applyAlignment="1">
      <alignment horizontal="center" wrapText="1"/>
    </xf>
    <xf numFmtId="168" fontId="5" fillId="3" borderId="19" xfId="2" applyNumberFormat="1" applyFont="1" applyFill="1" applyBorder="1" applyAlignment="1">
      <alignment horizontal="center" vertical="center" wrapText="1"/>
    </xf>
    <xf numFmtId="168" fontId="5" fillId="3" borderId="20" xfId="2" applyNumberFormat="1" applyFont="1" applyFill="1" applyBorder="1" applyAlignment="1">
      <alignment horizontal="center" vertical="center" wrapText="1"/>
    </xf>
    <xf numFmtId="168" fontId="5" fillId="3" borderId="4" xfId="2" applyNumberFormat="1" applyFont="1" applyFill="1" applyBorder="1" applyAlignment="1">
      <alignment horizontal="center" vertical="center" wrapText="1"/>
    </xf>
    <xf numFmtId="168" fontId="5" fillId="3" borderId="5" xfId="2" applyNumberFormat="1" applyFont="1" applyFill="1" applyBorder="1" applyAlignment="1">
      <alignment horizontal="center" vertical="center" wrapText="1"/>
    </xf>
    <xf numFmtId="168" fontId="5" fillId="3" borderId="1" xfId="2" applyNumberFormat="1" applyFont="1" applyFill="1" applyBorder="1" applyAlignment="1">
      <alignment horizontal="center" vertical="center" wrapText="1"/>
    </xf>
    <xf numFmtId="168" fontId="5" fillId="3" borderId="6" xfId="2" applyNumberFormat="1" applyFont="1" applyFill="1" applyBorder="1" applyAlignment="1">
      <alignment horizontal="center" vertical="center" wrapText="1"/>
    </xf>
    <xf numFmtId="168" fontId="5" fillId="3" borderId="2" xfId="2" applyNumberFormat="1" applyFont="1" applyFill="1" applyBorder="1" applyAlignment="1">
      <alignment horizontal="center" vertical="center" wrapText="1"/>
    </xf>
    <xf numFmtId="37" fontId="4" fillId="0" borderId="33" xfId="5" applyNumberFormat="1" applyFont="1" applyFill="1" applyBorder="1" applyAlignment="1">
      <alignment horizontal="center" vertical="center"/>
    </xf>
    <xf numFmtId="37" fontId="4" fillId="0" borderId="34" xfId="5" applyNumberFormat="1" applyFont="1" applyFill="1" applyBorder="1" applyAlignment="1">
      <alignment horizontal="center" vertical="center"/>
    </xf>
    <xf numFmtId="37" fontId="4" fillId="0" borderId="35" xfId="5" applyNumberFormat="1" applyFont="1" applyFill="1" applyBorder="1" applyAlignment="1">
      <alignment horizontal="center" vertical="center"/>
    </xf>
    <xf numFmtId="0" fontId="4" fillId="0" borderId="10" xfId="6" applyNumberFormat="1" applyFont="1" applyFill="1" applyBorder="1" applyAlignment="1">
      <alignment horizontal="center" vertical="center"/>
    </xf>
    <xf numFmtId="164" fontId="5" fillId="3" borderId="4" xfId="2" applyNumberFormat="1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8" fontId="5" fillId="0" borderId="13" xfId="2" applyNumberFormat="1" applyFont="1" applyFill="1" applyBorder="1" applyAlignment="1">
      <alignment horizontal="center" vertical="center" wrapText="1"/>
    </xf>
    <xf numFmtId="168" fontId="5" fillId="0" borderId="15" xfId="2" applyNumberFormat="1" applyFont="1" applyFill="1" applyBorder="1" applyAlignment="1">
      <alignment horizontal="center" vertical="center" wrapText="1"/>
    </xf>
    <xf numFmtId="164" fontId="5" fillId="3" borderId="13" xfId="2" applyNumberFormat="1" applyFont="1" applyFill="1" applyBorder="1" applyAlignment="1">
      <alignment horizontal="center" vertical="center" wrapText="1"/>
    </xf>
    <xf numFmtId="164" fontId="5" fillId="3" borderId="15" xfId="2" applyNumberFormat="1" applyFont="1" applyFill="1" applyBorder="1" applyAlignment="1">
      <alignment horizontal="center" vertical="center" wrapText="1"/>
    </xf>
    <xf numFmtId="168" fontId="5" fillId="0" borderId="3" xfId="2" applyNumberFormat="1" applyFont="1" applyFill="1" applyBorder="1" applyAlignment="1">
      <alignment horizontal="center" vertical="center"/>
    </xf>
    <xf numFmtId="168" fontId="5" fillId="0" borderId="14" xfId="2" applyNumberFormat="1" applyFont="1" applyFill="1" applyBorder="1" applyAlignment="1">
      <alignment horizontal="center" vertical="center"/>
    </xf>
    <xf numFmtId="167" fontId="5" fillId="0" borderId="4" xfId="3" applyNumberFormat="1" applyFont="1" applyFill="1" applyBorder="1" applyAlignment="1">
      <alignment horizontal="center" vertical="center"/>
    </xf>
    <xf numFmtId="167" fontId="5" fillId="0" borderId="5" xfId="3" applyNumberFormat="1" applyFont="1" applyFill="1" applyBorder="1" applyAlignment="1">
      <alignment horizontal="center" vertical="center"/>
    </xf>
    <xf numFmtId="168" fontId="5" fillId="0" borderId="4" xfId="2" applyNumberFormat="1" applyFont="1" applyFill="1" applyBorder="1" applyAlignment="1">
      <alignment horizontal="center" vertical="center" wrapText="1"/>
    </xf>
    <xf numFmtId="168" fontId="5" fillId="0" borderId="5" xfId="2" applyNumberFormat="1" applyFont="1" applyFill="1" applyBorder="1" applyAlignment="1">
      <alignment horizontal="center" vertical="center" wrapText="1"/>
    </xf>
    <xf numFmtId="168" fontId="5" fillId="0" borderId="5" xfId="2" applyNumberFormat="1" applyFont="1" applyFill="1" applyBorder="1" applyAlignment="1">
      <alignment horizontal="center" vertical="center"/>
    </xf>
    <xf numFmtId="2" fontId="5" fillId="3" borderId="13" xfId="4" applyNumberFormat="1" applyFont="1" applyFill="1" applyBorder="1" applyAlignment="1">
      <alignment horizontal="center" vertical="center" wrapText="1"/>
    </xf>
    <xf numFmtId="2" fontId="5" fillId="3" borderId="15" xfId="4" applyNumberFormat="1" applyFont="1" applyFill="1" applyBorder="1" applyAlignment="1">
      <alignment horizontal="center" vertical="center" wrapText="1"/>
    </xf>
    <xf numFmtId="168" fontId="5" fillId="0" borderId="9" xfId="2" applyNumberFormat="1" applyFont="1" applyFill="1" applyBorder="1" applyAlignment="1">
      <alignment horizontal="center" vertical="center"/>
    </xf>
    <xf numFmtId="168" fontId="3" fillId="0" borderId="9" xfId="2" applyNumberFormat="1" applyFont="1" applyBorder="1" applyAlignment="1">
      <alignment horizontal="center" vertical="center"/>
    </xf>
    <xf numFmtId="0" fontId="5" fillId="0" borderId="4" xfId="4" applyNumberFormat="1" applyFont="1" applyFill="1" applyBorder="1" applyAlignment="1">
      <alignment horizontal="center" vertical="center" wrapText="1"/>
    </xf>
    <xf numFmtId="0" fontId="5" fillId="0" borderId="5" xfId="4" applyNumberFormat="1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168" fontId="5" fillId="3" borderId="16" xfId="2" applyNumberFormat="1" applyFont="1" applyFill="1" applyBorder="1" applyAlignment="1">
      <alignment horizontal="center" vertical="center" wrapText="1"/>
    </xf>
    <xf numFmtId="168" fontId="5" fillId="3" borderId="17" xfId="2" applyNumberFormat="1" applyFont="1" applyFill="1" applyBorder="1" applyAlignment="1">
      <alignment horizontal="center" vertical="center" wrapText="1"/>
    </xf>
    <xf numFmtId="10" fontId="5" fillId="3" borderId="4" xfId="6" applyNumberFormat="1" applyFont="1" applyFill="1" applyBorder="1" applyAlignment="1">
      <alignment horizontal="center" vertical="center"/>
    </xf>
    <xf numFmtId="168" fontId="5" fillId="3" borderId="18" xfId="2" applyNumberFormat="1" applyFont="1" applyFill="1" applyBorder="1" applyAlignment="1">
      <alignment horizontal="center" vertical="center" wrapText="1"/>
    </xf>
    <xf numFmtId="164" fontId="5" fillId="3" borderId="36" xfId="2" applyNumberFormat="1" applyFont="1" applyFill="1" applyBorder="1" applyAlignment="1">
      <alignment horizontal="center" vertical="center" wrapText="1"/>
    </xf>
    <xf numFmtId="168" fontId="5" fillId="3" borderId="41" xfId="2" applyNumberFormat="1" applyFont="1" applyFill="1" applyBorder="1" applyAlignment="1">
      <alignment horizontal="center" vertical="center" wrapText="1"/>
    </xf>
    <xf numFmtId="168" fontId="5" fillId="3" borderId="42" xfId="2" applyNumberFormat="1" applyFont="1" applyFill="1" applyBorder="1" applyAlignment="1">
      <alignment horizontal="center" vertical="center" wrapText="1"/>
    </xf>
    <xf numFmtId="168" fontId="5" fillId="3" borderId="41" xfId="6" applyNumberFormat="1" applyFont="1" applyFill="1" applyBorder="1" applyAlignment="1">
      <alignment horizontal="center" vertical="center" wrapText="1"/>
    </xf>
    <xf numFmtId="168" fontId="5" fillId="3" borderId="42" xfId="6" applyNumberFormat="1" applyFont="1" applyFill="1" applyBorder="1" applyAlignment="1">
      <alignment horizontal="center" vertical="center" wrapText="1"/>
    </xf>
    <xf numFmtId="168" fontId="5" fillId="3" borderId="43" xfId="6" applyNumberFormat="1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68" fontId="5" fillId="3" borderId="45" xfId="2" applyNumberFormat="1" applyFont="1" applyFill="1" applyBorder="1" applyAlignment="1">
      <alignment horizontal="center" vertical="center" wrapText="1"/>
    </xf>
    <xf numFmtId="168" fontId="5" fillId="3" borderId="46" xfId="2" applyNumberFormat="1" applyFont="1" applyFill="1" applyBorder="1" applyAlignment="1">
      <alignment horizontal="center" vertical="center" wrapText="1"/>
    </xf>
    <xf numFmtId="0" fontId="0" fillId="0" borderId="44" xfId="0" applyFill="1" applyBorder="1"/>
    <xf numFmtId="0" fontId="6" fillId="0" borderId="44" xfId="0" applyFont="1" applyFill="1" applyBorder="1" applyAlignment="1">
      <alignment horizontal="center" vertical="center" wrapText="1"/>
    </xf>
    <xf numFmtId="168" fontId="4" fillId="0" borderId="44" xfId="6" applyNumberFormat="1" applyFont="1" applyFill="1" applyBorder="1" applyAlignment="1">
      <alignment horizontal="left" vertical="center" wrapText="1" shrinkToFit="1"/>
    </xf>
  </cellXfs>
  <cellStyles count="13">
    <cellStyle name="Millares" xfId="1" builtinId="3"/>
    <cellStyle name="Millares 2" xfId="7"/>
    <cellStyle name="Millares 3" xfId="4"/>
    <cellStyle name="Moneda 2" xfId="5"/>
    <cellStyle name="Normal" xfId="0" builtinId="0"/>
    <cellStyle name="Normal 2" xfId="6"/>
    <cellStyle name="Normal 3" xfId="8"/>
    <cellStyle name="Normal 4" xfId="2"/>
    <cellStyle name="Normal 9" xfId="10"/>
    <cellStyle name="Porcentaje" xfId="12" builtinId="5"/>
    <cellStyle name="Porcentaje 2" xfId="3"/>
    <cellStyle name="Porcentual 2" xfId="9"/>
    <cellStyle name="Porcentual 9" xfId="11"/>
  </cellStyles>
  <dxfs count="6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4" sqref="E4"/>
    </sheetView>
  </sheetViews>
  <sheetFormatPr baseColWidth="10" defaultRowHeight="15" x14ac:dyDescent="0.25"/>
  <cols>
    <col min="1" max="1" width="31.28515625" bestFit="1" customWidth="1"/>
    <col min="2" max="2" width="15.140625" bestFit="1" customWidth="1"/>
    <col min="3" max="4" width="14.140625" bestFit="1" customWidth="1"/>
    <col min="5" max="5" width="16.85546875" bestFit="1" customWidth="1"/>
  </cols>
  <sheetData>
    <row r="1" spans="1:5" x14ac:dyDescent="0.25">
      <c r="C1" s="3" t="s">
        <v>2</v>
      </c>
      <c r="D1" s="3" t="s">
        <v>3</v>
      </c>
      <c r="E1" s="1" t="s">
        <v>43</v>
      </c>
    </row>
    <row r="2" spans="1:5" x14ac:dyDescent="0.25">
      <c r="A2" s="3" t="s">
        <v>0</v>
      </c>
      <c r="B2" s="3" t="s">
        <v>1</v>
      </c>
      <c r="C2" s="4">
        <v>0.24</v>
      </c>
      <c r="D2" s="6">
        <v>0.5</v>
      </c>
      <c r="E2" s="38">
        <v>0.5</v>
      </c>
    </row>
    <row r="3" spans="1:5" x14ac:dyDescent="0.25">
      <c r="A3" s="1">
        <v>1</v>
      </c>
      <c r="B3" s="2">
        <v>20800000000</v>
      </c>
      <c r="C3" s="2">
        <f>+B3*$C$2</f>
        <v>4992000000</v>
      </c>
      <c r="D3" s="2">
        <f>+C3*$D$2</f>
        <v>2496000000</v>
      </c>
      <c r="E3" s="2">
        <f>+E2*C3</f>
        <v>2496000000</v>
      </c>
    </row>
    <row r="6" spans="1:5" x14ac:dyDescent="0.25">
      <c r="A6" t="s">
        <v>4</v>
      </c>
      <c r="B6" s="7">
        <v>1.1000000000000001</v>
      </c>
    </row>
    <row r="7" spans="1:5" x14ac:dyDescent="0.25">
      <c r="A7" t="s">
        <v>5</v>
      </c>
      <c r="B7" s="5">
        <v>0.8</v>
      </c>
    </row>
    <row r="8" spans="1:5" x14ac:dyDescent="0.25">
      <c r="A8" t="s">
        <v>6</v>
      </c>
      <c r="B8" s="7">
        <v>1</v>
      </c>
    </row>
    <row r="9" spans="1:5" x14ac:dyDescent="0.25">
      <c r="A9" t="s">
        <v>38</v>
      </c>
      <c r="B9" s="5">
        <v>0</v>
      </c>
    </row>
    <row r="10" spans="1:5" x14ac:dyDescent="0.25">
      <c r="A10" t="s">
        <v>39</v>
      </c>
      <c r="B10" s="5">
        <v>0</v>
      </c>
    </row>
  </sheetData>
  <sortState ref="A3:D11">
    <sortCondition descending="1" ref="B3:B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showGridLines="0" topLeftCell="Y1" workbookViewId="0">
      <selection activeCell="AE10" sqref="AE10"/>
    </sheetView>
  </sheetViews>
  <sheetFormatPr baseColWidth="10" defaultRowHeight="16.5" outlineLevelCol="1" x14ac:dyDescent="0.3"/>
  <cols>
    <col min="1" max="1" width="4.42578125" bestFit="1" customWidth="1"/>
    <col min="2" max="2" width="26.42578125" customWidth="1"/>
    <col min="3" max="3" width="9.140625" customWidth="1"/>
    <col min="4" max="4" width="24.85546875" customWidth="1"/>
    <col min="5" max="5" width="7.140625" bestFit="1" customWidth="1"/>
    <col min="6" max="6" width="9.5703125" customWidth="1"/>
    <col min="7" max="7" width="9.42578125" customWidth="1"/>
    <col min="8" max="8" width="8.140625" customWidth="1"/>
    <col min="9" max="11" width="12.140625" customWidth="1"/>
    <col min="12" max="13" width="12.28515625" customWidth="1"/>
    <col min="14" max="14" width="12.140625" customWidth="1"/>
    <col min="15" max="15" width="10" customWidth="1"/>
    <col min="16" max="16" width="10.7109375" customWidth="1" outlineLevel="1"/>
    <col min="17" max="17" width="14.5703125" customWidth="1" outlineLevel="1"/>
    <col min="18" max="18" width="10.7109375" customWidth="1" outlineLevel="1"/>
    <col min="19" max="20" width="12.28515625" customWidth="1" outlineLevel="1"/>
    <col min="21" max="21" width="11.7109375" customWidth="1" outlineLevel="1" collapsed="1"/>
    <col min="22" max="22" width="14.85546875" customWidth="1" outlineLevel="1"/>
    <col min="23" max="24" width="11.7109375" customWidth="1" outlineLevel="1"/>
    <col min="25" max="25" width="11.7109375" customWidth="1"/>
    <col min="26" max="27" width="13" customWidth="1" outlineLevel="1"/>
    <col min="28" max="29" width="8.42578125" customWidth="1" outlineLevel="1"/>
    <col min="30" max="30" width="15.85546875" customWidth="1"/>
    <col min="31" max="31" width="87.28515625" style="58" customWidth="1"/>
  </cols>
  <sheetData>
    <row r="1" spans="1:31" ht="34.5" customHeight="1" thickBot="1" x14ac:dyDescent="0.3">
      <c r="A1" s="133" t="s">
        <v>125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5"/>
      <c r="U1" s="99" t="s">
        <v>41</v>
      </c>
      <c r="V1" s="100"/>
      <c r="W1" s="100"/>
      <c r="X1" s="100"/>
      <c r="Y1" s="101"/>
      <c r="Z1" s="102" t="s">
        <v>42</v>
      </c>
      <c r="AA1" s="100"/>
      <c r="AB1" s="100"/>
      <c r="AC1" s="100"/>
      <c r="AD1" s="101"/>
      <c r="AE1"/>
    </row>
    <row r="2" spans="1:31" ht="15" customHeight="1" x14ac:dyDescent="0.25">
      <c r="A2" s="120" t="s">
        <v>7</v>
      </c>
      <c r="B2" s="116" t="s">
        <v>8</v>
      </c>
      <c r="C2" s="124" t="s">
        <v>21</v>
      </c>
      <c r="D2" s="124" t="s">
        <v>9</v>
      </c>
      <c r="E2" s="122" t="s">
        <v>10</v>
      </c>
      <c r="F2" s="131" t="s">
        <v>49</v>
      </c>
      <c r="G2" s="105" t="s">
        <v>11</v>
      </c>
      <c r="H2" s="105" t="s">
        <v>12</v>
      </c>
      <c r="I2" s="129" t="s">
        <v>13</v>
      </c>
      <c r="J2" s="130"/>
      <c r="K2" s="129" t="s">
        <v>14</v>
      </c>
      <c r="L2" s="129"/>
      <c r="M2" s="124" t="s">
        <v>24</v>
      </c>
      <c r="N2" s="129" t="s">
        <v>40</v>
      </c>
      <c r="O2" s="129"/>
      <c r="P2" s="127" t="s">
        <v>25</v>
      </c>
      <c r="Q2" s="118" t="s">
        <v>26</v>
      </c>
      <c r="R2" s="118" t="s">
        <v>27</v>
      </c>
      <c r="S2" s="118" t="s">
        <v>28</v>
      </c>
      <c r="T2" s="118" t="s">
        <v>29</v>
      </c>
      <c r="U2" s="114" t="s">
        <v>30</v>
      </c>
      <c r="V2" s="118" t="s">
        <v>31</v>
      </c>
      <c r="W2" s="118" t="s">
        <v>32</v>
      </c>
      <c r="X2" s="118" t="s">
        <v>33</v>
      </c>
      <c r="Y2" s="108" t="s">
        <v>15</v>
      </c>
      <c r="Z2" s="103" t="s">
        <v>34</v>
      </c>
      <c r="AA2" s="105" t="s">
        <v>35</v>
      </c>
      <c r="AB2" s="105" t="s">
        <v>36</v>
      </c>
      <c r="AC2" s="105" t="s">
        <v>37</v>
      </c>
      <c r="AD2" s="136" t="s">
        <v>15</v>
      </c>
      <c r="AE2" s="136" t="s">
        <v>50</v>
      </c>
    </row>
    <row r="3" spans="1:31" ht="39" thickBot="1" x14ac:dyDescent="0.3">
      <c r="A3" s="121"/>
      <c r="B3" s="117"/>
      <c r="C3" s="125"/>
      <c r="D3" s="125"/>
      <c r="E3" s="123"/>
      <c r="F3" s="132"/>
      <c r="G3" s="106"/>
      <c r="H3" s="106"/>
      <c r="I3" s="8" t="s">
        <v>16</v>
      </c>
      <c r="J3" s="8" t="s">
        <v>17</v>
      </c>
      <c r="K3" s="8" t="s">
        <v>18</v>
      </c>
      <c r="L3" s="9" t="s">
        <v>19</v>
      </c>
      <c r="M3" s="126"/>
      <c r="N3" s="10" t="s">
        <v>22</v>
      </c>
      <c r="O3" s="11" t="s">
        <v>23</v>
      </c>
      <c r="P3" s="128"/>
      <c r="Q3" s="119"/>
      <c r="R3" s="119"/>
      <c r="S3" s="119" t="s">
        <v>20</v>
      </c>
      <c r="T3" s="119" t="s">
        <v>20</v>
      </c>
      <c r="U3" s="115"/>
      <c r="V3" s="140"/>
      <c r="W3" s="140"/>
      <c r="X3" s="119"/>
      <c r="Y3" s="109"/>
      <c r="Z3" s="104"/>
      <c r="AA3" s="106"/>
      <c r="AB3" s="107"/>
      <c r="AC3" s="107"/>
      <c r="AD3" s="139"/>
      <c r="AE3" s="137"/>
    </row>
    <row r="4" spans="1:31" x14ac:dyDescent="0.3">
      <c r="A4" s="97">
        <v>1</v>
      </c>
      <c r="B4" s="79" t="s">
        <v>44</v>
      </c>
      <c r="C4" s="79">
        <v>1</v>
      </c>
      <c r="D4" s="28" t="s">
        <v>53</v>
      </c>
      <c r="E4" s="29">
        <v>0.51</v>
      </c>
      <c r="F4" s="25" t="s">
        <v>52</v>
      </c>
      <c r="G4" s="26">
        <v>41639</v>
      </c>
      <c r="H4" s="27" t="s">
        <v>48</v>
      </c>
      <c r="I4" s="20">
        <v>5338886896</v>
      </c>
      <c r="J4" s="20">
        <v>6240535708</v>
      </c>
      <c r="K4" s="20">
        <v>844583225</v>
      </c>
      <c r="L4" s="40">
        <v>1027736372</v>
      </c>
      <c r="M4" s="46">
        <f t="shared" ref="M4:M5" si="0">+J4-L4</f>
        <v>5212799336</v>
      </c>
      <c r="N4" s="43">
        <v>1641920164</v>
      </c>
      <c r="O4" s="20">
        <v>286149251</v>
      </c>
      <c r="P4" s="12">
        <f>+I4/K4</f>
        <v>6.3213271800419673</v>
      </c>
      <c r="Q4" s="51">
        <f>+L4/J4</f>
        <v>0.16468720316470625</v>
      </c>
      <c r="R4" s="12">
        <f>IF(O4=0,"Indeterminado",+N4/O4)</f>
        <v>5.7379851887153812</v>
      </c>
      <c r="S4" s="19">
        <f>I4-K4</f>
        <v>4494303671</v>
      </c>
      <c r="T4" s="110">
        <f>+SUM(S4:S6)</f>
        <v>7473822170</v>
      </c>
      <c r="U4" s="54" t="str">
        <f>IF(P4&lt;=Pliegos!$B$6,"NO","SI")</f>
        <v>SI</v>
      </c>
      <c r="V4" s="54" t="str">
        <f>IF(Q4&lt;=Pliegos!$B$7,"SI","NO")</f>
        <v>SI</v>
      </c>
      <c r="W4" s="54" t="str">
        <f>IF(O4=0,"SI",IF(R4&lt;Pliegos!$B$8,"NO","SI"))</f>
        <v>SI</v>
      </c>
      <c r="X4" s="87" t="str">
        <f>IF(AND(S4&gt;=VLOOKUP(C4,Pliegos!$A$3:$D$3,4,),Matriz!T4&gt;=VLOOKUP(C4,Pliegos!$A$3:$D$3,3,)),"SI","NO")</f>
        <v>SI</v>
      </c>
      <c r="Y4" s="89" t="str">
        <f>IF(ISERROR(SUM(U4:X6)),"ERROR",IF(COUNTIF(U4:X6,"NO")&gt;0,"NO HÁBIL","HÁBIL"))</f>
        <v>HÁBIL</v>
      </c>
      <c r="Z4" s="51">
        <f t="shared" ref="Z4:Z18" si="1">+N4/J4</f>
        <v>0.26310564362209399</v>
      </c>
      <c r="AA4" s="51">
        <f t="shared" ref="AA4:AA18" si="2">+N4/M4</f>
        <v>0.31497858600862899</v>
      </c>
      <c r="AB4" s="138" t="str">
        <f>IF(MAX(Z4:Z6)&gt;Pliegos!$B$9,"SI","NO")</f>
        <v>SI</v>
      </c>
      <c r="AC4" s="138" t="str">
        <f>IF(MAX(AA4:AA6)&gt;Pliegos!$B$10,"SI","NO")</f>
        <v>SI</v>
      </c>
      <c r="AD4" s="83" t="str">
        <f>IF(ISERROR(SUM(AB4:AC6)),"ERROR",IF(COUNTIF(AB4:AC6,"NO")&gt;0,"NO HÁBIL","HÁBIL"))</f>
        <v>HÁBIL</v>
      </c>
      <c r="AE4" s="67"/>
    </row>
    <row r="5" spans="1:31" x14ac:dyDescent="0.3">
      <c r="A5" s="113"/>
      <c r="B5" s="96"/>
      <c r="C5" s="96"/>
      <c r="D5" s="28" t="s">
        <v>45</v>
      </c>
      <c r="E5" s="29">
        <v>0.25</v>
      </c>
      <c r="F5" s="30" t="s">
        <v>51</v>
      </c>
      <c r="G5" s="31">
        <v>41639</v>
      </c>
      <c r="H5" s="32" t="s">
        <v>48</v>
      </c>
      <c r="I5" s="21">
        <v>1082500270</v>
      </c>
      <c r="J5" s="21">
        <v>1667375424</v>
      </c>
      <c r="K5" s="21">
        <v>197846879</v>
      </c>
      <c r="L5" s="41">
        <v>376820989</v>
      </c>
      <c r="M5" s="47">
        <f t="shared" si="0"/>
        <v>1290554435</v>
      </c>
      <c r="N5" s="44">
        <v>421393845</v>
      </c>
      <c r="O5" s="21">
        <v>23718589</v>
      </c>
      <c r="P5" s="17">
        <f t="shared" ref="P5:P6" si="3">+I5/K5</f>
        <v>5.4714043277882594</v>
      </c>
      <c r="Q5" s="52">
        <f t="shared" ref="Q5:Q6" si="4">+L5/J5</f>
        <v>0.22599648739934888</v>
      </c>
      <c r="R5" s="17">
        <f t="shared" ref="R5:R14" si="5">IF(O5=0,"Indeterminado",+N5/O5)</f>
        <v>17.766396011162385</v>
      </c>
      <c r="S5" s="18">
        <f t="shared" ref="S5:S6" si="6">I5-K5</f>
        <v>884653391</v>
      </c>
      <c r="T5" s="111"/>
      <c r="U5" s="53" t="str">
        <f>IF(P5&lt;=Pliegos!$B$6,"NO","SI")</f>
        <v>SI</v>
      </c>
      <c r="V5" s="53" t="str">
        <f>IF(Q5&lt;=Pliegos!$B$7,"SI","NO")</f>
        <v>SI</v>
      </c>
      <c r="W5" s="53" t="str">
        <f>IF(O5=0,"SI",IF(R5&lt;Pliegos!$B$8,"NO","SI"))</f>
        <v>SI</v>
      </c>
      <c r="X5" s="93"/>
      <c r="Y5" s="94"/>
      <c r="Z5" s="52">
        <f>+N5/J5</f>
        <v>0.25272883295178039</v>
      </c>
      <c r="AA5" s="52">
        <f>+N5/M5</f>
        <v>0.32652155815496464</v>
      </c>
      <c r="AB5" s="81"/>
      <c r="AC5" s="81"/>
      <c r="AD5" s="91"/>
      <c r="AE5" s="68"/>
    </row>
    <row r="6" spans="1:31" ht="17.25" thickBot="1" x14ac:dyDescent="0.35">
      <c r="A6" s="98"/>
      <c r="B6" s="80"/>
      <c r="C6" s="80"/>
      <c r="D6" s="33" t="s">
        <v>46</v>
      </c>
      <c r="E6" s="34">
        <v>0.24</v>
      </c>
      <c r="F6" s="35" t="s">
        <v>47</v>
      </c>
      <c r="G6" s="36">
        <v>41639</v>
      </c>
      <c r="H6" s="37" t="s">
        <v>48</v>
      </c>
      <c r="I6" s="22">
        <v>4051093717</v>
      </c>
      <c r="J6" s="22">
        <v>4129009201</v>
      </c>
      <c r="K6" s="22">
        <v>1956228609</v>
      </c>
      <c r="L6" s="42">
        <v>2462210841</v>
      </c>
      <c r="M6" s="48">
        <f>+J6-L6</f>
        <v>1666798360</v>
      </c>
      <c r="N6" s="45">
        <v>854233776</v>
      </c>
      <c r="O6" s="22">
        <v>103738165</v>
      </c>
      <c r="P6" s="14">
        <f t="shared" si="3"/>
        <v>2.0708692728253624</v>
      </c>
      <c r="Q6" s="52">
        <f t="shared" si="4"/>
        <v>0.59632001798486667</v>
      </c>
      <c r="R6" s="14">
        <f t="shared" si="5"/>
        <v>8.2345178941617103</v>
      </c>
      <c r="S6" s="16">
        <f t="shared" si="6"/>
        <v>2094865108</v>
      </c>
      <c r="T6" s="112"/>
      <c r="U6" s="55" t="str">
        <f>IF(P6&lt;=Pliegos!$B$6,"NO","SI")</f>
        <v>SI</v>
      </c>
      <c r="V6" s="55" t="str">
        <f>IF(Q6&lt;=Pliegos!$B$7,"SI","NO")</f>
        <v>SI</v>
      </c>
      <c r="W6" s="55" t="str">
        <f>IF(O6=0,"SI",IF(R6&lt;Pliegos!$B$8,"NO","SI"))</f>
        <v>SI</v>
      </c>
      <c r="X6" s="88"/>
      <c r="Y6" s="90"/>
      <c r="Z6" s="50">
        <f t="shared" si="1"/>
        <v>0.20688589790333092</v>
      </c>
      <c r="AA6" s="50">
        <f t="shared" si="2"/>
        <v>0.51249976991818014</v>
      </c>
      <c r="AB6" s="82"/>
      <c r="AC6" s="82"/>
      <c r="AD6" s="84"/>
      <c r="AE6" s="60"/>
    </row>
    <row r="7" spans="1:31" x14ac:dyDescent="0.3">
      <c r="A7" s="97">
        <v>2</v>
      </c>
      <c r="B7" s="79" t="s">
        <v>54</v>
      </c>
      <c r="C7" s="79">
        <v>1</v>
      </c>
      <c r="D7" s="23" t="s">
        <v>55</v>
      </c>
      <c r="E7" s="24">
        <v>0.6</v>
      </c>
      <c r="F7" s="25" t="s">
        <v>57</v>
      </c>
      <c r="G7" s="26">
        <v>41639</v>
      </c>
      <c r="H7" s="27" t="s">
        <v>48</v>
      </c>
      <c r="I7" s="20">
        <v>9934971316</v>
      </c>
      <c r="J7" s="20">
        <v>11093564812</v>
      </c>
      <c r="K7" s="20">
        <v>2798320180</v>
      </c>
      <c r="L7" s="40">
        <v>5087888885</v>
      </c>
      <c r="M7" s="46">
        <f>+J7-L7</f>
        <v>6005675927</v>
      </c>
      <c r="N7" s="43">
        <v>441651590</v>
      </c>
      <c r="O7" s="20">
        <v>45945432</v>
      </c>
      <c r="P7" s="12">
        <f>+I7/K7</f>
        <v>3.550334013600974</v>
      </c>
      <c r="Q7" s="51">
        <f>+L7/J7</f>
        <v>0.45863425970129901</v>
      </c>
      <c r="R7" s="12">
        <f t="shared" si="5"/>
        <v>9.6125244833915158</v>
      </c>
      <c r="S7" s="19">
        <f>I7-K7</f>
        <v>7136651136</v>
      </c>
      <c r="T7" s="85">
        <f>+SUM(S7:S8)</f>
        <v>11632742499</v>
      </c>
      <c r="U7" s="54" t="str">
        <f>IF(P7&lt;=Pliegos!$B$6,"NO","SI")</f>
        <v>SI</v>
      </c>
      <c r="V7" s="54" t="str">
        <f>IF(Q7&lt;=Pliegos!$B$7,"SI","NO")</f>
        <v>SI</v>
      </c>
      <c r="W7" s="39" t="str">
        <f>IF(O7=0,"SI",IF(R7&lt;Pliegos!$B$8,"NO","SI"))</f>
        <v>SI</v>
      </c>
      <c r="X7" s="87" t="str">
        <f>IF(AND(S7&gt;=VLOOKUP(C7,Pliegos!$A$3:$D$3,4,),Matriz!T7&gt;=VLOOKUP(C7,Pliegos!$A$3:$D$3,3,)),"SI","NO")</f>
        <v>SI</v>
      </c>
      <c r="Y7" s="89" t="str">
        <f>IF(ISERROR(SUM(U7:X8)),"ERROR",IF(COUNTIF(U7:X8,"NO")&gt;0,"NO HÁBIL","HÁBIL"))</f>
        <v>HÁBIL</v>
      </c>
      <c r="Z7" s="51">
        <f t="shared" si="1"/>
        <v>3.9811512122979786E-2</v>
      </c>
      <c r="AA7" s="51">
        <f t="shared" si="2"/>
        <v>7.3539031304444211E-2</v>
      </c>
      <c r="AB7" s="81" t="str">
        <f>IF(MAX(Z7:Z8)&gt;Pliegos!$B$9,"SI","NO")</f>
        <v>SI</v>
      </c>
      <c r="AC7" s="81" t="str">
        <f>IF(MAX(AA7:AA8)&gt;Pliegos!$B$10,"SI","NO")</f>
        <v>SI</v>
      </c>
      <c r="AD7" s="83" t="str">
        <f>IF(ISERROR(SUM(AB7:AC8)),"ERROR",IF(COUNTIF(AB7:AC8,"NO")&gt;0,"NO HÁBIL","HÁBIL"))</f>
        <v>HÁBIL</v>
      </c>
      <c r="AE7" s="69"/>
    </row>
    <row r="8" spans="1:31" ht="17.25" thickBot="1" x14ac:dyDescent="0.35">
      <c r="A8" s="98"/>
      <c r="B8" s="80"/>
      <c r="C8" s="80"/>
      <c r="D8" s="33" t="s">
        <v>56</v>
      </c>
      <c r="E8" s="34">
        <v>0.4</v>
      </c>
      <c r="F8" s="35" t="s">
        <v>58</v>
      </c>
      <c r="G8" s="36">
        <v>41639</v>
      </c>
      <c r="H8" s="37" t="s">
        <v>48</v>
      </c>
      <c r="I8" s="22">
        <v>5328304783</v>
      </c>
      <c r="J8" s="22">
        <v>5503332579</v>
      </c>
      <c r="K8" s="22">
        <v>832213420</v>
      </c>
      <c r="L8" s="42">
        <v>975345933</v>
      </c>
      <c r="M8" s="48">
        <f t="shared" ref="M8:M33" si="7">+J8-L8</f>
        <v>4527986646</v>
      </c>
      <c r="N8" s="45">
        <v>1163616030</v>
      </c>
      <c r="O8" s="22">
        <v>87129</v>
      </c>
      <c r="P8" s="14">
        <f t="shared" ref="P8" si="8">+I8/K8</f>
        <v>6.4025701279847178</v>
      </c>
      <c r="Q8" s="50">
        <f t="shared" ref="Q8" si="9">+L8/J8</f>
        <v>0.17722823743594798</v>
      </c>
      <c r="R8" s="14">
        <f t="shared" si="5"/>
        <v>13355.094515029439</v>
      </c>
      <c r="S8" s="16">
        <f t="shared" ref="S8" si="10">I8-K8</f>
        <v>4496091363</v>
      </c>
      <c r="T8" s="86"/>
      <c r="U8" s="55" t="str">
        <f>IF(P8&lt;=Pliegos!$B$6,"NO","SI")</f>
        <v>SI</v>
      </c>
      <c r="V8" s="55" t="str">
        <f>IF(Q8&lt;=Pliegos!$B$7,"SI","NO")</f>
        <v>SI</v>
      </c>
      <c r="W8" s="55" t="str">
        <f>IF(O8=0,"SI",IF(R8&lt;Pliegos!$B$8,"NO","SI"))</f>
        <v>SI</v>
      </c>
      <c r="X8" s="88"/>
      <c r="Y8" s="90"/>
      <c r="Z8" s="50">
        <f t="shared" si="1"/>
        <v>0.2114384354018885</v>
      </c>
      <c r="AA8" s="50">
        <f t="shared" si="2"/>
        <v>0.25698309667673874</v>
      </c>
      <c r="AB8" s="82"/>
      <c r="AC8" s="82"/>
      <c r="AD8" s="84"/>
      <c r="AE8" s="60"/>
    </row>
    <row r="9" spans="1:31" ht="33" x14ac:dyDescent="0.3">
      <c r="A9" s="77">
        <v>3</v>
      </c>
      <c r="B9" s="79" t="s">
        <v>59</v>
      </c>
      <c r="C9" s="79">
        <v>1</v>
      </c>
      <c r="D9" s="57" t="s">
        <v>60</v>
      </c>
      <c r="E9" s="24">
        <v>0.51</v>
      </c>
      <c r="F9" s="25" t="s">
        <v>62</v>
      </c>
      <c r="G9" s="26">
        <v>41639</v>
      </c>
      <c r="H9" s="27" t="s">
        <v>48</v>
      </c>
      <c r="I9" s="20">
        <v>9015527521.1200008</v>
      </c>
      <c r="J9" s="20">
        <v>9705150094.6599998</v>
      </c>
      <c r="K9" s="20">
        <v>2558678249</v>
      </c>
      <c r="L9" s="40">
        <v>4901916070.6199999</v>
      </c>
      <c r="M9" s="49">
        <f t="shared" si="7"/>
        <v>4803234024.04</v>
      </c>
      <c r="N9" s="43">
        <v>143735815.53</v>
      </c>
      <c r="O9" s="20">
        <v>0</v>
      </c>
      <c r="P9" s="12">
        <f t="shared" ref="P9:P22" si="11">+I9/K9</f>
        <v>3.5235096576302669</v>
      </c>
      <c r="Q9" s="51">
        <f>+L9/J9</f>
        <v>0.50508400414303212</v>
      </c>
      <c r="R9" s="12" t="str">
        <f t="shared" si="5"/>
        <v>Indeterminado</v>
      </c>
      <c r="S9" s="19">
        <f>I9-K9</f>
        <v>6456849272.1200008</v>
      </c>
      <c r="T9" s="85">
        <f>+SUM(S9:S10)</f>
        <v>7040698464.1200008</v>
      </c>
      <c r="U9" s="54" t="str">
        <f>IF(P9&lt;=Pliegos!$B$6,"NO","SI")</f>
        <v>SI</v>
      </c>
      <c r="V9" s="54" t="str">
        <f>IF(Q9&lt;=Pliegos!$B$7,"SI","NO")</f>
        <v>SI</v>
      </c>
      <c r="W9" s="39" t="str">
        <f>IF(O9=0,"SI",IF(R9&lt;Pliegos!$B$8,"NO","SI"))</f>
        <v>SI</v>
      </c>
      <c r="X9" s="87" t="str">
        <f>IF(AND(S9&gt;=VLOOKUP(C9,Pliegos!$A$3:$D$3,4,),Matriz!T9&gt;=VLOOKUP(C9,Pliegos!$A$3:$D$3,3,)),"SI","NO")</f>
        <v>SI</v>
      </c>
      <c r="Y9" s="89" t="str">
        <f>IF(ISERROR(SUM(U9:X10)),"ERROR",IF(COUNTIF(U9:X10,"NO")&gt;0,"NO HÁBIL","HÁBIL"))</f>
        <v>HÁBIL</v>
      </c>
      <c r="Z9" s="13">
        <f>+N9/J9</f>
        <v>1.4810261987507725E-2</v>
      </c>
      <c r="AA9" s="13">
        <f t="shared" si="2"/>
        <v>2.992479958515613E-2</v>
      </c>
      <c r="AB9" s="81" t="str">
        <f>IF(MAX(Z9:Z10)&gt;Pliegos!$B$9,"SI","NO")</f>
        <v>SI</v>
      </c>
      <c r="AC9" s="81" t="str">
        <f>IF(MAX(AA9:AA10)&gt;Pliegos!$B$10,"SI","NO")</f>
        <v>SI</v>
      </c>
      <c r="AD9" s="83" t="str">
        <f>IF(ISERROR(SUM(AB9:AC10)),"ERROR",IF(COUNTIF(AB9:AC10,"NO")&gt;0,"NO HÁBIL","HÁBIL"))</f>
        <v>HÁBIL</v>
      </c>
      <c r="AE9" s="59" t="s">
        <v>134</v>
      </c>
    </row>
    <row r="10" spans="1:31" ht="17.25" thickBot="1" x14ac:dyDescent="0.35">
      <c r="A10" s="78"/>
      <c r="B10" s="80"/>
      <c r="C10" s="80"/>
      <c r="D10" s="33" t="s">
        <v>61</v>
      </c>
      <c r="E10" s="34">
        <v>0.49</v>
      </c>
      <c r="F10" s="35" t="s">
        <v>64</v>
      </c>
      <c r="G10" s="36">
        <v>41639</v>
      </c>
      <c r="H10" s="37" t="s">
        <v>48</v>
      </c>
      <c r="I10" s="22">
        <v>798446158</v>
      </c>
      <c r="J10" s="22">
        <v>1259823991</v>
      </c>
      <c r="K10" s="22">
        <v>214596966</v>
      </c>
      <c r="L10" s="42">
        <v>238586966</v>
      </c>
      <c r="M10" s="48">
        <f t="shared" si="7"/>
        <v>1021237025</v>
      </c>
      <c r="N10" s="45">
        <v>37199457</v>
      </c>
      <c r="O10" s="22">
        <v>29632</v>
      </c>
      <c r="P10" s="14">
        <f t="shared" si="11"/>
        <v>3.7206777564599864</v>
      </c>
      <c r="Q10" s="50">
        <f t="shared" ref="Q10" si="12">+L10/J10</f>
        <v>0.18938118951887781</v>
      </c>
      <c r="R10" s="14">
        <f t="shared" si="5"/>
        <v>1255.3812432505399</v>
      </c>
      <c r="S10" s="16">
        <f t="shared" ref="S10" si="13">I10-K10</f>
        <v>583849192</v>
      </c>
      <c r="T10" s="86"/>
      <c r="U10" s="55" t="str">
        <f>IF(P10&lt;=Pliegos!$B$6,"NO","SI")</f>
        <v>SI</v>
      </c>
      <c r="V10" s="55" t="str">
        <f>IF(Q10&lt;=Pliegos!$B$7,"SI","NO")</f>
        <v>SI</v>
      </c>
      <c r="W10" s="55" t="str">
        <f>IF(O10=0,"SI",IF(R10&lt;Pliegos!$B$8,"NO","SI"))</f>
        <v>SI</v>
      </c>
      <c r="X10" s="88"/>
      <c r="Y10" s="90"/>
      <c r="Z10" s="50">
        <f t="shared" si="1"/>
        <v>2.9527503258985007E-2</v>
      </c>
      <c r="AA10" s="50">
        <f t="shared" si="2"/>
        <v>3.6425879682535009E-2</v>
      </c>
      <c r="AB10" s="82"/>
      <c r="AC10" s="82"/>
      <c r="AD10" s="84"/>
      <c r="AE10" s="60"/>
    </row>
    <row r="11" spans="1:31" ht="25.5" x14ac:dyDescent="0.3">
      <c r="A11" s="77">
        <v>4</v>
      </c>
      <c r="B11" s="79" t="s">
        <v>65</v>
      </c>
      <c r="C11" s="79">
        <v>1</v>
      </c>
      <c r="D11" s="57" t="s">
        <v>66</v>
      </c>
      <c r="E11" s="24">
        <v>0.51</v>
      </c>
      <c r="F11" s="25" t="s">
        <v>70</v>
      </c>
      <c r="G11" s="26">
        <v>41639</v>
      </c>
      <c r="H11" s="27" t="s">
        <v>48</v>
      </c>
      <c r="I11" s="20">
        <v>4858251114</v>
      </c>
      <c r="J11" s="20">
        <v>5101914034</v>
      </c>
      <c r="K11" s="20">
        <v>932240375</v>
      </c>
      <c r="L11" s="40">
        <v>1725594510</v>
      </c>
      <c r="M11" s="49">
        <f t="shared" si="7"/>
        <v>3376319524</v>
      </c>
      <c r="N11" s="43">
        <v>527269699</v>
      </c>
      <c r="O11" s="20">
        <v>0</v>
      </c>
      <c r="P11" s="12">
        <f t="shared" si="11"/>
        <v>5.2113717065729963</v>
      </c>
      <c r="Q11" s="13">
        <f>+L11/J11</f>
        <v>0.33822492862489495</v>
      </c>
      <c r="R11" s="12" t="str">
        <f t="shared" si="5"/>
        <v>Indeterminado</v>
      </c>
      <c r="S11" s="19">
        <f>I11-K11</f>
        <v>3926010739</v>
      </c>
      <c r="T11" s="85">
        <f>+SUM(S11:S13)</f>
        <v>6841382973</v>
      </c>
      <c r="U11" s="54" t="str">
        <f>IF(P11&lt;=Pliegos!$B$6,"NO","SI")</f>
        <v>SI</v>
      </c>
      <c r="V11" s="54" t="str">
        <f>IF(Q11&lt;=Pliegos!$B$7,"SI","NO")</f>
        <v>SI</v>
      </c>
      <c r="W11" s="54" t="str">
        <f>IF(O11=0,"SI",IF(R11&lt;Pliegos!$B$8,"NO","SI"))</f>
        <v>SI</v>
      </c>
      <c r="X11" s="87" t="str">
        <f>IF(AND(S11&gt;=VLOOKUP(C11,Pliegos!$A$3:$D$3,4,),Matriz!T11&gt;=VLOOKUP(C11,Pliegos!$A$3:$D$3,3,)),"SI","NO")</f>
        <v>SI</v>
      </c>
      <c r="Y11" s="89" t="str">
        <f>IF(ISERROR(SUM(U11:X13)),"ERROR",IF(COUNTIF(U11:X13,"NO")&gt;0,"NO HÁBIL","HÁBIL"))</f>
        <v>HÁBIL</v>
      </c>
      <c r="Z11" s="51">
        <f t="shared" si="1"/>
        <v>0.10334742911899092</v>
      </c>
      <c r="AA11" s="51">
        <f t="shared" si="2"/>
        <v>0.15616700233849076</v>
      </c>
      <c r="AB11" s="81" t="str">
        <f>IF(MAX(Z11:Z13)&gt;Pliegos!$B$9,"SI","NO")</f>
        <v>SI</v>
      </c>
      <c r="AC11" s="81" t="str">
        <f>IF(MAX(AA11:AA13)&gt;Pliegos!$B$10,"SI","NO")</f>
        <v>SI</v>
      </c>
      <c r="AD11" s="83" t="str">
        <f>IF(ISERROR(SUM(AB11:AC13)),"ERROR",IF(COUNTIF(AB11:AC13,"NO")&gt;0,"NO HÁBIL","HÁBIL"))</f>
        <v>HÁBIL</v>
      </c>
      <c r="AE11" s="69"/>
    </row>
    <row r="12" spans="1:31" ht="33" x14ac:dyDescent="0.25">
      <c r="A12" s="95"/>
      <c r="B12" s="96"/>
      <c r="C12" s="96"/>
      <c r="D12" s="62" t="s">
        <v>67</v>
      </c>
      <c r="E12" s="29">
        <v>0.25</v>
      </c>
      <c r="F12" s="30" t="s">
        <v>71</v>
      </c>
      <c r="G12" s="31">
        <v>41639</v>
      </c>
      <c r="H12" s="32" t="s">
        <v>48</v>
      </c>
      <c r="I12" s="21">
        <v>1057093124</v>
      </c>
      <c r="J12" s="21">
        <v>1057093124</v>
      </c>
      <c r="K12" s="21">
        <v>44255078</v>
      </c>
      <c r="L12" s="41">
        <v>44255078</v>
      </c>
      <c r="M12" s="47">
        <f t="shared" si="7"/>
        <v>1012838046</v>
      </c>
      <c r="N12" s="44">
        <v>77639652</v>
      </c>
      <c r="O12" s="21">
        <v>39300</v>
      </c>
      <c r="P12" s="17">
        <f t="shared" si="11"/>
        <v>23.886369017358867</v>
      </c>
      <c r="Q12" s="52">
        <f t="shared" ref="Q12:Q13" si="14">+L12/J12</f>
        <v>4.1864881149297872E-2</v>
      </c>
      <c r="R12" s="17">
        <f t="shared" si="5"/>
        <v>1975.5636641221374</v>
      </c>
      <c r="S12" s="18">
        <f t="shared" ref="S12:S13" si="15">I12-K12</f>
        <v>1012838046</v>
      </c>
      <c r="T12" s="92"/>
      <c r="U12" s="53" t="str">
        <f>IF(P12&lt;=Pliegos!$B$6,"NO","SI")</f>
        <v>SI</v>
      </c>
      <c r="V12" s="53" t="str">
        <f>IF(Q12&lt;=Pliegos!$B$7,"SI","NO")</f>
        <v>SI</v>
      </c>
      <c r="W12" s="53" t="str">
        <f>IF(O12=0,"SI",IF(R12&lt;Pliegos!$B$8,"NO","SI"))</f>
        <v>SI</v>
      </c>
      <c r="X12" s="93"/>
      <c r="Y12" s="94"/>
      <c r="Z12" s="52">
        <f t="shared" si="1"/>
        <v>7.3446369328573929E-2</v>
      </c>
      <c r="AA12" s="52">
        <f t="shared" si="2"/>
        <v>7.6655544592368133E-2</v>
      </c>
      <c r="AB12" s="81"/>
      <c r="AC12" s="81"/>
      <c r="AD12" s="91"/>
      <c r="AE12" s="75" t="s">
        <v>131</v>
      </c>
    </row>
    <row r="13" spans="1:31" ht="26.25" thickBot="1" x14ac:dyDescent="0.35">
      <c r="A13" s="78"/>
      <c r="B13" s="80"/>
      <c r="C13" s="80"/>
      <c r="D13" s="63" t="s">
        <v>68</v>
      </c>
      <c r="E13" s="34">
        <v>0.24</v>
      </c>
      <c r="F13" s="35" t="s">
        <v>69</v>
      </c>
      <c r="G13" s="36">
        <v>41639</v>
      </c>
      <c r="H13" s="37" t="s">
        <v>48</v>
      </c>
      <c r="I13" s="22">
        <v>2377545634</v>
      </c>
      <c r="J13" s="22">
        <v>2504059174</v>
      </c>
      <c r="K13" s="22">
        <v>475011446</v>
      </c>
      <c r="L13" s="42">
        <v>475011446</v>
      </c>
      <c r="M13" s="48">
        <f t="shared" si="7"/>
        <v>2029047728</v>
      </c>
      <c r="N13" s="45">
        <v>445298582</v>
      </c>
      <c r="O13" s="22">
        <v>51257257</v>
      </c>
      <c r="P13" s="14">
        <f t="shared" si="11"/>
        <v>5.0052386190289821</v>
      </c>
      <c r="Q13" s="50">
        <f t="shared" si="14"/>
        <v>0.1896965738398321</v>
      </c>
      <c r="R13" s="14">
        <f t="shared" si="5"/>
        <v>8.6875226663026464</v>
      </c>
      <c r="S13" s="16">
        <f t="shared" si="15"/>
        <v>1902534188</v>
      </c>
      <c r="T13" s="86"/>
      <c r="U13" s="55" t="str">
        <f>IF(P13&lt;=Pliegos!$B$6,"NO","SI")</f>
        <v>SI</v>
      </c>
      <c r="V13" s="55" t="str">
        <f>IF(Q13&lt;=Pliegos!$B$7,"SI","NO")</f>
        <v>SI</v>
      </c>
      <c r="W13" s="55" t="str">
        <f>IF(O13=0,"SI",IF(R13&lt;Pliegos!$B$8,"NO","SI"))</f>
        <v>SI</v>
      </c>
      <c r="X13" s="88"/>
      <c r="Y13" s="90"/>
      <c r="Z13" s="50">
        <f t="shared" si="1"/>
        <v>0.17783069450738148</v>
      </c>
      <c r="AA13" s="50">
        <f t="shared" si="2"/>
        <v>0.21946185683809602</v>
      </c>
      <c r="AB13" s="82"/>
      <c r="AC13" s="82"/>
      <c r="AD13" s="84"/>
      <c r="AE13" s="60"/>
    </row>
    <row r="14" spans="1:31" x14ac:dyDescent="0.3">
      <c r="A14" s="77">
        <v>5</v>
      </c>
      <c r="B14" s="79" t="s">
        <v>73</v>
      </c>
      <c r="C14" s="79">
        <v>1</v>
      </c>
      <c r="D14" s="23" t="s">
        <v>74</v>
      </c>
      <c r="E14" s="24">
        <v>0.51</v>
      </c>
      <c r="F14" s="25" t="s">
        <v>76</v>
      </c>
      <c r="G14" s="26">
        <v>41639</v>
      </c>
      <c r="H14" s="27" t="s">
        <v>48</v>
      </c>
      <c r="I14" s="20">
        <v>10528706354</v>
      </c>
      <c r="J14" s="20">
        <v>12108687454</v>
      </c>
      <c r="K14" s="20">
        <v>6260446739</v>
      </c>
      <c r="L14" s="40">
        <v>6260446739</v>
      </c>
      <c r="M14" s="49">
        <f t="shared" si="7"/>
        <v>5848240715</v>
      </c>
      <c r="N14" s="43">
        <v>2302316558</v>
      </c>
      <c r="O14" s="20">
        <v>18002050</v>
      </c>
      <c r="P14" s="12">
        <f t="shared" si="11"/>
        <v>1.6817819546982971</v>
      </c>
      <c r="Q14" s="51">
        <f>+L14/J14</f>
        <v>0.51702108612374131</v>
      </c>
      <c r="R14" s="12">
        <f t="shared" si="5"/>
        <v>127.89190997691929</v>
      </c>
      <c r="S14" s="19">
        <f>I14-K14</f>
        <v>4268259615</v>
      </c>
      <c r="T14" s="85">
        <f>+SUM(S14:S15)</f>
        <v>13275405205.65</v>
      </c>
      <c r="U14" s="54" t="str">
        <f>IF(P14&lt;=Pliegos!$B$6,"NO","SI")</f>
        <v>SI</v>
      </c>
      <c r="V14" s="54" t="str">
        <f>IF(Q14&lt;=Pliegos!$B$7,"SI","NO")</f>
        <v>SI</v>
      </c>
      <c r="W14" s="54" t="str">
        <f>IF(O14=0,"SI",IF(R14&lt;Pliegos!$B$8,"NO","SI"))</f>
        <v>SI</v>
      </c>
      <c r="X14" s="87" t="str">
        <f>IF(AND(S14&gt;=VLOOKUP(C14,Pliegos!$A$3:$D$3,4,),Matriz!T14&gt;=VLOOKUP(C14,Pliegos!$A$3:$D$3,3,)),"SI","NO")</f>
        <v>SI</v>
      </c>
      <c r="Y14" s="89" t="str">
        <f>IF(ISERROR(SUM(U14:X15)),"ERROR",IF(COUNTIF(U14:X15,"NO")&gt;0,"NO HÁBIL","HÁBIL"))</f>
        <v>HÁBIL</v>
      </c>
      <c r="Z14" s="51">
        <f t="shared" si="1"/>
        <v>0.19013758235534023</v>
      </c>
      <c r="AA14" s="51">
        <f t="shared" si="2"/>
        <v>0.39367677737594631</v>
      </c>
      <c r="AB14" s="81" t="str">
        <f>IF(MAX(Z14:Z15)&gt;Pliegos!$B$9,"SI","NO")</f>
        <v>SI</v>
      </c>
      <c r="AC14" s="81" t="str">
        <f>IF(MAX(AA14:AA15)&gt;Pliegos!$B$10,"SI","NO")</f>
        <v>SI</v>
      </c>
      <c r="AD14" s="83" t="str">
        <f>IF(ISERROR(SUM(AB14:AC15)),"ERROR",IF(COUNTIF(AB14:AC15,"NO")&gt;0,"NO HÁBIL","HÁBIL"))</f>
        <v>HÁBIL</v>
      </c>
      <c r="AE14" s="69"/>
    </row>
    <row r="15" spans="1:31" ht="33.75" thickBot="1" x14ac:dyDescent="0.35">
      <c r="A15" s="78"/>
      <c r="B15" s="80"/>
      <c r="C15" s="80"/>
      <c r="D15" s="33" t="s">
        <v>75</v>
      </c>
      <c r="E15" s="34">
        <v>0.49</v>
      </c>
      <c r="F15" s="35" t="s">
        <v>77</v>
      </c>
      <c r="G15" s="36">
        <v>41639</v>
      </c>
      <c r="H15" s="37" t="s">
        <v>48</v>
      </c>
      <c r="I15" s="22">
        <v>12259591835.559999</v>
      </c>
      <c r="J15" s="22">
        <v>13136283028.309999</v>
      </c>
      <c r="K15" s="22">
        <v>3252446244.9099998</v>
      </c>
      <c r="L15" s="42">
        <v>3252446244.9099998</v>
      </c>
      <c r="M15" s="48">
        <f t="shared" si="7"/>
        <v>9883836783.3999996</v>
      </c>
      <c r="N15" s="45">
        <v>523579437.63</v>
      </c>
      <c r="O15" s="22">
        <v>42393619.909999996</v>
      </c>
      <c r="P15" s="14">
        <f t="shared" si="11"/>
        <v>3.7693449522020437</v>
      </c>
      <c r="Q15" s="50">
        <f t="shared" ref="Q15" si="16">+L15/J15</f>
        <v>0.24759258291715044</v>
      </c>
      <c r="R15" s="14">
        <f t="shared" ref="R15:R33" si="17">IF(O15=0,"Indeterminado",+N15/O15)</f>
        <v>12.350430058615865</v>
      </c>
      <c r="S15" s="16">
        <f t="shared" ref="S15" si="18">I15-K15</f>
        <v>9007145590.6499996</v>
      </c>
      <c r="T15" s="86"/>
      <c r="U15" s="55" t="str">
        <f>IF(P15&lt;=Pliegos!$B$6,"NO","SI")</f>
        <v>SI</v>
      </c>
      <c r="V15" s="55" t="str">
        <f>IF(Q15&lt;=Pliegos!$B$7,"SI","NO")</f>
        <v>SI</v>
      </c>
      <c r="W15" s="55" t="str">
        <f>IF(O15=0,"SI",IF(R15&lt;Pliegos!$B$8,"NO","SI"))</f>
        <v>SI</v>
      </c>
      <c r="X15" s="88"/>
      <c r="Y15" s="90"/>
      <c r="Z15" s="50">
        <f t="shared" si="1"/>
        <v>3.9857502803619112E-2</v>
      </c>
      <c r="AA15" s="50">
        <f t="shared" si="2"/>
        <v>5.2973298639386351E-2</v>
      </c>
      <c r="AB15" s="82"/>
      <c r="AC15" s="82"/>
      <c r="AD15" s="84"/>
      <c r="AE15" s="71" t="s">
        <v>130</v>
      </c>
    </row>
    <row r="16" spans="1:31" ht="25.5" x14ac:dyDescent="0.3">
      <c r="A16" s="77">
        <v>6</v>
      </c>
      <c r="B16" s="79" t="s">
        <v>79</v>
      </c>
      <c r="C16" s="79">
        <v>1</v>
      </c>
      <c r="D16" s="57" t="s">
        <v>80</v>
      </c>
      <c r="E16" s="24">
        <v>0.51</v>
      </c>
      <c r="F16" s="25" t="s">
        <v>83</v>
      </c>
      <c r="G16" s="26">
        <v>41639</v>
      </c>
      <c r="H16" s="27" t="s">
        <v>48</v>
      </c>
      <c r="I16" s="20">
        <v>9003917979</v>
      </c>
      <c r="J16" s="20">
        <v>16351711237</v>
      </c>
      <c r="K16" s="20">
        <v>4300518541</v>
      </c>
      <c r="L16" s="40">
        <v>8126680996</v>
      </c>
      <c r="M16" s="49">
        <f t="shared" si="7"/>
        <v>8225030241</v>
      </c>
      <c r="N16" s="43">
        <v>3759744167</v>
      </c>
      <c r="O16" s="20">
        <v>433045839</v>
      </c>
      <c r="P16" s="12">
        <f t="shared" si="11"/>
        <v>2.0936819346688176</v>
      </c>
      <c r="Q16" s="51">
        <f>+L16/J16</f>
        <v>0.49699269258200146</v>
      </c>
      <c r="R16" s="61">
        <f t="shared" si="17"/>
        <v>8.6820928141974356</v>
      </c>
      <c r="S16" s="19">
        <f>I16-K16</f>
        <v>4703399438</v>
      </c>
      <c r="T16" s="85">
        <f>+SUM(S16:S17)</f>
        <v>5941667089</v>
      </c>
      <c r="U16" s="54" t="str">
        <f>IF(P16&lt;=Pliegos!$B$6,"NO","SI")</f>
        <v>SI</v>
      </c>
      <c r="V16" s="54" t="str">
        <f>IF(Q16&lt;=Pliegos!$B$7,"SI","NO")</f>
        <v>SI</v>
      </c>
      <c r="W16" s="54" t="str">
        <f>IF(O16=0,"SI",IF(R16&lt;Pliegos!$B$8,"NO","SI"))</f>
        <v>SI</v>
      </c>
      <c r="X16" s="87" t="str">
        <f>IF(AND(S16&gt;=VLOOKUP(C16,Pliegos!$A$3:$D$3,4,),Matriz!T16&gt;=VLOOKUP(C16,Pliegos!$A$3:$D$3,3,)),"SI","NO")</f>
        <v>SI</v>
      </c>
      <c r="Y16" s="89" t="str">
        <f>IF(ISERROR(SUM(U16:X17)),"ERROR",IF(COUNTIF(U16:X17,"NO")&gt;0,"NO HÁBIL","HÁBIL"))</f>
        <v>HÁBIL</v>
      </c>
      <c r="Z16" s="51">
        <f t="shared" si="1"/>
        <v>0.22992970659196824</v>
      </c>
      <c r="AA16" s="51">
        <f t="shared" si="2"/>
        <v>0.45711007216222588</v>
      </c>
      <c r="AB16" s="81" t="str">
        <f>IF(MAX(Z16:Z17)&gt;Pliegos!$B$9,"SI","NO")</f>
        <v>SI</v>
      </c>
      <c r="AC16" s="81" t="str">
        <f>IF(MAX(AA16:AA17)&gt;Pliegos!$B$10,"SI","NO")</f>
        <v>SI</v>
      </c>
      <c r="AD16" s="83" t="str">
        <f>IF(ISERROR(SUM(AB16:AC17)),"ERROR",IF(COUNTIF(AB16:AC17,"NO")&gt;0,"NO HÁBIL","HÁBIL"))</f>
        <v>HÁBIL</v>
      </c>
      <c r="AE16" s="69"/>
    </row>
    <row r="17" spans="1:31" ht="39" thickBot="1" x14ac:dyDescent="0.35">
      <c r="A17" s="78"/>
      <c r="B17" s="80"/>
      <c r="C17" s="80"/>
      <c r="D17" s="63" t="s">
        <v>81</v>
      </c>
      <c r="E17" s="34">
        <v>0.49</v>
      </c>
      <c r="F17" s="35" t="s">
        <v>82</v>
      </c>
      <c r="G17" s="36">
        <v>41639</v>
      </c>
      <c r="H17" s="37" t="s">
        <v>48</v>
      </c>
      <c r="I17" s="22">
        <v>2725747119</v>
      </c>
      <c r="J17" s="22">
        <v>3197338991</v>
      </c>
      <c r="K17" s="22">
        <v>1487479468</v>
      </c>
      <c r="L17" s="42">
        <v>2075894079</v>
      </c>
      <c r="M17" s="48">
        <f t="shared" si="7"/>
        <v>1121444912</v>
      </c>
      <c r="N17" s="45">
        <v>267781611</v>
      </c>
      <c r="O17" s="22">
        <v>40384330</v>
      </c>
      <c r="P17" s="14">
        <f t="shared" si="11"/>
        <v>1.8324603314793451</v>
      </c>
      <c r="Q17" s="50">
        <f t="shared" ref="Q17" si="19">+L17/J17</f>
        <v>0.64925679912055345</v>
      </c>
      <c r="R17" s="14">
        <f t="shared" si="17"/>
        <v>6.6308296064339807</v>
      </c>
      <c r="S17" s="16">
        <f t="shared" ref="S17" si="20">I17-K17</f>
        <v>1238267651</v>
      </c>
      <c r="T17" s="86"/>
      <c r="U17" s="55" t="str">
        <f>IF(P17&lt;=Pliegos!$B$6,"NO","SI")</f>
        <v>SI</v>
      </c>
      <c r="V17" s="55" t="str">
        <f>IF(Q17&lt;=Pliegos!$B$7,"SI","NO")</f>
        <v>SI</v>
      </c>
      <c r="W17" s="55" t="str">
        <f>IF(O17=0,"SI",IF(R17&lt;Pliegos!$B$8,"NO","SI"))</f>
        <v>SI</v>
      </c>
      <c r="X17" s="88"/>
      <c r="Y17" s="90"/>
      <c r="Z17" s="50">
        <f t="shared" si="1"/>
        <v>8.3751398195112431E-2</v>
      </c>
      <c r="AA17" s="50">
        <f t="shared" si="2"/>
        <v>0.23878267058382266</v>
      </c>
      <c r="AB17" s="82"/>
      <c r="AC17" s="82"/>
      <c r="AD17" s="84"/>
      <c r="AE17" s="60"/>
    </row>
    <row r="18" spans="1:31" x14ac:dyDescent="0.3">
      <c r="A18" s="77">
        <v>7</v>
      </c>
      <c r="B18" s="79" t="s">
        <v>84</v>
      </c>
      <c r="C18" s="79">
        <v>1</v>
      </c>
      <c r="D18" s="23" t="s">
        <v>85</v>
      </c>
      <c r="E18" s="24">
        <v>0.7</v>
      </c>
      <c r="F18" s="25" t="s">
        <v>87</v>
      </c>
      <c r="G18" s="26">
        <v>41639</v>
      </c>
      <c r="H18" s="27" t="s">
        <v>48</v>
      </c>
      <c r="I18" s="20">
        <v>5065834168</v>
      </c>
      <c r="J18" s="20">
        <v>5535050345</v>
      </c>
      <c r="K18" s="20">
        <v>1152708461</v>
      </c>
      <c r="L18" s="40">
        <v>1353020267</v>
      </c>
      <c r="M18" s="49">
        <f t="shared" si="7"/>
        <v>4182030078</v>
      </c>
      <c r="N18" s="43">
        <v>676588554</v>
      </c>
      <c r="O18" s="20">
        <v>556944</v>
      </c>
      <c r="P18" s="12">
        <f t="shared" si="11"/>
        <v>4.394722811009192</v>
      </c>
      <c r="Q18" s="51">
        <f>+L18/J18</f>
        <v>0.244445882632708</v>
      </c>
      <c r="R18" s="61">
        <f t="shared" si="17"/>
        <v>1214.8233107816943</v>
      </c>
      <c r="S18" s="19">
        <f>I18-K18</f>
        <v>3913125707</v>
      </c>
      <c r="T18" s="85">
        <f>+SUM(S18:S19)</f>
        <v>5813258685</v>
      </c>
      <c r="U18" s="54" t="str">
        <f>IF(P18&lt;=Pliegos!$B$6,"NO","SI")</f>
        <v>SI</v>
      </c>
      <c r="V18" s="54" t="str">
        <f>IF(Q18&lt;=Pliegos!$B$7,"SI","NO")</f>
        <v>SI</v>
      </c>
      <c r="W18" s="54" t="str">
        <f>IF(O18=0,"SI",IF(R18&lt;Pliegos!$B$8,"NO","SI"))</f>
        <v>SI</v>
      </c>
      <c r="X18" s="87" t="str">
        <f>IF(AND(S18&gt;=VLOOKUP(C18,Pliegos!$A$3:$D$3,4,),Matriz!T18&gt;=VLOOKUP(C18,Pliegos!$A$3:$D$3,3,)),"SI","NO")</f>
        <v>SI</v>
      </c>
      <c r="Y18" s="89" t="str">
        <f>IF(ISERROR(SUM(U18:X19)),"ERROR",IF(COUNTIF(U18:X19,"NO")&gt;0,"NO HÁBIL","HÁBIL"))</f>
        <v>HÁBIL</v>
      </c>
      <c r="Z18" s="51">
        <f t="shared" si="1"/>
        <v>0.12223710929949996</v>
      </c>
      <c r="AA18" s="51">
        <f t="shared" si="2"/>
        <v>0.16178471732168159</v>
      </c>
      <c r="AB18" s="81" t="str">
        <f>IF(MAX(Z18:Z19)&gt;Pliegos!$B$9,"SI","NO")</f>
        <v>SI</v>
      </c>
      <c r="AC18" s="81" t="str">
        <f>IF(MAX(AA18:AA19)&gt;Pliegos!$B$10,"SI","NO")</f>
        <v>SI</v>
      </c>
      <c r="AD18" s="83" t="str">
        <f>IF(ISERROR(SUM(AB18:AC19)),"ERROR",IF(COUNTIF(AB18:AC19,"NO")&gt;0,"NO HÁBIL","HÁBIL"))</f>
        <v>HÁBIL</v>
      </c>
      <c r="AE18" s="59" t="s">
        <v>132</v>
      </c>
    </row>
    <row r="19" spans="1:31" ht="17.25" thickBot="1" x14ac:dyDescent="0.35">
      <c r="A19" s="78"/>
      <c r="B19" s="80"/>
      <c r="C19" s="80"/>
      <c r="D19" s="33" t="s">
        <v>86</v>
      </c>
      <c r="E19" s="34">
        <v>0.3</v>
      </c>
      <c r="F19" s="35" t="s">
        <v>89</v>
      </c>
      <c r="G19" s="36">
        <v>41639</v>
      </c>
      <c r="H19" s="37" t="s">
        <v>48</v>
      </c>
      <c r="I19" s="22">
        <v>2173771717</v>
      </c>
      <c r="J19" s="22">
        <v>2261779712</v>
      </c>
      <c r="K19" s="22">
        <v>273638739</v>
      </c>
      <c r="L19" s="42">
        <v>921890011</v>
      </c>
      <c r="M19" s="48">
        <f t="shared" si="7"/>
        <v>1339889701</v>
      </c>
      <c r="N19" s="45">
        <v>712611162</v>
      </c>
      <c r="O19" s="22">
        <v>4989724</v>
      </c>
      <c r="P19" s="14">
        <f t="shared" si="11"/>
        <v>7.9439472822596215</v>
      </c>
      <c r="Q19" s="50">
        <f t="shared" ref="Q19" si="21">+L19/J19</f>
        <v>0.40759495989324712</v>
      </c>
      <c r="R19" s="14">
        <f t="shared" si="17"/>
        <v>142.81574732390007</v>
      </c>
      <c r="S19" s="16">
        <f t="shared" ref="S19" si="22">I19-K19</f>
        <v>1900132978</v>
      </c>
      <c r="T19" s="86"/>
      <c r="U19" s="55" t="str">
        <f>IF(P19&lt;=Pliegos!$B$6,"NO","SI")</f>
        <v>SI</v>
      </c>
      <c r="V19" s="55" t="str">
        <f>IF(Q19&lt;=Pliegos!$B$7,"SI","NO")</f>
        <v>SI</v>
      </c>
      <c r="W19" s="55" t="str">
        <f>IF(O19=0,"SI",IF(R19&lt;Pliegos!$B$8,"NO","SI"))</f>
        <v>SI</v>
      </c>
      <c r="X19" s="88"/>
      <c r="Y19" s="90"/>
      <c r="Z19" s="56">
        <f t="shared" ref="Z19:Z32" si="23">+N19/J19</f>
        <v>0.31506656382989079</v>
      </c>
      <c r="AA19" s="50">
        <f t="shared" ref="AA19:AA32" si="24">+N19/M19</f>
        <v>0.53184315206554456</v>
      </c>
      <c r="AB19" s="82"/>
      <c r="AC19" s="82"/>
      <c r="AD19" s="84"/>
      <c r="AE19" s="60"/>
    </row>
    <row r="20" spans="1:31" ht="25.5" x14ac:dyDescent="0.3">
      <c r="A20" s="77">
        <v>8</v>
      </c>
      <c r="B20" s="79" t="s">
        <v>90</v>
      </c>
      <c r="C20" s="79">
        <v>1</v>
      </c>
      <c r="D20" s="57" t="s">
        <v>91</v>
      </c>
      <c r="E20" s="24">
        <v>0.51</v>
      </c>
      <c r="F20" s="25" t="s">
        <v>94</v>
      </c>
      <c r="G20" s="26">
        <v>41639</v>
      </c>
      <c r="H20" s="27" t="s">
        <v>48</v>
      </c>
      <c r="I20" s="20">
        <v>5718584447</v>
      </c>
      <c r="J20" s="20">
        <v>7846736907</v>
      </c>
      <c r="K20" s="20">
        <v>2264648491</v>
      </c>
      <c r="L20" s="40">
        <v>2278353906</v>
      </c>
      <c r="M20" s="49">
        <f t="shared" si="7"/>
        <v>5568383001</v>
      </c>
      <c r="N20" s="43">
        <v>833361202</v>
      </c>
      <c r="O20" s="20">
        <v>22167177</v>
      </c>
      <c r="P20" s="12">
        <f t="shared" si="11"/>
        <v>2.5251532278525248</v>
      </c>
      <c r="Q20" s="51">
        <f>+L20/J20</f>
        <v>0.29035686209480299</v>
      </c>
      <c r="R20" s="61">
        <f t="shared" si="17"/>
        <v>37.594376676831693</v>
      </c>
      <c r="S20" s="19">
        <f>I20-K20</f>
        <v>3453935956</v>
      </c>
      <c r="T20" s="85">
        <f>+SUM(S20:S22)</f>
        <v>9150051701</v>
      </c>
      <c r="U20" s="54" t="str">
        <f>IF(P20&lt;=Pliegos!$B$6,"NO","SI")</f>
        <v>SI</v>
      </c>
      <c r="V20" s="54" t="str">
        <f>IF(Q20&lt;=Pliegos!$B$7,"SI","NO")</f>
        <v>SI</v>
      </c>
      <c r="W20" s="54" t="str">
        <f>IF(O20=0,"SI",IF(R20&lt;Pliegos!$B$8,"NO","SI"))</f>
        <v>SI</v>
      </c>
      <c r="X20" s="87" t="str">
        <f>IF(AND(S20&gt;=VLOOKUP(C20,Pliegos!$A$3:$D$3,4,),Matriz!T20&gt;=VLOOKUP(C20,Pliegos!$A$3:$D$3,3,)),"SI","NO")</f>
        <v>SI</v>
      </c>
      <c r="Y20" s="89" t="str">
        <f>IF(ISERROR(SUM(U20:X22)),"ERROR",IF(COUNTIF(U20:X22,"NO")&gt;0,"NO HÁBIL","HÁBIL"))</f>
        <v>HÁBIL</v>
      </c>
      <c r="Z20" s="51">
        <f t="shared" si="23"/>
        <v>0.10620480995820904</v>
      </c>
      <c r="AA20" s="51">
        <f t="shared" si="24"/>
        <v>0.14965946161575822</v>
      </c>
      <c r="AB20" s="81" t="str">
        <f>IF(MAX(Z20:Z22)&gt;Pliegos!$B$9,"SI","NO")</f>
        <v>SI</v>
      </c>
      <c r="AC20" s="81" t="str">
        <f>IF(MAX(AA20:AA22)&gt;Pliegos!$B$10,"SI","NO")</f>
        <v>SI</v>
      </c>
      <c r="AD20" s="83" t="str">
        <f>IF(ISERROR(SUM(AB20:AC22)),"ERROR",IF(COUNTIF(AB20:AC22,"NO")&gt;0,"NO HÁBIL","HÁBIL"))</f>
        <v>HÁBIL</v>
      </c>
      <c r="AE20" s="69"/>
    </row>
    <row r="21" spans="1:31" ht="25.5" x14ac:dyDescent="0.3">
      <c r="A21" s="95"/>
      <c r="B21" s="96"/>
      <c r="C21" s="96"/>
      <c r="D21" s="62" t="s">
        <v>92</v>
      </c>
      <c r="E21" s="29">
        <v>0.24</v>
      </c>
      <c r="F21" s="30" t="s">
        <v>95</v>
      </c>
      <c r="G21" s="31">
        <v>41639</v>
      </c>
      <c r="H21" s="32" t="s">
        <v>48</v>
      </c>
      <c r="I21" s="21">
        <v>12112471000</v>
      </c>
      <c r="J21" s="21">
        <v>13602216000</v>
      </c>
      <c r="K21" s="21">
        <v>6621619000</v>
      </c>
      <c r="L21" s="41">
        <v>6621619000</v>
      </c>
      <c r="M21" s="47">
        <f t="shared" si="7"/>
        <v>6980597000</v>
      </c>
      <c r="N21" s="44">
        <v>3405967000</v>
      </c>
      <c r="O21" s="21">
        <v>17726958</v>
      </c>
      <c r="P21" s="17">
        <f t="shared" si="11"/>
        <v>1.8292310385118806</v>
      </c>
      <c r="Q21" s="52">
        <f t="shared" ref="Q21:Q22" si="25">+L21/J21</f>
        <v>0.48680442951354397</v>
      </c>
      <c r="R21" s="17">
        <f t="shared" si="17"/>
        <v>192.1348829280241</v>
      </c>
      <c r="S21" s="18">
        <f t="shared" ref="S21:S22" si="26">I21-K21</f>
        <v>5490852000</v>
      </c>
      <c r="T21" s="92"/>
      <c r="U21" s="53" t="str">
        <f>IF(P21&lt;=Pliegos!$B$6,"NO","SI")</f>
        <v>SI</v>
      </c>
      <c r="V21" s="53" t="str">
        <f>IF(Q21&lt;=Pliegos!$B$7,"SI","NO")</f>
        <v>SI</v>
      </c>
      <c r="W21" s="53" t="str">
        <f>IF(O21=0,"SI",IF(R21&lt;Pliegos!$B$8,"NO","SI"))</f>
        <v>SI</v>
      </c>
      <c r="X21" s="93"/>
      <c r="Y21" s="94"/>
      <c r="Z21" s="52">
        <f t="shared" si="23"/>
        <v>0.25039794986346342</v>
      </c>
      <c r="AA21" s="52">
        <f t="shared" si="24"/>
        <v>0.48791915648475337</v>
      </c>
      <c r="AB21" s="81"/>
      <c r="AC21" s="81"/>
      <c r="AD21" s="91"/>
      <c r="AE21" s="68"/>
    </row>
    <row r="22" spans="1:31" ht="17.25" thickBot="1" x14ac:dyDescent="0.35">
      <c r="A22" s="78"/>
      <c r="B22" s="80"/>
      <c r="C22" s="80"/>
      <c r="D22" s="33" t="s">
        <v>93</v>
      </c>
      <c r="E22" s="34">
        <v>0.25</v>
      </c>
      <c r="F22" s="35" t="s">
        <v>96</v>
      </c>
      <c r="G22" s="36">
        <v>41639</v>
      </c>
      <c r="H22" s="37" t="s">
        <v>48</v>
      </c>
      <c r="I22" s="22">
        <v>286058449</v>
      </c>
      <c r="J22" s="22">
        <v>341750932</v>
      </c>
      <c r="K22" s="22">
        <v>80794704</v>
      </c>
      <c r="L22" s="42">
        <v>80794704</v>
      </c>
      <c r="M22" s="48">
        <f t="shared" si="7"/>
        <v>260956228</v>
      </c>
      <c r="N22" s="45">
        <v>22619241</v>
      </c>
      <c r="O22" s="22">
        <v>367217.36</v>
      </c>
      <c r="P22" s="14">
        <f t="shared" si="11"/>
        <v>3.5405594034975363</v>
      </c>
      <c r="Q22" s="50">
        <f t="shared" si="25"/>
        <v>0.23641399754836659</v>
      </c>
      <c r="R22" s="14">
        <f t="shared" si="17"/>
        <v>61.596328125663781</v>
      </c>
      <c r="S22" s="16">
        <f t="shared" si="26"/>
        <v>205263745</v>
      </c>
      <c r="T22" s="86"/>
      <c r="U22" s="55" t="str">
        <f>IF(P22&lt;=Pliegos!$B$6,"NO","SI")</f>
        <v>SI</v>
      </c>
      <c r="V22" s="55" t="str">
        <f>IF(Q22&lt;=Pliegos!$B$7,"SI","NO")</f>
        <v>SI</v>
      </c>
      <c r="W22" s="55" t="str">
        <f>IF(O22=0,"SI",IF(R22&lt;Pliegos!$B$8,"NO","SI"))</f>
        <v>SI</v>
      </c>
      <c r="X22" s="88"/>
      <c r="Y22" s="90"/>
      <c r="Z22" s="50">
        <f t="shared" si="23"/>
        <v>6.6186333033906697E-2</v>
      </c>
      <c r="AA22" s="50">
        <f t="shared" si="24"/>
        <v>8.6678295334648991E-2</v>
      </c>
      <c r="AB22" s="82"/>
      <c r="AC22" s="82"/>
      <c r="AD22" s="84"/>
      <c r="AE22" s="60"/>
    </row>
    <row r="23" spans="1:31" x14ac:dyDescent="0.3">
      <c r="A23" s="77">
        <v>9</v>
      </c>
      <c r="B23" s="79" t="s">
        <v>97</v>
      </c>
      <c r="C23" s="79">
        <v>1</v>
      </c>
      <c r="D23" s="23" t="s">
        <v>98</v>
      </c>
      <c r="E23" s="24">
        <v>0.52</v>
      </c>
      <c r="F23" s="25" t="s">
        <v>101</v>
      </c>
      <c r="G23" s="26">
        <v>41639</v>
      </c>
      <c r="H23" s="27" t="s">
        <v>48</v>
      </c>
      <c r="I23" s="20">
        <v>4227234476</v>
      </c>
      <c r="J23" s="20">
        <v>4420425395</v>
      </c>
      <c r="K23" s="20">
        <v>947197352</v>
      </c>
      <c r="L23" s="40">
        <v>3381365561</v>
      </c>
      <c r="M23" s="49">
        <f t="shared" si="7"/>
        <v>1039059834</v>
      </c>
      <c r="N23" s="43">
        <v>69003984</v>
      </c>
      <c r="O23" s="20">
        <v>101386</v>
      </c>
      <c r="P23" s="12">
        <f>+I23/K23</f>
        <v>4.4628867121241695</v>
      </c>
      <c r="Q23" s="51">
        <f>+L23/J23</f>
        <v>0.7649412124056445</v>
      </c>
      <c r="R23" s="61">
        <f t="shared" si="17"/>
        <v>680.60663207937978</v>
      </c>
      <c r="S23" s="19">
        <f>I23-K23</f>
        <v>3280037124</v>
      </c>
      <c r="T23" s="85">
        <f>+SUM(S23:S25)</f>
        <v>7550380124</v>
      </c>
      <c r="U23" s="54" t="str">
        <f>IF(P23&lt;=Pliegos!$B$6,"NO","SI")</f>
        <v>SI</v>
      </c>
      <c r="V23" s="54" t="str">
        <f>IF(Q23&lt;=Pliegos!$B$7,"SI","NO")</f>
        <v>SI</v>
      </c>
      <c r="W23" s="54" t="str">
        <f>IF(O23=0,"SI",IF(R23&lt;Pliegos!$B$8,"NO","SI"))</f>
        <v>SI</v>
      </c>
      <c r="X23" s="87" t="str">
        <f>IF(AND(S23&gt;=VLOOKUP(C23,Pliegos!$A$3:$D$3,4,),Matriz!T23&gt;=VLOOKUP(C23,Pliegos!$A$3:$D$3,3,)),"SI","NO")</f>
        <v>SI</v>
      </c>
      <c r="Y23" s="89" t="str">
        <f>IF(ISERROR(SUM(U23:X25)),"ERROR",IF(COUNTIF(U23:X25,"NO")&gt;0,"NO HÁBIL","HÁBIL"))</f>
        <v>HÁBIL</v>
      </c>
      <c r="Z23" s="64">
        <f t="shared" si="23"/>
        <v>1.5610258704524522E-2</v>
      </c>
      <c r="AA23" s="51">
        <f t="shared" si="24"/>
        <v>6.6410019656288635E-2</v>
      </c>
      <c r="AB23" s="81" t="str">
        <f>IF(MAX(Z23:Z25)&gt;Pliegos!$B$9,"SI","NO")</f>
        <v>SI</v>
      </c>
      <c r="AC23" s="81" t="str">
        <f>IF(MAX(AA23:AA25)&gt;Pliegos!$B$10,"SI","NO")</f>
        <v>SI</v>
      </c>
      <c r="AD23" s="83" t="str">
        <f>IF(ISERROR(SUM(AB23:AC25)),"ERROR",IF(COUNTIF(AB23:AC25,"NO")&gt;0,"NO HÁBIL","HÁBIL"))</f>
        <v>HÁBIL</v>
      </c>
      <c r="AE23" s="69"/>
    </row>
    <row r="24" spans="1:31" x14ac:dyDescent="0.3">
      <c r="A24" s="95"/>
      <c r="B24" s="96"/>
      <c r="C24" s="96"/>
      <c r="D24" s="28" t="s">
        <v>99</v>
      </c>
      <c r="E24" s="29">
        <v>0.33</v>
      </c>
      <c r="F24" s="30" t="s">
        <v>102</v>
      </c>
      <c r="G24" s="31">
        <v>41639</v>
      </c>
      <c r="H24" s="32" t="s">
        <v>48</v>
      </c>
      <c r="I24" s="21">
        <v>1763858000</v>
      </c>
      <c r="J24" s="21">
        <v>2518160000</v>
      </c>
      <c r="K24" s="21">
        <v>555077000</v>
      </c>
      <c r="L24" s="41">
        <v>1410431000</v>
      </c>
      <c r="M24" s="47">
        <f t="shared" si="7"/>
        <v>1107729000</v>
      </c>
      <c r="N24" s="44">
        <v>244908000</v>
      </c>
      <c r="O24" s="21">
        <v>68259000</v>
      </c>
      <c r="P24" s="17">
        <f t="shared" ref="P24" si="27">+I24/K24</f>
        <v>3.1776816549775977</v>
      </c>
      <c r="Q24" s="52">
        <f t="shared" ref="Q24:Q25" si="28">+L24/J24</f>
        <v>0.56010380595355336</v>
      </c>
      <c r="R24" s="17">
        <f t="shared" si="17"/>
        <v>3.5879224717619653</v>
      </c>
      <c r="S24" s="18">
        <f t="shared" ref="S24:S25" si="29">I24-K24</f>
        <v>1208781000</v>
      </c>
      <c r="T24" s="92"/>
      <c r="U24" s="53" t="str">
        <f>IF(P24&lt;=Pliegos!$B$6,"NO","SI")</f>
        <v>SI</v>
      </c>
      <c r="V24" s="53" t="str">
        <f>IF(Q24&lt;=Pliegos!$B$7,"SI","NO")</f>
        <v>SI</v>
      </c>
      <c r="W24" s="53" t="str">
        <f>IF(O24=0,"SI",IF(R24&lt;Pliegos!$B$8,"NO","SI"))</f>
        <v>SI</v>
      </c>
      <c r="X24" s="93"/>
      <c r="Y24" s="94"/>
      <c r="Z24" s="52">
        <f t="shared" si="23"/>
        <v>9.7256727134097914E-2</v>
      </c>
      <c r="AA24" s="52">
        <f t="shared" si="24"/>
        <v>0.22109017638790715</v>
      </c>
      <c r="AB24" s="81"/>
      <c r="AC24" s="81"/>
      <c r="AD24" s="91"/>
      <c r="AE24" s="68"/>
    </row>
    <row r="25" spans="1:31" ht="26.25" thickBot="1" x14ac:dyDescent="0.35">
      <c r="A25" s="78"/>
      <c r="B25" s="80"/>
      <c r="C25" s="80"/>
      <c r="D25" s="63" t="s">
        <v>100</v>
      </c>
      <c r="E25" s="34">
        <v>0.15</v>
      </c>
      <c r="F25" s="35" t="s">
        <v>103</v>
      </c>
      <c r="G25" s="36">
        <v>41639</v>
      </c>
      <c r="H25" s="37" t="s">
        <v>48</v>
      </c>
      <c r="I25" s="22">
        <v>4773833000</v>
      </c>
      <c r="J25" s="22">
        <v>5371924000</v>
      </c>
      <c r="K25" s="22">
        <v>1712271000</v>
      </c>
      <c r="L25" s="42">
        <v>2319864000</v>
      </c>
      <c r="M25" s="48">
        <f t="shared" si="7"/>
        <v>3052060000</v>
      </c>
      <c r="N25" s="45">
        <v>829649000</v>
      </c>
      <c r="O25" s="22">
        <v>143150000</v>
      </c>
      <c r="P25" s="14">
        <f t="shared" ref="P25:P33" si="30">+I25/K25</f>
        <v>2.7880125283906576</v>
      </c>
      <c r="Q25" s="50">
        <f t="shared" si="28"/>
        <v>0.4318497432204923</v>
      </c>
      <c r="R25" s="14">
        <f t="shared" si="17"/>
        <v>5.7956618931191057</v>
      </c>
      <c r="S25" s="16">
        <f t="shared" si="29"/>
        <v>3061562000</v>
      </c>
      <c r="T25" s="86"/>
      <c r="U25" s="55" t="str">
        <f>IF(P25&lt;=Pliegos!$B$6,"NO","SI")</f>
        <v>SI</v>
      </c>
      <c r="V25" s="55" t="str">
        <f>IF(Q25&lt;=Pliegos!$B$7,"SI","NO")</f>
        <v>SI</v>
      </c>
      <c r="W25" s="55" t="str">
        <f>IF(O25=0,"SI",IF(R25&lt;Pliegos!$B$8,"NO","SI"))</f>
        <v>SI</v>
      </c>
      <c r="X25" s="88"/>
      <c r="Y25" s="90"/>
      <c r="Z25" s="50">
        <f t="shared" si="23"/>
        <v>0.15444168607001887</v>
      </c>
      <c r="AA25" s="50">
        <f t="shared" si="24"/>
        <v>0.2718324672516268</v>
      </c>
      <c r="AB25" s="82"/>
      <c r="AC25" s="82"/>
      <c r="AD25" s="84"/>
      <c r="AE25" s="60"/>
    </row>
    <row r="26" spans="1:31" x14ac:dyDescent="0.3">
      <c r="A26" s="77">
        <v>10</v>
      </c>
      <c r="B26" s="79" t="s">
        <v>104</v>
      </c>
      <c r="C26" s="79">
        <v>1</v>
      </c>
      <c r="D26" s="23" t="s">
        <v>105</v>
      </c>
      <c r="E26" s="24">
        <v>0.51</v>
      </c>
      <c r="F26" s="25" t="s">
        <v>108</v>
      </c>
      <c r="G26" s="26">
        <v>41639</v>
      </c>
      <c r="H26" s="27" t="s">
        <v>48</v>
      </c>
      <c r="I26" s="20">
        <v>4740841927</v>
      </c>
      <c r="J26" s="20">
        <v>6323833899</v>
      </c>
      <c r="K26" s="20">
        <v>946756213</v>
      </c>
      <c r="L26" s="20">
        <v>946756213</v>
      </c>
      <c r="M26" s="49">
        <f t="shared" si="7"/>
        <v>5377077686</v>
      </c>
      <c r="N26" s="43">
        <v>1268564966</v>
      </c>
      <c r="O26" s="20">
        <v>113640.33</v>
      </c>
      <c r="P26" s="66">
        <f t="shared" si="30"/>
        <v>5.0074579515856845</v>
      </c>
      <c r="Q26" s="13">
        <f>+L26/J26</f>
        <v>0.14971237830103545</v>
      </c>
      <c r="R26" s="61">
        <f t="shared" si="17"/>
        <v>11162.982068073896</v>
      </c>
      <c r="S26" s="19">
        <f>I26-K26</f>
        <v>3794085714</v>
      </c>
      <c r="T26" s="85">
        <f>+SUM(S26:S27)</f>
        <v>7026011714</v>
      </c>
      <c r="U26" s="54" t="str">
        <f>IF(P26&lt;=Pliegos!$B$6,"NO","SI")</f>
        <v>SI</v>
      </c>
      <c r="V26" s="54" t="str">
        <f>IF(Q26&lt;=Pliegos!$B$7,"SI","NO")</f>
        <v>SI</v>
      </c>
      <c r="W26" s="54" t="str">
        <f>IF(O26=0,"SI",IF(R26&lt;Pliegos!$B$8,"NO","SI"))</f>
        <v>SI</v>
      </c>
      <c r="X26" s="87" t="str">
        <f>IF(AND(S26&gt;=VLOOKUP(C26,Pliegos!$A$3:$D$3,4,),Matriz!T26&gt;=VLOOKUP(C26,Pliegos!$A$3:$D$3,3,)),"SI","NO")</f>
        <v>SI</v>
      </c>
      <c r="Y26" s="89" t="str">
        <f>IF(ISERROR(SUM(U26:X27)),"ERROR",IF(COUNTIF(U26:X27,"NO")&gt;0,"NO HÁBIL","HÁBIL"))</f>
        <v>HÁBIL</v>
      </c>
      <c r="Z26" s="51">
        <f t="shared" si="23"/>
        <v>0.20060061447859986</v>
      </c>
      <c r="AA26" s="64">
        <f t="shared" si="24"/>
        <v>0.23592089236554875</v>
      </c>
      <c r="AB26" s="81" t="str">
        <f>IF(MAX(Z26:Z27)&gt;Pliegos!$B$9,"SI","NO")</f>
        <v>SI</v>
      </c>
      <c r="AC26" s="81" t="str">
        <f>IF(MAX(AA26:AA27)&gt;Pliegos!$B$10,"SI","NO")</f>
        <v>SI</v>
      </c>
      <c r="AD26" s="83" t="str">
        <f>IF(ISERROR(SUM(AB26:AC27)),"ERROR",IF(COUNTIF(AB26:AC27,"NO")&gt;0,"NO HÁBIL","HÁBIL"))</f>
        <v>HÁBIL</v>
      </c>
      <c r="AE26" s="69"/>
    </row>
    <row r="27" spans="1:31" ht="26.25" thickBot="1" x14ac:dyDescent="0.35">
      <c r="A27" s="78"/>
      <c r="B27" s="80"/>
      <c r="C27" s="80"/>
      <c r="D27" s="63" t="s">
        <v>106</v>
      </c>
      <c r="E27" s="34">
        <v>0.49</v>
      </c>
      <c r="F27" s="35" t="s">
        <v>107</v>
      </c>
      <c r="G27" s="36">
        <v>41639</v>
      </c>
      <c r="H27" s="37" t="s">
        <v>48</v>
      </c>
      <c r="I27" s="22">
        <v>3599958000</v>
      </c>
      <c r="J27" s="22">
        <v>3767459000</v>
      </c>
      <c r="K27" s="22">
        <v>368032000</v>
      </c>
      <c r="L27" s="42">
        <v>1091536000</v>
      </c>
      <c r="M27" s="48">
        <f t="shared" si="7"/>
        <v>2675923000</v>
      </c>
      <c r="N27" s="45">
        <v>694341000</v>
      </c>
      <c r="O27" s="22">
        <v>939000</v>
      </c>
      <c r="P27" s="14">
        <f t="shared" si="30"/>
        <v>9.7816439874793488</v>
      </c>
      <c r="Q27" s="15">
        <f t="shared" ref="Q27" si="31">+L27/J27</f>
        <v>0.28972737327732034</v>
      </c>
      <c r="R27" s="14">
        <f t="shared" si="17"/>
        <v>739.44728434504793</v>
      </c>
      <c r="S27" s="16">
        <f t="shared" ref="S27" si="32">I27-K27</f>
        <v>3231926000</v>
      </c>
      <c r="T27" s="86"/>
      <c r="U27" s="55" t="str">
        <f>IF(P27&lt;=Pliegos!$B$6,"NO","SI")</f>
        <v>SI</v>
      </c>
      <c r="V27" s="55" t="str">
        <f>IF(Q27&lt;=Pliegos!$B$7,"SI","NO")</f>
        <v>SI</v>
      </c>
      <c r="W27" s="55" t="str">
        <f>IF(O27=0,"SI",IF(R27&lt;Pliegos!$B$8,"NO","SI"))</f>
        <v>SI</v>
      </c>
      <c r="X27" s="88"/>
      <c r="Y27" s="90"/>
      <c r="Z27" s="50">
        <f t="shared" si="23"/>
        <v>0.18429955043969953</v>
      </c>
      <c r="AA27" s="15">
        <f t="shared" si="24"/>
        <v>0.25947719721382118</v>
      </c>
      <c r="AB27" s="82"/>
      <c r="AC27" s="82"/>
      <c r="AD27" s="84"/>
      <c r="AE27" s="60"/>
    </row>
    <row r="28" spans="1:31" ht="33.75" thickBot="1" x14ac:dyDescent="0.35">
      <c r="A28" s="77">
        <v>11</v>
      </c>
      <c r="B28" s="79" t="s">
        <v>109</v>
      </c>
      <c r="C28" s="79">
        <v>1</v>
      </c>
      <c r="D28" s="23" t="s">
        <v>111</v>
      </c>
      <c r="E28" s="24">
        <v>0.6</v>
      </c>
      <c r="F28" s="25" t="s">
        <v>123</v>
      </c>
      <c r="G28" s="26">
        <v>41639</v>
      </c>
      <c r="H28" s="27" t="s">
        <v>48</v>
      </c>
      <c r="I28" s="20">
        <v>36491649759</v>
      </c>
      <c r="J28" s="20">
        <v>51307046953</v>
      </c>
      <c r="K28" s="20">
        <v>18728838368</v>
      </c>
      <c r="L28" s="40">
        <v>23085167907</v>
      </c>
      <c r="M28" s="49">
        <f t="shared" si="7"/>
        <v>28221879046</v>
      </c>
      <c r="N28" s="43">
        <v>5188284818</v>
      </c>
      <c r="O28" s="20">
        <v>760747624</v>
      </c>
      <c r="P28" s="12">
        <f t="shared" si="30"/>
        <v>1.94842034737987</v>
      </c>
      <c r="Q28" s="51">
        <f>+L28/J28</f>
        <v>0.44994146570445281</v>
      </c>
      <c r="R28" s="61">
        <f t="shared" si="17"/>
        <v>6.8199816263901996</v>
      </c>
      <c r="S28" s="19">
        <f>I28-K28</f>
        <v>17762811391</v>
      </c>
      <c r="T28" s="85">
        <f>+SUM(S28:S29)</f>
        <v>21163889999</v>
      </c>
      <c r="U28" s="54" t="str">
        <f>IF(P28&lt;=Pliegos!$B$6,"NO","SI")</f>
        <v>SI</v>
      </c>
      <c r="V28" s="54" t="str">
        <f>IF(Q28&lt;=Pliegos!$B$7,"SI","NO")</f>
        <v>SI</v>
      </c>
      <c r="W28" s="54" t="str">
        <f>IF(O28=0,"SI",IF(R28&lt;Pliegos!$B$8,"NO","SI"))</f>
        <v>SI</v>
      </c>
      <c r="X28" s="87" t="str">
        <f>IF(AND(S28&gt;=VLOOKUP(C28,Pliegos!$A$3:$D$3,4,),Matriz!T28&gt;=VLOOKUP(C28,Pliegos!$A$3:$D$3,3,)),"SI","NO")</f>
        <v>SI</v>
      </c>
      <c r="Y28" s="89" t="str">
        <f>IF(ISERROR(SUM(U28:X29)),"ERROR",IF(COUNTIF(U28:X29,"NO")&gt;0,"NO HÁBIL","HÁBIL"))</f>
        <v>HÁBIL</v>
      </c>
      <c r="Z28" s="13">
        <f t="shared" si="23"/>
        <v>0.1011222653830135</v>
      </c>
      <c r="AA28" s="13">
        <f t="shared" si="24"/>
        <v>0.18383909907428209</v>
      </c>
      <c r="AB28" s="81" t="str">
        <f>IF(MAX(Z28:Z29)&gt;Pliegos!$B$9,"SI","NO")</f>
        <v>SI</v>
      </c>
      <c r="AC28" s="81" t="str">
        <f>IF(MAX(AA28:AA29)&gt;Pliegos!$B$10,"SI","NO")</f>
        <v>SI</v>
      </c>
      <c r="AD28" s="83" t="str">
        <f>IF(ISERROR(SUM(AB28:AC29)),"ERROR",IF(COUNTIF(AB28:AC29,"NO")&gt;0,"NO HÁBIL","HÁBIL"))</f>
        <v>HÁBIL</v>
      </c>
      <c r="AE28" s="76" t="s">
        <v>133</v>
      </c>
    </row>
    <row r="29" spans="1:31" ht="17.25" thickBot="1" x14ac:dyDescent="0.35">
      <c r="A29" s="78"/>
      <c r="B29" s="80"/>
      <c r="C29" s="80"/>
      <c r="D29" s="33" t="s">
        <v>110</v>
      </c>
      <c r="E29" s="34">
        <v>0.4</v>
      </c>
      <c r="F29" s="35" t="s">
        <v>122</v>
      </c>
      <c r="G29" s="36">
        <v>41639</v>
      </c>
      <c r="H29" s="37" t="s">
        <v>48</v>
      </c>
      <c r="I29" s="22">
        <v>5538090023</v>
      </c>
      <c r="J29" s="22">
        <v>6028940723</v>
      </c>
      <c r="K29" s="22">
        <v>2137011415</v>
      </c>
      <c r="L29" s="42">
        <v>3035271469</v>
      </c>
      <c r="M29" s="48">
        <f t="shared" si="7"/>
        <v>2993669254</v>
      </c>
      <c r="N29" s="43">
        <v>296280689</v>
      </c>
      <c r="O29" s="20">
        <v>0</v>
      </c>
      <c r="P29" s="14">
        <f t="shared" si="30"/>
        <v>2.5915116709846866</v>
      </c>
      <c r="Q29" s="50">
        <f t="shared" ref="Q29" si="33">+L29/J29</f>
        <v>0.50345020932460738</v>
      </c>
      <c r="R29" s="14" t="str">
        <f t="shared" si="17"/>
        <v>Indeterminado</v>
      </c>
      <c r="S29" s="16">
        <f t="shared" ref="S29" si="34">I29-K29</f>
        <v>3401078608</v>
      </c>
      <c r="T29" s="86"/>
      <c r="U29" s="55" t="str">
        <f>IF(P29&lt;=Pliegos!$B$6,"NO","SI")</f>
        <v>SI</v>
      </c>
      <c r="V29" s="55" t="str">
        <f>IF(Q29&lt;=Pliegos!$B$7,"SI","NO")</f>
        <v>SI</v>
      </c>
      <c r="W29" s="55" t="str">
        <f>IF(O29=0,"SI",IF(R29&lt;Pliegos!$B$8,"NO","SI"))</f>
        <v>SI</v>
      </c>
      <c r="X29" s="88"/>
      <c r="Y29" s="90"/>
      <c r="Z29" s="50">
        <f t="shared" si="23"/>
        <v>4.9143075477539405E-2</v>
      </c>
      <c r="AA29" s="50">
        <f t="shared" si="24"/>
        <v>9.8969079033738847E-2</v>
      </c>
      <c r="AB29" s="82"/>
      <c r="AC29" s="82"/>
      <c r="AD29" s="84"/>
      <c r="AE29" s="60"/>
    </row>
    <row r="30" spans="1:31" ht="38.25" x14ac:dyDescent="0.3">
      <c r="A30" s="77">
        <v>12</v>
      </c>
      <c r="B30" s="79" t="s">
        <v>112</v>
      </c>
      <c r="C30" s="79">
        <v>1</v>
      </c>
      <c r="D30" s="57" t="s">
        <v>113</v>
      </c>
      <c r="E30" s="24">
        <v>0.75</v>
      </c>
      <c r="F30" s="25" t="s">
        <v>118</v>
      </c>
      <c r="G30" s="26">
        <v>41639</v>
      </c>
      <c r="H30" s="27" t="s">
        <v>48</v>
      </c>
      <c r="I30" s="20">
        <v>7820860000</v>
      </c>
      <c r="J30" s="20">
        <v>12845708000</v>
      </c>
      <c r="K30" s="20">
        <v>1988807000</v>
      </c>
      <c r="L30" s="40">
        <v>6314440000</v>
      </c>
      <c r="M30" s="49">
        <f t="shared" si="7"/>
        <v>6531268000</v>
      </c>
      <c r="N30" s="43">
        <v>113595000</v>
      </c>
      <c r="O30" s="20">
        <v>99733000</v>
      </c>
      <c r="P30" s="12">
        <f t="shared" si="30"/>
        <v>3.9324378886437952</v>
      </c>
      <c r="Q30" s="51">
        <f>+L30/J30</f>
        <v>0.49156029391295519</v>
      </c>
      <c r="R30" s="61">
        <f t="shared" si="17"/>
        <v>1.1389911062536975</v>
      </c>
      <c r="S30" s="19">
        <f>I30-K30</f>
        <v>5832053000</v>
      </c>
      <c r="T30" s="85">
        <f>+SUM(S30:S31)</f>
        <v>6455217215</v>
      </c>
      <c r="U30" s="54" t="str">
        <f>IF(P30&lt;=Pliegos!$B$6,"NO","SI")</f>
        <v>SI</v>
      </c>
      <c r="V30" s="54" t="str">
        <f>IF(Q30&lt;=Pliegos!$B$7,"SI","NO")</f>
        <v>SI</v>
      </c>
      <c r="W30" s="54" t="str">
        <f>IF(O30=0,"SI",IF(R30&lt;Pliegos!$B$8,"NO","SI"))</f>
        <v>SI</v>
      </c>
      <c r="X30" s="87" t="str">
        <f>IF(AND(S30&gt;=VLOOKUP(C30,Pliegos!$A$3:$D$3,4,),Matriz!T30&gt;=VLOOKUP(C30,Pliegos!$A$3:$D$3,3,)),"SI","NO")</f>
        <v>SI</v>
      </c>
      <c r="Y30" s="89" t="str">
        <f>IF(ISERROR(SUM(U30:X31)),"ERROR",IF(COUNTIF(U30:X31,"NO")&gt;0,"NO HÁBIL","HÁBIL"))</f>
        <v>HÁBIL</v>
      </c>
      <c r="Z30" s="13">
        <f t="shared" si="23"/>
        <v>8.8430314623374594E-3</v>
      </c>
      <c r="AA30" s="65">
        <f t="shared" si="24"/>
        <v>1.739248795180354E-2</v>
      </c>
      <c r="AB30" s="81" t="str">
        <f>IF(MAX(Z30:Z31)&gt;Pliegos!$B$9,"SI","NO")</f>
        <v>SI</v>
      </c>
      <c r="AC30" s="81" t="str">
        <f>IF(MAX(AA30:AA31)&gt;Pliegos!$B$10,"SI","NO")</f>
        <v>SI</v>
      </c>
      <c r="AD30" s="83" t="str">
        <f>IF(ISERROR(SUM(AB30:AC31)),"ERROR",IF(COUNTIF(AB30:AC31,"NO")&gt;0,"NO HÁBIL","HÁBIL"))</f>
        <v>HÁBIL</v>
      </c>
      <c r="AE30" s="67"/>
    </row>
    <row r="31" spans="1:31" ht="26.25" thickBot="1" x14ac:dyDescent="0.35">
      <c r="A31" s="78"/>
      <c r="B31" s="80"/>
      <c r="C31" s="80"/>
      <c r="D31" s="63" t="s">
        <v>114</v>
      </c>
      <c r="E31" s="34">
        <v>0.25</v>
      </c>
      <c r="F31" s="35" t="s">
        <v>119</v>
      </c>
      <c r="G31" s="36">
        <v>41639</v>
      </c>
      <c r="H31" s="37" t="s">
        <v>48</v>
      </c>
      <c r="I31" s="22">
        <v>1476779524</v>
      </c>
      <c r="J31" s="22">
        <v>1567061695</v>
      </c>
      <c r="K31" s="22">
        <v>853615309</v>
      </c>
      <c r="L31" s="42">
        <v>853615309</v>
      </c>
      <c r="M31" s="48">
        <f t="shared" si="7"/>
        <v>713446386</v>
      </c>
      <c r="N31" s="45">
        <v>396444887</v>
      </c>
      <c r="O31" s="22">
        <v>15997043</v>
      </c>
      <c r="P31" s="14">
        <f t="shared" si="30"/>
        <v>1.7300293333890993</v>
      </c>
      <c r="Q31" s="15">
        <f t="shared" ref="Q31" si="35">+L31/J31</f>
        <v>0.54472348582293695</v>
      </c>
      <c r="R31" s="14">
        <f t="shared" si="17"/>
        <v>24.782385532126156</v>
      </c>
      <c r="S31" s="16">
        <f t="shared" ref="S31" si="36">I31-K31</f>
        <v>623164215</v>
      </c>
      <c r="T31" s="86"/>
      <c r="U31" s="55" t="str">
        <f>IF(P31&lt;=Pliegos!$B$6,"NO","SI")</f>
        <v>SI</v>
      </c>
      <c r="V31" s="55" t="str">
        <f>IF(Q31&lt;=Pliegos!$B$7,"SI","NO")</f>
        <v>SI</v>
      </c>
      <c r="W31" s="55" t="str">
        <f>IF(O31=0,"SI",IF(R31&lt;Pliegos!$B$8,"NO","SI"))</f>
        <v>SI</v>
      </c>
      <c r="X31" s="88"/>
      <c r="Y31" s="90"/>
      <c r="Z31" s="50">
        <f t="shared" si="23"/>
        <v>0.25298613849405593</v>
      </c>
      <c r="AA31" s="50">
        <f t="shared" si="24"/>
        <v>0.55567579397619937</v>
      </c>
      <c r="AB31" s="82"/>
      <c r="AC31" s="82"/>
      <c r="AD31" s="84"/>
      <c r="AE31" s="60"/>
    </row>
    <row r="32" spans="1:31" x14ac:dyDescent="0.3">
      <c r="A32" s="77">
        <v>13</v>
      </c>
      <c r="B32" s="79" t="s">
        <v>115</v>
      </c>
      <c r="C32" s="79">
        <v>1</v>
      </c>
      <c r="D32" s="23" t="s">
        <v>116</v>
      </c>
      <c r="E32" s="24">
        <v>0.51</v>
      </c>
      <c r="F32" s="25" t="s">
        <v>121</v>
      </c>
      <c r="G32" s="26">
        <v>41639</v>
      </c>
      <c r="H32" s="27" t="s">
        <v>48</v>
      </c>
      <c r="I32" s="20">
        <v>13027692461</v>
      </c>
      <c r="J32" s="20">
        <v>15317705407</v>
      </c>
      <c r="K32" s="20">
        <v>4294980056</v>
      </c>
      <c r="L32" s="40">
        <v>4294980056</v>
      </c>
      <c r="M32" s="46">
        <f t="shared" si="7"/>
        <v>11022725351</v>
      </c>
      <c r="N32" s="43">
        <v>7798827071</v>
      </c>
      <c r="O32" s="20">
        <v>41427343</v>
      </c>
      <c r="P32" s="12">
        <f t="shared" si="30"/>
        <v>3.0332370095177921</v>
      </c>
      <c r="Q32" s="51">
        <f>+L32/J32</f>
        <v>0.28039317520999246</v>
      </c>
      <c r="R32" s="61">
        <f t="shared" si="17"/>
        <v>188.25313201959392</v>
      </c>
      <c r="S32" s="19">
        <f>I32-K32</f>
        <v>8732712405</v>
      </c>
      <c r="T32" s="85">
        <f>+SUM(S32:S33)</f>
        <v>8834577151.0300007</v>
      </c>
      <c r="U32" s="54" t="str">
        <f>IF(P32&lt;=Pliegos!$B$6,"NO","SI")</f>
        <v>SI</v>
      </c>
      <c r="V32" s="54" t="str">
        <f>IF(Q32&lt;=Pliegos!$B$7,"SI","NO")</f>
        <v>SI</v>
      </c>
      <c r="W32" s="54" t="str">
        <f>IF(O32=0,"SI",IF(R32&lt;Pliegos!$B$8,"NO","SI"))</f>
        <v>SI</v>
      </c>
      <c r="X32" s="87" t="str">
        <f>IF(AND(S32&gt;=VLOOKUP(C32,Pliegos!$A$3:$D$3,4,),Matriz!T32&gt;=VLOOKUP(C32,Pliegos!$A$3:$D$3,3,)),"SI","NO")</f>
        <v>SI</v>
      </c>
      <c r="Y32" s="89" t="str">
        <f>IF(ISERROR(SUM(U32:X33)),"ERROR",IF(COUNTIF(U32:X33,"NO")&gt;0,"NO HÁBIL","HÁBIL"))</f>
        <v>HÁBIL</v>
      </c>
      <c r="Z32" s="13">
        <f t="shared" si="23"/>
        <v>0.50913807674066069</v>
      </c>
      <c r="AA32" s="13">
        <f t="shared" si="24"/>
        <v>0.70752257927686435</v>
      </c>
      <c r="AB32" s="81" t="str">
        <f>IF(MAX(Z32:Z33)&gt;Pliegos!$B$9,"SI","NO")</f>
        <v>SI</v>
      </c>
      <c r="AC32" s="81" t="str">
        <f>IF(MAX(AA32:AA33)&gt;Pliegos!$B$10,"SI","NO")</f>
        <v>SI</v>
      </c>
      <c r="AD32" s="83" t="str">
        <f>IF(ISERROR(SUM(AB32:AC33)),"ERROR",IF(COUNTIF(AB32:AC33,"NO")&gt;0,"NO HÁBIL","HÁBIL"))</f>
        <v>HÁBIL</v>
      </c>
      <c r="AE32" s="69"/>
    </row>
    <row r="33" spans="1:31" ht="17.25" thickBot="1" x14ac:dyDescent="0.35">
      <c r="A33" s="78"/>
      <c r="B33" s="80"/>
      <c r="C33" s="80"/>
      <c r="D33" s="33" t="s">
        <v>117</v>
      </c>
      <c r="E33" s="34">
        <v>0.49</v>
      </c>
      <c r="F33" s="35" t="s">
        <v>120</v>
      </c>
      <c r="G33" s="36">
        <v>41639</v>
      </c>
      <c r="H33" s="37" t="s">
        <v>48</v>
      </c>
      <c r="I33" s="22">
        <v>1068329944.03</v>
      </c>
      <c r="J33" s="22">
        <v>1366336142</v>
      </c>
      <c r="K33" s="22">
        <v>966465198</v>
      </c>
      <c r="L33" s="42">
        <v>1067628448</v>
      </c>
      <c r="M33" s="48">
        <f t="shared" si="7"/>
        <v>298707694</v>
      </c>
      <c r="N33" s="45">
        <v>206211782</v>
      </c>
      <c r="O33" s="22">
        <v>32364</v>
      </c>
      <c r="P33" s="14">
        <f t="shared" si="30"/>
        <v>1.1053992903632728</v>
      </c>
      <c r="Q33" s="50">
        <f t="shared" ref="Q33" si="37">+L33/J33</f>
        <v>0.78138052209995623</v>
      </c>
      <c r="R33" s="14">
        <f t="shared" si="17"/>
        <v>6371.6407736991723</v>
      </c>
      <c r="S33" s="16">
        <f t="shared" ref="S33" si="38">I33-K33</f>
        <v>101864746.02999997</v>
      </c>
      <c r="T33" s="86"/>
      <c r="U33" s="55" t="str">
        <f>IF(P33&lt;=Pliegos!$B$6,"NO","SI")</f>
        <v>SI</v>
      </c>
      <c r="V33" s="55" t="str">
        <f>IF(Q33&lt;=Pliegos!$B$7,"SI","NO")</f>
        <v>SI</v>
      </c>
      <c r="W33" s="55" t="str">
        <f>IF(O33=0,"SI",IF(R33&lt;Pliegos!$B$8,"NO","SI"))</f>
        <v>SI</v>
      </c>
      <c r="X33" s="88"/>
      <c r="Y33" s="90"/>
      <c r="Z33" s="50">
        <f t="shared" ref="Z33" si="39">+N33/J33</f>
        <v>0.15092317011987524</v>
      </c>
      <c r="AA33" s="50">
        <f t="shared" ref="AA33" si="40">+N33/M33</f>
        <v>0.69034640266078984</v>
      </c>
      <c r="AB33" s="82"/>
      <c r="AC33" s="82"/>
      <c r="AD33" s="84"/>
      <c r="AE33" s="60"/>
    </row>
  </sheetData>
  <mergeCells count="148">
    <mergeCell ref="A1:O1"/>
    <mergeCell ref="AE2:AE3"/>
    <mergeCell ref="X4:X6"/>
    <mergeCell ref="AB4:AB6"/>
    <mergeCell ref="AC4:AC6"/>
    <mergeCell ref="AD2:AD3"/>
    <mergeCell ref="X2:X3"/>
    <mergeCell ref="AD4:AD6"/>
    <mergeCell ref="V2:V3"/>
    <mergeCell ref="W2:W3"/>
    <mergeCell ref="AD7:AD8"/>
    <mergeCell ref="T7:T8"/>
    <mergeCell ref="B2:B3"/>
    <mergeCell ref="T2:T3"/>
    <mergeCell ref="A2:A3"/>
    <mergeCell ref="E2:E3"/>
    <mergeCell ref="G2:G3"/>
    <mergeCell ref="C2:C3"/>
    <mergeCell ref="R2:R3"/>
    <mergeCell ref="S2:S3"/>
    <mergeCell ref="M2:M3"/>
    <mergeCell ref="D2:D3"/>
    <mergeCell ref="H2:H3"/>
    <mergeCell ref="Q2:Q3"/>
    <mergeCell ref="P2:P3"/>
    <mergeCell ref="I2:J2"/>
    <mergeCell ref="K2:L2"/>
    <mergeCell ref="F2:F3"/>
    <mergeCell ref="N2:O2"/>
    <mergeCell ref="T9:T10"/>
    <mergeCell ref="A9:A10"/>
    <mergeCell ref="B9:B10"/>
    <mergeCell ref="C9:C10"/>
    <mergeCell ref="A7:A8"/>
    <mergeCell ref="B7:B8"/>
    <mergeCell ref="C7:C8"/>
    <mergeCell ref="U1:Y1"/>
    <mergeCell ref="Z1:AD1"/>
    <mergeCell ref="Z2:Z3"/>
    <mergeCell ref="AA2:AA3"/>
    <mergeCell ref="AB2:AB3"/>
    <mergeCell ref="AC2:AC3"/>
    <mergeCell ref="Y2:Y3"/>
    <mergeCell ref="Y4:Y6"/>
    <mergeCell ref="T4:T6"/>
    <mergeCell ref="A4:A6"/>
    <mergeCell ref="B4:B6"/>
    <mergeCell ref="C4:C6"/>
    <mergeCell ref="U2:U3"/>
    <mergeCell ref="X7:X8"/>
    <mergeCell ref="Y7:Y8"/>
    <mergeCell ref="AB7:AB8"/>
    <mergeCell ref="AC7:AC8"/>
    <mergeCell ref="X9:X10"/>
    <mergeCell ref="Y9:Y10"/>
    <mergeCell ref="AB9:AB10"/>
    <mergeCell ref="AC9:AC10"/>
    <mergeCell ref="X11:X13"/>
    <mergeCell ref="Y11:Y13"/>
    <mergeCell ref="AB11:AB13"/>
    <mergeCell ref="AC11:AC13"/>
    <mergeCell ref="AD9:AD10"/>
    <mergeCell ref="AD11:AD13"/>
    <mergeCell ref="A18:A19"/>
    <mergeCell ref="B18:B19"/>
    <mergeCell ref="C18:C19"/>
    <mergeCell ref="T11:T13"/>
    <mergeCell ref="AD14:AD15"/>
    <mergeCell ref="T14:T15"/>
    <mergeCell ref="X14:X15"/>
    <mergeCell ref="Y14:Y15"/>
    <mergeCell ref="AB14:AB15"/>
    <mergeCell ref="AC14:AC15"/>
    <mergeCell ref="A11:A13"/>
    <mergeCell ref="B11:B13"/>
    <mergeCell ref="C11:C13"/>
    <mergeCell ref="A14:A15"/>
    <mergeCell ref="B14:B15"/>
    <mergeCell ref="C14:C15"/>
    <mergeCell ref="A16:A17"/>
    <mergeCell ref="B16:B17"/>
    <mergeCell ref="C16:C17"/>
    <mergeCell ref="X16:X17"/>
    <mergeCell ref="Y16:Y17"/>
    <mergeCell ref="AB16:AB17"/>
    <mergeCell ref="X18:X19"/>
    <mergeCell ref="Y18:Y19"/>
    <mergeCell ref="AB18:AB19"/>
    <mergeCell ref="X20:X22"/>
    <mergeCell ref="Y20:Y22"/>
    <mergeCell ref="AB20:AB22"/>
    <mergeCell ref="AC16:AC17"/>
    <mergeCell ref="AD16:AD17"/>
    <mergeCell ref="T16:T17"/>
    <mergeCell ref="AD18:AD19"/>
    <mergeCell ref="T18:T19"/>
    <mergeCell ref="AC18:AC19"/>
    <mergeCell ref="A28:A29"/>
    <mergeCell ref="B28:B29"/>
    <mergeCell ref="C28:C29"/>
    <mergeCell ref="AC20:AC22"/>
    <mergeCell ref="AD20:AD22"/>
    <mergeCell ref="T20:T22"/>
    <mergeCell ref="AD23:AD25"/>
    <mergeCell ref="T23:T25"/>
    <mergeCell ref="X23:X25"/>
    <mergeCell ref="Y23:Y25"/>
    <mergeCell ref="AB23:AB25"/>
    <mergeCell ref="AC23:AC25"/>
    <mergeCell ref="A20:A22"/>
    <mergeCell ref="B20:B22"/>
    <mergeCell ref="C20:C22"/>
    <mergeCell ref="A23:A25"/>
    <mergeCell ref="B23:B25"/>
    <mergeCell ref="C23:C25"/>
    <mergeCell ref="A26:A27"/>
    <mergeCell ref="B26:B27"/>
    <mergeCell ref="C26:C27"/>
    <mergeCell ref="X26:X27"/>
    <mergeCell ref="Y26:Y27"/>
    <mergeCell ref="AB26:AB27"/>
    <mergeCell ref="X28:X29"/>
    <mergeCell ref="Y28:Y29"/>
    <mergeCell ref="AB28:AB29"/>
    <mergeCell ref="X30:X31"/>
    <mergeCell ref="Y30:Y31"/>
    <mergeCell ref="AB30:AB31"/>
    <mergeCell ref="AC26:AC27"/>
    <mergeCell ref="AD26:AD27"/>
    <mergeCell ref="T26:T27"/>
    <mergeCell ref="AD28:AD29"/>
    <mergeCell ref="T28:T29"/>
    <mergeCell ref="AC28:AC29"/>
    <mergeCell ref="A32:A33"/>
    <mergeCell ref="B32:B33"/>
    <mergeCell ref="C32:C33"/>
    <mergeCell ref="AC30:AC31"/>
    <mergeCell ref="AD30:AD31"/>
    <mergeCell ref="T30:T31"/>
    <mergeCell ref="AD32:AD33"/>
    <mergeCell ref="T32:T33"/>
    <mergeCell ref="X32:X33"/>
    <mergeCell ref="Y32:Y33"/>
    <mergeCell ref="AB32:AB33"/>
    <mergeCell ref="AC32:AC33"/>
    <mergeCell ref="A30:A31"/>
    <mergeCell ref="B30:B31"/>
    <mergeCell ref="C30:C31"/>
  </mergeCells>
  <conditionalFormatting sqref="AB4:AC33">
    <cfRule type="containsText" dxfId="63" priority="880" operator="containsText" text="NO">
      <formula>NOT(ISERROR(SEARCH("NO",AB4)))</formula>
    </cfRule>
    <cfRule type="containsText" dxfId="62" priority="881" operator="containsText" text="SI">
      <formula>NOT(ISERROR(SEARCH("SI",AB4)))</formula>
    </cfRule>
  </conditionalFormatting>
  <conditionalFormatting sqref="X4:X33">
    <cfRule type="containsText" dxfId="61" priority="870" operator="containsText" text="NO">
      <formula>NOT(ISERROR(SEARCH("NO",X4)))</formula>
    </cfRule>
    <cfRule type="cellIs" dxfId="60" priority="871" operator="equal">
      <formula>"SI"</formula>
    </cfRule>
  </conditionalFormatting>
  <conditionalFormatting sqref="AD4:AD33 Y4:Y33">
    <cfRule type="containsText" dxfId="59" priority="559" operator="containsText" text="ERROR">
      <formula>NOT(ISERROR(SEARCH("ERROR",Y4)))</formula>
    </cfRule>
    <cfRule type="containsText" dxfId="58" priority="868" operator="containsText" text="NO HÁBIL">
      <formula>NOT(ISERROR(SEARCH("NO HÁBIL",Y4)))</formula>
    </cfRule>
    <cfRule type="containsText" dxfId="57" priority="869" operator="containsText" text="HÁBIL">
      <formula>NOT(ISERROR(SEARCH("HÁBIL",Y4)))</formula>
    </cfRule>
  </conditionalFormatting>
  <conditionalFormatting sqref="U7:V8 U10:V33 W16:W33">
    <cfRule type="containsText" dxfId="56" priority="537" operator="containsText" text="SI">
      <formula>NOT(ISERROR(SEARCH("SI",U7)))</formula>
    </cfRule>
    <cfRule type="containsText" dxfId="55" priority="538" operator="containsText" text="NO">
      <formula>NOT(ISERROR(SEARCH("NO",U7)))</formula>
    </cfRule>
  </conditionalFormatting>
  <conditionalFormatting sqref="U4:U6">
    <cfRule type="containsText" dxfId="54" priority="213" operator="containsText" text="SI">
      <formula>NOT(ISERROR(SEARCH("SI",U4)))</formula>
    </cfRule>
    <cfRule type="containsText" dxfId="53" priority="214" operator="containsText" text="NO">
      <formula>NOT(ISERROR(SEARCH("NO",U4)))</formula>
    </cfRule>
  </conditionalFormatting>
  <conditionalFormatting sqref="V4:V6">
    <cfRule type="containsText" dxfId="52" priority="203" operator="containsText" text="SI">
      <formula>NOT(ISERROR(SEARCH("SI",V4)))</formula>
    </cfRule>
    <cfRule type="containsText" dxfId="51" priority="204" operator="containsText" text="NO">
      <formula>NOT(ISERROR(SEARCH("NO",V4)))</formula>
    </cfRule>
  </conditionalFormatting>
  <conditionalFormatting sqref="U9">
    <cfRule type="containsText" dxfId="50" priority="161" operator="containsText" text="SI">
      <formula>NOT(ISERROR(SEARCH("SI",U9)))</formula>
    </cfRule>
    <cfRule type="containsText" dxfId="49" priority="162" operator="containsText" text="NO">
      <formula>NOT(ISERROR(SEARCH("NO",U9)))</formula>
    </cfRule>
  </conditionalFormatting>
  <conditionalFormatting sqref="V9">
    <cfRule type="containsText" dxfId="48" priority="151" operator="containsText" text="SI">
      <formula>NOT(ISERROR(SEARCH("SI",V9)))</formula>
    </cfRule>
    <cfRule type="containsText" dxfId="47" priority="152" operator="containsText" text="NO">
      <formula>NOT(ISERROR(SEARCH("NO",V9)))</formula>
    </cfRule>
  </conditionalFormatting>
  <conditionalFormatting sqref="W7">
    <cfRule type="containsText" dxfId="46" priority="35" operator="containsText" text="SI">
      <formula>NOT(ISERROR(SEARCH("SI",W7)))</formula>
    </cfRule>
    <cfRule type="containsText" dxfId="45" priority="36" operator="containsText" text="NO">
      <formula>NOT(ISERROR(SEARCH("NO",W7)))</formula>
    </cfRule>
  </conditionalFormatting>
  <conditionalFormatting sqref="W8">
    <cfRule type="containsText" dxfId="44" priority="33" operator="containsText" text="SI">
      <formula>NOT(ISERROR(SEARCH("SI",W8)))</formula>
    </cfRule>
    <cfRule type="containsText" dxfId="43" priority="34" operator="containsText" text="NO">
      <formula>NOT(ISERROR(SEARCH("NO",W8)))</formula>
    </cfRule>
  </conditionalFormatting>
  <conditionalFormatting sqref="W4:W6">
    <cfRule type="containsText" dxfId="42" priority="5" operator="containsText" text="SI">
      <formula>NOT(ISERROR(SEARCH("SI",W4)))</formula>
    </cfRule>
    <cfRule type="containsText" dxfId="41" priority="6" operator="containsText" text="NO">
      <formula>NOT(ISERROR(SEARCH("NO",W4)))</formula>
    </cfRule>
  </conditionalFormatting>
  <conditionalFormatting sqref="W9">
    <cfRule type="containsText" dxfId="40" priority="31" operator="containsText" text="SI">
      <formula>NOT(ISERROR(SEARCH("SI",W9)))</formula>
    </cfRule>
    <cfRule type="containsText" dxfId="39" priority="32" operator="containsText" text="NO">
      <formula>NOT(ISERROR(SEARCH("NO",W9)))</formula>
    </cfRule>
  </conditionalFormatting>
  <conditionalFormatting sqref="W10">
    <cfRule type="containsText" dxfId="38" priority="29" operator="containsText" text="SI">
      <formula>NOT(ISERROR(SEARCH("SI",W10)))</formula>
    </cfRule>
    <cfRule type="containsText" dxfId="37" priority="30" operator="containsText" text="NO">
      <formula>NOT(ISERROR(SEARCH("NO",W10)))</formula>
    </cfRule>
  </conditionalFormatting>
  <conditionalFormatting sqref="W11:W13">
    <cfRule type="containsText" dxfId="36" priority="3" operator="containsText" text="SI">
      <formula>NOT(ISERROR(SEARCH("SI",W11)))</formula>
    </cfRule>
    <cfRule type="containsText" dxfId="35" priority="4" operator="containsText" text="NO">
      <formula>NOT(ISERROR(SEARCH("NO",W11)))</formula>
    </cfRule>
  </conditionalFormatting>
  <conditionalFormatting sqref="W14:W15">
    <cfRule type="containsText" dxfId="34" priority="1" operator="containsText" text="SI">
      <formula>NOT(ISERROR(SEARCH("SI",W14)))</formula>
    </cfRule>
    <cfRule type="containsText" dxfId="33" priority="2" operator="containsText" text="NO">
      <formula>NOT(ISERROR(SEARCH("NO",W14)))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showGridLines="0" tabSelected="1" topLeftCell="C1" workbookViewId="0">
      <selection activeCell="S14" sqref="S14:S15"/>
    </sheetView>
  </sheetViews>
  <sheetFormatPr baseColWidth="10" defaultRowHeight="16.5" x14ac:dyDescent="0.3"/>
  <cols>
    <col min="1" max="1" width="4.42578125" bestFit="1" customWidth="1"/>
    <col min="2" max="2" width="26.42578125" customWidth="1"/>
    <col min="3" max="3" width="13.140625" customWidth="1"/>
    <col min="4" max="4" width="24.85546875" customWidth="1"/>
    <col min="5" max="5" width="7.140625" bestFit="1" customWidth="1"/>
    <col min="6" max="6" width="9.5703125" hidden="1" customWidth="1"/>
    <col min="7" max="7" width="9.42578125" hidden="1" customWidth="1"/>
    <col min="8" max="8" width="8.140625" hidden="1" customWidth="1"/>
    <col min="9" max="11" width="12.140625" hidden="1" customWidth="1"/>
    <col min="12" max="13" width="12.28515625" hidden="1" customWidth="1"/>
    <col min="14" max="14" width="12.140625" hidden="1" customWidth="1"/>
    <col min="15" max="15" width="10" hidden="1" customWidth="1"/>
    <col min="16" max="16" width="87.28515625" style="58" hidden="1" customWidth="1"/>
    <col min="17" max="17" width="19" customWidth="1"/>
    <col min="18" max="18" width="18" customWidth="1"/>
    <col min="19" max="19" width="78.7109375" style="149" customWidth="1"/>
  </cols>
  <sheetData>
    <row r="1" spans="1:19" ht="34.5" customHeight="1" thickBot="1" x14ac:dyDescent="0.3">
      <c r="A1" s="133" t="s">
        <v>125</v>
      </c>
      <c r="B1" s="134"/>
      <c r="C1" s="134"/>
      <c r="D1" s="134"/>
      <c r="E1" s="135"/>
      <c r="F1" s="72"/>
      <c r="G1" s="72"/>
      <c r="H1" s="72"/>
      <c r="I1" s="72"/>
      <c r="J1" s="72"/>
      <c r="K1" s="72"/>
      <c r="L1" s="72"/>
      <c r="M1" s="72"/>
      <c r="N1" s="72"/>
      <c r="O1" s="73"/>
      <c r="P1"/>
      <c r="Q1" s="74" t="s">
        <v>127</v>
      </c>
      <c r="R1" s="146" t="s">
        <v>128</v>
      </c>
    </row>
    <row r="2" spans="1:19" ht="15" customHeight="1" x14ac:dyDescent="0.25">
      <c r="A2" s="120" t="s">
        <v>7</v>
      </c>
      <c r="B2" s="116" t="s">
        <v>8</v>
      </c>
      <c r="C2" s="124" t="s">
        <v>21</v>
      </c>
      <c r="D2" s="124" t="s">
        <v>9</v>
      </c>
      <c r="E2" s="122" t="s">
        <v>10</v>
      </c>
      <c r="F2" s="131" t="s">
        <v>49</v>
      </c>
      <c r="G2" s="105" t="s">
        <v>11</v>
      </c>
      <c r="H2" s="105" t="s">
        <v>12</v>
      </c>
      <c r="I2" s="129" t="s">
        <v>13</v>
      </c>
      <c r="J2" s="130"/>
      <c r="K2" s="129" t="s">
        <v>14</v>
      </c>
      <c r="L2" s="129"/>
      <c r="M2" s="124" t="s">
        <v>24</v>
      </c>
      <c r="N2" s="129" t="s">
        <v>40</v>
      </c>
      <c r="O2" s="129"/>
      <c r="P2" s="136" t="s">
        <v>50</v>
      </c>
      <c r="Q2" s="141" t="s">
        <v>15</v>
      </c>
      <c r="R2" s="147" t="s">
        <v>15</v>
      </c>
      <c r="S2" s="150"/>
    </row>
    <row r="3" spans="1:19" ht="20.25" customHeight="1" thickBot="1" x14ac:dyDescent="0.3">
      <c r="A3" s="121"/>
      <c r="B3" s="117"/>
      <c r="C3" s="125"/>
      <c r="D3" s="125"/>
      <c r="E3" s="123"/>
      <c r="F3" s="132"/>
      <c r="G3" s="106"/>
      <c r="H3" s="106"/>
      <c r="I3" s="10" t="s">
        <v>16</v>
      </c>
      <c r="J3" s="10" t="s">
        <v>17</v>
      </c>
      <c r="K3" s="10" t="s">
        <v>18</v>
      </c>
      <c r="L3" s="11" t="s">
        <v>19</v>
      </c>
      <c r="M3" s="126"/>
      <c r="N3" s="10" t="s">
        <v>22</v>
      </c>
      <c r="O3" s="11" t="s">
        <v>23</v>
      </c>
      <c r="P3" s="137"/>
      <c r="Q3" s="142"/>
      <c r="R3" s="148"/>
      <c r="S3" s="150"/>
    </row>
    <row r="4" spans="1:19" x14ac:dyDescent="0.3">
      <c r="A4" s="97">
        <v>1</v>
      </c>
      <c r="B4" s="79" t="s">
        <v>44</v>
      </c>
      <c r="C4" s="79">
        <v>1</v>
      </c>
      <c r="D4" s="28" t="s">
        <v>53</v>
      </c>
      <c r="E4" s="29">
        <v>0.51</v>
      </c>
      <c r="F4" s="25" t="s">
        <v>52</v>
      </c>
      <c r="G4" s="26">
        <v>41639</v>
      </c>
      <c r="H4" s="27" t="s">
        <v>48</v>
      </c>
      <c r="I4" s="20">
        <v>5338886896</v>
      </c>
      <c r="J4" s="20">
        <v>6240535708</v>
      </c>
      <c r="K4" s="20">
        <v>844583225</v>
      </c>
      <c r="L4" s="40">
        <v>1027736372</v>
      </c>
      <c r="M4" s="46">
        <f t="shared" ref="M4:M5" si="0">+J4-L4</f>
        <v>5212799336</v>
      </c>
      <c r="N4" s="43">
        <v>1641920164</v>
      </c>
      <c r="O4" s="20">
        <v>286149251</v>
      </c>
      <c r="P4" s="67"/>
      <c r="Q4" s="89" t="s">
        <v>126</v>
      </c>
      <c r="R4" s="83" t="s">
        <v>126</v>
      </c>
      <c r="S4" s="151"/>
    </row>
    <row r="5" spans="1:19" x14ac:dyDescent="0.3">
      <c r="A5" s="113"/>
      <c r="B5" s="96"/>
      <c r="C5" s="96"/>
      <c r="D5" s="28" t="s">
        <v>45</v>
      </c>
      <c r="E5" s="29">
        <v>0.25</v>
      </c>
      <c r="F5" s="30" t="s">
        <v>51</v>
      </c>
      <c r="G5" s="31">
        <v>41639</v>
      </c>
      <c r="H5" s="32" t="s">
        <v>48</v>
      </c>
      <c r="I5" s="21">
        <v>1082500270</v>
      </c>
      <c r="J5" s="21">
        <v>1667375424</v>
      </c>
      <c r="K5" s="21">
        <v>197846879</v>
      </c>
      <c r="L5" s="41">
        <v>376820989</v>
      </c>
      <c r="M5" s="47">
        <f t="shared" si="0"/>
        <v>1290554435</v>
      </c>
      <c r="N5" s="44">
        <v>421393845</v>
      </c>
      <c r="O5" s="21">
        <v>23718589</v>
      </c>
      <c r="P5" s="68"/>
      <c r="Q5" s="94"/>
      <c r="R5" s="91"/>
      <c r="S5" s="151"/>
    </row>
    <row r="6" spans="1:19" ht="17.25" thickBot="1" x14ac:dyDescent="0.35">
      <c r="A6" s="98"/>
      <c r="B6" s="80"/>
      <c r="C6" s="80"/>
      <c r="D6" s="33" t="s">
        <v>46</v>
      </c>
      <c r="E6" s="34">
        <v>0.24</v>
      </c>
      <c r="F6" s="35" t="s">
        <v>47</v>
      </c>
      <c r="G6" s="36">
        <v>41639</v>
      </c>
      <c r="H6" s="37" t="s">
        <v>48</v>
      </c>
      <c r="I6" s="22">
        <v>4051093717</v>
      </c>
      <c r="J6" s="22">
        <v>4129009201</v>
      </c>
      <c r="K6" s="22">
        <v>1956228609</v>
      </c>
      <c r="L6" s="42">
        <v>2462210841</v>
      </c>
      <c r="M6" s="48">
        <f>+J6-L6</f>
        <v>1666798360</v>
      </c>
      <c r="N6" s="45">
        <v>854233776</v>
      </c>
      <c r="O6" s="22">
        <v>103738165</v>
      </c>
      <c r="P6" s="60"/>
      <c r="Q6" s="90"/>
      <c r="R6" s="84"/>
      <c r="S6" s="151"/>
    </row>
    <row r="7" spans="1:19" x14ac:dyDescent="0.3">
      <c r="A7" s="97">
        <v>2</v>
      </c>
      <c r="B7" s="79" t="s">
        <v>54</v>
      </c>
      <c r="C7" s="79">
        <v>1</v>
      </c>
      <c r="D7" s="23" t="s">
        <v>55</v>
      </c>
      <c r="E7" s="24">
        <v>0.6</v>
      </c>
      <c r="F7" s="25" t="s">
        <v>57</v>
      </c>
      <c r="G7" s="26">
        <v>41639</v>
      </c>
      <c r="H7" s="27" t="s">
        <v>48</v>
      </c>
      <c r="I7" s="20">
        <v>9934971316</v>
      </c>
      <c r="J7" s="20">
        <v>11093564812</v>
      </c>
      <c r="K7" s="20">
        <v>2798320180</v>
      </c>
      <c r="L7" s="40">
        <v>5087888885</v>
      </c>
      <c r="M7" s="46">
        <f>+J7-L7</f>
        <v>6005675927</v>
      </c>
      <c r="N7" s="43">
        <v>441651590</v>
      </c>
      <c r="O7" s="20">
        <v>45945432</v>
      </c>
      <c r="P7" s="69"/>
      <c r="Q7" s="89" t="s">
        <v>126</v>
      </c>
      <c r="R7" s="83" t="s">
        <v>126</v>
      </c>
      <c r="S7" s="151"/>
    </row>
    <row r="8" spans="1:19" ht="17.25" thickBot="1" x14ac:dyDescent="0.35">
      <c r="A8" s="98"/>
      <c r="B8" s="80"/>
      <c r="C8" s="80"/>
      <c r="D8" s="33" t="s">
        <v>56</v>
      </c>
      <c r="E8" s="34">
        <v>0.4</v>
      </c>
      <c r="F8" s="35" t="s">
        <v>58</v>
      </c>
      <c r="G8" s="36">
        <v>41639</v>
      </c>
      <c r="H8" s="37" t="s">
        <v>48</v>
      </c>
      <c r="I8" s="22">
        <v>5328304783</v>
      </c>
      <c r="J8" s="22">
        <v>5503332579</v>
      </c>
      <c r="K8" s="22">
        <v>832213420</v>
      </c>
      <c r="L8" s="42">
        <v>975345933</v>
      </c>
      <c r="M8" s="48">
        <f t="shared" ref="M8:M33" si="1">+J8-L8</f>
        <v>4527986646</v>
      </c>
      <c r="N8" s="45">
        <v>1163616030</v>
      </c>
      <c r="O8" s="22">
        <v>87129</v>
      </c>
      <c r="P8" s="60"/>
      <c r="Q8" s="90"/>
      <c r="R8" s="84"/>
      <c r="S8" s="151"/>
    </row>
    <row r="9" spans="1:19" ht="33" x14ac:dyDescent="0.3">
      <c r="A9" s="77">
        <v>3</v>
      </c>
      <c r="B9" s="79" t="s">
        <v>59</v>
      </c>
      <c r="C9" s="79">
        <v>1</v>
      </c>
      <c r="D9" s="57" t="s">
        <v>129</v>
      </c>
      <c r="E9" s="24">
        <v>0.51</v>
      </c>
      <c r="F9" s="25" t="s">
        <v>62</v>
      </c>
      <c r="G9" s="26">
        <v>41639</v>
      </c>
      <c r="H9" s="27" t="s">
        <v>48</v>
      </c>
      <c r="I9" s="20">
        <v>9015527521.1200008</v>
      </c>
      <c r="J9" s="20">
        <v>9705150094.6599998</v>
      </c>
      <c r="K9" s="20">
        <v>2558678249</v>
      </c>
      <c r="L9" s="40">
        <v>4901916070.6199999</v>
      </c>
      <c r="M9" s="49">
        <f t="shared" si="1"/>
        <v>4803234024.04</v>
      </c>
      <c r="N9" s="43">
        <v>143735815.53</v>
      </c>
      <c r="O9" s="20">
        <v>0</v>
      </c>
      <c r="P9" s="59" t="s">
        <v>63</v>
      </c>
      <c r="Q9" s="89" t="s">
        <v>126</v>
      </c>
      <c r="R9" s="83" t="s">
        <v>126</v>
      </c>
      <c r="S9" s="151"/>
    </row>
    <row r="10" spans="1:19" ht="17.25" thickBot="1" x14ac:dyDescent="0.35">
      <c r="A10" s="78"/>
      <c r="B10" s="80"/>
      <c r="C10" s="80"/>
      <c r="D10" s="33" t="s">
        <v>61</v>
      </c>
      <c r="E10" s="34">
        <v>0.49</v>
      </c>
      <c r="F10" s="35" t="s">
        <v>64</v>
      </c>
      <c r="G10" s="36">
        <v>41639</v>
      </c>
      <c r="H10" s="37" t="s">
        <v>48</v>
      </c>
      <c r="I10" s="22">
        <v>798446158</v>
      </c>
      <c r="J10" s="22">
        <v>1259823991</v>
      </c>
      <c r="K10" s="22">
        <v>214596966</v>
      </c>
      <c r="L10" s="42">
        <v>238586966</v>
      </c>
      <c r="M10" s="48">
        <f t="shared" si="1"/>
        <v>1021237025</v>
      </c>
      <c r="N10" s="45">
        <v>37199457</v>
      </c>
      <c r="O10" s="22">
        <v>29632</v>
      </c>
      <c r="P10" s="60"/>
      <c r="Q10" s="90"/>
      <c r="R10" s="84"/>
      <c r="S10" s="151"/>
    </row>
    <row r="11" spans="1:19" ht="25.5" x14ac:dyDescent="0.3">
      <c r="A11" s="77">
        <v>4</v>
      </c>
      <c r="B11" s="79" t="s">
        <v>65</v>
      </c>
      <c r="C11" s="79">
        <v>1</v>
      </c>
      <c r="D11" s="57" t="s">
        <v>66</v>
      </c>
      <c r="E11" s="24">
        <v>0.51</v>
      </c>
      <c r="F11" s="25" t="s">
        <v>70</v>
      </c>
      <c r="G11" s="26">
        <v>41639</v>
      </c>
      <c r="H11" s="27" t="s">
        <v>48</v>
      </c>
      <c r="I11" s="20">
        <v>4858251114</v>
      </c>
      <c r="J11" s="20">
        <v>5101914034</v>
      </c>
      <c r="K11" s="20">
        <v>932240375</v>
      </c>
      <c r="L11" s="40">
        <v>1725594510</v>
      </c>
      <c r="M11" s="49">
        <f t="shared" si="1"/>
        <v>3376319524</v>
      </c>
      <c r="N11" s="43">
        <v>527269699</v>
      </c>
      <c r="O11" s="20">
        <v>0</v>
      </c>
      <c r="P11" s="69"/>
      <c r="Q11" s="143" t="s">
        <v>126</v>
      </c>
      <c r="R11" s="83" t="s">
        <v>126</v>
      </c>
      <c r="S11" s="151"/>
    </row>
    <row r="12" spans="1:19" ht="25.5" x14ac:dyDescent="0.25">
      <c r="A12" s="95"/>
      <c r="B12" s="96"/>
      <c r="C12" s="96"/>
      <c r="D12" s="62" t="s">
        <v>67</v>
      </c>
      <c r="E12" s="29">
        <v>0.25</v>
      </c>
      <c r="F12" s="30" t="s">
        <v>71</v>
      </c>
      <c r="G12" s="31">
        <v>41639</v>
      </c>
      <c r="H12" s="32" t="s">
        <v>48</v>
      </c>
      <c r="I12" s="21">
        <v>1057093124</v>
      </c>
      <c r="J12" s="21">
        <v>1057093124</v>
      </c>
      <c r="K12" s="21">
        <v>44255078</v>
      </c>
      <c r="L12" s="41">
        <v>44255078</v>
      </c>
      <c r="M12" s="47">
        <f t="shared" si="1"/>
        <v>1012838046</v>
      </c>
      <c r="N12" s="44">
        <v>77639652</v>
      </c>
      <c r="O12" s="21">
        <v>39300</v>
      </c>
      <c r="P12" s="70" t="s">
        <v>72</v>
      </c>
      <c r="Q12" s="145"/>
      <c r="R12" s="91"/>
      <c r="S12" s="151"/>
    </row>
    <row r="13" spans="1:19" ht="26.25" thickBot="1" x14ac:dyDescent="0.35">
      <c r="A13" s="78"/>
      <c r="B13" s="80"/>
      <c r="C13" s="80"/>
      <c r="D13" s="63" t="s">
        <v>68</v>
      </c>
      <c r="E13" s="34">
        <v>0.24</v>
      </c>
      <c r="F13" s="35" t="s">
        <v>69</v>
      </c>
      <c r="G13" s="36">
        <v>41639</v>
      </c>
      <c r="H13" s="37" t="s">
        <v>48</v>
      </c>
      <c r="I13" s="22">
        <v>2377545634</v>
      </c>
      <c r="J13" s="22">
        <v>2504059174</v>
      </c>
      <c r="K13" s="22">
        <v>475011446</v>
      </c>
      <c r="L13" s="42">
        <v>475011446</v>
      </c>
      <c r="M13" s="48">
        <f t="shared" si="1"/>
        <v>2029047728</v>
      </c>
      <c r="N13" s="45">
        <v>445298582</v>
      </c>
      <c r="O13" s="22">
        <v>51257257</v>
      </c>
      <c r="P13" s="60"/>
      <c r="Q13" s="144"/>
      <c r="R13" s="84"/>
      <c r="S13" s="151"/>
    </row>
    <row r="14" spans="1:19" x14ac:dyDescent="0.3">
      <c r="A14" s="77">
        <v>5</v>
      </c>
      <c r="B14" s="79" t="s">
        <v>73</v>
      </c>
      <c r="C14" s="79">
        <v>1</v>
      </c>
      <c r="D14" s="23" t="s">
        <v>74</v>
      </c>
      <c r="E14" s="24">
        <v>0.51</v>
      </c>
      <c r="F14" s="25" t="s">
        <v>76</v>
      </c>
      <c r="G14" s="26">
        <v>41639</v>
      </c>
      <c r="H14" s="27" t="s">
        <v>48</v>
      </c>
      <c r="I14" s="20">
        <v>10528706354</v>
      </c>
      <c r="J14" s="20">
        <v>12108687454</v>
      </c>
      <c r="K14" s="20">
        <v>6260446739</v>
      </c>
      <c r="L14" s="40">
        <v>6260446739</v>
      </c>
      <c r="M14" s="49">
        <f t="shared" si="1"/>
        <v>5848240715</v>
      </c>
      <c r="N14" s="43">
        <v>2302316558</v>
      </c>
      <c r="O14" s="20">
        <v>18002050</v>
      </c>
      <c r="P14" s="69"/>
      <c r="Q14" s="89" t="s">
        <v>126</v>
      </c>
      <c r="R14" s="83" t="s">
        <v>126</v>
      </c>
      <c r="S14" s="151"/>
    </row>
    <row r="15" spans="1:19" ht="33.75" thickBot="1" x14ac:dyDescent="0.35">
      <c r="A15" s="78"/>
      <c r="B15" s="80"/>
      <c r="C15" s="80"/>
      <c r="D15" s="33" t="s">
        <v>75</v>
      </c>
      <c r="E15" s="34">
        <v>0.49</v>
      </c>
      <c r="F15" s="35" t="s">
        <v>77</v>
      </c>
      <c r="G15" s="36">
        <v>41639</v>
      </c>
      <c r="H15" s="37" t="s">
        <v>48</v>
      </c>
      <c r="I15" s="22">
        <v>12259591835.559999</v>
      </c>
      <c r="J15" s="22">
        <v>13136283028.309999</v>
      </c>
      <c r="K15" s="22">
        <v>3252446244.9099998</v>
      </c>
      <c r="L15" s="42">
        <v>3252446244.9099998</v>
      </c>
      <c r="M15" s="48">
        <f t="shared" si="1"/>
        <v>9883836783.3999996</v>
      </c>
      <c r="N15" s="45">
        <v>523579437.63</v>
      </c>
      <c r="O15" s="22">
        <v>42393619.909999996</v>
      </c>
      <c r="P15" s="71" t="s">
        <v>78</v>
      </c>
      <c r="Q15" s="90"/>
      <c r="R15" s="84"/>
      <c r="S15" s="151"/>
    </row>
    <row r="16" spans="1:19" ht="25.5" x14ac:dyDescent="0.3">
      <c r="A16" s="77">
        <v>6</v>
      </c>
      <c r="B16" s="79" t="s">
        <v>79</v>
      </c>
      <c r="C16" s="79">
        <v>1</v>
      </c>
      <c r="D16" s="57" t="s">
        <v>80</v>
      </c>
      <c r="E16" s="24">
        <v>0.51</v>
      </c>
      <c r="F16" s="25" t="s">
        <v>83</v>
      </c>
      <c r="G16" s="26">
        <v>41639</v>
      </c>
      <c r="H16" s="27" t="s">
        <v>48</v>
      </c>
      <c r="I16" s="20">
        <v>9003917979</v>
      </c>
      <c r="J16" s="20">
        <v>16351711237</v>
      </c>
      <c r="K16" s="20">
        <v>4300518541</v>
      </c>
      <c r="L16" s="40">
        <v>8126680996</v>
      </c>
      <c r="M16" s="49">
        <f t="shared" si="1"/>
        <v>8225030241</v>
      </c>
      <c r="N16" s="43">
        <v>3759744167</v>
      </c>
      <c r="O16" s="20">
        <v>433045839</v>
      </c>
      <c r="P16" s="69"/>
      <c r="Q16" s="143" t="s">
        <v>126</v>
      </c>
      <c r="R16" s="83" t="s">
        <v>126</v>
      </c>
      <c r="S16" s="151"/>
    </row>
    <row r="17" spans="1:19" ht="39" thickBot="1" x14ac:dyDescent="0.35">
      <c r="A17" s="78"/>
      <c r="B17" s="80"/>
      <c r="C17" s="80"/>
      <c r="D17" s="63" t="s">
        <v>81</v>
      </c>
      <c r="E17" s="34">
        <v>0.49</v>
      </c>
      <c r="F17" s="35" t="s">
        <v>82</v>
      </c>
      <c r="G17" s="36">
        <v>41639</v>
      </c>
      <c r="H17" s="37" t="s">
        <v>48</v>
      </c>
      <c r="I17" s="22">
        <v>2725747119</v>
      </c>
      <c r="J17" s="22">
        <v>3197338991</v>
      </c>
      <c r="K17" s="22">
        <v>1487479468</v>
      </c>
      <c r="L17" s="42">
        <v>2075894079</v>
      </c>
      <c r="M17" s="48">
        <f t="shared" si="1"/>
        <v>1121444912</v>
      </c>
      <c r="N17" s="45">
        <v>267781611</v>
      </c>
      <c r="O17" s="22">
        <v>40384330</v>
      </c>
      <c r="P17" s="60"/>
      <c r="Q17" s="144"/>
      <c r="R17" s="84"/>
      <c r="S17" s="151"/>
    </row>
    <row r="18" spans="1:19" ht="33" x14ac:dyDescent="0.3">
      <c r="A18" s="77">
        <v>7</v>
      </c>
      <c r="B18" s="79" t="s">
        <v>84</v>
      </c>
      <c r="C18" s="79">
        <v>1</v>
      </c>
      <c r="D18" s="57" t="s">
        <v>85</v>
      </c>
      <c r="E18" s="24">
        <v>0.7</v>
      </c>
      <c r="F18" s="25" t="s">
        <v>87</v>
      </c>
      <c r="G18" s="26">
        <v>41639</v>
      </c>
      <c r="H18" s="27" t="s">
        <v>48</v>
      </c>
      <c r="I18" s="20">
        <v>5065834168</v>
      </c>
      <c r="J18" s="20">
        <v>5535050345</v>
      </c>
      <c r="K18" s="20">
        <v>1152708461</v>
      </c>
      <c r="L18" s="40">
        <v>1353020267</v>
      </c>
      <c r="M18" s="49">
        <f t="shared" si="1"/>
        <v>4182030078</v>
      </c>
      <c r="N18" s="43">
        <v>676588554</v>
      </c>
      <c r="O18" s="20">
        <v>556944</v>
      </c>
      <c r="P18" s="59" t="s">
        <v>88</v>
      </c>
      <c r="Q18" s="143" t="s">
        <v>126</v>
      </c>
      <c r="R18" s="83" t="s">
        <v>126</v>
      </c>
      <c r="S18" s="151"/>
    </row>
    <row r="19" spans="1:19" ht="17.25" thickBot="1" x14ac:dyDescent="0.35">
      <c r="A19" s="78"/>
      <c r="B19" s="80"/>
      <c r="C19" s="80"/>
      <c r="D19" s="33" t="s">
        <v>86</v>
      </c>
      <c r="E19" s="34">
        <v>0.3</v>
      </c>
      <c r="F19" s="35" t="s">
        <v>89</v>
      </c>
      <c r="G19" s="36">
        <v>41639</v>
      </c>
      <c r="H19" s="37" t="s">
        <v>48</v>
      </c>
      <c r="I19" s="22">
        <v>2173771717</v>
      </c>
      <c r="J19" s="22">
        <v>2261779712</v>
      </c>
      <c r="K19" s="22">
        <v>273638739</v>
      </c>
      <c r="L19" s="42">
        <v>921890011</v>
      </c>
      <c r="M19" s="48">
        <f t="shared" si="1"/>
        <v>1339889701</v>
      </c>
      <c r="N19" s="45">
        <v>712611162</v>
      </c>
      <c r="O19" s="22">
        <v>4989724</v>
      </c>
      <c r="P19" s="60"/>
      <c r="Q19" s="144"/>
      <c r="R19" s="84"/>
      <c r="S19" s="151"/>
    </row>
    <row r="20" spans="1:19" ht="25.5" x14ac:dyDescent="0.3">
      <c r="A20" s="77">
        <v>8</v>
      </c>
      <c r="B20" s="79" t="s">
        <v>90</v>
      </c>
      <c r="C20" s="79">
        <v>1</v>
      </c>
      <c r="D20" s="57" t="s">
        <v>91</v>
      </c>
      <c r="E20" s="24">
        <v>0.51</v>
      </c>
      <c r="F20" s="25" t="s">
        <v>94</v>
      </c>
      <c r="G20" s="26">
        <v>41639</v>
      </c>
      <c r="H20" s="27" t="s">
        <v>48</v>
      </c>
      <c r="I20" s="20">
        <v>5718584447</v>
      </c>
      <c r="J20" s="20">
        <v>7846736907</v>
      </c>
      <c r="K20" s="20">
        <v>2264648491</v>
      </c>
      <c r="L20" s="40">
        <v>2278353906</v>
      </c>
      <c r="M20" s="49">
        <f t="shared" si="1"/>
        <v>5568383001</v>
      </c>
      <c r="N20" s="43">
        <v>833361202</v>
      </c>
      <c r="O20" s="20">
        <v>22167177</v>
      </c>
      <c r="P20" s="69"/>
      <c r="Q20" s="143" t="s">
        <v>126</v>
      </c>
      <c r="R20" s="83" t="s">
        <v>126</v>
      </c>
      <c r="S20" s="151"/>
    </row>
    <row r="21" spans="1:19" ht="25.5" x14ac:dyDescent="0.3">
      <c r="A21" s="95"/>
      <c r="B21" s="96"/>
      <c r="C21" s="96"/>
      <c r="D21" s="62" t="s">
        <v>92</v>
      </c>
      <c r="E21" s="29">
        <v>0.24</v>
      </c>
      <c r="F21" s="30" t="s">
        <v>95</v>
      </c>
      <c r="G21" s="31">
        <v>41639</v>
      </c>
      <c r="H21" s="32" t="s">
        <v>48</v>
      </c>
      <c r="I21" s="21">
        <v>12112471000</v>
      </c>
      <c r="J21" s="21">
        <v>13602216000</v>
      </c>
      <c r="K21" s="21">
        <v>6621619000</v>
      </c>
      <c r="L21" s="41">
        <v>6621619000</v>
      </c>
      <c r="M21" s="47">
        <f t="shared" si="1"/>
        <v>6980597000</v>
      </c>
      <c r="N21" s="44">
        <v>3405967000</v>
      </c>
      <c r="O21" s="21">
        <v>17726958</v>
      </c>
      <c r="P21" s="68"/>
      <c r="Q21" s="145"/>
      <c r="R21" s="91"/>
      <c r="S21" s="151"/>
    </row>
    <row r="22" spans="1:19" ht="17.25" thickBot="1" x14ac:dyDescent="0.35">
      <c r="A22" s="78"/>
      <c r="B22" s="80"/>
      <c r="C22" s="80"/>
      <c r="D22" s="33" t="s">
        <v>93</v>
      </c>
      <c r="E22" s="34">
        <v>0.25</v>
      </c>
      <c r="F22" s="35" t="s">
        <v>96</v>
      </c>
      <c r="G22" s="36">
        <v>41639</v>
      </c>
      <c r="H22" s="37" t="s">
        <v>48</v>
      </c>
      <c r="I22" s="22">
        <v>286058449</v>
      </c>
      <c r="J22" s="22">
        <v>341750932</v>
      </c>
      <c r="K22" s="22">
        <v>80794704</v>
      </c>
      <c r="L22" s="42">
        <v>80794704</v>
      </c>
      <c r="M22" s="48">
        <f t="shared" si="1"/>
        <v>260956228</v>
      </c>
      <c r="N22" s="45">
        <v>22619241</v>
      </c>
      <c r="O22" s="22">
        <v>367217.36</v>
      </c>
      <c r="P22" s="60"/>
      <c r="Q22" s="144"/>
      <c r="R22" s="84"/>
      <c r="S22" s="151"/>
    </row>
    <row r="23" spans="1:19" x14ac:dyDescent="0.3">
      <c r="A23" s="77">
        <v>9</v>
      </c>
      <c r="B23" s="79" t="s">
        <v>97</v>
      </c>
      <c r="C23" s="79">
        <v>1</v>
      </c>
      <c r="D23" s="23" t="s">
        <v>98</v>
      </c>
      <c r="E23" s="24">
        <v>0.52</v>
      </c>
      <c r="F23" s="25" t="s">
        <v>101</v>
      </c>
      <c r="G23" s="26">
        <v>41639</v>
      </c>
      <c r="H23" s="27" t="s">
        <v>48</v>
      </c>
      <c r="I23" s="20">
        <v>4227234476</v>
      </c>
      <c r="J23" s="20">
        <v>4420425395</v>
      </c>
      <c r="K23" s="20">
        <v>947197352</v>
      </c>
      <c r="L23" s="40">
        <v>3381365561</v>
      </c>
      <c r="M23" s="49">
        <f t="shared" si="1"/>
        <v>1039059834</v>
      </c>
      <c r="N23" s="43">
        <v>69003984</v>
      </c>
      <c r="O23" s="20">
        <v>101386</v>
      </c>
      <c r="P23" s="69"/>
      <c r="Q23" s="143" t="s">
        <v>126</v>
      </c>
      <c r="R23" s="83" t="s">
        <v>126</v>
      </c>
      <c r="S23" s="151"/>
    </row>
    <row r="24" spans="1:19" x14ac:dyDescent="0.3">
      <c r="A24" s="95"/>
      <c r="B24" s="96"/>
      <c r="C24" s="96"/>
      <c r="D24" s="28" t="s">
        <v>99</v>
      </c>
      <c r="E24" s="29">
        <v>0.33</v>
      </c>
      <c r="F24" s="30" t="s">
        <v>102</v>
      </c>
      <c r="G24" s="31">
        <v>41639</v>
      </c>
      <c r="H24" s="32" t="s">
        <v>48</v>
      </c>
      <c r="I24" s="21">
        <v>1763858000</v>
      </c>
      <c r="J24" s="21">
        <v>2518160000</v>
      </c>
      <c r="K24" s="21">
        <v>555077000</v>
      </c>
      <c r="L24" s="41">
        <v>1410431000</v>
      </c>
      <c r="M24" s="47">
        <f t="shared" si="1"/>
        <v>1107729000</v>
      </c>
      <c r="N24" s="44">
        <v>244908000</v>
      </c>
      <c r="O24" s="21">
        <v>68259000</v>
      </c>
      <c r="P24" s="68"/>
      <c r="Q24" s="145"/>
      <c r="R24" s="91"/>
      <c r="S24" s="151"/>
    </row>
    <row r="25" spans="1:19" ht="26.25" thickBot="1" x14ac:dyDescent="0.35">
      <c r="A25" s="78"/>
      <c r="B25" s="80"/>
      <c r="C25" s="80"/>
      <c r="D25" s="63" t="s">
        <v>100</v>
      </c>
      <c r="E25" s="34">
        <v>0.15</v>
      </c>
      <c r="F25" s="35" t="s">
        <v>103</v>
      </c>
      <c r="G25" s="36">
        <v>41639</v>
      </c>
      <c r="H25" s="37" t="s">
        <v>48</v>
      </c>
      <c r="I25" s="22">
        <v>4773833000</v>
      </c>
      <c r="J25" s="22">
        <v>5371924000</v>
      </c>
      <c r="K25" s="22">
        <v>1712271000</v>
      </c>
      <c r="L25" s="42">
        <v>2319864000</v>
      </c>
      <c r="M25" s="48">
        <f t="shared" si="1"/>
        <v>3052060000</v>
      </c>
      <c r="N25" s="45">
        <v>829649000</v>
      </c>
      <c r="O25" s="22">
        <v>143150000</v>
      </c>
      <c r="P25" s="60"/>
      <c r="Q25" s="144"/>
      <c r="R25" s="84"/>
      <c r="S25" s="151"/>
    </row>
    <row r="26" spans="1:19" x14ac:dyDescent="0.3">
      <c r="A26" s="77">
        <v>10</v>
      </c>
      <c r="B26" s="79" t="s">
        <v>104</v>
      </c>
      <c r="C26" s="79">
        <v>1</v>
      </c>
      <c r="D26" s="23" t="s">
        <v>105</v>
      </c>
      <c r="E26" s="24">
        <v>0.51</v>
      </c>
      <c r="F26" s="25" t="s">
        <v>108</v>
      </c>
      <c r="G26" s="26">
        <v>41639</v>
      </c>
      <c r="H26" s="27" t="s">
        <v>48</v>
      </c>
      <c r="I26" s="20">
        <v>4740841927</v>
      </c>
      <c r="J26" s="20">
        <v>6323833899</v>
      </c>
      <c r="K26" s="20">
        <v>946756213</v>
      </c>
      <c r="L26" s="20">
        <v>946756213</v>
      </c>
      <c r="M26" s="49">
        <f t="shared" si="1"/>
        <v>5377077686</v>
      </c>
      <c r="N26" s="43">
        <v>1268564966</v>
      </c>
      <c r="O26" s="20">
        <v>113640.33</v>
      </c>
      <c r="P26" s="69"/>
      <c r="Q26" s="143" t="s">
        <v>126</v>
      </c>
      <c r="R26" s="83" t="s">
        <v>126</v>
      </c>
      <c r="S26" s="151"/>
    </row>
    <row r="27" spans="1:19" ht="26.25" thickBot="1" x14ac:dyDescent="0.35">
      <c r="A27" s="78"/>
      <c r="B27" s="80"/>
      <c r="C27" s="80"/>
      <c r="D27" s="63" t="s">
        <v>106</v>
      </c>
      <c r="E27" s="34">
        <v>0.49</v>
      </c>
      <c r="F27" s="35" t="s">
        <v>107</v>
      </c>
      <c r="G27" s="36">
        <v>41639</v>
      </c>
      <c r="H27" s="37" t="s">
        <v>48</v>
      </c>
      <c r="I27" s="22">
        <v>3599958000</v>
      </c>
      <c r="J27" s="22">
        <v>3767459000</v>
      </c>
      <c r="K27" s="22">
        <v>368032000</v>
      </c>
      <c r="L27" s="42">
        <v>1091536000</v>
      </c>
      <c r="M27" s="48">
        <f t="shared" si="1"/>
        <v>2675923000</v>
      </c>
      <c r="N27" s="45">
        <v>694341000</v>
      </c>
      <c r="O27" s="22">
        <v>939000</v>
      </c>
      <c r="P27" s="60"/>
      <c r="Q27" s="144"/>
      <c r="R27" s="84"/>
      <c r="S27" s="151"/>
    </row>
    <row r="28" spans="1:19" ht="17.25" thickBot="1" x14ac:dyDescent="0.35">
      <c r="A28" s="77">
        <v>11</v>
      </c>
      <c r="B28" s="79" t="s">
        <v>109</v>
      </c>
      <c r="C28" s="79">
        <v>1</v>
      </c>
      <c r="D28" s="23" t="s">
        <v>111</v>
      </c>
      <c r="E28" s="24">
        <v>0.6</v>
      </c>
      <c r="F28" s="25" t="s">
        <v>123</v>
      </c>
      <c r="G28" s="26">
        <v>41639</v>
      </c>
      <c r="H28" s="27" t="s">
        <v>48</v>
      </c>
      <c r="I28" s="20">
        <v>36491649759</v>
      </c>
      <c r="J28" s="20">
        <v>51307046953</v>
      </c>
      <c r="K28" s="20">
        <v>18728838368</v>
      </c>
      <c r="L28" s="40">
        <v>23085167907</v>
      </c>
      <c r="M28" s="49">
        <f t="shared" si="1"/>
        <v>28221879046</v>
      </c>
      <c r="N28" s="43">
        <v>5188284818</v>
      </c>
      <c r="O28" s="20">
        <v>760747624</v>
      </c>
      <c r="P28" s="69" t="s">
        <v>124</v>
      </c>
      <c r="Q28" s="143" t="s">
        <v>126</v>
      </c>
      <c r="R28" s="83" t="s">
        <v>126</v>
      </c>
      <c r="S28" s="151"/>
    </row>
    <row r="29" spans="1:19" ht="17.25" thickBot="1" x14ac:dyDescent="0.35">
      <c r="A29" s="78"/>
      <c r="B29" s="80"/>
      <c r="C29" s="80"/>
      <c r="D29" s="33" t="s">
        <v>110</v>
      </c>
      <c r="E29" s="34">
        <v>0.4</v>
      </c>
      <c r="F29" s="35" t="s">
        <v>122</v>
      </c>
      <c r="G29" s="36">
        <v>41639</v>
      </c>
      <c r="H29" s="37" t="s">
        <v>48</v>
      </c>
      <c r="I29" s="22">
        <v>5538090023</v>
      </c>
      <c r="J29" s="22">
        <v>6028940723</v>
      </c>
      <c r="K29" s="22">
        <v>2137011415</v>
      </c>
      <c r="L29" s="42">
        <v>3035271469</v>
      </c>
      <c r="M29" s="48">
        <f t="shared" si="1"/>
        <v>2993669254</v>
      </c>
      <c r="N29" s="43">
        <v>296280689</v>
      </c>
      <c r="O29" s="20">
        <v>0</v>
      </c>
      <c r="P29" s="60"/>
      <c r="Q29" s="144"/>
      <c r="R29" s="84"/>
      <c r="S29" s="151"/>
    </row>
    <row r="30" spans="1:19" ht="38.25" x14ac:dyDescent="0.3">
      <c r="A30" s="77">
        <v>12</v>
      </c>
      <c r="B30" s="79" t="s">
        <v>112</v>
      </c>
      <c r="C30" s="79">
        <v>1</v>
      </c>
      <c r="D30" s="57" t="s">
        <v>113</v>
      </c>
      <c r="E30" s="24">
        <v>0.75</v>
      </c>
      <c r="F30" s="25" t="s">
        <v>118</v>
      </c>
      <c r="G30" s="26">
        <v>41639</v>
      </c>
      <c r="H30" s="27" t="s">
        <v>48</v>
      </c>
      <c r="I30" s="20">
        <v>7820860000</v>
      </c>
      <c r="J30" s="20">
        <v>12845708000</v>
      </c>
      <c r="K30" s="20">
        <v>1988807000</v>
      </c>
      <c r="L30" s="40">
        <v>6314440000</v>
      </c>
      <c r="M30" s="49">
        <f t="shared" si="1"/>
        <v>6531268000</v>
      </c>
      <c r="N30" s="43">
        <v>113595000</v>
      </c>
      <c r="O30" s="20">
        <v>99733000</v>
      </c>
      <c r="P30" s="67"/>
      <c r="Q30" s="143" t="s">
        <v>126</v>
      </c>
      <c r="R30" s="83" t="s">
        <v>126</v>
      </c>
      <c r="S30" s="151"/>
    </row>
    <row r="31" spans="1:19" ht="26.25" thickBot="1" x14ac:dyDescent="0.35">
      <c r="A31" s="78"/>
      <c r="B31" s="80"/>
      <c r="C31" s="80"/>
      <c r="D31" s="63" t="s">
        <v>114</v>
      </c>
      <c r="E31" s="34">
        <v>0.25</v>
      </c>
      <c r="F31" s="35" t="s">
        <v>119</v>
      </c>
      <c r="G31" s="36">
        <v>41639</v>
      </c>
      <c r="H31" s="37" t="s">
        <v>48</v>
      </c>
      <c r="I31" s="22">
        <v>1476779524</v>
      </c>
      <c r="J31" s="22">
        <v>1567061695</v>
      </c>
      <c r="K31" s="22">
        <v>853615309</v>
      </c>
      <c r="L31" s="42">
        <v>853615309</v>
      </c>
      <c r="M31" s="48">
        <f t="shared" si="1"/>
        <v>713446386</v>
      </c>
      <c r="N31" s="45">
        <v>396444887</v>
      </c>
      <c r="O31" s="22">
        <v>15997043</v>
      </c>
      <c r="P31" s="60"/>
      <c r="Q31" s="144"/>
      <c r="R31" s="84"/>
      <c r="S31" s="151"/>
    </row>
    <row r="32" spans="1:19" x14ac:dyDescent="0.3">
      <c r="A32" s="77">
        <v>13</v>
      </c>
      <c r="B32" s="79" t="s">
        <v>115</v>
      </c>
      <c r="C32" s="79">
        <v>1</v>
      </c>
      <c r="D32" s="23" t="s">
        <v>116</v>
      </c>
      <c r="E32" s="24">
        <v>0.51</v>
      </c>
      <c r="F32" s="25" t="s">
        <v>121</v>
      </c>
      <c r="G32" s="26">
        <v>41639</v>
      </c>
      <c r="H32" s="27" t="s">
        <v>48</v>
      </c>
      <c r="I32" s="20">
        <v>13027692461</v>
      </c>
      <c r="J32" s="20">
        <v>15317705407</v>
      </c>
      <c r="K32" s="20">
        <v>4294980056</v>
      </c>
      <c r="L32" s="40">
        <v>4294980056</v>
      </c>
      <c r="M32" s="46">
        <f t="shared" si="1"/>
        <v>11022725351</v>
      </c>
      <c r="N32" s="43">
        <v>7798827071</v>
      </c>
      <c r="O32" s="20">
        <v>41427343</v>
      </c>
      <c r="P32" s="69"/>
      <c r="Q32" s="143" t="s">
        <v>126</v>
      </c>
      <c r="R32" s="83" t="s">
        <v>126</v>
      </c>
      <c r="S32" s="151"/>
    </row>
    <row r="33" spans="1:19" ht="17.25" thickBot="1" x14ac:dyDescent="0.35">
      <c r="A33" s="78"/>
      <c r="B33" s="80"/>
      <c r="C33" s="80"/>
      <c r="D33" s="33" t="s">
        <v>117</v>
      </c>
      <c r="E33" s="34">
        <v>0.49</v>
      </c>
      <c r="F33" s="35" t="s">
        <v>120</v>
      </c>
      <c r="G33" s="36">
        <v>41639</v>
      </c>
      <c r="H33" s="37" t="s">
        <v>48</v>
      </c>
      <c r="I33" s="22">
        <v>1068329944.03</v>
      </c>
      <c r="J33" s="22">
        <v>1366336142</v>
      </c>
      <c r="K33" s="22">
        <v>966465198</v>
      </c>
      <c r="L33" s="42">
        <v>1067628448</v>
      </c>
      <c r="M33" s="48">
        <f t="shared" si="1"/>
        <v>298707694</v>
      </c>
      <c r="N33" s="45">
        <v>206211782</v>
      </c>
      <c r="O33" s="22">
        <v>32364</v>
      </c>
      <c r="P33" s="60"/>
      <c r="Q33" s="144"/>
      <c r="R33" s="84"/>
      <c r="S33" s="151"/>
    </row>
  </sheetData>
  <mergeCells count="95">
    <mergeCell ref="R32:R33"/>
    <mergeCell ref="R18:R19"/>
    <mergeCell ref="R20:R22"/>
    <mergeCell ref="R23:R25"/>
    <mergeCell ref="R26:R27"/>
    <mergeCell ref="R28:R29"/>
    <mergeCell ref="R30:R31"/>
    <mergeCell ref="R4:R6"/>
    <mergeCell ref="R7:R8"/>
    <mergeCell ref="R9:R10"/>
    <mergeCell ref="R11:R13"/>
    <mergeCell ref="R14:R15"/>
    <mergeCell ref="R16:R17"/>
    <mergeCell ref="Q20:Q22"/>
    <mergeCell ref="Q23:Q25"/>
    <mergeCell ref="Q26:Q27"/>
    <mergeCell ref="Q28:Q29"/>
    <mergeCell ref="Q30:Q31"/>
    <mergeCell ref="Q32:Q33"/>
    <mergeCell ref="A1:E1"/>
    <mergeCell ref="Q4:Q6"/>
    <mergeCell ref="Q7:Q8"/>
    <mergeCell ref="Q9:Q10"/>
    <mergeCell ref="Q11:Q13"/>
    <mergeCell ref="Q14:Q15"/>
    <mergeCell ref="Q16:Q17"/>
    <mergeCell ref="Q18:Q19"/>
    <mergeCell ref="A32:A33"/>
    <mergeCell ref="B32:B33"/>
    <mergeCell ref="C32:C33"/>
    <mergeCell ref="A30:A31"/>
    <mergeCell ref="B30:B31"/>
    <mergeCell ref="C30:C31"/>
    <mergeCell ref="A28:A29"/>
    <mergeCell ref="B28:B29"/>
    <mergeCell ref="C28:C29"/>
    <mergeCell ref="A26:A27"/>
    <mergeCell ref="B26:B27"/>
    <mergeCell ref="C26:C27"/>
    <mergeCell ref="A23:A25"/>
    <mergeCell ref="B23:B25"/>
    <mergeCell ref="C23:C25"/>
    <mergeCell ref="A20:A22"/>
    <mergeCell ref="B20:B22"/>
    <mergeCell ref="C20:C22"/>
    <mergeCell ref="A18:A19"/>
    <mergeCell ref="B18:B19"/>
    <mergeCell ref="C18:C19"/>
    <mergeCell ref="A16:A17"/>
    <mergeCell ref="B16:B17"/>
    <mergeCell ref="C16:C17"/>
    <mergeCell ref="A14:A15"/>
    <mergeCell ref="B14:B15"/>
    <mergeCell ref="C14:C15"/>
    <mergeCell ref="A11:A13"/>
    <mergeCell ref="B11:B13"/>
    <mergeCell ref="C11:C13"/>
    <mergeCell ref="A9:A10"/>
    <mergeCell ref="B9:B10"/>
    <mergeCell ref="C9:C10"/>
    <mergeCell ref="A7:A8"/>
    <mergeCell ref="B7:B8"/>
    <mergeCell ref="C7:C8"/>
    <mergeCell ref="A4:A6"/>
    <mergeCell ref="B4:B6"/>
    <mergeCell ref="C4:C6"/>
    <mergeCell ref="Q2:Q3"/>
    <mergeCell ref="A2:A3"/>
    <mergeCell ref="B2:B3"/>
    <mergeCell ref="C2:C3"/>
    <mergeCell ref="D2:D3"/>
    <mergeCell ref="E2:E3"/>
    <mergeCell ref="F2:F3"/>
    <mergeCell ref="G2:G3"/>
    <mergeCell ref="R2:R3"/>
    <mergeCell ref="H2:H3"/>
    <mergeCell ref="I2:J2"/>
    <mergeCell ref="K2:L2"/>
    <mergeCell ref="M2:M3"/>
    <mergeCell ref="N2:O2"/>
    <mergeCell ref="P2:P3"/>
    <mergeCell ref="S18:S19"/>
    <mergeCell ref="S7:S8"/>
    <mergeCell ref="S4:S6"/>
    <mergeCell ref="S2:S3"/>
    <mergeCell ref="S14:S15"/>
    <mergeCell ref="S16:S17"/>
    <mergeCell ref="S9:S10"/>
    <mergeCell ref="S11:S13"/>
    <mergeCell ref="S30:S31"/>
    <mergeCell ref="S32:S33"/>
    <mergeCell ref="S20:S22"/>
    <mergeCell ref="S23:S25"/>
    <mergeCell ref="S26:S27"/>
    <mergeCell ref="S28:S29"/>
  </mergeCells>
  <conditionalFormatting sqref="Q16:Q17 Q20:Q33">
    <cfRule type="containsText" dxfId="32" priority="68" operator="containsText" text="ERROR">
      <formula>NOT(ISERROR(SEARCH("ERROR",Q16)))</formula>
    </cfRule>
    <cfRule type="containsText" dxfId="31" priority="69" operator="containsText" text="NO HÁBIL">
      <formula>NOT(ISERROR(SEARCH("NO HÁBIL",Q16)))</formula>
    </cfRule>
    <cfRule type="containsText" dxfId="30" priority="70" operator="containsText" text="HÁBIL">
      <formula>NOT(ISERROR(SEARCH("HÁBIL",Q16)))</formula>
    </cfRule>
  </conditionalFormatting>
  <conditionalFormatting sqref="R4:R8 R14:R17 R20:R33">
    <cfRule type="containsText" dxfId="29" priority="65" operator="containsText" text="ERROR">
      <formula>NOT(ISERROR(SEARCH("ERROR",R4)))</formula>
    </cfRule>
    <cfRule type="containsText" dxfId="28" priority="66" operator="containsText" text="NO HÁBIL">
      <formula>NOT(ISERROR(SEARCH("NO HÁBIL",R4)))</formula>
    </cfRule>
    <cfRule type="containsText" dxfId="27" priority="67" operator="containsText" text="HÁBIL">
      <formula>NOT(ISERROR(SEARCH("HÁBIL",R4)))</formula>
    </cfRule>
  </conditionalFormatting>
  <conditionalFormatting sqref="Q4:Q6">
    <cfRule type="containsText" dxfId="26" priority="62" operator="containsText" text="ERROR">
      <formula>NOT(ISERROR(SEARCH("ERROR",Q4)))</formula>
    </cfRule>
    <cfRule type="containsText" dxfId="25" priority="63" operator="containsText" text="NO HÁBIL">
      <formula>NOT(ISERROR(SEARCH("NO HÁBIL",Q4)))</formula>
    </cfRule>
    <cfRule type="containsText" dxfId="24" priority="64" operator="containsText" text="HÁBIL">
      <formula>NOT(ISERROR(SEARCH("HÁBIL",Q4)))</formula>
    </cfRule>
  </conditionalFormatting>
  <conditionalFormatting sqref="Q7:Q8">
    <cfRule type="containsText" dxfId="23" priority="59" operator="containsText" text="ERROR">
      <formula>NOT(ISERROR(SEARCH("ERROR",Q7)))</formula>
    </cfRule>
    <cfRule type="containsText" dxfId="22" priority="60" operator="containsText" text="NO HÁBIL">
      <formula>NOT(ISERROR(SEARCH("NO HÁBIL",Q7)))</formula>
    </cfRule>
    <cfRule type="containsText" dxfId="21" priority="61" operator="containsText" text="HÁBIL">
      <formula>NOT(ISERROR(SEARCH("HÁBIL",Q7)))</formula>
    </cfRule>
  </conditionalFormatting>
  <conditionalFormatting sqref="Q14:Q15">
    <cfRule type="containsText" dxfId="20" priority="50" operator="containsText" text="ERROR">
      <formula>NOT(ISERROR(SEARCH("ERROR",Q14)))</formula>
    </cfRule>
    <cfRule type="containsText" dxfId="19" priority="51" operator="containsText" text="NO HÁBIL">
      <formula>NOT(ISERROR(SEARCH("NO HÁBIL",Q14)))</formula>
    </cfRule>
    <cfRule type="containsText" dxfId="18" priority="52" operator="containsText" text="HÁBIL">
      <formula>NOT(ISERROR(SEARCH("HÁBIL",Q14)))</formula>
    </cfRule>
  </conditionalFormatting>
  <conditionalFormatting sqref="Q18:Q19">
    <cfRule type="containsText" dxfId="17" priority="16" operator="containsText" text="ERROR">
      <formula>NOT(ISERROR(SEARCH("ERROR",Q18)))</formula>
    </cfRule>
    <cfRule type="containsText" dxfId="16" priority="17" operator="containsText" text="NO HÁBIL">
      <formula>NOT(ISERROR(SEARCH("NO HÁBIL",Q18)))</formula>
    </cfRule>
    <cfRule type="containsText" dxfId="15" priority="18" operator="containsText" text="HÁBIL">
      <formula>NOT(ISERROR(SEARCH("HÁBIL",Q18)))</formula>
    </cfRule>
  </conditionalFormatting>
  <conditionalFormatting sqref="R18:R19">
    <cfRule type="containsText" dxfId="14" priority="13" operator="containsText" text="ERROR">
      <formula>NOT(ISERROR(SEARCH("ERROR",R18)))</formula>
    </cfRule>
    <cfRule type="containsText" dxfId="13" priority="14" operator="containsText" text="NO HÁBIL">
      <formula>NOT(ISERROR(SEARCH("NO HÁBIL",R18)))</formula>
    </cfRule>
    <cfRule type="containsText" dxfId="12" priority="15" operator="containsText" text="HÁBIL">
      <formula>NOT(ISERROR(SEARCH("HÁBIL",R18)))</formula>
    </cfRule>
  </conditionalFormatting>
  <conditionalFormatting sqref="R9:R10">
    <cfRule type="containsText" dxfId="11" priority="10" operator="containsText" text="ERROR">
      <formula>NOT(ISERROR(SEARCH("ERROR",R9)))</formula>
    </cfRule>
    <cfRule type="containsText" dxfId="10" priority="11" operator="containsText" text="NO HÁBIL">
      <formula>NOT(ISERROR(SEARCH("NO HÁBIL",R9)))</formula>
    </cfRule>
    <cfRule type="containsText" dxfId="9" priority="12" operator="containsText" text="HÁBIL">
      <formula>NOT(ISERROR(SEARCH("HÁBIL",R9)))</formula>
    </cfRule>
  </conditionalFormatting>
  <conditionalFormatting sqref="Q9:Q10">
    <cfRule type="containsText" dxfId="8" priority="7" operator="containsText" text="ERROR">
      <formula>NOT(ISERROR(SEARCH("ERROR",Q9)))</formula>
    </cfRule>
    <cfRule type="containsText" dxfId="7" priority="8" operator="containsText" text="NO HÁBIL">
      <formula>NOT(ISERROR(SEARCH("NO HÁBIL",Q9)))</formula>
    </cfRule>
    <cfRule type="containsText" dxfId="6" priority="9" operator="containsText" text="HÁBIL">
      <formula>NOT(ISERROR(SEARCH("HÁBIL",Q9)))</formula>
    </cfRule>
  </conditionalFormatting>
  <conditionalFormatting sqref="Q11:Q13">
    <cfRule type="containsText" dxfId="5" priority="4" operator="containsText" text="ERROR">
      <formula>NOT(ISERROR(SEARCH("ERROR",Q11)))</formula>
    </cfRule>
    <cfRule type="containsText" dxfId="4" priority="5" operator="containsText" text="NO HÁBIL">
      <formula>NOT(ISERROR(SEARCH("NO HÁBIL",Q11)))</formula>
    </cfRule>
    <cfRule type="containsText" dxfId="3" priority="6" operator="containsText" text="HÁBIL">
      <formula>NOT(ISERROR(SEARCH("HÁBIL",Q11)))</formula>
    </cfRule>
  </conditionalFormatting>
  <conditionalFormatting sqref="R11:R13">
    <cfRule type="containsText" dxfId="2" priority="1" operator="containsText" text="ERROR">
      <formula>NOT(ISERROR(SEARCH("ERROR",R11)))</formula>
    </cfRule>
    <cfRule type="containsText" dxfId="1" priority="2" operator="containsText" text="NO HÁBIL">
      <formula>NOT(ISERROR(SEARCH("NO HÁBIL",R11)))</formula>
    </cfRule>
    <cfRule type="containsText" dxfId="0" priority="3" operator="containsText" text="HÁBIL">
      <formula>NOT(ISERROR(SEARCH("HÁBIL",R11)))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Pliegos</vt:lpstr>
      <vt:lpstr>Matriz</vt:lpstr>
      <vt:lpstr>Evaluación final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Valencia Barrera</dc:creator>
  <cp:lastModifiedBy>Adriana Paola Barbosa Cortes</cp:lastModifiedBy>
  <dcterms:created xsi:type="dcterms:W3CDTF">2014-05-27T20:50:42Z</dcterms:created>
  <dcterms:modified xsi:type="dcterms:W3CDTF">2014-06-26T22:29:25Z</dcterms:modified>
</cp:coreProperties>
</file>