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folarte\Documents\PROCESOS 2014\PROCESO CONCURSO DE MERITOS\Pliegos Cali Abogado 15-05-2014\PLIEGO DE CONDICIONES DEFINITIVO\EVALUACIÓN\INFORME FINAL\PARA PUBLICAR\"/>
    </mc:Choice>
  </mc:AlternateContent>
  <bookViews>
    <workbookView xWindow="0" yWindow="0" windowWidth="20730" windowHeight="9735" tabRatio="855" activeTab="4"/>
  </bookViews>
  <sheets>
    <sheet name="INTRO" sheetId="6" r:id="rId1"/>
    <sheet name="Requisitos" sheetId="1" r:id="rId2"/>
    <sheet name="Proponentes" sheetId="4" r:id="rId3"/>
    <sheet name="Resumen" sheetId="10" r:id="rId4"/>
    <sheet name="E Genreal" sheetId="17" r:id="rId5"/>
    <sheet name="E Específica" sheetId="3" r:id="rId6"/>
  </sheets>
  <externalReferences>
    <externalReference r:id="rId7"/>
    <externalReference r:id="rId8"/>
    <externalReference r:id="rId9"/>
    <externalReference r:id="rId10"/>
    <externalReference r:id="rId11"/>
    <externalReference r:id="rId12"/>
    <externalReference r:id="rId13"/>
  </externalReferences>
  <definedNames>
    <definedName name="ACARG03" localSheetId="4">[1]INTRO!#REF!</definedName>
    <definedName name="ACARG03">[1]INTRO!#REF!</definedName>
    <definedName name="acarg3" localSheetId="4">[2]INTRO!#REF!</definedName>
    <definedName name="acarg3">[2]INTRO!#REF!</definedName>
    <definedName name="area">[2]INTRO!$B$3</definedName>
    <definedName name="bcarg3" localSheetId="4">[2]INTRO!#REF!</definedName>
    <definedName name="bcarg3">[2]INTRO!#REF!</definedName>
    <definedName name="bcarg4">[2]INTRO!#REF!</definedName>
    <definedName name="CARGO1">[2]INTRO!$B$14</definedName>
    <definedName name="CARGO2">[2]INTRO!$B$15</definedName>
    <definedName name="ccarg3" localSheetId="4">[2]INTRO!#REF!</definedName>
    <definedName name="ccarg3">[2]INTRO!#REF!</definedName>
    <definedName name="CONSORCIO">[2]DEPENDENCIAS!$I$2:$I$4</definedName>
    <definedName name="dcarg3" localSheetId="4">[2]INTRO!#REF!</definedName>
    <definedName name="dcarg3">[2]INTRO!#REF!</definedName>
    <definedName name="DEPENDENCIAS">[2]DEPENDENCIAS!$B$2:$B$10</definedName>
    <definedName name="LIDERGEN">Requisitos!$H$8</definedName>
    <definedName name="MINGEN">Requisitos!$H$7</definedName>
    <definedName name="numproceso">[2]INTRO!$B$6</definedName>
    <definedName name="objproceso">[2]INTRO!$B$7</definedName>
    <definedName name="PO">Requisitos!$H$3</definedName>
    <definedName name="PROF_REQUE">[3]LISTAS!$D$2:$D$31</definedName>
    <definedName name="PROFESIONES">[3]LISTAS!$E$2:$E$31</definedName>
    <definedName name="SALACTUAL">#REF!</definedName>
    <definedName name="SUMAGEN">Requisitos!$H$6</definedName>
    <definedName name="VALIDACION">[3]SMLM!$G$17:$G$18</definedName>
  </definedNames>
  <calcPr calcId="152511"/>
</workbook>
</file>

<file path=xl/calcChain.xml><?xml version="1.0" encoding="utf-8"?>
<calcChain xmlns="http://schemas.openxmlformats.org/spreadsheetml/2006/main">
  <c r="N186" i="17" l="1"/>
  <c r="N182" i="17"/>
  <c r="N51" i="3" l="1"/>
  <c r="N374" i="3" l="1"/>
  <c r="N328" i="17"/>
  <c r="N34" i="17" l="1"/>
  <c r="N162" i="3" l="1"/>
  <c r="N148" i="17"/>
  <c r="N233" i="17"/>
  <c r="N89" i="3"/>
  <c r="N80" i="17"/>
  <c r="N79" i="17"/>
  <c r="N15" i="17" l="1"/>
  <c r="N13" i="17" l="1"/>
  <c r="N201" i="17" l="1"/>
  <c r="N336" i="3"/>
  <c r="N373" i="3"/>
  <c r="N329" i="17"/>
  <c r="N326" i="17"/>
  <c r="N325" i="17"/>
  <c r="N313" i="17"/>
  <c r="N312" i="17"/>
  <c r="N310" i="17"/>
  <c r="N309" i="17"/>
  <c r="N297" i="17"/>
  <c r="N313" i="3"/>
  <c r="N251" i="17" l="1"/>
  <c r="N316" i="3" l="1"/>
  <c r="N315" i="3"/>
  <c r="N314" i="3"/>
  <c r="N281" i="17"/>
  <c r="N278" i="17"/>
  <c r="O233" i="17" l="1"/>
  <c r="O51" i="3" l="1"/>
  <c r="O34" i="17"/>
  <c r="O15" i="17"/>
  <c r="O14" i="17"/>
  <c r="O13" i="17"/>
  <c r="O334" i="17"/>
  <c r="O333" i="17"/>
  <c r="O318" i="17"/>
  <c r="O317" i="17"/>
  <c r="O302" i="17"/>
  <c r="O301" i="17"/>
  <c r="O286" i="17"/>
  <c r="O285" i="17"/>
  <c r="O271" i="17"/>
  <c r="O270" i="17"/>
  <c r="O256" i="17"/>
  <c r="O255" i="17"/>
  <c r="O240" i="17"/>
  <c r="O239" i="17"/>
  <c r="O224" i="17"/>
  <c r="O223" i="17"/>
  <c r="O208" i="17"/>
  <c r="O207" i="17"/>
  <c r="O191" i="17"/>
  <c r="O190" i="17"/>
  <c r="O174" i="17"/>
  <c r="O173" i="17"/>
  <c r="O157" i="17"/>
  <c r="O156" i="17"/>
  <c r="O251" i="17" l="1"/>
  <c r="Q251" i="17" s="1"/>
  <c r="N135" i="17" l="1"/>
  <c r="O135" i="17" s="1"/>
  <c r="N134" i="17"/>
  <c r="O134" i="17" s="1"/>
  <c r="N67" i="17"/>
  <c r="O67" i="17" s="1"/>
  <c r="N64" i="17"/>
  <c r="O64" i="17" s="1"/>
  <c r="N31" i="17"/>
  <c r="O31" i="17" s="1"/>
  <c r="F230" i="3" l="1"/>
  <c r="N222" i="3"/>
  <c r="O222" i="3" s="1"/>
  <c r="N221" i="3"/>
  <c r="O221" i="3" s="1"/>
  <c r="N220" i="3"/>
  <c r="O220" i="3" s="1"/>
  <c r="N219" i="3"/>
  <c r="O219" i="3" s="1"/>
  <c r="F216" i="3"/>
  <c r="F211" i="3"/>
  <c r="N203" i="3"/>
  <c r="O203" i="3" s="1"/>
  <c r="N202" i="3"/>
  <c r="O202" i="3" s="1"/>
  <c r="N201" i="3"/>
  <c r="O201" i="3" s="1"/>
  <c r="N200" i="3"/>
  <c r="O200" i="3" s="1"/>
  <c r="F197" i="3"/>
  <c r="F192" i="3"/>
  <c r="N184" i="3"/>
  <c r="O184" i="3" s="1"/>
  <c r="N183" i="3"/>
  <c r="O183" i="3" s="1"/>
  <c r="N182" i="3"/>
  <c r="O182" i="3" s="1"/>
  <c r="N181" i="3"/>
  <c r="O181" i="3" s="1"/>
  <c r="F178" i="3"/>
  <c r="M163" i="3"/>
  <c r="N163" i="3" s="1"/>
  <c r="F173" i="3"/>
  <c r="N165" i="3"/>
  <c r="O165" i="3" s="1"/>
  <c r="N164" i="3"/>
  <c r="O164" i="3" s="1"/>
  <c r="R163" i="3"/>
  <c r="O162" i="3"/>
  <c r="F159" i="3"/>
  <c r="O150" i="17"/>
  <c r="N203" i="17"/>
  <c r="O203" i="17" s="1"/>
  <c r="Q203" i="17" s="1"/>
  <c r="N202" i="17"/>
  <c r="O202" i="17" s="1"/>
  <c r="O201" i="17"/>
  <c r="N199" i="17"/>
  <c r="O199" i="17" s="1"/>
  <c r="P208" i="17" s="1"/>
  <c r="O186" i="17"/>
  <c r="N185" i="17"/>
  <c r="O185" i="17" s="1"/>
  <c r="N183" i="17"/>
  <c r="O183" i="17" s="1"/>
  <c r="O182" i="17"/>
  <c r="N169" i="17"/>
  <c r="O169" i="17" s="1"/>
  <c r="N168" i="17"/>
  <c r="O168" i="17" s="1"/>
  <c r="N166" i="17"/>
  <c r="O166" i="17" s="1"/>
  <c r="N165" i="17"/>
  <c r="O165" i="17" s="1"/>
  <c r="F161" i="17"/>
  <c r="N152" i="17"/>
  <c r="O152" i="17" s="1"/>
  <c r="N151" i="17"/>
  <c r="O151" i="17" s="1"/>
  <c r="M150" i="17"/>
  <c r="N150" i="17" s="1"/>
  <c r="O148" i="17"/>
  <c r="F144" i="17"/>
  <c r="P207" i="17" l="1"/>
  <c r="Q207" i="17" s="1"/>
  <c r="Q208" i="17"/>
  <c r="P191" i="17"/>
  <c r="Q191" i="17" s="1"/>
  <c r="P190" i="17"/>
  <c r="Q190" i="17" s="1"/>
  <c r="P174" i="17"/>
  <c r="Q174" i="17" s="1"/>
  <c r="P173" i="17"/>
  <c r="Q173" i="17" s="1"/>
  <c r="P157" i="17"/>
  <c r="Q157" i="17" s="1"/>
  <c r="P156" i="17"/>
  <c r="Q156" i="17" s="1"/>
  <c r="Q209" i="17" l="1"/>
  <c r="Q158" i="17"/>
  <c r="Q175" i="17"/>
  <c r="P219" i="3" l="1"/>
  <c r="P181" i="3" l="1"/>
  <c r="P200" i="3"/>
  <c r="P162" i="3"/>
  <c r="P201" i="17"/>
  <c r="P185" i="17"/>
  <c r="P168" i="17"/>
  <c r="P150" i="17"/>
  <c r="Q150" i="17" s="1"/>
  <c r="Q202" i="17" l="1"/>
  <c r="Q185" i="17"/>
  <c r="Q169" i="17"/>
  <c r="Q168" i="17"/>
  <c r="Q152" i="17"/>
  <c r="Q151" i="17"/>
  <c r="O266" i="17" l="1"/>
  <c r="O328" i="17" l="1"/>
  <c r="F384" i="3"/>
  <c r="N376" i="3"/>
  <c r="O376" i="3" s="1"/>
  <c r="N375" i="3"/>
  <c r="O375" i="3" s="1"/>
  <c r="O374" i="3"/>
  <c r="O373" i="3"/>
  <c r="F370" i="3"/>
  <c r="F364" i="3"/>
  <c r="N356" i="3"/>
  <c r="O356" i="3" s="1"/>
  <c r="N355" i="3"/>
  <c r="O355" i="3" s="1"/>
  <c r="N354" i="3"/>
  <c r="O354" i="3" s="1"/>
  <c r="N353" i="3"/>
  <c r="O353" i="3" s="1"/>
  <c r="F350" i="3"/>
  <c r="F344" i="3"/>
  <c r="O336" i="3"/>
  <c r="N335" i="3"/>
  <c r="O335" i="3" s="1"/>
  <c r="N334" i="3"/>
  <c r="O334" i="3" s="1"/>
  <c r="N333" i="3"/>
  <c r="O333" i="3" s="1"/>
  <c r="F330" i="3"/>
  <c r="F324" i="3"/>
  <c r="O316" i="3"/>
  <c r="O315" i="3"/>
  <c r="O314" i="3"/>
  <c r="O313" i="3"/>
  <c r="F310" i="3"/>
  <c r="O329" i="17"/>
  <c r="Q327" i="17"/>
  <c r="O326" i="17"/>
  <c r="O325" i="17"/>
  <c r="F321" i="17"/>
  <c r="O313" i="17"/>
  <c r="O312" i="17"/>
  <c r="O310" i="17"/>
  <c r="O309" i="17"/>
  <c r="F305" i="17"/>
  <c r="O297" i="17"/>
  <c r="N295" i="17"/>
  <c r="O295" i="17" s="1"/>
  <c r="N294" i="17"/>
  <c r="O294" i="17" s="1"/>
  <c r="N293" i="17"/>
  <c r="O293" i="17" s="1"/>
  <c r="F289" i="17"/>
  <c r="O281" i="17"/>
  <c r="N280" i="17"/>
  <c r="O280" i="17" s="1"/>
  <c r="O278" i="17"/>
  <c r="F274" i="17"/>
  <c r="P318" i="17" l="1"/>
  <c r="Q318" i="17" s="1"/>
  <c r="P333" i="17"/>
  <c r="Q333" i="17" s="1"/>
  <c r="P302" i="17"/>
  <c r="Q302" i="17" s="1"/>
  <c r="P334" i="17"/>
  <c r="Q334" i="17" s="1"/>
  <c r="P301" i="17"/>
  <c r="Q301" i="17" s="1"/>
  <c r="P285" i="17"/>
  <c r="Q285" i="17" s="1"/>
  <c r="P286" i="17"/>
  <c r="Q286" i="17" s="1"/>
  <c r="P317" i="17" l="1"/>
  <c r="Q317" i="17" s="1"/>
  <c r="Q319" i="17" s="1"/>
  <c r="Q303" i="17"/>
  <c r="Q287" i="17"/>
  <c r="P376" i="3" l="1"/>
  <c r="P375" i="3"/>
  <c r="P373" i="3"/>
  <c r="P374" i="3"/>
  <c r="P353" i="3"/>
  <c r="P355" i="3"/>
  <c r="P354" i="3"/>
  <c r="P356" i="3"/>
  <c r="P333" i="3"/>
  <c r="P334" i="3"/>
  <c r="P336" i="3"/>
  <c r="P335" i="3"/>
  <c r="P316" i="3"/>
  <c r="P315" i="3"/>
  <c r="P314" i="3"/>
  <c r="P313" i="3"/>
  <c r="P329" i="17"/>
  <c r="Q329" i="17" s="1"/>
  <c r="P328" i="17"/>
  <c r="Q328" i="17" s="1"/>
  <c r="P297" i="17"/>
  <c r="Q297" i="17" s="1"/>
  <c r="P312" i="17"/>
  <c r="Q312" i="17" s="1"/>
  <c r="P313" i="17"/>
  <c r="Q313" i="17" s="1"/>
  <c r="P281" i="17"/>
  <c r="Q281" i="17" s="1"/>
  <c r="P280" i="17"/>
  <c r="Q280" i="17" l="1"/>
  <c r="F305" i="3" l="1"/>
  <c r="M298" i="3"/>
  <c r="N298" i="3" s="1"/>
  <c r="O298" i="3" s="1"/>
  <c r="O297" i="3"/>
  <c r="Q296" i="3"/>
  <c r="O296" i="3"/>
  <c r="N295" i="3"/>
  <c r="O295" i="3" s="1"/>
  <c r="F292" i="3"/>
  <c r="F286" i="3"/>
  <c r="N279" i="3"/>
  <c r="O279" i="3" s="1"/>
  <c r="N278" i="3"/>
  <c r="O278" i="3" s="1"/>
  <c r="M277" i="3"/>
  <c r="N277" i="3" s="1"/>
  <c r="O277" i="3" s="1"/>
  <c r="N276" i="3"/>
  <c r="O276" i="3" s="1"/>
  <c r="F273" i="3"/>
  <c r="F267" i="3"/>
  <c r="M260" i="3"/>
  <c r="N260" i="3" s="1"/>
  <c r="O260" i="3" s="1"/>
  <c r="N259" i="3"/>
  <c r="O259" i="3" s="1"/>
  <c r="N258" i="3"/>
  <c r="O258" i="3" s="1"/>
  <c r="N257" i="3"/>
  <c r="O257" i="3" s="1"/>
  <c r="F254" i="3"/>
  <c r="F248" i="3"/>
  <c r="N241" i="3"/>
  <c r="O241" i="3" s="1"/>
  <c r="N240" i="3"/>
  <c r="O240" i="3" s="1"/>
  <c r="N239" i="3"/>
  <c r="O239" i="3" s="1"/>
  <c r="N238" i="3"/>
  <c r="O238" i="3" s="1"/>
  <c r="F235" i="3"/>
  <c r="M266" i="17"/>
  <c r="M265" i="17"/>
  <c r="N265" i="17" s="1"/>
  <c r="O265" i="17" s="1"/>
  <c r="N263" i="17"/>
  <c r="O263" i="17" s="1"/>
  <c r="P271" i="17" s="1"/>
  <c r="Q271" i="17" s="1"/>
  <c r="F259" i="17"/>
  <c r="N250" i="17"/>
  <c r="O250" i="17" s="1"/>
  <c r="N248" i="17"/>
  <c r="O248" i="17" s="1"/>
  <c r="N247" i="17"/>
  <c r="O247" i="17" s="1"/>
  <c r="F243" i="17"/>
  <c r="N235" i="17"/>
  <c r="O235" i="17" s="1"/>
  <c r="N234" i="17"/>
  <c r="O234" i="17" s="1"/>
  <c r="N231" i="17"/>
  <c r="O231" i="17" s="1"/>
  <c r="P240" i="17" s="1"/>
  <c r="F227" i="17"/>
  <c r="N219" i="17"/>
  <c r="O219" i="17" s="1"/>
  <c r="N218" i="17"/>
  <c r="O218" i="17" s="1"/>
  <c r="N216" i="17"/>
  <c r="O216" i="17" s="1"/>
  <c r="F212" i="17"/>
  <c r="P270" i="17" l="1"/>
  <c r="Q270" i="17" s="1"/>
  <c r="P255" i="17"/>
  <c r="Q255" i="17" s="1"/>
  <c r="P256" i="17"/>
  <c r="Q256" i="17" s="1"/>
  <c r="Q240" i="17"/>
  <c r="P239" i="17"/>
  <c r="Q239" i="17" s="1"/>
  <c r="P223" i="17"/>
  <c r="Q223" i="17" s="1"/>
  <c r="P224" i="17"/>
  <c r="Q224" i="17" s="1"/>
  <c r="Q257" i="17" l="1"/>
  <c r="Q241" i="17"/>
  <c r="Q225" i="17"/>
  <c r="P295" i="3" l="1"/>
  <c r="P238" i="3"/>
  <c r="P276" i="3"/>
  <c r="P257" i="3"/>
  <c r="Q247" i="17"/>
  <c r="P250" i="17"/>
  <c r="Q250" i="17" s="1"/>
  <c r="P265" i="17"/>
  <c r="Q265" i="17" s="1"/>
  <c r="Q248" i="17"/>
  <c r="P218" i="17"/>
  <c r="Q218" i="17" s="1"/>
  <c r="P233" i="17"/>
  <c r="Q219" i="17" l="1"/>
  <c r="Q234" i="17"/>
  <c r="Q235" i="17"/>
  <c r="F97" i="3" l="1"/>
  <c r="O89" i="3"/>
  <c r="N88" i="3"/>
  <c r="O88" i="3" s="1"/>
  <c r="N87" i="3"/>
  <c r="O87" i="3" s="1"/>
  <c r="N86" i="3"/>
  <c r="O86" i="3" s="1"/>
  <c r="F83" i="3"/>
  <c r="F102" i="3"/>
  <c r="N105" i="3"/>
  <c r="O105" i="3" s="1"/>
  <c r="N106" i="3"/>
  <c r="O106" i="3" s="1"/>
  <c r="N107" i="3"/>
  <c r="O107" i="3" s="1"/>
  <c r="N108" i="3"/>
  <c r="O108" i="3" s="1"/>
  <c r="F116" i="3"/>
  <c r="P105" i="3" l="1"/>
  <c r="P86" i="3"/>
  <c r="F154" i="3" l="1"/>
  <c r="N146" i="3"/>
  <c r="O146" i="3" s="1"/>
  <c r="N145" i="3"/>
  <c r="O145" i="3" s="1"/>
  <c r="N144" i="3"/>
  <c r="O144" i="3" s="1"/>
  <c r="N143" i="3"/>
  <c r="O143" i="3" s="1"/>
  <c r="F140" i="3"/>
  <c r="F135" i="3"/>
  <c r="N127" i="3"/>
  <c r="O127" i="3" s="1"/>
  <c r="N126" i="3"/>
  <c r="O126" i="3" s="1"/>
  <c r="N125" i="3"/>
  <c r="O125" i="3" s="1"/>
  <c r="N124" i="3"/>
  <c r="O124" i="3" s="1"/>
  <c r="F121" i="3"/>
  <c r="O139" i="17"/>
  <c r="N133" i="17"/>
  <c r="O133" i="17" s="1"/>
  <c r="N130" i="17"/>
  <c r="O130" i="17" s="1"/>
  <c r="F126" i="17"/>
  <c r="O121" i="17"/>
  <c r="N117" i="17"/>
  <c r="O117" i="17" s="1"/>
  <c r="N114" i="17"/>
  <c r="O114" i="17" s="1"/>
  <c r="F110" i="17"/>
  <c r="O105" i="17"/>
  <c r="N101" i="17"/>
  <c r="O101" i="17" s="1"/>
  <c r="N98" i="17"/>
  <c r="O98" i="17" s="1"/>
  <c r="N97" i="17"/>
  <c r="O97" i="17" s="1"/>
  <c r="N96" i="17"/>
  <c r="O96" i="17" s="1"/>
  <c r="F92" i="17"/>
  <c r="O87" i="17"/>
  <c r="N83" i="17"/>
  <c r="N82" i="17"/>
  <c r="O82" i="17" s="1"/>
  <c r="O80" i="17"/>
  <c r="O79" i="17"/>
  <c r="P87" i="17" s="1"/>
  <c r="F75" i="17"/>
  <c r="O83" i="17" l="1"/>
  <c r="P88" i="17"/>
  <c r="P106" i="17"/>
  <c r="P139" i="17"/>
  <c r="Q139" i="17" s="1"/>
  <c r="P140" i="17"/>
  <c r="P121" i="17"/>
  <c r="Q121" i="17" s="1"/>
  <c r="P122" i="17"/>
  <c r="P105" i="17"/>
  <c r="Q105" i="17" s="1"/>
  <c r="Q87" i="17" l="1"/>
  <c r="P124" i="3" l="1"/>
  <c r="P143" i="3"/>
  <c r="O140" i="17"/>
  <c r="Q140" i="17"/>
  <c r="Q141" i="17" s="1"/>
  <c r="O122" i="17"/>
  <c r="Q122" i="17"/>
  <c r="Q123" i="17" s="1"/>
  <c r="O106" i="17"/>
  <c r="Q106" i="17"/>
  <c r="Q107" i="17" s="1"/>
  <c r="O88" i="17"/>
  <c r="Q88" i="17"/>
  <c r="Q89" i="17" s="1"/>
  <c r="O70" i="17" l="1"/>
  <c r="N66" i="17"/>
  <c r="O66" i="17" s="1"/>
  <c r="N63" i="17"/>
  <c r="F59" i="17"/>
  <c r="O54" i="17"/>
  <c r="N51" i="17"/>
  <c r="O51" i="17" s="1"/>
  <c r="N50" i="17"/>
  <c r="O50" i="17" s="1"/>
  <c r="N48" i="17"/>
  <c r="O48" i="17" s="1"/>
  <c r="N47" i="17"/>
  <c r="O47" i="17" s="1"/>
  <c r="F43" i="17"/>
  <c r="O38" i="17"/>
  <c r="N33" i="17"/>
  <c r="O33" i="17" s="1"/>
  <c r="N30" i="17"/>
  <c r="F26" i="17"/>
  <c r="O30" i="17" l="1"/>
  <c r="P38" i="17" s="1"/>
  <c r="Q38" i="17" s="1"/>
  <c r="O63" i="17"/>
  <c r="P71" i="17" s="1"/>
  <c r="P55" i="17"/>
  <c r="P54" i="17"/>
  <c r="Q54" i="17" s="1"/>
  <c r="N17" i="17"/>
  <c r="O17" i="17" s="1"/>
  <c r="P21" i="17" s="1"/>
  <c r="F9" i="17"/>
  <c r="P70" i="17" l="1"/>
  <c r="Q70" i="17" s="1"/>
  <c r="P39" i="17"/>
  <c r="P22" i="17"/>
  <c r="F78" i="3" l="1"/>
  <c r="N70" i="3"/>
  <c r="O70" i="3" s="1"/>
  <c r="N69" i="3"/>
  <c r="O69" i="3" s="1"/>
  <c r="N68" i="3"/>
  <c r="O68" i="3" s="1"/>
  <c r="N67" i="3"/>
  <c r="O67" i="3" s="1"/>
  <c r="F64" i="3"/>
  <c r="F59" i="3"/>
  <c r="N50" i="3"/>
  <c r="O50" i="3" s="1"/>
  <c r="N49" i="3"/>
  <c r="O49" i="3" s="1"/>
  <c r="N48" i="3"/>
  <c r="O48" i="3" s="1"/>
  <c r="F45" i="3"/>
  <c r="F40" i="3" l="1"/>
  <c r="N32" i="3"/>
  <c r="O32" i="3" s="1"/>
  <c r="N31" i="3"/>
  <c r="O31" i="3" s="1"/>
  <c r="N30" i="3"/>
  <c r="O30" i="3" s="1"/>
  <c r="N29" i="3"/>
  <c r="O29" i="3" s="1"/>
  <c r="F26" i="3"/>
  <c r="N12" i="3"/>
  <c r="O12" i="3" s="1"/>
  <c r="D74" i="4" l="1"/>
  <c r="D70" i="4"/>
  <c r="D67" i="4"/>
  <c r="D63" i="4"/>
  <c r="D59" i="4"/>
  <c r="D56" i="4"/>
  <c r="D52" i="4"/>
  <c r="D49" i="4"/>
  <c r="D46" i="4"/>
  <c r="D42" i="4"/>
  <c r="D8" i="10" l="1"/>
  <c r="D10" i="10" s="1"/>
  <c r="E10" i="10" s="1"/>
  <c r="E8" i="10" l="1"/>
  <c r="D9" i="10"/>
  <c r="E9" i="10" s="1"/>
  <c r="N15" i="3"/>
  <c r="O15" i="3" s="1"/>
  <c r="N14" i="3"/>
  <c r="O14" i="3" s="1"/>
  <c r="F9" i="3" l="1"/>
  <c r="F22" i="3" l="1"/>
  <c r="N13" i="3" l="1"/>
  <c r="O13" i="3" s="1"/>
  <c r="H10" i="1"/>
  <c r="D39" i="4" l="1"/>
  <c r="D36" i="4"/>
  <c r="H6" i="1"/>
  <c r="N190" i="17" l="1"/>
  <c r="N156" i="17"/>
  <c r="N207" i="17"/>
  <c r="N173" i="17"/>
  <c r="N333" i="17"/>
  <c r="N285" i="17"/>
  <c r="N317" i="17"/>
  <c r="N301" i="17"/>
  <c r="N255" i="17"/>
  <c r="N223" i="17"/>
  <c r="N270" i="17"/>
  <c r="N239" i="17"/>
  <c r="N121" i="17"/>
  <c r="N105" i="17"/>
  <c r="N139" i="17"/>
  <c r="N87" i="17"/>
  <c r="N54" i="17"/>
  <c r="N38" i="17"/>
  <c r="N70" i="17"/>
  <c r="H8" i="1"/>
  <c r="N21" i="17"/>
  <c r="P135" i="17"/>
  <c r="Q135" i="17" s="1"/>
  <c r="P130" i="17"/>
  <c r="P70" i="3"/>
  <c r="N157" i="17" l="1"/>
  <c r="N208" i="17"/>
  <c r="N174" i="17"/>
  <c r="N191" i="17"/>
  <c r="N334" i="17"/>
  <c r="N286" i="17"/>
  <c r="N318" i="17"/>
  <c r="N302" i="17"/>
  <c r="N256" i="17"/>
  <c r="N224" i="17"/>
  <c r="N271" i="17"/>
  <c r="N240" i="17"/>
  <c r="N140" i="17"/>
  <c r="N106" i="17"/>
  <c r="N88" i="17"/>
  <c r="N122" i="17"/>
  <c r="N71" i="17"/>
  <c r="N55" i="17"/>
  <c r="N39" i="17"/>
  <c r="P326" i="17"/>
  <c r="Q326" i="17" s="1"/>
  <c r="P134" i="17"/>
  <c r="Q134" i="17" s="1"/>
  <c r="P310" i="17"/>
  <c r="Q310" i="17" s="1"/>
  <c r="P325" i="17"/>
  <c r="Q325" i="17" s="1"/>
  <c r="P295" i="17"/>
  <c r="Q295" i="17" s="1"/>
  <c r="P309" i="17"/>
  <c r="Q309" i="17" s="1"/>
  <c r="P293" i="17"/>
  <c r="Q293" i="17" s="1"/>
  <c r="P294" i="17"/>
  <c r="Q294" i="17" s="1"/>
  <c r="P263" i="17"/>
  <c r="Q263" i="17" s="1"/>
  <c r="P278" i="17"/>
  <c r="Q278" i="17" s="1"/>
  <c r="P216" i="17"/>
  <c r="Q216" i="17" s="1"/>
  <c r="P231" i="17"/>
  <c r="Q231" i="17" s="1"/>
  <c r="P183" i="17"/>
  <c r="P199" i="17"/>
  <c r="P166" i="17"/>
  <c r="P182" i="17"/>
  <c r="P148" i="17"/>
  <c r="Q148" i="17" s="1"/>
  <c r="P165" i="17"/>
  <c r="P98" i="17"/>
  <c r="P114" i="17"/>
  <c r="P96" i="17"/>
  <c r="P97" i="17"/>
  <c r="P79" i="17"/>
  <c r="Q79" i="17" s="1"/>
  <c r="P80" i="17"/>
  <c r="Q80" i="17" s="1"/>
  <c r="P63" i="17"/>
  <c r="Q63" i="17" s="1"/>
  <c r="P64" i="17"/>
  <c r="Q64" i="17" s="1"/>
  <c r="P47" i="17"/>
  <c r="Q47" i="17" s="1"/>
  <c r="P48" i="17"/>
  <c r="Q48" i="17" s="1"/>
  <c r="P30" i="17"/>
  <c r="Q30" i="17" s="1"/>
  <c r="P31" i="17"/>
  <c r="Q31" i="17" s="1"/>
  <c r="P14" i="17"/>
  <c r="P15" i="17"/>
  <c r="Q15" i="17" s="1"/>
  <c r="P67" i="17"/>
  <c r="Q67" i="17" s="1"/>
  <c r="P13" i="17"/>
  <c r="Q13" i="17" s="1"/>
  <c r="P117" i="17"/>
  <c r="Q117" i="17" s="1"/>
  <c r="P34" i="17"/>
  <c r="Q34" i="17" s="1"/>
  <c r="P133" i="17"/>
  <c r="Q133" i="17" s="1"/>
  <c r="P66" i="17"/>
  <c r="Q66" i="17" s="1"/>
  <c r="P83" i="17"/>
  <c r="Q83" i="17" s="1"/>
  <c r="P101" i="17"/>
  <c r="Q101" i="17" s="1"/>
  <c r="P49" i="3"/>
  <c r="P82" i="17"/>
  <c r="Q82" i="17" s="1"/>
  <c r="P51" i="17"/>
  <c r="Q51" i="17" s="1"/>
  <c r="P50" i="17"/>
  <c r="Q50" i="17" s="1"/>
  <c r="P33" i="17"/>
  <c r="Q33" i="17" s="1"/>
  <c r="N22" i="17"/>
  <c r="P17" i="17"/>
  <c r="Q17" i="17" s="1"/>
  <c r="Q22" i="17"/>
  <c r="P68" i="3"/>
  <c r="P69" i="3"/>
  <c r="P51" i="3"/>
  <c r="P67" i="3"/>
  <c r="P48" i="3"/>
  <c r="P50" i="3"/>
  <c r="P31" i="3"/>
  <c r="P32" i="3"/>
  <c r="P29" i="3"/>
  <c r="P30" i="3"/>
  <c r="P14" i="3"/>
  <c r="P15" i="3"/>
  <c r="P12" i="3"/>
  <c r="Q51" i="3" s="1"/>
  <c r="P13" i="3"/>
  <c r="I3" i="1"/>
  <c r="Q222" i="3" l="1"/>
  <c r="Q219" i="3"/>
  <c r="Q221" i="3"/>
  <c r="Q220" i="3"/>
  <c r="Q202" i="3"/>
  <c r="Q203" i="3"/>
  <c r="Q200" i="3"/>
  <c r="Q201" i="3"/>
  <c r="Q184" i="3"/>
  <c r="Q182" i="3"/>
  <c r="Q181" i="3"/>
  <c r="Q183" i="3"/>
  <c r="Q162" i="3"/>
  <c r="Q164" i="3"/>
  <c r="Q163" i="3"/>
  <c r="Q165" i="3"/>
  <c r="Q183" i="17"/>
  <c r="Q199" i="17"/>
  <c r="Q166" i="17"/>
  <c r="Q165" i="17"/>
  <c r="Q374" i="3"/>
  <c r="Q373" i="3"/>
  <c r="Q376" i="3"/>
  <c r="Q356" i="3"/>
  <c r="Q354" i="3"/>
  <c r="Q334" i="3"/>
  <c r="Q333" i="3"/>
  <c r="Q336" i="3"/>
  <c r="Q335" i="3"/>
  <c r="Q314" i="3"/>
  <c r="Q315" i="3"/>
  <c r="Q316" i="3"/>
  <c r="Q313" i="3"/>
  <c r="Q241" i="3"/>
  <c r="Q259" i="3"/>
  <c r="Q260" i="3"/>
  <c r="Q257" i="3"/>
  <c r="Q258" i="3"/>
  <c r="Q276" i="3"/>
  <c r="Q277" i="3"/>
  <c r="Q297" i="3"/>
  <c r="Q295" i="3"/>
  <c r="Q279" i="3"/>
  <c r="Q278" i="3"/>
  <c r="Q238" i="3"/>
  <c r="Q298" i="3"/>
  <c r="Q240" i="3"/>
  <c r="Q239" i="3"/>
  <c r="Q88" i="3"/>
  <c r="Q86" i="3"/>
  <c r="Q89" i="3"/>
  <c r="Q87" i="3"/>
  <c r="Q107" i="3"/>
  <c r="Q106" i="3"/>
  <c r="Q108" i="3"/>
  <c r="Q105" i="3"/>
  <c r="Q144" i="3"/>
  <c r="Q146" i="3"/>
  <c r="Q145" i="3"/>
  <c r="Q143" i="3"/>
  <c r="Q126" i="3"/>
  <c r="Q124" i="3"/>
  <c r="Q127" i="3"/>
  <c r="Q125" i="3"/>
  <c r="Q130" i="17"/>
  <c r="Q114" i="17"/>
  <c r="Q98" i="17"/>
  <c r="Q97" i="17"/>
  <c r="Q96" i="17"/>
  <c r="O71" i="17"/>
  <c r="Q71" i="17"/>
  <c r="Q72" i="17" s="1"/>
  <c r="O55" i="17"/>
  <c r="Q55" i="17"/>
  <c r="Q56" i="17" s="1"/>
  <c r="O39" i="17"/>
  <c r="Q39" i="17"/>
  <c r="Q40" i="17" s="1"/>
  <c r="O22" i="17"/>
  <c r="Q68" i="3"/>
  <c r="Q67" i="3"/>
  <c r="Q69" i="3"/>
  <c r="Q49" i="3"/>
  <c r="Q50" i="3"/>
  <c r="Q48" i="3"/>
  <c r="Q30" i="3"/>
  <c r="Q32" i="3"/>
  <c r="Q29" i="3"/>
  <c r="Q31" i="3"/>
  <c r="Q15" i="3"/>
  <c r="Q14" i="3"/>
  <c r="Q13" i="3"/>
  <c r="Q12" i="3"/>
  <c r="F226" i="3" l="1"/>
  <c r="F227" i="3" s="1"/>
  <c r="F207" i="3"/>
  <c r="F208" i="3" s="1"/>
  <c r="F188" i="3"/>
  <c r="F189" i="3" s="1"/>
  <c r="F169" i="3"/>
  <c r="F170" i="3" s="1"/>
  <c r="F380" i="3"/>
  <c r="F381" i="3" s="1"/>
  <c r="F360" i="3"/>
  <c r="F361" i="3" s="1"/>
  <c r="F340" i="3"/>
  <c r="F341" i="3" s="1"/>
  <c r="F320" i="3"/>
  <c r="F321" i="3" s="1"/>
  <c r="F244" i="3"/>
  <c r="F245" i="3" s="1"/>
  <c r="F263" i="3"/>
  <c r="F264" i="3" s="1"/>
  <c r="F282" i="3"/>
  <c r="F283" i="3" s="1"/>
  <c r="F301" i="3"/>
  <c r="F93" i="3"/>
  <c r="F112" i="3"/>
  <c r="F113" i="3" s="1"/>
  <c r="F150" i="3"/>
  <c r="F151" i="3" s="1"/>
  <c r="F131" i="3"/>
  <c r="F132" i="3" s="1"/>
  <c r="O21" i="17"/>
  <c r="Q21" i="17"/>
  <c r="Q23" i="17" s="1"/>
  <c r="F74" i="3"/>
  <c r="F36" i="3"/>
  <c r="F55" i="3"/>
  <c r="F18" i="3"/>
  <c r="F75" i="3" l="1"/>
  <c r="F56" i="3"/>
  <c r="F37" i="3"/>
  <c r="F19" i="3"/>
</calcChain>
</file>

<file path=xl/sharedStrings.xml><?xml version="1.0" encoding="utf-8"?>
<sst xmlns="http://schemas.openxmlformats.org/spreadsheetml/2006/main" count="2865" uniqueCount="751">
  <si>
    <t>Suma</t>
  </si>
  <si>
    <t>Cada contrato</t>
  </si>
  <si>
    <t>Lider</t>
  </si>
  <si>
    <t>Experiencia General</t>
  </si>
  <si>
    <t>2.</t>
  </si>
  <si>
    <t>4.15</t>
  </si>
  <si>
    <t>3.</t>
  </si>
  <si>
    <t>b3.</t>
  </si>
  <si>
    <t>Cada No lider</t>
  </si>
  <si>
    <t>AGENCIA NACIONAL DE INFRAESTRUCTURA</t>
  </si>
  <si>
    <t>VICEPRESIDENCIA DE GESTIÓN CONTRACTUAL</t>
  </si>
  <si>
    <t>ACREDITACIÓN EXPERIENCIA GENERAL</t>
  </si>
  <si>
    <t>Fecha de cierre:</t>
  </si>
  <si>
    <t>Proponente No.</t>
  </si>
  <si>
    <t>Integrante que aporta experiencia</t>
  </si>
  <si>
    <t>Fecha de Iniciación
(DD-MM-AA)</t>
  </si>
  <si>
    <t>Fecha de Terminación
(DD-MM-AA)</t>
  </si>
  <si>
    <t>Valor total del Contrato (Bas+Ajs+IVA)</t>
  </si>
  <si>
    <t>VFA</t>
  </si>
  <si>
    <t>OBSERVACIONES A LOS CONTRATOS</t>
  </si>
  <si>
    <t>Objeto</t>
  </si>
  <si>
    <t>País en el que celebró el contrato</t>
  </si>
  <si>
    <t>Porcentaje de Participación
(%)</t>
  </si>
  <si>
    <t>Valor total FACTURADO (Básico+IVA)</t>
  </si>
  <si>
    <t>MIEMBRO LIDER</t>
  </si>
  <si>
    <t>MIEMBRO NO LIDER</t>
  </si>
  <si>
    <t>SMMLV</t>
  </si>
  <si>
    <t>PROPONENTE</t>
  </si>
  <si>
    <t>No. De Orden</t>
  </si>
  <si>
    <t>Entidad Contratante</t>
  </si>
  <si>
    <t>Pais en el que se celebro el contrato</t>
  </si>
  <si>
    <t>Cumple Objeto de Experiencia Específica (SI/NO)</t>
  </si>
  <si>
    <t>Integrante o asistente técnico que aporta experiencia</t>
  </si>
  <si>
    <t>Cumple Valor de Experiencia Específica (SI/NO)</t>
  </si>
  <si>
    <t>Porcentaje de Participación</t>
  </si>
  <si>
    <t>PUNTAJE OBTENIDO</t>
  </si>
  <si>
    <t>Contrato No.</t>
  </si>
  <si>
    <t>Contrato o Resolución No.</t>
  </si>
  <si>
    <t>SUPERVISIÓN O INTERVENTORÍA EN PROYECTOS DE INFRAESTRUCTURA DE TRANSPORTE</t>
  </si>
  <si>
    <t>DATOS DE ENTRADA PARA LA CALIFICACIÓN DEL CONCURSO DE MÉRITOS</t>
  </si>
  <si>
    <t>DATOS BÁSICOS PROCESO</t>
  </si>
  <si>
    <t>DEPENDENCIA</t>
  </si>
  <si>
    <t>MODULO</t>
  </si>
  <si>
    <t>NUMERO DE PROPUESTAS A EVALUAR</t>
  </si>
  <si>
    <t>NUMERO DEL PROCESO</t>
  </si>
  <si>
    <t>OBJETO DE LA CONTRATACIÓN</t>
  </si>
  <si>
    <t>OBJETO DE EVALUACION EXPERIENCIA GENERAL</t>
  </si>
  <si>
    <t>OBJETO DE EVALUACION EXPERIENCIA ESPECÍFICA</t>
  </si>
  <si>
    <t>LISTADO DE PROPONENTES</t>
  </si>
  <si>
    <t>CUADRO No. 1</t>
  </si>
  <si>
    <t>DIEGO IGNACIO ARENAS</t>
  </si>
  <si>
    <t>VELNEC S.A.</t>
  </si>
  <si>
    <t>Fecha mínima</t>
  </si>
  <si>
    <t>Fecha mínima:</t>
  </si>
  <si>
    <t>CONTRATOS APORTADOS QUE CUMPLEN</t>
  </si>
  <si>
    <t>Valor total FACTURADO (Básico+IVA) SMMLV</t>
  </si>
  <si>
    <t>Periodo de suspensión en meses</t>
  </si>
  <si>
    <t>COLOMBIA</t>
  </si>
  <si>
    <t>INVIAS</t>
  </si>
  <si>
    <t>MONTO</t>
  </si>
  <si>
    <t>ACREDITADO</t>
  </si>
  <si>
    <t>Es asistente técnico</t>
  </si>
  <si>
    <t>SI</t>
  </si>
  <si>
    <t>NO</t>
  </si>
  <si>
    <t>Experiencia específica</t>
  </si>
  <si>
    <t>5.2</t>
  </si>
  <si>
    <t>Requisito del Valor Mínimo Facturado 
(SMMLV)</t>
  </si>
  <si>
    <t>Valor Facturado del Contrato (Bas+Ajs+IVA) para Evaluación
(SMMLV)</t>
  </si>
  <si>
    <t>CONTRATO EN INFRAESTRUCTURA AEROPORTUARIA</t>
  </si>
  <si>
    <t>ASISTENTE TÉCNICO</t>
  </si>
  <si>
    <t>Fecha de Inicio
(DD-MM-AA)</t>
  </si>
  <si>
    <t>Observaciones</t>
  </si>
  <si>
    <t>RUP</t>
  </si>
  <si>
    <t>Valor total facturado del Contrato (Bas+Ajs+IVA)
($)</t>
  </si>
  <si>
    <t>Valor Facturado del Contrato por participación (Bas+Ajs+IVA) para Evaluación
($)</t>
  </si>
  <si>
    <t>No aparece en el RUP por estar en ejecución</t>
  </si>
  <si>
    <t>MATRIZ RESUMEN EVALUACIÓN TÉCNICA</t>
  </si>
  <si>
    <t>$</t>
  </si>
  <si>
    <t xml:space="preserve"> Experiencia General</t>
  </si>
  <si>
    <t>b</t>
  </si>
  <si>
    <t>Al menos un contrato en Infraestructura Aeroportuaria</t>
  </si>
  <si>
    <t>Experiencia Específica (4,15)</t>
  </si>
  <si>
    <t>CUMPLE</t>
  </si>
  <si>
    <t>C</t>
  </si>
  <si>
    <t>f</t>
  </si>
  <si>
    <t>I</t>
  </si>
  <si>
    <t>Total puntaje</t>
  </si>
  <si>
    <t>e</t>
  </si>
  <si>
    <t>Asistente Técnico (max 1)</t>
  </si>
  <si>
    <t>Cada miembro aporta contrato válido</t>
  </si>
  <si>
    <t>VJ-VGC-CM-004-2014</t>
  </si>
  <si>
    <t xml:space="preserve">“Contratar la interventoría de obra, que incluye pero no se limita a la “interventoría técnica, social, ambiental, predial, financiera, legal y administrativa de las obras derivadas del Otrosí No. 1, correspondientes a la ejecución de las inversiones obligatorias, inversiones voluntarias, obras adicionales y obras de certificación asociadas al Contrato de Concesión N°. 058-CON-2000, cuyo objeto es “la administración, operación y explotación económica del área concesionada del aeropuerto Alfonso Bonilla Aragón de la ciudad de Palmira que sirve a la ciudad de Cali”. </t>
  </si>
  <si>
    <t>Presupuesto Oficial</t>
  </si>
  <si>
    <t>del Presupuesto oficial</t>
  </si>
  <si>
    <t>del 100% requerido</t>
  </si>
  <si>
    <t>del Presupuesto Oficial</t>
  </si>
  <si>
    <t>SMMLV(2014)</t>
  </si>
  <si>
    <t>PRESUPUESTO OFICIAL</t>
  </si>
  <si>
    <t>SUMA (REQUERIDO 100% DEL P.O.)</t>
  </si>
  <si>
    <t>REQUERIDO LIDER 51% DEL 100% requerido</t>
  </si>
  <si>
    <t>Cada contrato del miembro No lider cumple con $832.000.000</t>
  </si>
  <si>
    <t>Contrato en Colombia en Interventoría (Técnica y Financiera, y/o Técnica y Social, y/o Técnica y Ambientall.</t>
  </si>
  <si>
    <t>Total de contratos aportados que cumple con requisitos (min 13% del P.O.)</t>
  </si>
  <si>
    <t>CONCURSO DE MÉRITOS ABIERTO VJ-VGC-CM-004-2014</t>
  </si>
  <si>
    <t>REQUERIDO LIDER 51% DEL 100%</t>
  </si>
  <si>
    <t>ACREDITACIÓN EXPERIENCIA ESPECIFICA</t>
  </si>
  <si>
    <t xml:space="preserve">PROPONENTE 1: </t>
  </si>
  <si>
    <t xml:space="preserve">PROPONENTE 2: </t>
  </si>
  <si>
    <t>CONCURSO DE MÉRITOS VJ-VGC-CM-004-2014</t>
  </si>
  <si>
    <t>7 DE JULIO DE 2014</t>
  </si>
  <si>
    <t xml:space="preserve">FECHA DE CIERRE </t>
  </si>
  <si>
    <t>FECHA DE ADJUDICACION</t>
  </si>
  <si>
    <t>29 DE JULIO DE 2014</t>
  </si>
  <si>
    <t>CONSORCIO CONIISA - TECNICONSULTA</t>
  </si>
  <si>
    <t>UNION TEMPORAL AEROPUERTO PALMIRA</t>
  </si>
  <si>
    <t>CONSORCIO AEROPISTA DEL VALLE</t>
  </si>
  <si>
    <t>CONSORCIO SUPERVISION AEROCALI</t>
  </si>
  <si>
    <t>CONSORCION INTERVENTORIA PALMIRA 2014</t>
  </si>
  <si>
    <t>CONSORCIO EPSILON - CALI</t>
  </si>
  <si>
    <t>CONSORCIO INTERVENTORIA AEROPUERTO CALI</t>
  </si>
  <si>
    <t>CONSORCIO UNIDOS PARA EL AEROPUERTO DE PALMIRA</t>
  </si>
  <si>
    <t>CONSORCIO AEROPUERTOA ANI</t>
  </si>
  <si>
    <t>CONSORCIO INTERVENTORIA PALMIRA</t>
  </si>
  <si>
    <t>CONSORCIO INTERVENTORIA AEROPUERTO PALMIRA 2014</t>
  </si>
  <si>
    <t>CONSORCIO AEROPUERTO DEL VALLE</t>
  </si>
  <si>
    <t>CONSORCIO CONCESIONES 04</t>
  </si>
  <si>
    <t>CONSORCIO INTERVENTORES AEROPORTUARIOS</t>
  </si>
  <si>
    <t>CONSORCIO ECOPIDDO</t>
  </si>
  <si>
    <t>CONSORCIO INCOPLAN INTEGRAL SEG CALI</t>
  </si>
  <si>
    <t>CONSORCIO INTERVENTORIA AEROPUERTO 2014</t>
  </si>
  <si>
    <t xml:space="preserve">PROPONENTE 10: </t>
  </si>
  <si>
    <t xml:space="preserve">PROPONENTE 3: </t>
  </si>
  <si>
    <t xml:space="preserve">PROPONENTE 4: </t>
  </si>
  <si>
    <t xml:space="preserve">PROPONENTE 5: </t>
  </si>
  <si>
    <t xml:space="preserve">PROPONENTE 6: </t>
  </si>
  <si>
    <t xml:space="preserve">PROPONENTE 7: </t>
  </si>
  <si>
    <t xml:space="preserve">PROPONENTE 8: </t>
  </si>
  <si>
    <t xml:space="preserve">PROPONENTE 9: </t>
  </si>
  <si>
    <t xml:space="preserve">PROPONENTE 11: </t>
  </si>
  <si>
    <t xml:space="preserve">PROPONENTE 12: </t>
  </si>
  <si>
    <t xml:space="preserve">PROPONENTE 13: </t>
  </si>
  <si>
    <t xml:space="preserve">PROPONENTE 14: </t>
  </si>
  <si>
    <t xml:space="preserve">PROPONENTE 15: </t>
  </si>
  <si>
    <t xml:space="preserve">PROPONENTE 16: </t>
  </si>
  <si>
    <t xml:space="preserve">PROPONENTE 17: </t>
  </si>
  <si>
    <t xml:space="preserve">PROPONENTE 18: </t>
  </si>
  <si>
    <t xml:space="preserve">PROPONENTE 19: </t>
  </si>
  <si>
    <t xml:space="preserve">PROPONENTE 20: </t>
  </si>
  <si>
    <t xml:space="preserve">VALOR MÍNIMO </t>
  </si>
  <si>
    <t>Cumple minimo del P.O.</t>
  </si>
  <si>
    <t>CONSULTORIA INTEGRAL EN INGENIERIA SA DE CV</t>
  </si>
  <si>
    <t>TECNICONSULTA SA</t>
  </si>
  <si>
    <t>SECRETARIA DE OBRAS Y SERVICIOS DE LA CIUDAD DE MEXICO</t>
  </si>
  <si>
    <t>IN08.LP.L.3.020</t>
  </si>
  <si>
    <t>SUPERVISION TECNICA Y DE CONTROL ADMINISTRATIVO Y FINANCIERO DE LA OBRA DENOMINADA:PROYECTO INTEGRAL A PRECIO ALZADO Y TIEMPO DETERMINADO DE LOS PUENTES VEHICULARES: A) TRABAJADORAS SOCIALES (EJE 6 SUR) - RIO CHURUBUSCO (CIRCUITO INTERIOR), EN LAS DELEGACION IZTAPALAPA Y B) PURISIMA (EJE 5 SUR), RIO CHURUBUSCO (CIRCUITO INTERIOR), EN LA DELEGACION IZTAPALAPA.</t>
  </si>
  <si>
    <t>MEXICO</t>
  </si>
  <si>
    <t>FIMEVIC SER/022/2003</t>
  </si>
  <si>
    <t>SUPERVISION A LA CONSTRUCCION DE LOS PUENTES VEHICULARES FRAY SERVANDO Y AV DEL TALLER EN EL CRUCE DE FRANCISCO DEL PASO Y TRONCOSO Y AV DEL TALLER.</t>
  </si>
  <si>
    <t>INSTITUTO DE DESARROLLO URBANO</t>
  </si>
  <si>
    <t>091 DE 2008</t>
  </si>
  <si>
    <t>INTERVENTORÍA TÉCNICA, ADMINISTRATIVA, FINANCIERA, LEGAL SOCIAL Y AMBIENTAL DE LAS OBRAS Y ACTIVIDADES PARA LA MALLA VIAL ARTERIAL, INTERMEDIA Y LOCAL DE LOS DISTRITOS DE CONSERVACION EN LA CIUDAD DE BOGOTA D.C. CORRESPONDIENTE AL GRUPO Nª1 NORTE</t>
  </si>
  <si>
    <t>TECNICONSULTA</t>
  </si>
  <si>
    <t>AFA CONSULTORES Y CONSTRUCTORES S.A.</t>
  </si>
  <si>
    <t>INCGROUP S.A.S.</t>
  </si>
  <si>
    <t>DEPARTAMENTO DEL MAGDALENA - SECRETARIA DE INFRAESTRUCTURA</t>
  </si>
  <si>
    <t>.051</t>
  </si>
  <si>
    <t>INTERVENTORIA AL CONTRATO DE CONCESION Nª044 DE 1993 PARA LA REHABILITAION, CONSTRUCCION, MEJORAMIENTO, CONSERVACION, MANTENIMIENTO Y OPERACIÓN DE LA VIA BARRANQUILLA-CIENAGA, ENTRE LAS ABSCISAS K0+000 AL K62+000. JURISDICCION: MUNICIPIOS DE CIENAGA, PUEBLO VIEJO Y SITIO NUEVO (DEPARTAMENTO DEL MAGDALENA) Y MUNICIPIO DE BARRANQUILLA (DEPARTAMENTO DEL ATLANTICO)</t>
  </si>
  <si>
    <t>INTERVENTORÍA TÉCNICA, ADMINISTRATIVA, , LEGAL, FINANCIERA, AMBIENTAL Y SOCIAL PARA LA EJECUCION  DE LA TOTALIDAD  DE LAS OBRAS DE CONTRUCCION Y TODAS LAS ACTIVIDADES NECESARIAS PARA LA ADECUACION DE LA AC 26 (AV JORGE ELIECER GAITAN) AL SISTEMA TRASMILENIO, EN EL TRAMO 3 COMPRENDIDO ENTRE LA TV 76 Y LA KR 42B Y EN EL TRAMO 4 COMPRENDIDO ENTRE LA KR 42B Y LA KR 19, GRUPO 4 DE LA LICITACION PUBLICA NUMERO IDU-LP-DG-022-2007, EN BOGOTA DC.</t>
  </si>
  <si>
    <t>REQUERIDO 100% DEL PO</t>
  </si>
  <si>
    <t>ANA ISABEL HENDE CARREÑO</t>
  </si>
  <si>
    <t>INV-No.110 DE 2003</t>
  </si>
  <si>
    <t>INTERVENTORIA (SUPERVISION) TECNICA, OPERATIVA Y FINANCIERA EN LA ETAPA DE CONSTRUCCION DEL CONTRATO DE CONCESION 0113 DE 1997 CARRETERA ARMENIA-PEREIRA-MANIZALEZ</t>
  </si>
  <si>
    <t>IDU-BM 250 DE 2004</t>
  </si>
  <si>
    <t>INTERVENTORIA TECNICA, ADMINISTRATIVA, FINANCIERA, SOCIAL Y AMBIENTAL PARA LA CONSTRUCCION, REHABILITACION Y CONSERVACION DE VIAS PARA RUTAS ALIMENTADORAS DEL SISTEMA TRASMILENIO, ZONA 4, GRUPO1 EN BOGOTA DC.</t>
  </si>
  <si>
    <t>INFICALDAS</t>
  </si>
  <si>
    <t>INTERVENTORÍA TÉCNICA, ADMINISTRATIVA, FINANCIERA Y AMBIENTAL DEL CONTRATO PARA LA RECONSTRUCCION, PAVIMENTACION Y/O REPAVIMENTACION EN EL TRAMO VIAL MANIZALEZ.</t>
  </si>
  <si>
    <t>INTERVENTORÍA TÉCNICA, ADMINISTRATIVA, FINANCIERA Y LEGAL A LA CONSTRUCCION PARA LA SEGUNDA ETAPA DEL RPYECTO DE PAVIMENTACION EN LOS BARRIOS DEL CENTRO, LA CANDELARIA, ESCALONES, LAMANGA, TIERRA BLANCA Y UNION EN ELMUNICIPIO DE OROCUE, DEPARTAMENTO DE CASANARE.</t>
  </si>
  <si>
    <t>ALCALDIA MUNICIPAL DE OROCUE</t>
  </si>
  <si>
    <t>ANA ISABEL HENDE 
CAREÑO</t>
  </si>
  <si>
    <t>22412-180</t>
  </si>
  <si>
    <t>PV-20-2010</t>
  </si>
  <si>
    <t>INTERVENTORIA TECNICA Y FINANCIERA EN SUS ETAPAS DE DISEÑO Y PROGRAMACION Y DE CONSTRUCCIO DE LA CONCESION PARA EL DESARROLLO VIAL DEL ORIENTE DE MEDELLIN Y VALLE DE RIONEGRO Y CONEXIÓN A PUERTO TRIUNFO.</t>
  </si>
  <si>
    <t>ARREDONDO MADRID INGENIEROS CIVILES (AIM) LIMITADA</t>
  </si>
  <si>
    <t>INSTITUTO NACIONAL DE VIAS - INVIAS</t>
  </si>
  <si>
    <t>INTERVENTORIA DE LA CONSTRUCCION Y PAVIMENTACION DEL SECTOR QUEBRADA LAS DORADAS - DEPRESION EL VERGEL - ORRAPIHUASI DE LA CARRETERA ALTAMIRA - FLORENCIA</t>
  </si>
  <si>
    <t>PAULO EMILIO BRAVO CONSULTORES S.A.S.</t>
  </si>
  <si>
    <t>CONTRATO EN COLOMBIA EN INTERVENTORÍA TECNICA Y/O FINANCIERA, TECNICA Y/O SOCIAL, TECNICA Y/O AMBIENTAL</t>
  </si>
  <si>
    <t>INSTITUTO DE INFRAESTRUCTURA Y CONCESIONES DE CUNDINAMARCA</t>
  </si>
  <si>
    <t>ICCU-021-2010</t>
  </si>
  <si>
    <t>CONTRATAR LA INTERVENTORIA TECNICA, SOCIO-AMBIENTAL, JURIDICO Y FINANCIERA PARA UN PERIODO DE LA ETAPA DE OPERACIÓN Y PARA LAS ACTIVIDADES DE LA ETAPA PREOPERTIVA DE LAS OBRAS ADICIONALES DE LAS CONCESIONES VIALES DEL DEPARTAMENTO DE CUNDINAMARCA.</t>
  </si>
  <si>
    <t>AEROPUERTOS Y SERVICIOS AUXILIARES</t>
  </si>
  <si>
    <t>364-05-UNF01-3S</t>
  </si>
  <si>
    <t>COORDINACION Y SUPERVISION TECNICA Y ADMINISTRATIVA DE LA EJECUCION DE LA OBRA PUBLICA RELATIVA A PROYECTO INTEGRAL A PRECIO ALZADO Y TIEMPO DETERMINADO PARA ANTEPROYECTO Y DISEÑO DETALLADO, INGENIERIA DE DETALLE, OBRA CIVIL, SUMINISTRO, INSTALACION, PRUEBAS, PUESTA EN MARCHA, TRANSFERENCIA DE TECNOLOGIA CAPACITACION DEL SISTEMA DE TRANSPORTE INTERMINALES (amp), QUE CONECTARA A LAS TERMINALES 1 Y 2 DEL AEROPUERTO INTERNACIONAL DE LA CIUDAD DE MEXICO.</t>
  </si>
  <si>
    <t>11,07 CO 01 MB.3.002</t>
  </si>
  <si>
    <t>SUPERVISION DE LA CONSTRUCCION DEL CORREDOR VIAL DE LA LINEA 4 METROBUS BUENA VISTA-CENTRO HISTORICO-SAN LAZARO CON EXTENCION AL AEROPUERTO  INTERNACIONAL DE LA CIUDAD DE MEXICO, EN UNA LONGITUD DE 27.3 KM.,CON INFLUENCIA EN LAS DELEGACIONES CUAHUTEMOC Y VENUSTIANO CARRANZA.</t>
  </si>
  <si>
    <t>CV FIMEVIC SER/01572002</t>
  </si>
  <si>
    <t>SUPERVISION DE LA CONSTRUCCION DEL DISTRIBUIDOR VIAL SAN ANTONIO EN LOS TRAMOS IV, V, VI.</t>
  </si>
  <si>
    <t>El valor de la columna M "Valor total facturado del Contrato" fue generado con base en los valores oficiales publicados en las paginas del Banco de Mexico para el peso mexicano y el Banco de Estados Unidos para el dólar americano, de acuerdo a la fecha de inicio del contrato.</t>
  </si>
  <si>
    <t>Valor Facturado del Contrato por participación (Bas+Ajs+IVA) para Evaluación ($)</t>
  </si>
  <si>
    <t>DEPARTAMENTO DEL MAGDALENA</t>
  </si>
  <si>
    <t>CONTRATO DE INTERVENTORIA PARA LA PRIMERA FASE DEL PLAN VIAL DEL NORTE DEL DEPARTAMENTO DEL MAGDALENA</t>
  </si>
  <si>
    <t>.001</t>
  </si>
  <si>
    <t>EN EJECUCUION</t>
  </si>
  <si>
    <t>DEMARCACION DE CARRETERAS DE ESTADO DE MADRID</t>
  </si>
  <si>
    <t>8000001-0H-2008</t>
  </si>
  <si>
    <t>INTERVENTORIA INTEGRAL, TECNICA DE DISEÑO, CONSTRUCCION Y MANTENIMIENTO, LEGAL, FINANCIERA, CONTABLE, ADMINISTRATIVA, OPERATIVA Y AMBIENTAL PARA LA CONCESION DE LA ADMINISTRACION, OPERACIÓN, EXPLOTACION COMERCIAL, INVERSION MODERNIZACION Y MANTENIMIENTO DEL AEROPUERTO INTERNACIONAL "GUSTAVO ROJAS PINILLA" DE SAN ANDRES Y EL AEROPUERTO "EL EMBRUJO" DE PROVIDENCIA.</t>
  </si>
  <si>
    <t>AERONAUTICA CIVIL</t>
  </si>
  <si>
    <t>588/06</t>
  </si>
  <si>
    <t>CONSULTORIA Y ASISTENCIA"INSPECCION DEL CONTRATO DE CONCESION DE OBRAS PUBLICAS PARA LA CONSERVACION Y EXPLOTACION DE AUTOVIAS DE PRIMERA GENERACION DE LA AUTOVIA A-4 DEL SUR, DEL pk 9100 AL 67500. TRAMO: MADRID-OCAÑA. RED DE CARRETERAS DEL ESTADO. PROVINCIA DE MADRID.</t>
  </si>
  <si>
    <t>ESPAÑA</t>
  </si>
  <si>
    <t>INV-Nª110 DE 2013</t>
  </si>
  <si>
    <t>INTERVENTORIA (SUPERVISION) TECNICA, OPERATIVA Y FINANCIERA EN LA ETAPA DE CONSTRUCCION DEL CONTRATO DE CONCESION 0113 DE 1997 CARRETERA ARMENIA-PEREIRA-MANIZALES</t>
  </si>
  <si>
    <t>INSTITUTO NACIONAL DE VIAS INVIAS</t>
  </si>
  <si>
    <t>INTERVENTORIA INTEGRAL QUE INCLUYE PERO NO SE LIMITA A LA INTEVENTORIA TECNICA, FINANCIERA, ADMINISTRATIVA, JURIDICA, GESTION SOCIAL, PREDIAL Y AMBIENTAL PARA EL MEORAMIENTO, GESTION SOCIAL , PREDIAL, Y AMBIENTAL DEL PROYECTO CORREDOR DE LAS PALMERAS FASE 2 PARA EL PROGRAMA CORREDORES PRIORITARIOS PARA LA PROSPERIDAD.</t>
  </si>
  <si>
    <t>INTERVENTORIA PARA LA RECONSTRUCCION, PAVIMENTACION Y/O REPAVIMENTACION EN EL TRAMO VIA MANIZALES - NEIRA DEPARTAMENTO DE CALDAS</t>
  </si>
  <si>
    <t>AEROPUERTOS ESPAÑOLES Y NAVEGACION AEREA AENA</t>
  </si>
  <si>
    <t>CONSORCIO PACIFICO 2014</t>
  </si>
  <si>
    <t>ARREDONDO MADRID INGENIEROS VIVILES (AIM)</t>
  </si>
  <si>
    <t>ASISTENCIA TECNICA PARA EL CONTROL Y VIGILANCIA DE LAOBRA: VIA DE SERVICIO DE MERCANCIAS EN EL AEROPUERTO DE MADRID-BARAJAS</t>
  </si>
  <si>
    <t>INTERVENTORIA TECNICA, FINANCIERA, OPERATIVA, PREDIAL, SOCIO-AMBIENTAL Y LEGAL DEL PROYECTO  DE CONCESION VIAL CARTGENA - BARRANQUILLA, EN EL MARCO DEL CONTRATO DE CONCESION Nª503 DE 1994, DE CONFORMIDAD CON LOS TERMINOS DE REFERENCIA DEL CONCURSO.</t>
  </si>
  <si>
    <t>ASISTENCIA TECNICA PARA EL CONTROL Y VIGILANCIA DE LA OBRA: AMPLIACION CAMPO DE VUELOS-AEROPUERTO DE MELILLA</t>
  </si>
  <si>
    <t>(EUROCONSULT) ASISTENTE TECNICO</t>
  </si>
  <si>
    <t>SGC 012 2008</t>
  </si>
  <si>
    <t>PROCESO VJ-VGC-CM-004-2014</t>
  </si>
  <si>
    <t>INGETEC S.A.</t>
  </si>
  <si>
    <t>UG21</t>
  </si>
  <si>
    <t>CONSORCIO AERO PALMIRA</t>
  </si>
  <si>
    <t>DIEGO FONSECA CHAVES</t>
  </si>
  <si>
    <t xml:space="preserve">ICEACSA CONSULTORES SUCURSAL COLOMBIA </t>
  </si>
  <si>
    <t>CONSORCIO MAB-OMICRON</t>
  </si>
  <si>
    <t>MAB INGENIERIA DE VALOR S.A.</t>
  </si>
  <si>
    <t>OMICRON AMEPRO S.A.</t>
  </si>
  <si>
    <t>PROYECTOS E INTERVENTORIAS LIMITADA</t>
  </si>
  <si>
    <t>CIVILTEC INGENIEROS LTDA</t>
  </si>
  <si>
    <t>NO CUMPLE</t>
  </si>
  <si>
    <t>HÁBIL</t>
  </si>
  <si>
    <t>SUBSANE</t>
  </si>
  <si>
    <t>No. 928 de 1999 y Adicional 1 No. 928-1-1999 de 2003</t>
  </si>
  <si>
    <t xml:space="preserve">INTERVENTORIA TECNICA, FINANCIERA Y OPERATIVA EN LA ETAPA DE CONSTRUCCION DEL CONTRATO DE CONCESION NO. 0113 DE 1997 DEL PROYECTO VIAL "ARMENIA - PEREIRA - MANIZALES", Y QUE COMPRENDIO LOS ESTUDIOS, DISEÑOS OBRAS DE REHABILITACION, OPERACIÓN, MANTENIMIENTO Y ASEGURAMIENTO DE LA CALIDAD DE LA VIA. </t>
  </si>
  <si>
    <t>DEPARTAMENTO DE CUNDINAMARCA</t>
  </si>
  <si>
    <t>SV-21-96</t>
  </si>
  <si>
    <t>INTERVENTORIA DE LAS ETAPAS DE DISEÑO Y PROGRAMACION, DE CONSTRUCCION Y DE OPERACIÓN PARCIAL DE ESTAS MISMAS ETAPAS, DENTRO DE LA EJECUCION DEL CONTRATO DE CONCESION DEL PROYECTO CHIA-MOSQUERA-GIRARDOT Y RAMAL AL MUNICIPIO DE SOACHA, CUYO ALCANCE COMPRENDE FUNCIONES DE DIRECCION Y CONTROL, TECNICO-ADMINISTRATIVO, RELACIONADAS CON ASPECTOS DE INGENIERIA, FINANCIEROS, FIDEICOMISO, CONTRACTUALES, DISPOSICIONES LEGALES Y SEGURIDAD E HIGIENE INDUSTRIAL.</t>
  </si>
  <si>
    <t>AUTORIDAD PORTUARIA DE MELILLA</t>
  </si>
  <si>
    <t>S/N</t>
  </si>
  <si>
    <t>ASISTENCIA TECNICA PARA LA VIGILANCIA Y CONTROL MEDIOAMBIENTAL DE LAS OBRAS DE NUEVA ALINEACION DEL MUELLE RIBERA 1 EN EL PTO. DE MELILLA (MELILLA).</t>
  </si>
  <si>
    <t>Experiencia acreditada en el extranjero, no requere estar inscrito en el RUP</t>
  </si>
  <si>
    <t>Se aclara que el proponente menciona como entidad contratante en la tabla de resumen (Folio 61) la Autoridad Portuaria Andalucia y el certificado (Folio 68) establece que la entidad contratante es la Arutoridad Portuaria de Melilla.</t>
  </si>
  <si>
    <t>12000252-OK 2012</t>
  </si>
  <si>
    <t>INTERVENTORIA TECNIVA Y ADMINISTRATIVAS PARA LAS OBRAS DE CONSTRUCCION DE LA TORRE DE CONTROL DEL AEROPUERTO INTERNACIONAL EL DORADO Y DEL CENTRO DE GESTION AERONAUTICO DE COLOMBIA-C.G.A.C</t>
  </si>
  <si>
    <t>EN EJECUCION</t>
  </si>
  <si>
    <t>SE DA CONSTANCIA QUE PARA LA EVALUACION DE LA EXPERIENCIA DE ESTE CONTRATO SE TOMO EN CUENTA EL VALOR ESTABLECIDO EN EL CERTIFIACO EXPEDIDO POR LA AEROCIVIL EN EL FOLIO 071 COMO "VALOR FACTURADO" EL CUAL ES DE LA SUMA DE $1.163.338.632 PESOS COLOMBIANOS</t>
  </si>
  <si>
    <t>TREN DE OCCIDENTE S.A.</t>
  </si>
  <si>
    <t>REALIZAR ACTIVIDADES DE SUPERVISION TECNICA Y CONTROL DE CALIDAD EN LA REHABILITACION Y RECUPERACION DEL CORREDOR FERREO CONCESIONADO EN EL SECTOR ZARAGOZA-LA FELISA</t>
  </si>
  <si>
    <t>DIEGO FERNANDO FONSECA CHAVES</t>
  </si>
  <si>
    <t>SE VERIFICO LA EXPERIENCIA CON EL CONTRATO DE OFERTA MERCATIL SUSCRITO EL 3 DE MARZO DE 2010.</t>
  </si>
  <si>
    <t>INSTITUTO DE DESARROLLO URBANO - IDU</t>
  </si>
  <si>
    <t>IDU-067-2009</t>
  </si>
  <si>
    <t>INTERVENTORIA TECNICA, ADMINISTRATIVA FINANCIERA, LEGAL, SOCIAL Y AMBIENTAL, PARA LA CONSTUCCION DE LA AVENIDA LAUREANO GOMEZ (AK 9) DESDE AV. SAN JUAN BOSCO (AC 170) HASTA AV. CEDRITOS (AC 147) Y CONSTRUCCION DE LA CALZADA SUR DE LA AVENIDA SAN JOSE (AC 170) DESDE LA AVENIDA BOYACA HASTA AVENIDA COTA (AK 91), CORRESPONDIENTES RESPECTIVAMENTE A LAS OBRAS CON CODIG DE OBRA 101 Y 107 DEL ACUERDO 180 DE 2005 DE VALORIZACION, EN BOGOTA D.C.</t>
  </si>
  <si>
    <t xml:space="preserve">Se aclara que para la evaluación de la experiencia en salarios minimos se tomo como referecia el valor facturado a la fecha. Folio 156. </t>
  </si>
  <si>
    <t>IDU-075-2009</t>
  </si>
  <si>
    <t xml:space="preserve">INTERVENTORIA TECNICA, ADMINISTRATIVA FINANCIERA, LEGAL, SOCIAL Y AMBIENTAL PARA LA CONSTUCCION DE LAS SIGUIENTES OBRAS DEL ACUERDO 180 DEL 2005 DE VALORIZACION, EN BOGOTA D.C.
A. LA INTERSECCION DE LA AVENIDA PASEO COUNTRY (CARRERA 15), CON LA AVENIDA CARLOS LLERAS RESTREPO (CALLE 100), PROYECTO CODIGO DE OBRA 160.
B. INTERSECCION A DESNIVEL DE AV GERMAN ARCINIEGAS (CARRERA 11) POR AV. LAUREANO GOMEZ (CARRERA 9), PROYECTO DE OBRA 102.
C. AVENIDA GERMAN ARCINIEGAS (CARRERA 11= DESDE CALLE 106 HASTA AV. LAUREANO GOMEZ (CARRERA 9), PROYECTO CODIGO DE OBRA 103.
</t>
  </si>
  <si>
    <t>DIRECCION GENERAL DE CARRETERAS</t>
  </si>
  <si>
    <t>CONSULTORIA Y ASISTENCIA PARA EL CONTROL Y VIGILANCIA DE LAS OBRAS: AUTOVIA A-8 DEL CANTABRICO. TRAMO: MONDOÑEDO-LORENZANA.</t>
  </si>
  <si>
    <t>ICEACSA</t>
  </si>
  <si>
    <t>NO. 283 DE 2010</t>
  </si>
  <si>
    <t>INTERVENTORIA INTEGRAL DEL CONTRATO DE CONCESION, QUE INCLUYE PERO NO SE LIMITA A LA INTERVENTORIA TECNICA, FINANCIERA, CONTABLE, JURIDICA, MEDIO-AMBNTAL, SOCIO-PREDIAL, ADMINISTRATIVA, DE SEGUROS, OPERATIVA Y DE MANTENIMIENTO DEL CONTRATO DE CONCESION, EL CUAL HACE PARTE DEL PROYECTO VIAL RUTA DEL SOL Y QUE CORRESPONDE AL SECTOR 1 COMPRENDIDO ENTRE TOBIAGRANDE/VILLETA-GUADUAS EL KORAN.</t>
  </si>
  <si>
    <t>MINISTRO DE FOMENTO</t>
  </si>
  <si>
    <t xml:space="preserve">ASISTENCIA TECNICA A LA DIRECCION DE OBRA PARA EL CONTROL PARA EL CONTROL DE EJECUCION Y SUPERVISION DE 6 KM DE AUTOVIA PERIURBANA DE DOS CARRILES POR SENTIDO Y CUATRO ENLACES, INCLUYENDO LOS TRABAJOS DE CONTROL GEOMETRICO, CONTROL CUALITATIVO Y CUANTITATIVO DE DICHAS OBRAS. </t>
  </si>
  <si>
    <t>OMICRON AMPERO S.A.</t>
  </si>
  <si>
    <t>IDU-092 DE 2008</t>
  </si>
  <si>
    <t xml:space="preserve">INTERVENTORIA TECNICA, ADMINISTRATIVA, FINANCIERA, LEGAL, SOCIAL Y AMBIENTAL DE LAS OBRAS Y ACTIVIDADES PARA LA MALLA VIAL ARTERIAL, INTERMEDIA Y LOCAL DE LOS DISTRITOS DE CONSERVACION EN LA CIUDAD DE BOGOTA D.C. CORRESPONDIENTE AL GRUPO NO. 2 - CENTRO </t>
  </si>
  <si>
    <t xml:space="preserve">PROYECTOS E INTERVENTORIA LIMITADA </t>
  </si>
  <si>
    <t>NO. 183 DE 1997</t>
  </si>
  <si>
    <t>INTERVENTORIA TECNICA Y ADMINISTRATIVA DEL CONTRATO DE OBRA PUBLICA PARA LA CONSTRUCCION DE LA AVENIDA CIUDAD DE CALI DE LA CALLE 13 A LA AVENIDA VILLAVICENCIO.</t>
  </si>
  <si>
    <t>CVILTEC INGENIEROS LTDA</t>
  </si>
  <si>
    <t>AENA AEROPUERTOS</t>
  </si>
  <si>
    <t>ASISTENCIA TECNICA PARA EL PROYECTO AEROPORTUARIO "NUEVA AREA TERMINAL EN EL AEROPUERTO DE MADRID-BARAJAS. EDIFICIO SATELITE (EXPEDIENTEE 379/01)"</t>
  </si>
  <si>
    <t>G.O.C</t>
  </si>
  <si>
    <t xml:space="preserve">Se aclara que para la evaluación de la experiencia en salarios minimos se tomo como referecia el valor facturado a la fecha. Folio 14. </t>
  </si>
  <si>
    <t>NO. 055-2011</t>
  </si>
  <si>
    <t>INTERVENTORIA TECNICA PARA LAS VIAS INTERMEDIAS Y LOCALES EJECUTADAS POR URBANIZADORES Y/O TERCEROS EN BOGOTA D.C.</t>
  </si>
  <si>
    <t>AENA</t>
  </si>
  <si>
    <t>ASISTENCIA TECNICA PARA LA SUPERVISION, CONTROL Y VIGILANCIA DE LA OBRA: "AREA TERMINAL EN EL AEROPUERTO DE BURGOS".</t>
  </si>
  <si>
    <t>NO. 010 DEL 4 DE MARZO DEL 2008</t>
  </si>
  <si>
    <t>INTERVENTORIA TECNICA, FINANCIERA, OPERATIVA, PREDIAL, SOCIO-AMBIENTAL Y LEGAL DEL PROYECTO DE CONCESION MALLA VIAL DEL VALLE DEL CAUCA Y CAUCA - MVVCC</t>
  </si>
  <si>
    <t xml:space="preserve">PROYECTOS E INTERVENTORIAS LTDA </t>
  </si>
  <si>
    <t>FUERZA AEREA COLOMBIANA</t>
  </si>
  <si>
    <t>NO. 341-00-A-COFAC-DINSA 2012</t>
  </si>
  <si>
    <t>INTERVENTORIA TECNICA, FINANCIERA Y ADMINISTRATIVA DE LA EJECUCION DE LAS OBRAS PARA EL MANTENIMIENTO, ADECUACION Y AMPLIACION DE LOS AERODROMOS EN EL CACOM-1 (PTO. SALGAR-CUNDINAMARCA) Y EL CACOM-2 (APIAY-META)</t>
  </si>
  <si>
    <t>19-22014</t>
  </si>
  <si>
    <t>1086-2001</t>
  </si>
  <si>
    <t xml:space="preserve">Se aclara que para la evaluación de la experiencia en salarios minimos se tomo como referecia el valor total ejecutado. Folio 005. </t>
  </si>
  <si>
    <t>SE DA CONSTANCIA QUE PARA LA EVALUACION DE LA EXPERIENCIA DE ESTE CONTRATO SE TOMO EN CUENTA EL VALOR ESTABLECIDO EN EL CERTIFIACO EXPEDIDO POR LA AEROCIVIL EN EL FOLIO 013 COMO "VALOR FACTURADO" EL CUAL ES DE LA SUMA DE $1.163.338.632 PESOS COLOMBIANOS</t>
  </si>
  <si>
    <t>Solicitar subsane. Aclarar cual es el contrato inscrito en el RUP para el proyecto presentado por el proponente.</t>
  </si>
  <si>
    <t>HABIL</t>
  </si>
  <si>
    <t>PENDIENTE</t>
  </si>
  <si>
    <t>C&amp;M CONSULTORES S.A.</t>
  </si>
  <si>
    <t>EUROESTUDIOS S.A.S.</t>
  </si>
  <si>
    <t>EPYSA COLOMBIA</t>
  </si>
  <si>
    <t>CB INGENIEROS S.A.</t>
  </si>
  <si>
    <t>HACE INGENIEROS S.A.S.</t>
  </si>
  <si>
    <t>INTERVENTORÍAS Y DISEÑOS S.A.</t>
  </si>
  <si>
    <t>3B PROYECTOS S.A.S.</t>
  </si>
  <si>
    <t>INGENIERÍA Y CONSULTORÍA INGECON S.A.S.</t>
  </si>
  <si>
    <t>TBC TABIQUE INGENIERÍA S.A.S.</t>
  </si>
  <si>
    <t>INFRAESTRUCTURA INTEGRAL S.A.S.</t>
  </si>
  <si>
    <t>VALOR MÍNIMO</t>
  </si>
  <si>
    <t>Transmilenio S.A.</t>
  </si>
  <si>
    <t>80-2012</t>
  </si>
  <si>
    <t>Se modifica la fecha de terminacion conforme a la fecha acreditada a folio 104.</t>
  </si>
  <si>
    <t>EUROESTUDIOS SAS</t>
  </si>
  <si>
    <t>Se corrige la conversion según la tasa de euros a dolares vigente a la fecha de inicio</t>
  </si>
  <si>
    <t>IDU</t>
  </si>
  <si>
    <t>188-2005</t>
  </si>
  <si>
    <t>Informacion de certificación que obra a folio 118</t>
  </si>
  <si>
    <t>Informacion de certificación que obra a folios 209 y 210</t>
  </si>
  <si>
    <t>034-1996</t>
  </si>
  <si>
    <t>INSTITUTO NACIONAL DE CONCESIONES (AGENCIA NACIONAL DE INFRAESTRUCTURA)</t>
  </si>
  <si>
    <t>SGC-012-2008</t>
  </si>
  <si>
    <t>Información de certificación que obra a folios 243 a 245</t>
  </si>
  <si>
    <t>INSTITUTO NACIONAL DE CONCESIONES  (AGENCIA NACIONAL DE INFRAESTRUCTURA)</t>
  </si>
  <si>
    <t>SEA-C-MVVC-089-2004</t>
  </si>
  <si>
    <t>Informacion de certificación que obra a folios 268 a 272</t>
  </si>
  <si>
    <t>Transmetro S.A.</t>
  </si>
  <si>
    <t>CPI-TM-300-001-08</t>
  </si>
  <si>
    <t>INTERVENTORÍAS Y DISEÑOS S.A. INTERDISEÑOS</t>
  </si>
  <si>
    <t>Informacion de certificación que obra a folios 120 a 138</t>
  </si>
  <si>
    <t>Instituto Nacional de Vías - INVÍAS</t>
  </si>
  <si>
    <t>138-2012</t>
  </si>
  <si>
    <t>Informacion de certificación que obra a folios 227 y 228</t>
  </si>
  <si>
    <t>Transcaribe S.A.</t>
  </si>
  <si>
    <t>CPI-TC-001-2007</t>
  </si>
  <si>
    <t>3B PROYECTOS S.A.S. (ACI PROYECTOS S.A.)</t>
  </si>
  <si>
    <t>Informacion de certificación que obra a folios 263 a 267</t>
  </si>
  <si>
    <t>AGENCIA NACIONAL DE INFRAESTRUCTURA - ANI</t>
  </si>
  <si>
    <t>SGC-C-BSPV-085-2004</t>
  </si>
  <si>
    <t>No está reportado en el RUP</t>
  </si>
  <si>
    <t>TRANSCARIBE S.A</t>
  </si>
  <si>
    <t>CPI-TC-01-96</t>
  </si>
  <si>
    <t xml:space="preserve">INTERVENTORIA TECNICA, FINANCIERA Y AMBIENTAL PARA LA CONSTRUCCION DE UN TRAMO DE CORREDOR DEL SISTEMA INTEGRADO DE TRANSPORTE MASIVO TRANCARIBE DEL AMPARO A CUATRO VIENTOS. CARTAGENA DE INDIAS D.T Y C. </t>
  </si>
  <si>
    <t>Informacion de certificación que obra a folios 095 a 097</t>
  </si>
  <si>
    <t xml:space="preserve">INSTITUTO DE DESARROLLO URBANO </t>
  </si>
  <si>
    <t>IDU-172-2007</t>
  </si>
  <si>
    <t xml:space="preserve">INTERVENTORIA TECNICA, ADMINISTRATIVA, LEGAL, FINANCIERA, AMBIENTAL Y SOCIAL DE LAS OBRAS DE CONSTRUCCION Y TODAS LAS ACTIVIDADES NECESARIAS PARA LA ADECUACION DE LA CALLE 26. </t>
  </si>
  <si>
    <t>95% DEL 20%</t>
  </si>
  <si>
    <t>INFRAESTRUCTURA INTEGRAL SAS (YAMILL MONTENEGRO CALDERON)</t>
  </si>
  <si>
    <t>ASCENDI DOURO INTERIOR - ESTADO DEL INTERIOR S.A.</t>
  </si>
  <si>
    <t>CONSULTORIA TECNICA DIRECCION GESTION, SUPERVISION FISCALIZACION APOYO TECNICO DE OBRA PARA VIADUCTOS SUPERIORES SOBRE LA AUTOPISTA PARA VEHICULOS Y PEATONES.</t>
  </si>
  <si>
    <t xml:space="preserve">PORTUGAL </t>
  </si>
  <si>
    <t>50% DEL 100%</t>
  </si>
  <si>
    <t>TBC TABIQUE INGENIERIA SAS (TABIQUE ENGENHARIA LDA)</t>
  </si>
  <si>
    <t>Se modifica la fecha de terminacion conforme a la fecha acreditada a folio 004.</t>
  </si>
  <si>
    <t>ANI</t>
  </si>
  <si>
    <t>010-2008</t>
  </si>
  <si>
    <t>Se verifica la información con la certificacion a folios 018 a 035</t>
  </si>
  <si>
    <t>SGC-C-CB-76-2004</t>
  </si>
  <si>
    <t>Se verifica la información con la certificacion a folios 036 y 037</t>
  </si>
  <si>
    <t>CONTRATO EN COLOMBIA EN INTERVENTORÍA TÉCNICA Y FINANCIERA Y/O TÉCNICA Y SOCIAL Y/O TÉCNICA Y AMBIENTAL</t>
  </si>
  <si>
    <t>Información de certificación que obra a folios 006 y 007</t>
  </si>
  <si>
    <t>Información de certificación que obra a folios 014 a 016</t>
  </si>
  <si>
    <t>Informacion de certificación que obra a folios 039 a 041</t>
  </si>
  <si>
    <t xml:space="preserve">DIRECCIÓN DE AEROPUERTOS MINISTERIO DE OBRAS PUBLICAS </t>
  </si>
  <si>
    <t>CHILE</t>
  </si>
  <si>
    <t>AXIOMA INGENIEROS CONSULTORES S.A.</t>
  </si>
  <si>
    <t>Se corrigió la fecha de inicio conforme a la certificación que obra a folios 054 y 055</t>
  </si>
  <si>
    <t>190-2003</t>
  </si>
  <si>
    <t>Colombia</t>
  </si>
  <si>
    <t>INTERDISEÑOS S.A.</t>
  </si>
  <si>
    <t>Informacion de certificación que obra a folios 006 a 018</t>
  </si>
  <si>
    <t>Dirección Nacional de Aeropuertos
Ministerio de Obras Públicas</t>
  </si>
  <si>
    <t>Chile</t>
  </si>
  <si>
    <t>INGELOG S.A.</t>
  </si>
  <si>
    <t>Información de certificación que obra a folios 141 a 143</t>
  </si>
  <si>
    <t>METROPLÚS S.A.</t>
  </si>
  <si>
    <t>086-2006</t>
  </si>
  <si>
    <t>Información de certificación que obra a folios 148 y 149</t>
  </si>
  <si>
    <t>Informacion de certificación que obra a folios 191 y 192</t>
  </si>
  <si>
    <t>Informacion de certificación que obra a folios 005 y 006</t>
  </si>
  <si>
    <t>CONSORCIO DO AEROPORTO SA CARNEIRO</t>
  </si>
  <si>
    <t>CONSULTORÍA TÉCNICA DIRECCIÓN FACULTATIVA GESTIÓN SUPERVISIÓN FISCALIZACIÓN APOYO TÉCNICO INTERVENTORÍA PARA LA CONSTRUCCIÓN DE UN NUEVO TERMINAL DE PASAJEROS ENMARCADO Y ADAPTADO A LAS ÁREAS EXISTENTES MEDIANTE LA CONSTRUCCIÓN DE NUEVOS ESPACIOS PARA EL EMBARQUE Y DESEMBARQUE DE PASAJEROS OCUPACIÓN DE ENTIDADES OFICIALES DEL AEROPUERTO Y ÁREAS COMERCIALES</t>
  </si>
  <si>
    <t>PORTUGAL</t>
  </si>
  <si>
    <t>129-2003</t>
  </si>
  <si>
    <t xml:space="preserve">INTERVENTORÍA AL CONTRATO DE CONCESIÓN No. 106 DEL 5 DE JUNIO DE 2003 PARA LA ADECUACIÓN DE LA TRONCAL NQS SECTOR NORTE TRAMO II COMPRENDIDO ENTRE LA CALLE 92 Y LA CALLE 68 </t>
  </si>
  <si>
    <t>Informacion de certificación que obra a folios 022 a 026</t>
  </si>
  <si>
    <t>REALIZAR LA INTERVENTORÍA TÉCNICA Y OPERATIVA DE LAS ETAPAS PREOPERATIVA Y OPERATIVA ASOCIADAS A LA IMPLEMENTACIÓN DE TRECE (13) CONTRATOS DE CONCESIÓN, CUYO OBJETO CORRESPONDE A LA EXPLOTACIÓN PREFERENCIAL Y NO EXCLUSIVA, DE LA PRESTACIÓN DEL SERVICIO PÚBLICO DE TRANSPORTE DE PASAJEROS DENTRO DEL ESQUEMA DEL SISTEMA INTEGRADO DE TRANSPORTE PÚBLICO SITP: 1) USAQUÉN, 2) ENGATIVÁ, 3) FONTIBÓN, 4) SAN CRISTÓBAL, 5) SUBA ORIENTAL, 6) SUBA CENTRO, 7) CALLE 80, 8) TINTAL – ZONA FRANCA, 9) KENNEDY, 10) BOSA, 11) PERDOMO, 12) CIUDAD BOLÍVAR Y 13) USME.</t>
  </si>
  <si>
    <t>ASISTENCIA TÉCNICA DE ARQUITECTURA DE DETALLE  (SUPERVISIÓN) DE LA NUEVA AERA TERMINAL Y TORRE DE CONTROL DEL AEROPUERTO DE LA PALMA.</t>
  </si>
  <si>
    <t>INTERVENTORÍA TÉCNICA, FINANCIERA, OPERATIVA, PREDIAL, SOCIO AMBIENTAL Y LEGAL DEL PROYECTO DE CONCESIÓN MALLA VIAL DEL VALLE DEL CAUCA Y CAUCA.</t>
  </si>
  <si>
    <t>INTERVENTORÍA TÉCNICA, OPERATIVA Y FINANCIERA EN LA ETAPA DE OPERACIÓN DEL CONTRATO DE CONCESIÓN NO. 0503 DE 1994 CUYO OBJETO ES EL DE REALIZAR POR EL SISTEMA DE CONCESIÓN LOS ESTUDIOS, DISEÑOS DEFINITIVOS, OBRAS NECESARIAS PARA LA REHABILITACIÓN DE LAS CALZADAS EXISTENTES Y EL MANTENIMIENTO Y OPERACIÓN DEL TRAMO DE CARRETERA LOMITA ARENA - PUERTO COLOMBIA - BARRANQUILLA DE LA RUTA 90A Y DEL EMPALME DE LA RUTA 90 (LA CORDIALIDAD) - LOMITA ARENA Y EL MANTENIMIENTO Y OPERACIÓN DEL TRAMO CARTAGENA - LOMITA ARENA EN LOS DEPARTAMENTOS DE BOLIVAR Y ATLÁNTICO, CARRETERA CARTAGENA-BARRANQUILLA.</t>
  </si>
  <si>
    <t xml:space="preserve">INTERVENTORÍA TÉCNICA  Y ADMINISTRATIVA PARA LA CONSTRUCCIÓN DE LAS VÍAS  DE ACCESO A BARRIOS EN LA LOCALIDAD DE USME  ASÍ: ACCESO UE-3, ACCESO UE-5, ACCESO UE-6 Y ACCESO UE-8 </t>
  </si>
  <si>
    <t xml:space="preserve">INTERVENTORÍA TÉCNICA,  FINANCIERA,  OPERATIVA, PREDIAL, SOCIO-AMBIENTAL Y LEGAL DEL PROYECTO DE CONCESIONES VIAL CARTAGENA - BARRANQUILLA, EN EL MARCO DEL CONTRATO NO 503 DE 1994 </t>
  </si>
  <si>
    <t xml:space="preserve">INTERVENTORÍA TÉCNICA,  FINANCIERA,  OPERATIVA  DE LA ETAPA DE COSTRUCCIÓN DEL  CONTRATO DE CONCESIÓN NO 005 DE 1999 MALLA VIAL DEL VALLE DE CAUCA Y CAUCA </t>
  </si>
  <si>
    <t xml:space="preserve">SUPERVISIÓN DEL CORRECTO CUMPLIMIENTO DEL CONTRATO DE CONSTRUCCIÓN DE LA OBRA PÚBLICA AEROPORTUARIA  EN TÉRMINOS TÉCNICOS, TECNOLÓGICOS, FINANCIEROS, ADMINISTRATIVOS, JURÍDICOS, MEDIO AMBIENTALES Y TERRITORIALES AEROPUERTO MATAVERI DE ISLA DE PASCUA </t>
  </si>
  <si>
    <t xml:space="preserve">INTERVENTORÍA TÉCNICA, ADMINISTRATIVA, FINANCIERA, SOCIAL, AMBIENTAL Y LEGAL AL CONTRATO DE CONCESIÓN NO, 146 DE 2003, PARA LA ADECUACIÓN DE LA TRONCAL AVENIDA SUBA AL SISTEMA TRANSMILENIO, PARA EL TRAMO N° 2: COMPRENDIDO ENTRE LA CALLE 127A Y LA AV. CIUDAD DE CALI EN BOGOTÁ D.C. </t>
  </si>
  <si>
    <t>ASESORÍA TÉCNICA  A LA INSPECCIÓN FISCAL  (INTERVENTORÍA) CONSTRUCCIÓN NUEVO AERÓDROMO ISLA DE CHILOÉ, X REGIÓN.</t>
  </si>
  <si>
    <t>SUPERVISIÓN PARA LA CONSTRUCCIÓN DE DOS TRAMOS DE CORREDOR PARA EL SISTEMA INTEGRADO DE TRANSPORTE MASIVO, METROPLÚS DEL VALLED E ABURRÁ. LOTE 1: CALLE 30 ENTRE CARRERAS 70 Y 87 Y LOTE 2 CARRERA 45 ENTRE CALLE 67 Y 86, INCLUYE LA ADECUACIÓN DE LAS CARRERAS 44 Y 46 ENTRE CALLES 67 Y 93</t>
  </si>
  <si>
    <t>INTERVENTORÍA TÉCNICA, FINANCIERA Y OPERATIVA EN LA ETAPA DE OPERACIÓN DEL CONTRATO DE CONCESIÓN NO 0447 DE 1994 CARRETERA SANTAFÉ DE BOGOTÁ (PUENTE EL CORTIJO) - SIBERIA - LA PUNTA - EL CHUSCAL - LA VEGA - RÍO TOBIA - VILLETA CON BASE EN EL ACTA DE INCORPORACIÓN DEL ACUERDO CONCILIATORIO SUSCRITO ENTRE LA SOCIEDAD CONCESIÓN SABANA DE OCCIDENTE Y EL INSTITUO NACIONALD E CONCESIONES - INCO - DENTRO DEL CONTRATO DE CONCESIÓN NO 0447 DE 1994, SUSCRITA EL 10 DE ENERO DE 2008.  DE IGUAL MANERA DEBERÁ EFECTUAR LA INTERVENTORÍA DE LAS ACTIVIDADES DE MANTENIMIENTO QUE SE DESARROLLEN DURANTE LA VIGENCIA DEL CONTRATO</t>
  </si>
  <si>
    <t>INTERVENTORÍA TÉCNICA, ADMINISTRATIVA, FINANCIERA, AMBIENTAL Y SOCIAL PARA LA CONSTRUCCION Y REHABILITACIÓN DE VÍAS PARA RUTAS ALIMENTADORAS DEL SISTEMA TRANSMILENIO, ZONA 2 GRUPO 1, ZONA 6 GRUPO 4 Y ZONA 7 GRUPO 2 EN LAS LOCALIDADES DE SUBA, RAFAEL URIBE, TUNJUELITO Y CIUDAD BOLIVAR EN BOGOTÁ.</t>
  </si>
  <si>
    <t>REALIZAR LA INTERVENTORÍA TÉCNICA Y OPERATIVA DE LAS ETAPAS PRE OPERATIVO Y OPERATIVO ASOCIADAS A LA IMPLEMENTACIÓN DE TRECE (13) CONTRATOS DE CONCESIÓN, CUYO OBJETO CORRESPONDE A LA EXPLOTACIÓN DEL SERVICIO PÚBLICO DE TRANSPORTE DE PASAJEROS DENTRO DEL ESQUEMA DEL SISTEMA INTEGRADO DE TRANSPORTE PÚBLICO SITP: 1) USAQUÉN, 2)ENGATIVÁ, 3) FONTIBÓN, 4) SAN CRISTOBAL, 5) SUBA ORIENTAL, 6)SUBA CENTRO, 7) CALLE 80, 8) TINTAL-ZONA FRANCA, 9) KENNEDY, 10) BOSA, 11) PERDOMO, 12) CIUDAD BOLIVAR Y 13) USME</t>
  </si>
  <si>
    <t xml:space="preserve">INTERVENTORÍA TÉCNICA,  FINANCIERA,  OPERATIVA, PREDIAL ,SOCIO-AMBIENTAL Y LEGAL DEL PROYECTO DE CONCESIONES VIAL CARTAGENA - BARRANQUILLA, EN EL MARCO DEL CONTRATO NO 503 DE 1994 </t>
  </si>
  <si>
    <t xml:space="preserve">INTERVENTORÍA TÉCNICA, ADMINISTRATIVA, FINANCIERA Y AMBIENTAL PARA LA CONSTRUCCIÓN DE LAS OBRAS DEL SISTEMA INTEGRADO DE TRANSPORTE MASIVO, DEL DISTRITO DE BARRANQUILLA Y SU ÁREA METROPOLITANA, SISTEMA TRANSMETRO, DE ACUERDO CON LOS PLANOS DE INTERVENCIÓN DE CADA UNO DE LOS COMPONENTES. </t>
  </si>
  <si>
    <t>INTERVENTORÍA DE LAS OBRAS DE CONSTRUCCIÓN Y PAVIMENTACIÓN DE LA VÍA ALTERNA INTERNA A BUENAVENTURA, SECTOR VIADUCTO K7 - INTERSECCION CITRONELA, RUTA 40 TRAMO 4001.</t>
  </si>
  <si>
    <t>ASESORÍA E INTERVENTORÍA TÉCNICA, ADMINISTRATIVA Y AMBIENTAL EN LA CONSTRUCCIPON DE UN TRAMO DE CORREDOR DEL SISTEMA INTEGRADO DE TRANSPORTE MASIVO TRANSCARIBE DESDE CUATRO VIENTOS A BAZURTO EN CARTAGENA DE INDÍAS DISTRITO TURÍSTICO Y CULTURAL</t>
  </si>
  <si>
    <t>CONSULTORIA INTEGRAL Y ESTUDIOS S.A.S</t>
  </si>
  <si>
    <t>CONSULTORES UNIDOS</t>
  </si>
  <si>
    <t>BOMA INPASA COLOMBIA S.A.S.</t>
  </si>
  <si>
    <t xml:space="preserve">JORGE PIDDO SEGUIDO DE LA EXPRESION </t>
  </si>
  <si>
    <t>ESTRUCTURADOR COLOMBIANA S.A.S</t>
  </si>
  <si>
    <t>INGENIERIA CONSULTORIA Y PLANEACION S.A. INCOPLAN S.A. (LIDER)</t>
  </si>
  <si>
    <t>INTEGRAL INGENIERIA DE SUPERVISION S.A.S</t>
  </si>
  <si>
    <t>SEG INGENIERIA S.A.S</t>
  </si>
  <si>
    <t>INGEOCIM S.A.S.</t>
  </si>
  <si>
    <t>CRA SERVICIOS S.A.S.</t>
  </si>
  <si>
    <t>TYPSA S.A.S.</t>
  </si>
  <si>
    <t xml:space="preserve">Cumple minimo </t>
  </si>
  <si>
    <t>INSTITUTO DE DESARROLLO URBANO IDU</t>
  </si>
  <si>
    <t>IDU-094 DE 2008</t>
  </si>
  <si>
    <t>INTERVENTORIA TECNCIA, ADMINISTRATIVA, FINANCIERA, SOCIAL Y AMBIENTAL DE LAS OBRAS Y ACTIVIDADES PARA LA MALLA VIAL ARTERIAL, INTERMEDIA Y LOCAL DE DISTRITOS DE CONSERVACIÓN EN LA CIUDAD DE BOGOTÁ D.C.-Grupo No. 4.</t>
  </si>
  <si>
    <t>CONSULTORIA COLOMBIANA</t>
  </si>
  <si>
    <t>CONSULTORES UNIDOS S.A.</t>
  </si>
  <si>
    <t>Verificado en Certificado Cámara y Comercio y Clasificador de Bienes y Servicios. Formato 5 en el folio 163. Certificaciones 165-170</t>
  </si>
  <si>
    <t>TABASA, Infraestructures i Serveis de Mobilitat, S.A.</t>
  </si>
  <si>
    <t xml:space="preserve">DIRECCION DE LAS OBRA (INTERVENTORIA/SUPERVISION)DE CONSTRUCCION DEL CARRIL RESERVADO PARA AUTOBUSES Y VEHICULOS DE ALTA OCUPACION ALA AUTOPISTA C-58, ENTRE EL NUDO DE RIPOLLET Y LA AVENIDA MEDIANA </t>
  </si>
  <si>
    <t>SEA 068 DE 2012</t>
  </si>
  <si>
    <t>INTERVENTORIA INTEGRAL QUE INCLUYE PERO NO SE LIMITA A LA INTERVENTORÍA TÉCNICA, ADMINISTRATIVA, FINACIERA, JURIDICA, OPERATIVA, PREDIAL, SOCIO PREDIAL, MEDIOAMBIENTAL DEL PROYECTO DE CONCESION MALLA VIAL DE VALLE DEL CAUCA Y CAUCA MVVCC, EN EL MARCO DEL CONTRATO DE CONCESION 005 DE 1999.</t>
  </si>
  <si>
    <t>JORGE PIDDO Y Cia Ltda.</t>
  </si>
  <si>
    <t>N/A</t>
  </si>
  <si>
    <t xml:space="preserve">Formato  5 en el folio 146. Certificaciones folios 148-151. </t>
  </si>
  <si>
    <t>COORDINACION DE CONCESIONES DE OBRAS PÚBICAS, MINISTERIO DE OBRAS PUBLCIAS</t>
  </si>
  <si>
    <t>ASESORIA A LA INSPECCION TECNICA A LA EXPLOTACION DE OBRAS CONCESIONADAS: GRUPO GRUPO INTERURBANO CENTRO COSTA.</t>
  </si>
  <si>
    <t>Verificado en Certificado Cámara y Comercio y Clasificador de Bienes y Servicios.  Formato  5 en el folio 146. Certificaciones folios 153-159.</t>
  </si>
  <si>
    <t>DIRECCION DE VIALIDAD, MINISTERIO DE OBRAS PUBLICAS</t>
  </si>
  <si>
    <t>ASESORIA A LA INSPECCION FISCAL MEJORAMIENTO RUTAS 12 TECNICA A LA EXPL LOS CONQUISTADORES, SECTOR CRUCE RUTA L-30-M-CARRIZAL, VII REGION.</t>
  </si>
  <si>
    <t>Verificado en Certificado Cámara y Comercio y Clasificador de Bienes y Servicios.  Formato  5 en el folio 146. Certificaciones folios 161-165.</t>
  </si>
  <si>
    <t>481 DE 2000</t>
  </si>
  <si>
    <t>DESARROLLO VIAL TRANVERSAL DEL SUR. MODULO 2 INTERVENTORIA PAR EL MEJROAMIENTO Y MANTENIMIENTO DEL CORREDOR TUMACO-PASTO-MOCOA</t>
  </si>
  <si>
    <t>ESTRUCTURAS COLOMBIA</t>
  </si>
  <si>
    <t>Formato 5 en el folio 146. Certificaciones 167-193</t>
  </si>
  <si>
    <t>AERONAUTICA CIVILA-GENCIA NACIONAL DE INFRAESTRUCTURA</t>
  </si>
  <si>
    <t>9000070-OK DEL 1 DE JUNIO DE 2014</t>
  </si>
  <si>
    <t>INTERVENTORIA OPERATIVA, AMBIENTAL, Y DE MANTENIMIENTO PARA LA CONCESION DE LA ADMINISTRACION, OPERACIÓN, EXPLOTACION COMERCIAL, MANTENIMIENTO, MODERNIZACION Y EXPANCION DEL AEROPUERTO INTERNACIONAL EL DORADO EN LA CIUDAD DE BOGOTA D.C.</t>
  </si>
  <si>
    <t>INGENIERIA, CONSULTORIA Y PLANEACION S.A.</t>
  </si>
  <si>
    <t xml:space="preserve">Formato  5 en el folio 175. Certificaciones folios 178-151. </t>
  </si>
  <si>
    <t>SEA-015-2012</t>
  </si>
  <si>
    <t>INTERVENTORIA TECNICA, ADMINISTRATIVA, FINANCIERA, AMBIENTAL, OPERATIVA Y JURIDICA DEL PLAN DE INVERSIONES DE LOS CONTRATOS DE CONCESION PORTUARIA No. 006 DE 1993, 009 DE 1994 Y 003 DE 2008, SUSCRITOS ENTRE LA NACION-SUPERINTENDENCIA GENERAL DE PUERTOS Y/O EL INSTITUTO NACIONAL DE CONCESIONES INCO HOY ADMINISTRADOS POR LA AGENCIA NACIONAL DE INFRAESTRUCTURA Y LAS SOCIEDADES PORTUARIAS REGIONAL DE SANTA MARTA S.A., REGIONAL DE BUENAVENTURA S.A. Y LA SOCIEDAD TERMINAL DE CONTENEDORES DE CARTAGENA S.A. CONTECAR S.A, RESPECTIVAMENTE SUS ADICIONALES Y OTROSIES ASI COMO REGULAR LOS TERMINOS Y CONDICIONES BAJO LOS CUALES LA AGENCIA NACIONAL DE INFRAESTRUCTURA PAGARA AL INTERVENTOR DE FORMA MENSUAL LA CONTRAPRESTACION OFRECIDA POR EL INTERVENTOR Y ACEPTADA POR LA AGENCAI NACIONAL DE INFRAESTRUCTURA DURANTE EL CONCURSO DE MERITOS ABIERTOS CONSISTENTE EN EN UNA SUMA GLOBAL FIJA, QUE INCLUYE LOS COSTOS DIRECTOS, VIATICOS, HONORARIOS Y EL IMPUESTO AL VALOR AGREGADO IVA.</t>
  </si>
  <si>
    <t>Formato  5 en el folio 175. Certificaciones folios 181-185.</t>
  </si>
  <si>
    <t>MINISTERIO DE FOMENTO</t>
  </si>
  <si>
    <t>CONSULTORIA Y ASISTENCIA PARA LA REALIZACION DEL CONTROL Y VIGILANCAI DE LAS OBRAS:AUTOVIA-A-63-DE OVIEDO A LA ESPINA. TRAMO:SALAS-LA ESPINA (1a CALZADA) CLAVE: 12-O-4960.A</t>
  </si>
  <si>
    <t>SEG INGENIERIA SAS.</t>
  </si>
  <si>
    <t>Formato 5 en el folio 175. Certificaciones 187-194</t>
  </si>
  <si>
    <t>1323 DE 2009</t>
  </si>
  <si>
    <t>INTERVENTORIA TECNICA, LEGAL, FINANCIERA, ADMINSITRATIVA, AMBIENTAL, PREDIAL  SOCIAL DEL PROYECTO ESTUDIOS Y DISEÑOS GESTION SOCIAL, PREDIAL, AMBIENTAL Y CONSTRUCCION DEL PROYECTO "TRANVERSAL DE BOYACA"</t>
  </si>
  <si>
    <t>INTEGRAL INGENIERIA SUPERVISION SAS.</t>
  </si>
  <si>
    <t>Formato 5 en el folio 175. Certificaciones 196-198</t>
  </si>
  <si>
    <t>GOBERNACION DEL CASANARE</t>
  </si>
  <si>
    <t>CONTRATO No. 085 DE 1997</t>
  </si>
  <si>
    <t>CONTRATO No. 085 DE 1997.INTERVENTORIA Y ASESORIA TÉCNICA Y ADMINISTRATIVA PARA LAS DE AMPLIACION, RECTIFICACION Y PAVIMENTACION DE LA VIA AGUAZUL . MANI, SECTOR K33+000 A MANI.</t>
  </si>
  <si>
    <t>GEOTECNIA Y CIMIENTOS INGEOCIM LTDA</t>
  </si>
  <si>
    <t xml:space="preserve">Verificado en Certificado Cámara y Comercio y Clasificador de Bienes y Servicios. Formato  5 en el folio 126. Certificaciones folios 128-144. </t>
  </si>
  <si>
    <t>INSTITUTO NACIONAL DE CONCESIONES-INCO</t>
  </si>
  <si>
    <t>062 DEL 20-12-2005</t>
  </si>
  <si>
    <t>CONTRATO No. 062 de 2005: INTERVENTORIA TECNICA, AMBIENTAL, LEGAL, ADMINISTRATIVA, PREDIAL, FINANCIERA, Y OPERATIVA EN LA ETAPA DE OPERACIÓN DEL CONTRATO DE CONCESION No. 0849 DE 1995 DESARROLLO VIAL CARRETERA NEIVA-ESPINAL-GIRARDOT, DE CONFORMIDAD CON EL NUMERAL 5.1. DE LOS TERMINOS DE REFERENCIA, ES REVISAR, VEIFICAR ANALIZAR, Y CONCEPTUAR PARMANENTEMENTE TODOS LOS ASPECTOS TECNICOS, FINANCIEROS, AMBIENTALES, ADMINSITRATIVOS, JURIDICOS Y PREDIALES RELACIONADOS CON EL CONTRATO DE CONCESION 849-95 A EFECTOS DE CONSTATAR EL CUMPLIMIENTO POR PARTE DEL CONTRATISTA (CONCECIONARIO) DE LAS CONDICIONES ESTABLECIDAS EN EL MISMO, PARA EL DESARROLLO Y CONTROL INTEGRAL DEL PROYECTO Y DETEMINAR OPORTUNAMENTE LAS ACCIONES NECESARIA PARA GARANTIZAR EL LOGRO DE LOS OJETIVOS PREVISTOS DE ACUERDO CON LAS CONDICIONES ESTABLECIDAS EN EL CAPITULO V DE LOS TERMINOS DE REFERENCIA DEL CONCURSO PUBLICO  No. SEA-C-007 DE 2005.</t>
  </si>
  <si>
    <t>INGEOCIM LTDA</t>
  </si>
  <si>
    <t xml:space="preserve">Verificado en Certificado Cámara y Comercio y Clasificador de Bienes y Servicios. Formato  5 en el folio 126. Certificaciones folios 145-149. </t>
  </si>
  <si>
    <t>MINISTERIO DE TRANSPORTE DE QUEBEC</t>
  </si>
  <si>
    <t>CANADA</t>
  </si>
  <si>
    <t xml:space="preserve">MINISTERIO DE FOMENTO </t>
  </si>
  <si>
    <t>ASISTENCIA TECNICA A LA DIRECCION DE OBRAS DE CONTROL Y VIGILANCIA DE LAS OBRAS "VARIANTE DE FRAGA, CARRETERA N-II DE MADRID A FRANCIA POR BARCELONA. TRAM: VARIANTE DE FRAGA, PK 431,500 AL 440.200 Y CARRETERA N-II  ENTRE EL FINAL DE LA VARIANTE DE FRAGA Y EL COMIENZO DE LA VARIANTE  LEIDA (PL440,200 AL 446,000"</t>
  </si>
  <si>
    <t>TYPSA S.A.S</t>
  </si>
  <si>
    <t>AEROPUERTOS ESPAÑOLES Y NAVEGACION AREA -AENA</t>
  </si>
  <si>
    <t xml:space="preserve">ASISTENCIA TECNICA PARA PARA EL CONTROL Y VIGILANCIA DE LA OBRA ZONA DE APOYO A LA NUEVA TERMINAL SUR, AEROPUERTO DE BARCELONA </t>
  </si>
  <si>
    <t>020 DE 2009</t>
  </si>
  <si>
    <t>INTERVENTORIA TECNICA, ADMINSITRATIVA Y LEGAL, OPERATIVA, FINANCIERA, PREDIAL, SOCIAL Y AMBIENTAL AL CONTRATO DE CONCESION No. BGG-040-2004. CELEBRADO ENTRE EL INSTITUTO  NACIONAL DE CONCESIONES Y LA SOCIEDAD AUTIOPISTA BOGOTA GIRARDOT S.A. DE CONFORMIDAD CON LOS PLIEGOS DE CONDICIONES DEL CONCURSO DE MERITOS SEA-CM 014-2008. EL OBJETO DEL CONTRATO ES REVISAR, VERIFICAR, ANALIZAR Y CONCEPTUAR PERMANENTEMENTE TODOS LOS ASPECTOS TECNICOS, FINANCIEROS, PREDIALES, SOCIALES, AMBIENTALES, OPERATIVOS, JURIDICOS Y ADMINISTRATIVOS RELACIONADOS CON EL CONTRATO DE DE CONCESION No. GG-040-2004, A EFECTO DE CONSTATAR EL CUMPLIMIENTO, POR LAS PARTES DEL CONTRATISTA (CONCESION), DE LAS CONDICIONES ESTABLECIDAS EN EL MISMO, PARA EL DESARROLLO Y CONTROL INTEGRAL DEL PROYECTO Y DETERMINAIR OORTUNAMENTE LAS ACCIONES NECESARIAS PARA GRARANTIZAR EL LOGRO DE LOS OBJETIVOS PREVISTOS.</t>
  </si>
  <si>
    <t>0767 de 1996</t>
  </si>
  <si>
    <t xml:space="preserve">INTERVENTORIA TECNICA Y FINANCIERA EN SUS ETAPAS DE DISEÑO Y PROGRAMACION DE CONSTRUCCION DE LA CONCESION PARA EL DESARROLLO VIAL DEL ORIENTE DE MEDELLIN Y VALLE DE RIONEGRO Y CONEXIÓN A PUERTO TRIUNFO. </t>
  </si>
  <si>
    <t>049 DE 2008</t>
  </si>
  <si>
    <t>INTERVENTORIA TECNICA, JURIDICA, ADMINISTRATIVA, OPERATIVA Y FINANCIERA AL CONTRATO DE CONCESION No. 006 DE 2007 CONCESION AREA METROPOLITANA DE CUCUTA Y NORTE DE SANTANDER CALEBRADO ENTRE EL INSTITUTO NACIONAL DE CONCESIONES Y LA CONCESION SAN SIMON S.A.</t>
  </si>
  <si>
    <t>SEA 068 DE 2013</t>
  </si>
  <si>
    <t>INTERVENTORIA INTEGRAL QUE INCLUYE PERO NO SE LIMITA A LA INTERVENTORIA TECNICA, ADMINSITRATIVA, FINANCIERA, JURIDICA, OPERATIVA, PREDIAL, SOCIOPREDIAL, MEDIAMBIENTAL DEL PROYECTO CONCESION MALLA VIAL DEL VALLE DEL CAUCA Y CAUCA MVVCC, EN EL MARCO DEL CONTRATO DE CONCESION 005 DE 1999.</t>
  </si>
  <si>
    <t>JORGE PIDDO</t>
  </si>
  <si>
    <t>EN DESARROLLO</t>
  </si>
  <si>
    <t>Presenta formato No. 6  a  FOLIO 2,  Certificación apostilladas a  folios 4-7</t>
  </si>
  <si>
    <t>COORDINACION DE CONCESIONES DE OBRAS PUBLICAS, MINISTERIO OBRAS PUBLICAS</t>
  </si>
  <si>
    <t>ASESORIA DE INSPECCION TECNICA A LA EXPLOTACIÓN DE OBRAS CONCESIONADAS ZONA CENTRO NORTE</t>
  </si>
  <si>
    <t>Presenta formato No. 6  a  FOLIO 2,  Anexos a folios 8A-13.</t>
  </si>
  <si>
    <t>ASOSORIA A LA INSPECCION FISCAL MEJORAMIENTO RUTA 126 LOS CONQUISTADORES, SECTOR CRUCE RUTA L-30-M.CARRIZAL, VII REGION</t>
  </si>
  <si>
    <t>Presenta formato No. 6  a  FOLIO 2,  Anexos a folios 14A-18</t>
  </si>
  <si>
    <t>INSTITUTO NACIONAL DE VIAS</t>
  </si>
  <si>
    <t>481 DE 2010</t>
  </si>
  <si>
    <t>DESARROLLO VIA TRANVERSAL DEL SUR, MODULO 2. INTERVENTORIA PARA EL MEJORAMIENTO Y MANTENIMIENTO DEL CORREDOR TUMACO PASTO MOCOA</t>
  </si>
  <si>
    <t>ESTRUCTURADOR  COLOMBIA SAS.</t>
  </si>
  <si>
    <t>Presenta formato No. 6  a  FOLIO 2,   Anexos a folios 20-46</t>
  </si>
  <si>
    <t>AERONAUTICA CIVIL-AGENCIA NACIONAL DE INFRAESTRUCTURA</t>
  </si>
  <si>
    <t>9000070-OK-01 DE JUNIO 2001</t>
  </si>
  <si>
    <t>INTERVENTORIA OPERATIVA, AMBIENTAL Y DE MANEJO PARA LA CONCESION DE LA ADMINISTRACIÓN, OPERACIÓN, EXPLOTACIÓN COMERCIAL, MANTENIMIENTO, MODERNIZACIÓN DEL AEROPUERTO ELDORADO DE LA CIUDAD DE BOGOTA D.C.</t>
  </si>
  <si>
    <t>INCOPLAN S.A.</t>
  </si>
  <si>
    <t>Presenta formato No. 6  a  FOLIO 2,  Anexos a folios 5-6</t>
  </si>
  <si>
    <t>DEPARTAMENTO DE ANTIOQUIA- GERENCIA DE PROYECTOS ESTRATEGICOS, ANTES GERENCIA DE CONCESIONES</t>
  </si>
  <si>
    <t xml:space="preserve"> 98-CC-20-006</t>
  </si>
  <si>
    <t>INTERVENTORIA TECNICA Y FINACIERA DURANTE LAS ETAPAS DE DISEÑO Y CONSTRUCCION DE LA CONCESION PARA EL DESARROLLO VIAL DEL VALLE DE ABURRA NORTE( DOBLE CALZADA NIQUIA-EL HATILLO)</t>
  </si>
  <si>
    <t xml:space="preserve">INTEGRAL INGENIERIA SUPERVISION S.A.S. </t>
  </si>
  <si>
    <t>Presenta formato No. 6  a  FOLIO 2,  Anexos a folios 8-9.</t>
  </si>
  <si>
    <t>MINISTERIO DE FOMENTO-DIRECCION GENERAL DE CARRETERAS</t>
  </si>
  <si>
    <t>CONSULTORIA Y ASISTENCIA PARA EL CONTROL Y VIGILANCIA DE LAS OBRAS (INTERVENTORIA): EJE ATLANTICO DE LATA VELOCIDAD, VARIANTE DE PORTAS  (PONTEVEDRA), TRAMO II: PORTAS-VILAGARCIA DE AROUSA. PLATAFORMA Y VIA Y SUSPENSION DE PASOS A NIVEL EN LA RED FERROVIARIA DE GALICIA. LINEA MONFRE-VIGO. PK33/307, 35/34. 36/289 Y 37/908 DEL MUNICIPIO DE COLES OURENSE.</t>
  </si>
  <si>
    <t>SEG INGENIERIA SAS</t>
  </si>
  <si>
    <t>Presenta formato No. 6  a  FOLIO 2,  Anexos a folios 11-28</t>
  </si>
  <si>
    <t>MINISTERIO DE FOMENTO.SECRETARIA DE ESTADO DE INFRAESTRUCTURA TRANSPORTE Y VIVIENDA</t>
  </si>
  <si>
    <t>CONSULTORIA Y ASISTENCIA PARA EL CONTROL Y VIGILANCIA DE LAS OBRAS (INTERVENTORIA): "AMPLIACION A TERCER CARRIL BY-PASS VALENCIA TRAMO: ENLACE DE LA A-7 CON LA A-3 ENLACE CIERRE DEL DISTRIBUIDOR COMARCAL SUR"</t>
  </si>
  <si>
    <t>Presenta formato No. 6  a  FOLIO 2,  Anexos a folios 20-28</t>
  </si>
  <si>
    <t>062 DEL 20 DE DICIEMBRE DE 2005</t>
  </si>
  <si>
    <t xml:space="preserve">INTERVENTORIA TECNICA, AMBIENTAL, LEGAL, ADMINSITRATIVA, PREDIAL, FINANCIERA Y OPERATIVA EN  LA ETAPA DE OPER, VERIFICACIÓN DEL CONTRATO DE CONCESION No. 0849 DE 1995 DESARROLLO VIAL CARRETERA NEIVA -ESPINAL-GIRARDOT, DE CONFORMIDAD CON EL NUMERAL 5.1 DE LOS TERMINOS DE REFERENCIA, ES REVISAR, VERIFICAR, ANALIZAR Y CONCEPTUAR PERMANENTEMENTE TODOS LOS ASPECTOS TECNICOS, FINANCIEROS, AMBIENTALES, OPERATIVOS, JURIDICOS, ADMINISTRATIVOS Y PREDIALES RELACIONADOS CON EL CONTRATO DE CONCESION 849-95, A EFECTO DE CONSTATAR EL CUMPLIMIENTO POR PARTE DEL CONTRATISTA (CONCESIONARIO) DE LAS CONDICIONES ESTABLECIDAS EN EN EL MISMO, PARA EL DESARROLLO Y CONTROL INTEGRAL DEL PROYECTO Y DETERMINAR OPORTUNAMENTE LAS ACCIONES NECESARIAS PARA GARANTIZAR EL LOGRO DE LOS OBJETIVOS DE ACUERDO CON LAS CONDICIONES ESTABLECIDAS EN EL CAPITULO V DE LOS TERMINOS DE REFERENCIA DEL CONCURSO PUBLICO NUMERO SEA-C-007 DE 2005. </t>
  </si>
  <si>
    <t>INGEOCIM SAS</t>
  </si>
  <si>
    <t>Presenta formato No. 6  a  FOLIO 2, Anexos a folios 3-7.</t>
  </si>
  <si>
    <t>CONSLTORIA Y ASISTENCIA TECNICA PARA LA REDACCION DEL PROYECTO CONSTRUCTIVO Y PARA EL CONTROL Y VIGILANCIA Y APOYO A LA DIRECCION DE OBRA DE LA NUEVA AREA TERMINAL EN EL AEROPUERTO DE BARCELONA (ETAPAS I Y II)</t>
  </si>
  <si>
    <t>TYPSA SAS</t>
  </si>
  <si>
    <t>Presenta formato No. 6  a  FOLIO 2, Anexos a folios 43-46.</t>
  </si>
  <si>
    <t>ASISTENCIA TECNICA PARA CONTROL Y VIGILANCIA DE LA OBRA: EDIFICIO TERMINAL URBANIZACION Y ACCESOS EN EL AEROPUERTO DE MALAGA</t>
  </si>
  <si>
    <t>Presenta formato No. 6  a  FOLIO 2,  Anexos a folios 40-42</t>
  </si>
  <si>
    <t>GENIVAR O GROUP SEGUIN</t>
  </si>
  <si>
    <t>CONSULTORES DE INGENIERIA CIVIL SA Y AGUA Y ESTRUCTURAS</t>
  </si>
  <si>
    <t xml:space="preserve">Solicitar subsane. Aclarar cual es el contrato inscrito en el RUP para el proyecto presentado por el proponente.
Se aclara que para la evaluación de la experiencia en salarios minimos se tomo como referecia el valor total ejecutado. Folio 63. </t>
  </si>
  <si>
    <t>Se aclara que el proponente menciona como entidad contratante en la tabla de resumen (Folio 3) la Autoridad Portuaria Andalucia y el certificado (Folio 10) establece que la entidad contratante es la Arutoridad Portuaria de Melilla. Contrato extranjero, Apostilla Folio 011.</t>
  </si>
  <si>
    <t>Se verifico en el Folio 38</t>
  </si>
  <si>
    <t>Se verifico en el Folio 38A</t>
  </si>
  <si>
    <t>Se verifico en el Folio 50</t>
  </si>
  <si>
    <t>Se verifico en el Folio 41</t>
  </si>
  <si>
    <t>Se verifico en el Folio 45A</t>
  </si>
  <si>
    <t>Se verifico en el Folio 94</t>
  </si>
  <si>
    <t>Se verifico en el Folio 81</t>
  </si>
  <si>
    <t>Se verifico en el Folio 36</t>
  </si>
  <si>
    <t>Se verifico en el Folio 76</t>
  </si>
  <si>
    <t xml:space="preserve"> SE VERIFICO EN EL FOLIO 042</t>
  </si>
  <si>
    <t>SE VERIFICO EN EL FOLIO 033 CONTRACARA</t>
  </si>
  <si>
    <t>SE VERICO EN EL FOLIO 30 CONTRACARA</t>
  </si>
  <si>
    <t>SE VERIFICO EN EL FOLIO 33</t>
  </si>
  <si>
    <t>SE VERIFICO EN EL FOLIO 057</t>
  </si>
  <si>
    <t>NO TIENE RUP, EMPERESA ESPAÑOLA</t>
  </si>
  <si>
    <t>SE VERIFICO EN EL FOLIO 074</t>
  </si>
  <si>
    <t>SE VERIFICO EN EL FOLIO 100</t>
  </si>
  <si>
    <t>Se verifico en el Folio 041
Número consecutivo 06</t>
  </si>
  <si>
    <t>Se verifico en el Folio 032
Número consecutivo 10</t>
  </si>
  <si>
    <t>Se verifico en el Folio 030
Número consecutivo 04</t>
  </si>
  <si>
    <t>Se verifico en el Folio 049
Número consecutivo 10</t>
  </si>
  <si>
    <t>No se pudo verificar el Registro en el RUP</t>
  </si>
  <si>
    <t>Se verifico en el Folio 071
Número consecutivo 15</t>
  </si>
  <si>
    <t>Se verifico en el Folio 082
Número consecutivo 02</t>
  </si>
  <si>
    <t>Se verifico en el Folio 042
Número consecutivo 10</t>
  </si>
  <si>
    <t>Se verifico en el Folio 048
Número consecutivo 25</t>
  </si>
  <si>
    <t>Se verifico en el Folio 083
Número consecutivo 02</t>
  </si>
  <si>
    <t>Se verifico en el Folio 050
Número consecutivo 05</t>
  </si>
  <si>
    <t>Se verifico en el Folio 082
Número consecutivo 01</t>
  </si>
  <si>
    <t>Se verifico en el Folio 78</t>
  </si>
  <si>
    <t>Se verifico en el Folio 95</t>
  </si>
  <si>
    <t>Se verifico en el Folio 127</t>
  </si>
  <si>
    <t>Se verifico en el folio 52</t>
  </si>
  <si>
    <t>Se verifico en el Folio 56</t>
  </si>
  <si>
    <t>Se verifico en el folio  187</t>
  </si>
  <si>
    <t xml:space="preserve"> SE VERIFICO EN FOLIO 54</t>
  </si>
  <si>
    <t>SE VERIFICO EN EL FOLIO 45</t>
  </si>
  <si>
    <t>SUPERVISION DE LAS OBRAS PArA LA RESCONSTRUCCION DE LA CALZADA DE LA AUTOPISTA 15 SUR ENTRE KM 25 Y KM 32 (7 KM) SOBRE EL TERRITORIO DE LA MRC DE MARIBEL</t>
  </si>
  <si>
    <t>11/02 Clave AT 12-GR-2850</t>
  </si>
  <si>
    <t>Asistencia técnica para el control y vigilancia de las obras de referencia. Las actividades desarrolladas dentro del contrato son las siguientes: asistencia técnica a la dirección de las obras, control cualitativo, control geométrio y cuantitativo, control en la validación de suministradores y supervisión de enesayos de autocontrol y de verificación. Obra que corresponde con el nuevo trazado de la autovía del mediterráneo, A7, antigua carretera N340 de Cadiz y Gibraltar a Barcelona.</t>
  </si>
  <si>
    <t>AYESA Aguas y Estructuras S.A.</t>
  </si>
  <si>
    <t>062 del 20 de diciembre de 2005</t>
  </si>
  <si>
    <t>El interventor se obliga a ejecutar para el INCO  la interventoría técnica, ambiental, legal, administrtiva, predial, financiera y operativa en la etapa de operación del contrato de concesión no. 0849 de 1995 desarrollo vial Carretera Neiva - Espinal - Girardot, de conformidad con lo previsto en el numeral 5.1 de los términos de referencia del concurso público, es revisar, verificar, analizar y conceptuar permantentemente todos los aspectos técnicos, financieros, ambientales, operativos, jurídicos, administrativos y prediales relacionados con el contrato de concesión no. 0849-95,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SEA-C-007 de 2005</t>
  </si>
  <si>
    <t>INTERSA S.A.</t>
  </si>
  <si>
    <t>Folio 077 Requisitos Habilitantes, actividad: 81101500</t>
  </si>
  <si>
    <t>Para el cálculo del valor en salarios mínimos mensuales legales vigentes, se hizo el siguiente cálculo: Se tomó en cuenta la certificación de la ANI en la que se muestran los valores del contrato según cada fecha para luego realizar el cálculo con los salarios mínimos de cada año al que corresponde la adición. Los salarios mínimos fueron de los años: 2005, 2006, 2009, 2010 y 2011.</t>
  </si>
  <si>
    <t>928 de 2001</t>
  </si>
  <si>
    <t>Interventoría para el mejoramiento y pavimentación de la carretera Fuente de Oro-Puerto Lleras - Cruce Puerto Rico - Puerto Arturo - San José de Guaviare, sector Cruce Puerto Rico - Puerto Arturo K62+000 al K81+000</t>
  </si>
  <si>
    <t>Folio 087 Requisitos Habilitantes, actividad: 81101500</t>
  </si>
  <si>
    <t>Valor del contrato, objeto y plazo obtenidos del folio 178 de los requisitos habilitantes. La participación de INTERSA S.A. del 75% fue obtenida del folio 183 de Requisitos Habilitantes</t>
  </si>
  <si>
    <t>124 de 2001</t>
  </si>
  <si>
    <t>Interventoría para el mejoramiento y pavimentación de la carretera Fuente de Oro-puerto Lleras - Cruce Puerto Rico - Puerto Arturo - San José de Guaviare, Sector Fuente de Oro - Puerto Lleras, K0+000 al K20+000</t>
  </si>
  <si>
    <t>Toda la información obtenida del folio 186 certificación del INVIAS</t>
  </si>
  <si>
    <t>AGENCIA NACIONAL DE INFRAESTRUCTURA ANI</t>
  </si>
  <si>
    <t>SEA-C-MVVC-089 del 22 de diciembre de 2004</t>
  </si>
  <si>
    <t>La interventoría técnica, financiera y operativa en la etapa construcción del contrato de concesión no. 005 de 1999, MALLA VIAL DEL VALLE DEL CAUCA Y CAUCA. De igual manera deberá efectuar la interventoría de las actividades que se realicen durante las etapas de operación de los tramos que se desarrollen durante la vigencia del contrato</t>
  </si>
  <si>
    <t>CONSULTÉCNICOS S.A.</t>
  </si>
  <si>
    <t>Folios 030 y 031 de Requisitos Habilitantes. Actividad económica: 81101500</t>
  </si>
  <si>
    <t>La finalización del contrato consta en el folio 095 de los requisitos habilitantes. El valor certificado por la ANI se encuentra en el folio 090 de requisitos habilitantes.</t>
  </si>
  <si>
    <t>INSTITUTO NACIONAL DE VÍAS INVIAS</t>
  </si>
  <si>
    <t>1935 de 2004</t>
  </si>
  <si>
    <t>La interventoría para el mejoramiento y mantenimiento integral de la Ruta Rumichaca - Pasto - Mojarras del corredor vial del occidente (incluido de Mantenimiento Rutinario, la señalización, el monitoreo y vigilancia de los conteos de tránsito) Ruta 25 Tramo 2501 y 2502</t>
  </si>
  <si>
    <t xml:space="preserve">El valor del contrato consta según el acta de entrega y recibo definitivo de interventoría en el folio 102 de requisitos habilitantes. </t>
  </si>
  <si>
    <t>1826 de 2005</t>
  </si>
  <si>
    <t>Interventoría de los estudios y diseños, pavimentación y/o repavimentación de las vías incluídas dentro del programa de pavimentación de infraestrutura vial de integración y desarrollo grupo 65 tramo 1 vía Fuente de Oro - San José de Guaviare con una logitud de 28,50 Kilómetros; tramo 2 vía Fuente de Oro - San José del Guaviare con una longitud de 27,25 kilómetros en el departamento del Meta.</t>
  </si>
  <si>
    <t>JOYCO LTDA.</t>
  </si>
  <si>
    <t>Información obtenida del folio 105 requisitos habilitantes. Certificación del INVIAS</t>
  </si>
  <si>
    <t>INSTITUTO NACIONAL DE CONCESIONES INCO</t>
  </si>
  <si>
    <t>SGC-C-VPLC-73 de 2004</t>
  </si>
  <si>
    <t>Interventoría técnica, administrativa, financiera y operativa en la etapa de operación del contrato de concesión no. 0446 de 1994. Proyecto vial Villavicencio-Granada; Villavicencio-Puerto López y Villavicencio-Restrepo-Cumaral-K7 vía a Paratebueno, denominado Carreteras Nacionales del Meta.</t>
  </si>
  <si>
    <t>Información obtenida de los folios 108 y 109 requisitos habilitantes. Certificación del INCO</t>
  </si>
  <si>
    <t>ADIF</t>
  </si>
  <si>
    <t>No figura el número del contrato</t>
  </si>
  <si>
    <t>Contrato de consultoría y asistencia para el control de las obras de plataforma del nuevo acceso ferroviario de alta velocidad de Levante. Madrid - Castilla  La Mancha - Comunidad Valenciana Región de Murcia Tramo: Albacete - Variante de Alpera Fase 1</t>
  </si>
  <si>
    <t>T.R.N. Ingeniería y Planificación de Infraestructuras S.A.</t>
  </si>
  <si>
    <t>Contrato de Servicios de Asistencia para el control de las obras del proyecto de construcción del nuevo acceso ferroviario de alta velocidad de Levante - Madrid - Castilla La Mancha - Comunidad Valenciana - Región de Murcia, Tramo Albacete - Variante de Alpera Fase II</t>
  </si>
  <si>
    <t>Toda la información fue obtenida del folio 000106 Requisitos Habilitantes</t>
  </si>
  <si>
    <t>METROCALI</t>
  </si>
  <si>
    <t>MC5.4.7.11.09</t>
  </si>
  <si>
    <t>Interventoría técnica, administrativa, financiera, social y ambiental para la revisión y ajuste de los estudios y diseños y construcción del corredor centro troncal de Aguablanca y obras complementarias del sistema integrado de transporte masivo de pasajeros de Santiago de Cali.</t>
  </si>
  <si>
    <t>PLANES S.A.</t>
  </si>
  <si>
    <t>EN EJECUCIÓN</t>
  </si>
  <si>
    <t>Se encuentra en ejecución</t>
  </si>
  <si>
    <t>Se verificó la información en el folio 000121</t>
  </si>
  <si>
    <t>MINISTERIO DE FOMENTO AENA AEROPUERTOS</t>
  </si>
  <si>
    <t>Expediente DIA 901/04</t>
  </si>
  <si>
    <t>Asistencia técnica para el control y vigilancia de la obra: edificio Terminal, Urbanización y accesos en el Aeropuerto de Málaga</t>
  </si>
  <si>
    <t>XIMA S.A.S. (CEMOSA)</t>
  </si>
  <si>
    <t>UNIDAD ADMINISTRATIVA ESPECIAL AERONÁUTICA CIVIL (AHORA ANI POR SUBROGACIÓN DEL CONTRATO)</t>
  </si>
  <si>
    <t>7000357-OH-2007</t>
  </si>
  <si>
    <t>Interventoría financiera, contable, tributaria y administrativa, para la concesión de la administración, operación, explotación comercial, mantenimiento, modernización y expansión del Aeropuerto Internacional Eldorado de la ciudad de Bogotá D.C.</t>
  </si>
  <si>
    <t>JAHV McGREGOR S.A.</t>
  </si>
  <si>
    <t>Información obtenida del folio 000105 Requisitos Habilitantes</t>
  </si>
  <si>
    <t>INSTITUTO DE INFRAESTRUCTURA Y CONCESIONES DE CUNDINAMARCA - ICCU</t>
  </si>
  <si>
    <t>ICCU-021-2010 de mayo de 2010</t>
  </si>
  <si>
    <t>Contratar la interventoría técnica, socio-ambiental, jurídica y financiera para un periodo de la etapa de operación y para las actividades de la etapa preoperativa de las obras adicionales de las concesiones viales del departamento de Cundinamarca.</t>
  </si>
  <si>
    <t>BETTIN RECURSOS AMBIENTALES E INGENIERÍA SAS "BRAIN INGENIERÍA SAS" (SERVICIOS DE INGENIERÍA Y CONSTRUCCIÓN LIMITADA "SERVINC LTDA" En el Certificado de Cámara de Comercio folio 000086 Requisitos Habilitantes se cita que la casa matriz SERVICIOS DE INGENIERIA Y CONSTRUCCION LIMITADA ha configurado uan situación de control con la sociedad BETTIN RECURSOS AMBIENTALES E INGENIERIA S.A.S. Incluye una comunicación donde se informa la situación de contron en el folio 000088)</t>
  </si>
  <si>
    <t>SOP-V-049-2006</t>
  </si>
  <si>
    <t>Interventoría técnica, socio ambiental, administrativa y financiera de los proyectos de la red vial de troncales y red colectora a cargo del departamento de Cundinamarca</t>
  </si>
  <si>
    <t>El contrato tuvo una duración de 24 meses mas una adición de 4 meses pero la certificación indica que el contrato terminó el 30 de enero de 2010, lo cual no corresponde. Ver folio 000156 de requisitos habilitantes. El valor que certifica el ICCU no especifica si es el valor liquidado, por lo anterior es necesario confirmar con el proponente cual ha sido lo liquidado.</t>
  </si>
  <si>
    <t>SEA-016</t>
  </si>
  <si>
    <t>Regular los térmnos y condiciones bajo los cuales el interventor se obliga a ejecutar para la AGENCIA la interventoría integral del contrato de concesión, que incluye pero no se limita a la interventoría técnica, financiera, contable, jurídica, medio ambiental, socio predial, administrativa, de seguros, operativa y de mantenimiento del Contrato de Concesión, el cual hace parte del proyecto vial Ruta del Sol y que corresponde al sector 2 comprendido entre Puerto Salgar - San Roque, así como regular los términos y condiciones bajo los cuales la AGENCIA pagará al interventor de forma mensual la contraprestación ofrecida por el interventor y aceptada por la AGENCIA durante el concurso de méritos consistente en una suma global fija, a través de la subcuenta de interventoría del patrimonio autónomo.</t>
  </si>
  <si>
    <t>Si bien, la certificación informa que el valor del contrato es de $57.324.511.287, no se especifica un valor liquidado hasta el momento, por lo anterior se debe solicitar a la ANI que informe cuanto ha sido el valor liquidado hasta el momento con IVA incluido.</t>
  </si>
  <si>
    <t>AYESA COLOMBIA S.A.S.</t>
  </si>
  <si>
    <t>CONSULTORES TÉCNICOS Y ECONÓMICOS S.A.</t>
  </si>
  <si>
    <t>JOYCO S.A.S</t>
  </si>
  <si>
    <t>TRN INGENIERÍA Y PLANIFICACIÓN DE INFRAESTRUCTURAS S.A. SUCURSAL COLOMBIA</t>
  </si>
  <si>
    <t>XIMA S.A.S.</t>
  </si>
  <si>
    <t>PLANES</t>
  </si>
  <si>
    <t>BETTIN RECURSOS AMBIENTALES E INGENIERÍA SAS BRAIN INGENIERIA SAS</t>
  </si>
  <si>
    <t>JAHV MCGREGOR S.A. AUDITORES CONSULTORES</t>
  </si>
  <si>
    <t>Cumple minimo .</t>
  </si>
  <si>
    <t>Folio 094 Requisitos Habilitantes, actividad: 81101500</t>
  </si>
  <si>
    <t xml:space="preserve">Si bien, la certificación informa que el valor del contrato es de $57.324.511.287, no se especifica un valor liquidado hasta el momento, por lo anterior se solicito al ingeniero Jesus Alberto Labarceres miembro de la supervision ruta del sol 2 el valor facturado a la fecha. </t>
  </si>
  <si>
    <t>Folio 026 contracara. Requisitos Habilitantes, actividad: 81101500</t>
  </si>
  <si>
    <t>Folio 047 contracara. Requisitos Habilitantes, actividad: 81101500</t>
  </si>
  <si>
    <t>Folio 052 contracara. Requisitos Habilitantes, actividad: 81101500</t>
  </si>
  <si>
    <t>Folio 070 - 071 contracara. Requisitos Habilitantes, actividad: 81101500</t>
  </si>
  <si>
    <t>Expediente PBR 170/07</t>
  </si>
  <si>
    <t>Asistencia Técnica para el control y vigilancia de la obra: Zona de apoyo a la nueva Terminal Sur en el Aeropuerto de Barcelona. Expediente PBR 170/07</t>
  </si>
  <si>
    <t>AYESA</t>
  </si>
  <si>
    <t>El proyecto PBR 170/07 tiene las siguientes actuaciones: a. Construcción del vial de conexión entre terminales y de viales de la zona de carga del aeropuerto. B. Construcción de 5 aparcamientos en superficie con sus correspondientes infraestructuras de acceso. C. Construcción de un edificio de planta de525 m2 destinado a cafetería y servicios para la nueva bolsa de taxis del Aeropuerto.</t>
  </si>
  <si>
    <t>El interventor se obliga a ejecutar para el INCO la interventoría técnica, ambiental, legal, administrativa, predial, financiera y operativa en la etapa de operación del contrato de concesión no. 0849 de 1995 desarrollo vial Carretera Neiva - Espinal - Girardot, de conformidad con lo previsto en el numeral 5.1 de los términos de referencia del concurso público, es revisar, veriicar, analizar y conceptuar permanentemente todos los aspectos técnicos, financieros, ambientales, operativos, jurídicos, administrativos y prediales relacionados con el contrato de concesión no. 0849-95,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SEA-C-007 de 2005</t>
  </si>
  <si>
    <t>Interventoría para el mejoramiento y pavimentación de la carretera Fuente de Oro-Puerto Lleras-Cruce Puerto Rico - Puerto Arturo - San José del Guaviare, sector cruce Puerto Rico - Puerto Arturo K62+000 al K81+000</t>
  </si>
  <si>
    <t>El valor facturado se certifica en el folio 024 de la propuesta técnica.</t>
  </si>
  <si>
    <t>Interventoría para el mejoramiento y pavimentación de la carretera Fuente de Oro-Puerto Lleras-Cruce Puerto Rico - Puerto Arturo - San José del Guaviare, sector Fuente de Oro - Puerto Lleras k0+000 al K20+000</t>
  </si>
  <si>
    <t>El valor facturado se certifica en el folio 028 de la propuesta técnica.</t>
  </si>
  <si>
    <t>La interventoría técnica, financiera y operativa en la etapa construcción del contrato de concesión no. 005 de 1999, MALLA VIAL DEL VALLE DEL CAUCA Y CAUCA. De igual manera deberá efectuar la interventoría de las actividades que se realicen durante las etapas de operación de los tramos que se desarrollen durante la vigencia del contrato.</t>
  </si>
  <si>
    <t>CONSULTECNICOS S.A.</t>
  </si>
  <si>
    <t>Información obtenida del folio 007 Propuesta técnica.</t>
  </si>
  <si>
    <t>004 de 2008</t>
  </si>
  <si>
    <t>Interventoría técnica, jurídica, administrativa, operativa y financiera al contrato de concesión "Girardot - Ibagué - Cajamarca" celebrado entre el Instituto Nacional de Concesiones y la Concesionaria San Rafael S.A.</t>
  </si>
  <si>
    <t>Información obtenida de los folios 015 y 016. Como solo se pueden presentar hasta máximo 4 contratos, se toma la experiencia de CONSULTÉCNICOS, teniendo en cuenta que para los dos miembros del consorcio se cumplen las condiciones.</t>
  </si>
  <si>
    <t>Interventoría técnica, administrativa, financiera y operativa en la etapa de operación del contrato de concesión no. 0446 de 1994, proyecto vial Villavicencio-Granada; Villavicencio-Puerto Lopez y Villavicencio-Restrepo-Cumaral-K7 vía a Paratebueno, denominado Carreteras Nacionales del Meta.</t>
  </si>
  <si>
    <t>Información obtenida de los folios 036 y 037 Propuesta técnica.</t>
  </si>
  <si>
    <t>ORGANIZACIÓN DE AVIACIÓN CIVIL INTERNACIONAL OACI</t>
  </si>
  <si>
    <t>7157992 de Consultoría</t>
  </si>
  <si>
    <t>El contratista se obliga ante la OACI a ejecutar para la UAEAC, y con base a los términos del presente contrato, la interventoría completa de las obras necesarias para la reparación y refuerzo del pavimento, montaje, conexiones y adeucación de las luces de borde y de umbral de pista del aeropuerto Internacional "Alfonso Bonilla Aragón" de la ciudad de Cali, en el municipio de Palmira, Departamento valle del Cauca. Para el sistema de luces de eje de pista, su instalación está contemplada en el inciso 6.2.8.4 de los términos de referencia tomando en cuenta que los equipos y partes serán proporcionados por la UAEAC. El contratista debe realizar, además la instalación y conexiones de once (11) reguladores de corriente constante, para los respectivos circuitos. Los equipos y el sitio para el montaje serán proporcionados también por la UAEAC.</t>
  </si>
  <si>
    <t>Álvaro Francisco Torres Rueda en representación legal de GOMEZ, CAJIAO Y ASOCIADOS S.A.</t>
  </si>
  <si>
    <t>Información obtenida de los folios 040, 058 y 066 Propuesta técnica.</t>
  </si>
  <si>
    <t>CORABASTOS</t>
  </si>
  <si>
    <t>073 de 2005</t>
  </si>
  <si>
    <t>Interventoría técnica, legal, administrativa, financiera y operativa del contrato de concesión no. 070 de 2005, para el diseño, construcción, operación y mantenimiento de la malla vial de la central de abastos S.A. (Corabastos) en la ciudad de Bogotá.</t>
  </si>
  <si>
    <t>En ejecución</t>
  </si>
  <si>
    <t>Toda la información tomada de la certificación de Corabastos en el folio 000211</t>
  </si>
  <si>
    <t>Expediente DIA 1067/04</t>
  </si>
  <si>
    <t>Asistencia técnica para el control y vigilancia de la obra nuevo área terminal en el aeropuerto de Alicante.</t>
  </si>
  <si>
    <t>XIMA S.A.S. (Experiencia cedida por CEMOSA)</t>
  </si>
  <si>
    <t>Experiencia tomada del folio 000215 Oferta técnica</t>
  </si>
  <si>
    <t>Asistencia técnica para el control y vigilancia de la obra: Edificio Terminal, urbanización y accesos en el Aeropuerto de Málaga</t>
  </si>
  <si>
    <t>Experiencia tomada del folio 000219 Oferta técnica</t>
  </si>
  <si>
    <t>Clave 12-P-2940</t>
  </si>
  <si>
    <t>Consultoría y asistencia para el control y vigilancia de la obra "Autovía A-67: Cantabria - Meseta. CN-611, de Palencia a Santander, PK 49+800 al 60+500. Tramo: Osorno-Villaprovedo</t>
  </si>
  <si>
    <t>T.R.N. INGENIERÍA Y PLANIFICACIÓN DE INFRAESTRUCTURA S.A.</t>
  </si>
  <si>
    <t>Experiencia tomada del folio 000226 Oferta técnica</t>
  </si>
  <si>
    <t>UNIDAD ADMINISTRATIVA ESPECIAL AERONAUTICA CIVIL (AHORA ANI)</t>
  </si>
  <si>
    <t>Interventoría financiera, contable, tributaria y administrativa para la concesión de la administración, operación, explotación comercial, mantenimiento, modernización y expansión del aeropuerto internacional Eldorado de la ciudad de Bogotá D.C.</t>
  </si>
  <si>
    <t>Información tomada del folio 000007 Oferta técnica</t>
  </si>
  <si>
    <t>INSTITUTO DE INFRAESTRUCTURA Y CONCESIONES DE CUNDINAMARCA ICCU</t>
  </si>
  <si>
    <t>Contratar la interventoría técnica, socioambiental, jurídica y financiera para un periodo de la etapa de operación y para las actividades de la etapa preoperativa de las obras adicionales de las concesiones viales del departamento de Cundinamarca.</t>
  </si>
  <si>
    <t>BETTIN RECURSOS AMBIENTALES E INGENIERÍA SAS "BRAIN INGENIERÍA SAS" (SERVICIOS DE INGENIERÍA Y CONSTRUCCIÓN LIMITADA "SERVINC LTDA"</t>
  </si>
  <si>
    <t>Información tomada de los folios 000012 y 000013</t>
  </si>
  <si>
    <t>Interventoría técnica, socioambiental, administrativa y financiera de los proyectos de la red vial de troncales y red colectora a cargo del departamento de Cundinamarca.</t>
  </si>
  <si>
    <t>Información tomada del folio 000017</t>
  </si>
  <si>
    <t>SEA-016 del 30 de enero de 2012</t>
  </si>
  <si>
    <t>Regular los términos y condiciones bajo los cuales el interventor se obliga a ejecutar para la Agencia la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Salgar-San Roque, así como regular los términos y condiciones bajo los cuales la AGENCIA pagará al interventor de forma mensual la contraprestación ofrecida por el interventor y aceptada por la AGENCIA durante el concurso de méritos consistente en una suma global fija, a travésde la subcuenta de interventoría del patrimonio autónomo.</t>
  </si>
  <si>
    <t xml:space="preserve"> CUMPLE</t>
  </si>
  <si>
    <t>V06.01.3.0076</t>
  </si>
  <si>
    <t>SUPERVISION TECNICA Y DE CONTROL ADMINISTRATIVO Y FINANCIERO PARA LA CONSTRUCCION DEL PUENTE QUE CONECTARA LA CALZADA IGNACIO ZARAGOZA CON LA AUTOPISTA - PUEBLA, CON UNA GAZA DE INCORPORACION A LA CALZADA ERMITA IZTAPALAPA (CUERPO B DE DISTRIBUIDOR VIAL ZARAGOZA - TEXCOCO).</t>
  </si>
  <si>
    <t>GOBERNACION DEL DEPARTAMENTO DEL MAGDALENA</t>
  </si>
  <si>
    <t>001 DE 2007</t>
  </si>
  <si>
    <t>INTERVENTORIA DE LA CONSTRUCCION Y FINANCIACION DE LA SEGUNDA CALZADA ENTRE LA Y DE CIENAGA Y SANTA MARTA Y REHABILITACION DE LA CALZADA EXISTENTE. CONSTRUCCION Y FINANCIACION DE UNA CALZADA DE LA VIA ALTERNA AL PUETO SECTOR QUEBRADA DEL DOCTOR - MAMATOCO, EN UNA LONGITUD TOTAL DE 47.48 KM.</t>
  </si>
  <si>
    <t>781-99</t>
  </si>
  <si>
    <t>INTERVENTORIA DE LAS OBRAS DE CONSTRUCCION Y PAVIMENTACION CARRETERA VALLEDUPAR - BADILLO - SAN JUAN DEL CESAR.</t>
  </si>
  <si>
    <t>Se verifico en el Folio 54 CONTRACARA</t>
  </si>
  <si>
    <t>INSTITUTO NACIONAL DE CONCESIONES</t>
  </si>
  <si>
    <t xml:space="preserve">INTERVENTORIA TECNICA, FINANCIERA, OPERATIVA, PREDIAL, SOCIO-AMBIENTAL Y LEGAL DEL PROYECTO DE CONCESION VIAL CARTAGENA - BARRANQUILLA, EN EL MARCO DEL CONTRATO DE CONCESION NO. 503 DE 1994, DE CONFORMIDAD DE LOS TERMINOS DE REFERENCIA DEL CONCURSO. </t>
  </si>
  <si>
    <t>Se verifico en el Folio 76 CONTRACARA</t>
  </si>
  <si>
    <t>INTERVENTORIA PARA LA CONSTRUCCION Y PAVIMENTACION DE LA VIA ALTERNA AL PUERTO DE SANTA MARTA, SECTOR MAMATOCO - TERMINAL MARITIMO</t>
  </si>
  <si>
    <t>IDU-200-2006</t>
  </si>
  <si>
    <t>INTERVENTORIA TECNICA, ADMINISTRATIVA, FINANCIERA Y SOCIO-AMBIENTAL PARA LA CONSTRUCCION Y/O REHABILITACION DE VIAS EN LA LOCALIDAD DE SAN CRISTOBAL GRUPO 5 EN BOGOTA CORRESPONDIENTE AL CONCURSO DE MERITOS IDU-CM-DTMV-048-2006.</t>
  </si>
  <si>
    <t>SE VERIFICO EN EL FOLIO 94</t>
  </si>
  <si>
    <t>SE VERIFICO EN EL FOLIO 102</t>
  </si>
  <si>
    <t>TBC TABIQUE INGENIERIA SAS (TABIQUE ENGENHARIA LTDA)</t>
  </si>
  <si>
    <t xml:space="preserve">
Solicitar subsane. Aclarar cual es el contrato inscrito en el RUP para el proyecto presentado por el proponente.
Información de certificación que obra a folios 235 y 236</t>
  </si>
  <si>
    <t>CONSULTORIA COLOMBIANA - B&amp;C S.A.</t>
  </si>
  <si>
    <t>CONSULTORIA COLOMBIANA - ARREDONDO MADRID INGENIEROS CIVILES</t>
  </si>
  <si>
    <t>Verificado en Certificado Cámara y Comercio y Clasificador de Bienes y Servicios.  Formato  5 en el folio 163. Certificaciones folios 165-170.</t>
  </si>
  <si>
    <t>Formato 5 en el folio 165. Presenta certificación y apostille en folios 172-178. Contrato Inscrito en Camara y Comerico Folio 127.</t>
  </si>
  <si>
    <t>Presenta formato No. 6  a  FOLIO 2,  Anexos a folios 34-38.</t>
  </si>
  <si>
    <t>Presenta formato No. 6  a  FOLIO 2,   Anexos a folios 40-42</t>
  </si>
  <si>
    <t>Presenta formato No. 6  a  FOLIO 2,  Anexos a folios 45-46</t>
  </si>
  <si>
    <t>Informacion de certificación que obra a folios 289 y 290</t>
  </si>
  <si>
    <t>Informacion de certificación que obra a folios 100 a 103A(096)</t>
  </si>
  <si>
    <t>/-----/</t>
  </si>
  <si>
    <t xml:space="preserve">No es posible determinar claramente que el contrato cumple con las condiciones establecidas en el pliego de condiciones. Se solicita traduccion del certificado de experiencia entregado en la propuesta. 
</t>
  </si>
  <si>
    <t xml:space="preserve">Se solicita la traducción oficial del certificado de experiencia entregado en la propuesta donde se pueda verificar los requerimientos establecidos en los pliegos de condiciones tales como el objeto, fechas y etc. 
</t>
  </si>
  <si>
    <t>Presenta formato No. 6  a  FOLIO 2,  Certificación apostilladas a  folios 04-32. Se solicita aclarar los valores de IVA pagados respecto a la nota sobre el tema en la certificación, donde se aplica un valor de 16% y otros de 18%.</t>
  </si>
  <si>
    <t xml:space="preserve">Formato 5 en el folio 175. Certificaciones 182.
</t>
  </si>
  <si>
    <t>Experiencia acreditada a travez de la matriz, no requere estar inscrito en el RUP</t>
  </si>
  <si>
    <t xml:space="preserve">Formato 5 en el folio 127. Certificaciones 165. 
Subsane: No se tiene en cuenta la Experiencia acreditada por CRA a traves de Genivar INC, toda vez que el acuerdo de garantia lo suscribe WSP Canada INC sin que se acredite que esta sea la matriza CRA servicios SAS. </t>
  </si>
  <si>
    <t xml:space="preserve">No se tiene en cuenta la experiencia </t>
  </si>
  <si>
    <t xml:space="preserve">Presenta formato No. 6  a  FOLIO 2, Anexos a folios 8-42.
Se tomó en cuenta la certificacion del folio 023 denominado contrato 2.
 No se tiene en cuenta la Experiencia acreditada por CRA a traves de Genivar INC, toda vez que el acuerdo de garantia lo suscribe WSP Canada INC sin que se acredite que esta sea la matriza CRA servicios SAS. </t>
  </si>
  <si>
    <t xml:space="preserve">Para el valor total del contrato, el proponente no incluyó el adicional de 458.292,09 euros. Las conversiones de eurodolar y TRM se realizaron con el promedio de diciembre de 2002, ya que no se especifica la fecha. El proponente tuvo en cuenta el 30 de diciembre de 2002. </t>
  </si>
  <si>
    <t>Experiencia aportada a través de la matriz</t>
  </si>
  <si>
    <t>Se deja constancia que el valor del contrato que se tomó fue el del folio 000152 donde enuncia "valor final del contrato (incluye adiciones)" porque la liquidación se encuentra en trámite, a pesar que el contrato ya finalizó.</t>
  </si>
  <si>
    <t>Aclaración</t>
  </si>
  <si>
    <t>El proponente aclara que el contrato con valor $2.583.274.473 es el consecutivo 52 de la camara de comercio. Este fue verificado con el RUP adjunto al subsane.</t>
  </si>
  <si>
    <t>El proponente aclara que el contrato con valor $700.071.600 es el consecutivo 53 de la camara de comercio. Este fue verificado con el RUP adjunto al subsane.</t>
  </si>
  <si>
    <t>El proponente aclara que el contrato con valor $2.471.066.329 es el consecutivo 11 de la camara de comercio. Este fue verificado en en la propuesta entregada.</t>
  </si>
  <si>
    <t>El proponente aclara que el contrato con valor $2.843.774.422 es el consecutivo 13 de la camara de comercio. Este fue verificado en en la propuesta entregada.</t>
  </si>
  <si>
    <t>El proponente aclara que el contrato con valor $384.734.738 es el consecutivo 8 de la camara de comercio. Este fue verificado en la propuesta entregada.</t>
  </si>
  <si>
    <t xml:space="preserve">En el oficio con radicado no. 2014-409-034655-2 del 22 de julio de 2014, el proponente CONSORCIO INTERVENTORÍA PALMIRA 2014, acredita a través de la Escritura Pública no. 2654 del 4 de diciembre de 2012 (anexo 1) que AGUAS Y ESTRUCTURAS, SUCURSAL COLOMBIA, modificó su denominación social por AYESA INGENIERÍA Y ARQUITECTURA SAU SUCURSAL COLOMBIA (Ver Folio 003). </t>
  </si>
  <si>
    <t>El proponente aclara que no requiere registrar la experiencia de los socios (en su caso, matriz) de una persona jurídica cuanto ésta cuenta con mas de tres años de constitución.
Se acredita la experiencia a traves de su matriz "Investigación y Control de Calidad" lo cual fue verificado en la propuesta entregada.</t>
  </si>
  <si>
    <t>Se solicita al proponente allegar la documentación por medio de la cual se acredite que la firma INGECON S.A.S. ha ejecutado al menos el cincuenta por ciento (50%) del valor total del Contrato No. 129 de 2003 suscrito con el Instituto de Desarrollo Urbano (Formato 7) en virtud de la cesión de su participación a la firma MAB INGENIERÍA S.A.</t>
  </si>
  <si>
    <t xml:space="preserve">Después de revisar el subsane  de solicitud de la traducción oficial, esta aclaración continua sin ser atendida.
Adicionalmente, allegar la documentación por medio de la cual se acredita que el contratante es una ENTIDAD PUBLICA U ORGANISMO MULTILATERAL dado que son obras ejecutadas en el exterior. </t>
  </si>
  <si>
    <t>El proponente aclara que GENIVAR INC. cambió su nombre por el de WSP CANACA INC. y para evidenciar este cambio adjuntan los documentos idoneos, los cuales fueron verifacod por la Agencia.</t>
  </si>
  <si>
    <t>SUPERVISION DE OBRAS PARA LA RECONSTRUCCION DE LA CALZADA DE LA AUTOPISTA 15 NORTE ENTRE KM 25 Y EL KM 32 (7KM) SOBRE EL TERRITORIO DE LA MRC DE MIRABEL</t>
  </si>
  <si>
    <t>El Proponente aclara que el  importe  total del contrato, antes de impuestos, asciende a 1.675.775 Euros (1.120.725 Euros del contrato original adjudicado;  277.100 Euros de una primera ampliacion del contrato; y 277.950 Euros de la segunda ampliacion, a esta cifra se añaden los correspondientes tramos de IVA: 16% entre la fecha de inicio y el 1 de julio de 2010 y 18% desde esa fecha hasta el fin de los trabajos).</t>
  </si>
  <si>
    <t>BOMBA IMPASA COLOMBIA S.A.S.</t>
  </si>
  <si>
    <t>EXPERIENCIA GENERAL</t>
  </si>
  <si>
    <t>EXPERIENCIA ESPECIFICA</t>
  </si>
  <si>
    <r>
      <rPr>
        <b/>
        <sz val="9"/>
        <rFont val="Arial"/>
        <family val="2"/>
      </rPr>
      <t>Aclarar Asistente técnico</t>
    </r>
    <r>
      <rPr>
        <sz val="9"/>
        <rFont val="Arial"/>
        <family val="2"/>
      </rPr>
      <t xml:space="preserve">: no es claro la relacion que existe con el asistente téncino asignado para este consorcio (Folio 024) y el certificado de experiencia presentado por el mismo (Folio 021).
</t>
    </r>
    <r>
      <rPr>
        <b/>
        <sz val="9"/>
        <rFont val="Arial"/>
        <family val="2"/>
      </rPr>
      <t>Solicitar subsane:</t>
    </r>
    <r>
      <rPr>
        <sz val="9"/>
        <rFont val="Arial"/>
        <family val="2"/>
      </rPr>
      <t xml:space="preserve"> Aclarar cuales son las fechas de iniciacion y finalizacion del certificado de experiencia presentado (Folio 021).</t>
    </r>
  </si>
  <si>
    <t>Una vez revisados los documentos entregados por el proponente, la Agencia pudo verificar los requerimientos solicitados.</t>
  </si>
  <si>
    <t>ASISTENTE TECNICO</t>
  </si>
  <si>
    <t xml:space="preserve">El proponente aclara que el valor pagado a la firma UG 21 hasta la fecha de expedición del certificado es de $1.723.745.183,20; valor que esta entidad no considera como valor facturado ya que el certidficado emitido  por la UAEAC cita expresamente que el valor facturado para este contrato es de $1.163.338.632; sin embargo, tomando el valor mencionado por el proponente y el salario mínimo del año 2013 que equivale a $589.500; y a su porcentaje de participacion, como lo establece el certificado emitido por la UAEAC y el formato 5 de la experiencia general, el cual es de 40%, el equivalente en SMMLV para este contrato es de 1.169,63.   </t>
  </si>
  <si>
    <t>Solicitar subsane. Aclarar cual es el contrato inscrito en el RUP para el proyecto presentado por el proponente.
Toda la información fue obtenida del folio 000103 Requisitos Habilitantes.
El contrato señalado no concuerda en el RUP, con los cálculos del proponente, ni con los cálculos del evaluador, de igual forma no se puede tampoco determinar cómo la Cámara de Comercio realizó la conversión a SMMLV. Ya que la diferencia entre salarios es grande, tanto para el proponente como para el evaluador, la observación permanece sin ser atendida, solicitamos se nos aclare por qué la diferencia en los SMMLV calculados con los del RUP.</t>
  </si>
  <si>
    <t>Aclarar cuál es el contrato inscrito en el RUP para el proyecto presentado por el por el integrante de la estructura plural: XIMA S.A.S. por valor de $19.348.758.441.
El contrato señalado no concuerda en el RUP, con los cálculos del proponente, ni con los cálculos del evaluador, de igual forma no se puede tampoco determinar cómo la Cámara de Comercio realizó la conversión a SMMLV. Ya que la diferencia entre salarios es grande, tanto para el proponente como para el evaluador, la observación permanece sin ser atendida, solicitamos se nos aclare por qué la diferencia en los SMMLV calculados con los del RUP.</t>
  </si>
  <si>
    <t>El propoenente aclara que no se encuentra registrado en el RUP, el cual no es necesario acorde al numeral 4.13 sub-numeral (iv); pg. 55 del pliego de Condiciones.
La Agencia aclara que si se requiere la inscripción en el RUP. La posibilidad del numeral 4.13 es respecto de la información del contrato que no conste en el RUP, pero el contrato debe estar registrado. Sin embargo el proponente es habil.</t>
  </si>
  <si>
    <t>El proponente aclaro como la Camara de Comercio le calculo los salarios minimos de los contratos registrados, adicionalmente, indica  los valores y fechas tomados para el calculo de los salarios minimos, los cuales fueron verificados por el area tecnica cumpliendo con lo exigido en los Pliegos de Condiciones.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</si>
</sst>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_(* #,##0.00_);_(* \(#,##0.00\);_(* &quot;-&quot;??_);_(@_)"/>
    <numFmt numFmtId="165" formatCode="_(* #,##0_);_(* \(#,##0\);_(* &quot;-&quot;??_);_(@_)"/>
    <numFmt numFmtId="166" formatCode="_ * #,##0.00_ ;_ * \-#,##0.00_ ;_ * &quot;-&quot;??_ ;_ @_ "/>
    <numFmt numFmtId="167" formatCode="dd\-mm\-yy;@"/>
    <numFmt numFmtId="168" formatCode="#,##0.0"/>
    <numFmt numFmtId="169" formatCode="0.00_ ;\-0.00\ "/>
    <numFmt numFmtId="170" formatCode="0.0%"/>
    <numFmt numFmtId="171" formatCode="#,##0.0000000000"/>
  </numFmts>
  <fonts count="26" x14ac:knownFonts="1">
    <font>
      <sz val="11"/>
      <color theme="1"/>
      <name val="Calibri"/>
      <family val="2"/>
      <scheme val="minor"/>
    </font>
    <font>
      <sz val="11"/>
      <color theme="1"/>
      <name val="Calibri"/>
      <family val="2"/>
      <scheme val="minor"/>
    </font>
    <font>
      <b/>
      <sz val="12"/>
      <color theme="1"/>
      <name val="Calibri"/>
      <family val="2"/>
      <scheme val="minor"/>
    </font>
    <font>
      <sz val="10"/>
      <name val="Arial"/>
      <family val="2"/>
    </font>
    <font>
      <sz val="12"/>
      <color indexed="8"/>
      <name val="Calibri"/>
      <family val="2"/>
    </font>
    <font>
      <sz val="12"/>
      <color theme="1"/>
      <name val="Calibri"/>
      <family val="2"/>
    </font>
    <font>
      <b/>
      <sz val="8"/>
      <color theme="1"/>
      <name val="Arial"/>
      <family val="2"/>
    </font>
    <font>
      <b/>
      <sz val="14"/>
      <color theme="1"/>
      <name val="Arial"/>
      <family val="2"/>
    </font>
    <font>
      <sz val="11"/>
      <color theme="1"/>
      <name val="Arial"/>
      <family val="2"/>
    </font>
    <font>
      <b/>
      <sz val="11"/>
      <color theme="1"/>
      <name val="Arial"/>
      <family val="2"/>
    </font>
    <font>
      <sz val="8"/>
      <color theme="1"/>
      <name val="Arial"/>
      <family val="2"/>
    </font>
    <font>
      <b/>
      <sz val="11"/>
      <color theme="1"/>
      <name val="Calibri"/>
      <family val="2"/>
      <scheme val="minor"/>
    </font>
    <font>
      <sz val="11"/>
      <color rgb="FFFF0000"/>
      <name val="Calibri"/>
      <family val="2"/>
      <scheme val="minor"/>
    </font>
    <font>
      <b/>
      <sz val="12"/>
      <color rgb="FFFF0000"/>
      <name val="Calibri"/>
      <family val="2"/>
      <scheme val="minor"/>
    </font>
    <font>
      <b/>
      <sz val="10"/>
      <color theme="1"/>
      <name val="Calibri"/>
      <family val="2"/>
      <scheme val="minor"/>
    </font>
    <font>
      <b/>
      <sz val="9"/>
      <color theme="1"/>
      <name val="Arial"/>
      <family val="2"/>
    </font>
    <font>
      <b/>
      <sz val="10"/>
      <color theme="1"/>
      <name val="Arial"/>
      <family val="2"/>
    </font>
    <font>
      <sz val="9"/>
      <name val="Arial"/>
      <family val="2"/>
    </font>
    <font>
      <b/>
      <sz val="10"/>
      <name val="Arial"/>
      <family val="2"/>
    </font>
    <font>
      <b/>
      <sz val="9"/>
      <name val="Arial"/>
      <family val="2"/>
    </font>
    <font>
      <sz val="9"/>
      <color theme="0"/>
      <name val="Arial"/>
      <family val="2"/>
    </font>
    <font>
      <sz val="9"/>
      <color theme="1"/>
      <name val="Arial"/>
      <family val="2"/>
    </font>
    <font>
      <sz val="9"/>
      <color rgb="FFFF0000"/>
      <name val="Arial"/>
      <family val="2"/>
    </font>
    <font>
      <b/>
      <sz val="9"/>
      <color rgb="FF92D050"/>
      <name val="Arial"/>
      <family val="2"/>
    </font>
    <font>
      <b/>
      <u/>
      <sz val="10"/>
      <name val="Arial"/>
      <family val="2"/>
    </font>
    <font>
      <b/>
      <sz val="9"/>
      <color theme="0"/>
      <name val="Arial"/>
      <family val="2"/>
    </font>
  </fonts>
  <fills count="14">
    <fill>
      <patternFill patternType="none"/>
    </fill>
    <fill>
      <patternFill patternType="gray125"/>
    </fill>
    <fill>
      <patternFill patternType="solid">
        <fgColor theme="0"/>
        <bgColor indexed="64"/>
      </patternFill>
    </fill>
    <fill>
      <patternFill patternType="solid">
        <fgColor indexed="11"/>
        <bgColor indexed="64"/>
      </patternFill>
    </fill>
    <fill>
      <patternFill patternType="solid">
        <fgColor theme="0" tint="-0.14999847407452621"/>
        <bgColor indexed="64"/>
      </patternFill>
    </fill>
    <fill>
      <patternFill patternType="solid">
        <fgColor rgb="FF00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FF"/>
        <bgColor indexed="64"/>
      </patternFill>
    </fill>
    <fill>
      <patternFill patternType="solid">
        <fgColor theme="1"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1"/>
        <bgColor indexed="64"/>
      </patternFill>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auto="1"/>
      </left>
      <right style="dashed">
        <color auto="1"/>
      </right>
      <top style="double">
        <color auto="1"/>
      </top>
      <bottom style="dashed">
        <color auto="1"/>
      </bottom>
      <diagonal/>
    </border>
    <border>
      <left style="dashed">
        <color auto="1"/>
      </left>
      <right style="dashed">
        <color auto="1"/>
      </right>
      <top style="double">
        <color auto="1"/>
      </top>
      <bottom style="dashed">
        <color auto="1"/>
      </bottom>
      <diagonal/>
    </border>
    <border>
      <left style="dashed">
        <color auto="1"/>
      </left>
      <right style="double">
        <color auto="1"/>
      </right>
      <top style="double">
        <color auto="1"/>
      </top>
      <bottom style="dashed">
        <color auto="1"/>
      </bottom>
      <diagonal/>
    </border>
    <border>
      <left style="double">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4"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5" fillId="0" borderId="0"/>
    <xf numFmtId="9" fontId="3" fillId="0" borderId="0" applyFont="0" applyFill="0" applyBorder="0" applyAlignment="0" applyProtection="0"/>
    <xf numFmtId="44" fontId="1" fillId="0" borderId="0" applyFont="0" applyFill="0" applyBorder="0" applyAlignment="0" applyProtection="0"/>
  </cellStyleXfs>
  <cellXfs count="416">
    <xf numFmtId="0" fontId="0" fillId="0" borderId="0" xfId="0"/>
    <xf numFmtId="165" fontId="0" fillId="0" borderId="0" xfId="1" applyNumberFormat="1" applyFont="1"/>
    <xf numFmtId="0" fontId="8"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8" fillId="6" borderId="15" xfId="0" applyFont="1" applyFill="1" applyBorder="1"/>
    <xf numFmtId="0" fontId="9" fillId="2" borderId="0" xfId="0" applyFont="1" applyFill="1"/>
    <xf numFmtId="0" fontId="6" fillId="7" borderId="21" xfId="0" applyFont="1" applyFill="1" applyBorder="1"/>
    <xf numFmtId="9" fontId="6" fillId="7" borderId="22" xfId="2" applyFont="1" applyFill="1" applyBorder="1"/>
    <xf numFmtId="0" fontId="10" fillId="2" borderId="24" xfId="0" applyFont="1" applyFill="1" applyBorder="1"/>
    <xf numFmtId="9" fontId="10" fillId="2" borderId="25" xfId="2" applyFont="1" applyFill="1" applyBorder="1"/>
    <xf numFmtId="0" fontId="6" fillId="7" borderId="24" xfId="0" applyFont="1" applyFill="1" applyBorder="1"/>
    <xf numFmtId="9" fontId="6" fillId="7" borderId="25" xfId="2" applyFont="1" applyFill="1" applyBorder="1"/>
    <xf numFmtId="9" fontId="8" fillId="2" borderId="0" xfId="2" applyFont="1" applyFill="1"/>
    <xf numFmtId="1" fontId="0" fillId="0" borderId="0" xfId="0" applyNumberFormat="1"/>
    <xf numFmtId="0" fontId="0" fillId="10" borderId="5" xfId="0" applyFont="1" applyFill="1" applyBorder="1" applyAlignment="1">
      <alignment wrapText="1"/>
    </xf>
    <xf numFmtId="0" fontId="0" fillId="2" borderId="0" xfId="0" applyFont="1" applyFill="1" applyAlignment="1">
      <alignment wrapText="1"/>
    </xf>
    <xf numFmtId="0" fontId="0" fillId="2" borderId="0" xfId="0" applyFont="1" applyFill="1" applyAlignment="1">
      <alignment horizontal="left" wrapText="1"/>
    </xf>
    <xf numFmtId="0" fontId="0" fillId="10" borderId="39" xfId="0" applyFont="1" applyFill="1" applyBorder="1" applyAlignment="1">
      <alignment horizontal="center" vertical="center" wrapText="1"/>
    </xf>
    <xf numFmtId="0" fontId="0" fillId="10" borderId="5" xfId="0" applyFont="1" applyFill="1" applyBorder="1" applyAlignment="1">
      <alignment horizontal="center" vertical="center" wrapText="1"/>
    </xf>
    <xf numFmtId="0" fontId="0" fillId="10" borderId="11" xfId="0" applyFont="1" applyFill="1" applyBorder="1" applyAlignment="1">
      <alignment horizontal="center" vertical="center" wrapText="1"/>
    </xf>
    <xf numFmtId="0" fontId="0" fillId="11" borderId="39" xfId="0" applyFont="1" applyFill="1" applyBorder="1" applyAlignment="1">
      <alignment horizontal="center" vertical="center" wrapText="1"/>
    </xf>
    <xf numFmtId="0" fontId="0" fillId="11" borderId="39" xfId="0" applyFont="1" applyFill="1" applyBorder="1" applyAlignment="1">
      <alignment horizontal="left" wrapText="1"/>
    </xf>
    <xf numFmtId="0" fontId="0" fillId="11" borderId="5" xfId="0" applyFont="1" applyFill="1" applyBorder="1" applyAlignment="1">
      <alignment horizontal="center" vertical="center" wrapText="1"/>
    </xf>
    <xf numFmtId="0" fontId="0" fillId="11" borderId="5" xfId="0" applyFont="1" applyFill="1" applyBorder="1" applyAlignment="1">
      <alignment horizontal="left" wrapText="1"/>
    </xf>
    <xf numFmtId="0" fontId="0" fillId="11" borderId="11" xfId="0" applyFont="1" applyFill="1" applyBorder="1" applyAlignment="1">
      <alignment horizontal="center" vertical="center" wrapText="1"/>
    </xf>
    <xf numFmtId="0" fontId="0" fillId="11" borderId="11" xfId="0" applyFont="1" applyFill="1" applyBorder="1" applyAlignment="1">
      <alignment horizontal="left" wrapText="1"/>
    </xf>
    <xf numFmtId="0" fontId="0" fillId="10" borderId="39" xfId="0" applyFont="1" applyFill="1" applyBorder="1" applyAlignment="1">
      <alignment wrapText="1"/>
    </xf>
    <xf numFmtId="0" fontId="0" fillId="10" borderId="11" xfId="0" applyFont="1" applyFill="1" applyBorder="1" applyAlignment="1">
      <alignment wrapText="1"/>
    </xf>
    <xf numFmtId="0" fontId="2" fillId="2" borderId="0" xfId="0" applyFont="1" applyFill="1" applyAlignment="1">
      <alignment horizontal="left" wrapText="1"/>
    </xf>
    <xf numFmtId="0" fontId="12" fillId="11" borderId="40" xfId="0" applyFont="1" applyFill="1" applyBorder="1" applyAlignment="1">
      <alignment horizontal="center" vertical="center" wrapText="1"/>
    </xf>
    <xf numFmtId="3" fontId="12" fillId="11" borderId="19" xfId="0" applyNumberFormat="1" applyFont="1" applyFill="1" applyBorder="1" applyAlignment="1">
      <alignment horizontal="center" vertical="center" wrapText="1"/>
    </xf>
    <xf numFmtId="3" fontId="12" fillId="11" borderId="42" xfId="0" applyNumberFormat="1" applyFont="1" applyFill="1" applyBorder="1" applyAlignment="1">
      <alignment horizontal="center" vertical="center" wrapText="1"/>
    </xf>
    <xf numFmtId="0" fontId="12" fillId="10" borderId="19" xfId="0" applyFont="1" applyFill="1" applyBorder="1" applyAlignment="1">
      <alignment horizontal="center" wrapText="1"/>
    </xf>
    <xf numFmtId="0" fontId="13" fillId="10" borderId="42" xfId="0" applyFont="1" applyFill="1" applyBorder="1" applyAlignment="1">
      <alignment horizontal="center" vertical="center" wrapText="1"/>
    </xf>
    <xf numFmtId="0" fontId="0" fillId="0" borderId="5" xfId="0" applyBorder="1"/>
    <xf numFmtId="0" fontId="11" fillId="4" borderId="5" xfId="0" applyFont="1" applyFill="1" applyBorder="1" applyAlignment="1">
      <alignment horizontal="center"/>
    </xf>
    <xf numFmtId="0" fontId="15" fillId="2" borderId="5" xfId="0" applyFont="1" applyFill="1" applyBorder="1" applyAlignment="1">
      <alignment horizontal="left" vertical="center"/>
    </xf>
    <xf numFmtId="0" fontId="15" fillId="0" borderId="5" xfId="0" applyFont="1" applyBorder="1" applyAlignment="1">
      <alignment horizontal="left" vertical="center" wrapText="1"/>
    </xf>
    <xf numFmtId="9" fontId="0" fillId="0" borderId="5" xfId="0" applyNumberFormat="1" applyBorder="1"/>
    <xf numFmtId="165" fontId="0" fillId="0" borderId="5" xfId="1" applyNumberFormat="1" applyFont="1" applyBorder="1"/>
    <xf numFmtId="1" fontId="0" fillId="0" borderId="5" xfId="0" applyNumberFormat="1" applyBorder="1"/>
    <xf numFmtId="165" fontId="0" fillId="0" borderId="5" xfId="0" applyNumberFormat="1" applyBorder="1"/>
    <xf numFmtId="0" fontId="11" fillId="4" borderId="5" xfId="0" applyFont="1" applyFill="1" applyBorder="1"/>
    <xf numFmtId="165" fontId="11" fillId="4" borderId="5" xfId="1" applyNumberFormat="1" applyFont="1" applyFill="1" applyBorder="1"/>
    <xf numFmtId="0" fontId="6" fillId="7" borderId="20" xfId="0" applyFont="1" applyFill="1" applyBorder="1" applyAlignment="1">
      <alignment horizontal="center"/>
    </xf>
    <xf numFmtId="0" fontId="10" fillId="2" borderId="23" xfId="0" applyFont="1" applyFill="1" applyBorder="1" applyAlignment="1">
      <alignment horizontal="center"/>
    </xf>
    <xf numFmtId="0" fontId="6" fillId="7" borderId="23" xfId="0" applyFont="1" applyFill="1" applyBorder="1" applyAlignment="1">
      <alignment horizontal="center"/>
    </xf>
    <xf numFmtId="0" fontId="0" fillId="2" borderId="0" xfId="0" applyFont="1" applyFill="1" applyBorder="1" applyAlignment="1">
      <alignment wrapText="1"/>
    </xf>
    <xf numFmtId="0" fontId="0" fillId="2" borderId="0" xfId="0" applyFont="1" applyFill="1" applyBorder="1" applyAlignment="1">
      <alignment horizontal="center" wrapText="1"/>
    </xf>
    <xf numFmtId="164" fontId="0" fillId="2" borderId="0" xfId="1" applyFont="1" applyFill="1" applyBorder="1" applyAlignment="1">
      <alignment horizontal="center" wrapText="1"/>
    </xf>
    <xf numFmtId="0" fontId="0" fillId="2" borderId="0" xfId="0" applyFont="1" applyFill="1" applyBorder="1" applyAlignment="1">
      <alignment horizontal="right" wrapText="1"/>
    </xf>
    <xf numFmtId="165" fontId="0" fillId="2" borderId="0" xfId="1" applyNumberFormat="1" applyFont="1" applyFill="1" applyBorder="1" applyAlignment="1">
      <alignment horizontal="center" wrapText="1"/>
    </xf>
    <xf numFmtId="0" fontId="0" fillId="2" borderId="0" xfId="1" applyNumberFormat="1" applyFont="1" applyFill="1" applyBorder="1" applyAlignment="1">
      <alignment horizontal="right" wrapText="1"/>
    </xf>
    <xf numFmtId="9" fontId="0" fillId="2" borderId="0" xfId="0" applyNumberFormat="1" applyFont="1" applyFill="1" applyBorder="1" applyAlignment="1">
      <alignment wrapText="1"/>
    </xf>
    <xf numFmtId="43" fontId="0" fillId="2" borderId="0" xfId="1" applyNumberFormat="1" applyFont="1" applyFill="1" applyBorder="1" applyAlignment="1">
      <alignment horizontal="center" wrapText="1"/>
    </xf>
    <xf numFmtId="0" fontId="11" fillId="4" borderId="5" xfId="0" applyFont="1" applyFill="1" applyBorder="1" applyAlignment="1">
      <alignment wrapText="1"/>
    </xf>
    <xf numFmtId="0" fontId="11" fillId="4" borderId="5" xfId="0" applyFont="1" applyFill="1" applyBorder="1" applyAlignment="1">
      <alignment horizontal="center" wrapText="1"/>
    </xf>
    <xf numFmtId="165" fontId="11" fillId="4" borderId="5" xfId="1" applyNumberFormat="1" applyFont="1" applyFill="1" applyBorder="1" applyAlignment="1">
      <alignment horizontal="center" wrapText="1"/>
    </xf>
    <xf numFmtId="43" fontId="11" fillId="4" borderId="5" xfId="1" applyNumberFormat="1" applyFont="1" applyFill="1" applyBorder="1" applyAlignment="1">
      <alignment horizontal="center" wrapText="1"/>
    </xf>
    <xf numFmtId="0" fontId="14" fillId="2" borderId="8" xfId="0" applyFont="1" applyFill="1" applyBorder="1" applyAlignment="1">
      <alignment horizontal="center" wrapText="1"/>
    </xf>
    <xf numFmtId="169" fontId="11" fillId="4" borderId="5" xfId="1" applyNumberFormat="1" applyFont="1" applyFill="1" applyBorder="1" applyAlignment="1">
      <alignment horizontal="right" wrapText="1"/>
    </xf>
    <xf numFmtId="44" fontId="11" fillId="4" borderId="5" xfId="13" applyFont="1" applyFill="1" applyBorder="1"/>
    <xf numFmtId="164" fontId="11" fillId="4" borderId="5" xfId="1" applyFont="1" applyFill="1" applyBorder="1"/>
    <xf numFmtId="0" fontId="11" fillId="0" borderId="5" xfId="0" applyFont="1" applyBorder="1"/>
    <xf numFmtId="1" fontId="8" fillId="2" borderId="0" xfId="0" applyNumberFormat="1" applyFont="1" applyFill="1" applyAlignment="1">
      <alignment horizontal="center"/>
    </xf>
    <xf numFmtId="1" fontId="8" fillId="6" borderId="15" xfId="0" applyNumberFormat="1" applyFont="1" applyFill="1" applyBorder="1"/>
    <xf numFmtId="1" fontId="8" fillId="2" borderId="0" xfId="2" applyNumberFormat="1" applyFont="1" applyFill="1"/>
    <xf numFmtId="1" fontId="8" fillId="2" borderId="0" xfId="0" applyNumberFormat="1" applyFont="1" applyFill="1"/>
    <xf numFmtId="0" fontId="17" fillId="3" borderId="11" xfId="3" applyFont="1" applyFill="1" applyBorder="1" applyAlignment="1">
      <alignment horizontal="left" vertical="center" wrapText="1"/>
    </xf>
    <xf numFmtId="165" fontId="0" fillId="0" borderId="0" xfId="0" applyNumberFormat="1"/>
    <xf numFmtId="43" fontId="0" fillId="0" borderId="0" xfId="0" applyNumberFormat="1"/>
    <xf numFmtId="0" fontId="19" fillId="2" borderId="0" xfId="0" applyFont="1" applyFill="1"/>
    <xf numFmtId="0" fontId="17" fillId="2" borderId="0" xfId="0" applyFont="1" applyFill="1" applyAlignment="1">
      <alignment horizontal="left"/>
    </xf>
    <xf numFmtId="0" fontId="17" fillId="2" borderId="0" xfId="0" applyFont="1" applyFill="1"/>
    <xf numFmtId="0" fontId="20" fillId="9" borderId="6" xfId="0" applyFont="1" applyFill="1" applyBorder="1"/>
    <xf numFmtId="0" fontId="20" fillId="9" borderId="7" xfId="0" applyFont="1" applyFill="1" applyBorder="1" applyAlignment="1">
      <alignment horizontal="left"/>
    </xf>
    <xf numFmtId="0" fontId="20" fillId="9" borderId="7" xfId="0" applyFont="1" applyFill="1" applyBorder="1"/>
    <xf numFmtId="0" fontId="17" fillId="9" borderId="7" xfId="0" applyFont="1" applyFill="1" applyBorder="1"/>
    <xf numFmtId="0" fontId="17" fillId="9" borderId="8" xfId="0" applyFont="1" applyFill="1" applyBorder="1"/>
    <xf numFmtId="0" fontId="17" fillId="13" borderId="54" xfId="0" applyFont="1" applyFill="1" applyBorder="1"/>
    <xf numFmtId="0" fontId="19" fillId="4" borderId="11" xfId="0" applyFont="1" applyFill="1" applyBorder="1" applyAlignment="1">
      <alignment horizontal="center" vertical="center" wrapText="1"/>
    </xf>
    <xf numFmtId="0" fontId="19" fillId="4" borderId="34" xfId="0" applyFont="1" applyFill="1" applyBorder="1" applyAlignment="1">
      <alignment horizontal="center" vertical="center" wrapText="1"/>
    </xf>
    <xf numFmtId="0" fontId="17" fillId="2" borderId="33" xfId="0" applyFont="1" applyFill="1" applyBorder="1"/>
    <xf numFmtId="0" fontId="17" fillId="2" borderId="0" xfId="0" applyFont="1" applyFill="1" applyBorder="1" applyAlignment="1">
      <alignment horizontal="left"/>
    </xf>
    <xf numFmtId="0" fontId="17" fillId="2" borderId="0" xfId="0" applyFont="1" applyFill="1" applyBorder="1"/>
    <xf numFmtId="0" fontId="17" fillId="3" borderId="38" xfId="3" applyFont="1" applyFill="1" applyBorder="1" applyAlignment="1">
      <alignment horizontal="center" vertical="center" wrapText="1"/>
    </xf>
    <xf numFmtId="0" fontId="17" fillId="3" borderId="39" xfId="3" applyFont="1" applyFill="1" applyBorder="1" applyAlignment="1">
      <alignment horizontal="left" vertical="center" wrapText="1"/>
    </xf>
    <xf numFmtId="0" fontId="17" fillId="3" borderId="39" xfId="3" applyFont="1" applyFill="1" applyBorder="1" applyAlignment="1">
      <alignment horizontal="center" vertical="center" wrapText="1"/>
    </xf>
    <xf numFmtId="0" fontId="17" fillId="3" borderId="39" xfId="3" applyFont="1" applyFill="1" applyBorder="1" applyAlignment="1">
      <alignment horizontal="justify" vertical="center" wrapText="1"/>
    </xf>
    <xf numFmtId="9" fontId="17" fillId="3" borderId="39" xfId="4" applyFont="1" applyFill="1" applyBorder="1" applyAlignment="1">
      <alignment horizontal="center" vertical="center" wrapText="1"/>
    </xf>
    <xf numFmtId="167" fontId="17" fillId="3" borderId="39" xfId="4" applyNumberFormat="1" applyFont="1" applyFill="1" applyBorder="1" applyAlignment="1">
      <alignment horizontal="center" vertical="center" wrapText="1"/>
    </xf>
    <xf numFmtId="15" fontId="17" fillId="3" borderId="39" xfId="3" applyNumberFormat="1" applyFont="1" applyFill="1" applyBorder="1" applyAlignment="1">
      <alignment horizontal="center" vertical="center" wrapText="1"/>
    </xf>
    <xf numFmtId="0" fontId="17" fillId="3" borderId="39" xfId="1" applyNumberFormat="1" applyFont="1" applyFill="1" applyBorder="1" applyAlignment="1">
      <alignment horizontal="center" vertical="center" wrapText="1"/>
    </xf>
    <xf numFmtId="3" fontId="17" fillId="5" borderId="39" xfId="3" applyNumberFormat="1" applyFont="1" applyFill="1" applyBorder="1" applyAlignment="1">
      <alignment horizontal="center" vertical="center" wrapText="1"/>
    </xf>
    <xf numFmtId="4" fontId="19" fillId="5" borderId="45" xfId="3" applyNumberFormat="1" applyFont="1" applyFill="1" applyBorder="1" applyAlignment="1">
      <alignment horizontal="center" vertical="center" wrapText="1"/>
    </xf>
    <xf numFmtId="3" fontId="17" fillId="4" borderId="39" xfId="3" applyNumberFormat="1" applyFont="1" applyFill="1" applyBorder="1" applyAlignment="1">
      <alignment horizontal="center" vertical="center" wrapText="1"/>
    </xf>
    <xf numFmtId="9" fontId="17" fillId="5" borderId="39" xfId="2" applyFont="1" applyFill="1" applyBorder="1" applyAlignment="1">
      <alignment horizontal="center" vertical="center" wrapText="1"/>
    </xf>
    <xf numFmtId="4" fontId="17" fillId="0" borderId="12" xfId="3" applyNumberFormat="1" applyFont="1" applyBorder="1" applyAlignment="1">
      <alignment vertical="center" wrapText="1"/>
    </xf>
    <xf numFmtId="4" fontId="17" fillId="0" borderId="40" xfId="3" applyNumberFormat="1" applyFont="1" applyBorder="1" applyAlignment="1">
      <alignment vertical="center" wrapText="1"/>
    </xf>
    <xf numFmtId="0" fontId="17" fillId="3" borderId="18" xfId="3" applyFont="1" applyFill="1" applyBorder="1" applyAlignment="1">
      <alignment horizontal="center" vertical="center" wrapText="1"/>
    </xf>
    <xf numFmtId="0" fontId="17" fillId="3" borderId="5" xfId="3" applyFont="1" applyFill="1" applyBorder="1" applyAlignment="1">
      <alignment horizontal="left" vertical="center" wrapText="1"/>
    </xf>
    <xf numFmtId="0" fontId="17" fillId="3" borderId="5" xfId="3" applyFont="1" applyFill="1" applyBorder="1" applyAlignment="1">
      <alignment horizontal="center" vertical="center" wrapText="1"/>
    </xf>
    <xf numFmtId="0" fontId="17" fillId="3" borderId="5" xfId="3" applyFont="1" applyFill="1" applyBorder="1" applyAlignment="1">
      <alignment horizontal="justify" vertical="center" wrapText="1"/>
    </xf>
    <xf numFmtId="9" fontId="17" fillId="3" borderId="5" xfId="4" applyFont="1" applyFill="1" applyBorder="1" applyAlignment="1">
      <alignment horizontal="center" vertical="center" wrapText="1"/>
    </xf>
    <xf numFmtId="167" fontId="17" fillId="3" borderId="5" xfId="4" applyNumberFormat="1" applyFont="1" applyFill="1" applyBorder="1" applyAlignment="1">
      <alignment horizontal="center" vertical="center" wrapText="1"/>
    </xf>
    <xf numFmtId="15" fontId="17" fillId="3" borderId="5" xfId="3" applyNumberFormat="1" applyFont="1" applyFill="1" applyBorder="1" applyAlignment="1">
      <alignment horizontal="center" vertical="center" wrapText="1"/>
    </xf>
    <xf numFmtId="0" fontId="17" fillId="3" borderId="5" xfId="1" applyNumberFormat="1" applyFont="1" applyFill="1" applyBorder="1" applyAlignment="1">
      <alignment horizontal="center" vertical="center" wrapText="1"/>
    </xf>
    <xf numFmtId="3" fontId="17" fillId="5" borderId="5" xfId="3" applyNumberFormat="1" applyFont="1" applyFill="1" applyBorder="1" applyAlignment="1">
      <alignment horizontal="center" vertical="center" wrapText="1"/>
    </xf>
    <xf numFmtId="9" fontId="17" fillId="5" borderId="5" xfId="2" applyFont="1" applyFill="1" applyBorder="1" applyAlignment="1">
      <alignment horizontal="center" vertical="center" wrapText="1"/>
    </xf>
    <xf numFmtId="4" fontId="17" fillId="0" borderId="51" xfId="3" applyNumberFormat="1" applyFont="1" applyBorder="1" applyAlignment="1">
      <alignment vertical="center" wrapText="1"/>
    </xf>
    <xf numFmtId="4" fontId="17" fillId="0" borderId="19" xfId="3" applyNumberFormat="1" applyFont="1" applyBorder="1" applyAlignment="1">
      <alignment vertical="center" wrapText="1"/>
    </xf>
    <xf numFmtId="0" fontId="17" fillId="3" borderId="41" xfId="3" applyFont="1" applyFill="1" applyBorder="1" applyAlignment="1">
      <alignment horizontal="center" vertical="center" wrapText="1"/>
    </xf>
    <xf numFmtId="0" fontId="17" fillId="3" borderId="11" xfId="3" applyFont="1" applyFill="1" applyBorder="1" applyAlignment="1">
      <alignment horizontal="center" vertical="center" wrapText="1"/>
    </xf>
    <xf numFmtId="0" fontId="17" fillId="3" borderId="11" xfId="3" applyFont="1" applyFill="1" applyBorder="1" applyAlignment="1">
      <alignment horizontal="justify" vertical="center" wrapText="1"/>
    </xf>
    <xf numFmtId="9" fontId="17" fillId="3" borderId="11" xfId="4" applyFont="1" applyFill="1" applyBorder="1" applyAlignment="1">
      <alignment horizontal="center" vertical="center" wrapText="1"/>
    </xf>
    <xf numFmtId="167" fontId="17" fillId="3" borderId="11" xfId="4" applyNumberFormat="1" applyFont="1" applyFill="1" applyBorder="1" applyAlignment="1">
      <alignment horizontal="center" vertical="center" wrapText="1"/>
    </xf>
    <xf numFmtId="15" fontId="17" fillId="3" borderId="11" xfId="3" applyNumberFormat="1" applyFont="1" applyFill="1" applyBorder="1" applyAlignment="1">
      <alignment horizontal="center" vertical="center" wrapText="1"/>
    </xf>
    <xf numFmtId="0" fontId="17" fillId="3" borderId="11" xfId="1" applyNumberFormat="1" applyFont="1" applyFill="1" applyBorder="1" applyAlignment="1">
      <alignment horizontal="center" vertical="center" wrapText="1"/>
    </xf>
    <xf numFmtId="3" fontId="17" fillId="5" borderId="11" xfId="3" applyNumberFormat="1" applyFont="1" applyFill="1" applyBorder="1" applyAlignment="1">
      <alignment horizontal="center" vertical="center" wrapText="1"/>
    </xf>
    <xf numFmtId="3" fontId="17" fillId="4" borderId="45" xfId="3" applyNumberFormat="1" applyFont="1" applyFill="1" applyBorder="1" applyAlignment="1">
      <alignment horizontal="center" vertical="center" wrapText="1"/>
    </xf>
    <xf numFmtId="9" fontId="17" fillId="5" borderId="11" xfId="2" applyFont="1" applyFill="1" applyBorder="1" applyAlignment="1">
      <alignment horizontal="center" vertical="center" wrapText="1"/>
    </xf>
    <xf numFmtId="4" fontId="17" fillId="0" borderId="52" xfId="3" applyNumberFormat="1" applyFont="1" applyBorder="1" applyAlignment="1">
      <alignment vertical="center" wrapText="1"/>
    </xf>
    <xf numFmtId="4" fontId="17" fillId="0" borderId="42" xfId="3" applyNumberFormat="1" applyFont="1" applyBorder="1" applyAlignment="1">
      <alignment vertical="center" wrapText="1"/>
    </xf>
    <xf numFmtId="0" fontId="19" fillId="2" borderId="0" xfId="0" applyFont="1" applyFill="1" applyBorder="1"/>
    <xf numFmtId="0" fontId="17" fillId="2" borderId="27" xfId="0" applyFont="1" applyFill="1" applyBorder="1"/>
    <xf numFmtId="0" fontId="17" fillId="3" borderId="46" xfId="3" applyFont="1" applyFill="1" applyBorder="1" applyAlignment="1">
      <alignment horizontal="center" vertical="center" wrapText="1"/>
    </xf>
    <xf numFmtId="0" fontId="17" fillId="3" borderId="45" xfId="3" applyFont="1" applyFill="1" applyBorder="1" applyAlignment="1">
      <alignment horizontal="left" vertical="center" wrapText="1"/>
    </xf>
    <xf numFmtId="0" fontId="17" fillId="3" borderId="45" xfId="3" applyFont="1" applyFill="1" applyBorder="1" applyAlignment="1">
      <alignment horizontal="center" vertical="center" wrapText="1"/>
    </xf>
    <xf numFmtId="9" fontId="17" fillId="3" borderId="45" xfId="4" applyFont="1" applyFill="1" applyBorder="1" applyAlignment="1">
      <alignment horizontal="center" vertical="center" wrapText="1"/>
    </xf>
    <xf numFmtId="15" fontId="17" fillId="3" borderId="45" xfId="3" applyNumberFormat="1" applyFont="1" applyFill="1" applyBorder="1" applyAlignment="1">
      <alignment horizontal="center" vertical="center" wrapText="1"/>
    </xf>
    <xf numFmtId="0" fontId="17" fillId="3" borderId="45" xfId="1" applyNumberFormat="1" applyFont="1" applyFill="1" applyBorder="1" applyAlignment="1">
      <alignment horizontal="center" vertical="center" wrapText="1"/>
    </xf>
    <xf numFmtId="4" fontId="17" fillId="12" borderId="45" xfId="3" applyNumberFormat="1" applyFont="1" applyFill="1" applyBorder="1" applyAlignment="1">
      <alignment horizontal="center" vertical="center" wrapText="1"/>
    </xf>
    <xf numFmtId="3" fontId="17" fillId="5" borderId="45" xfId="3" applyNumberFormat="1" applyFont="1" applyFill="1" applyBorder="1" applyAlignment="1">
      <alignment horizontal="center" vertical="center" wrapText="1"/>
    </xf>
    <xf numFmtId="9" fontId="17" fillId="5" borderId="45" xfId="2" applyFont="1" applyFill="1" applyBorder="1" applyAlignment="1">
      <alignment horizontal="center" vertical="center" wrapText="1"/>
    </xf>
    <xf numFmtId="4" fontId="17" fillId="0" borderId="53" xfId="3" applyNumberFormat="1" applyFont="1" applyBorder="1" applyAlignment="1">
      <alignment vertical="center" wrapText="1"/>
    </xf>
    <xf numFmtId="0" fontId="17" fillId="2" borderId="48" xfId="0" applyFont="1" applyFill="1" applyBorder="1"/>
    <xf numFmtId="0" fontId="19" fillId="2" borderId="39" xfId="0" applyFont="1" applyFill="1" applyBorder="1" applyAlignment="1">
      <alignment horizontal="center"/>
    </xf>
    <xf numFmtId="0" fontId="19" fillId="2" borderId="39" xfId="0" applyFont="1" applyFill="1" applyBorder="1"/>
    <xf numFmtId="0" fontId="17" fillId="2" borderId="40" xfId="0" applyFont="1" applyFill="1" applyBorder="1"/>
    <xf numFmtId="1" fontId="17" fillId="2" borderId="27" xfId="0" applyNumberFormat="1" applyFont="1" applyFill="1" applyBorder="1"/>
    <xf numFmtId="165" fontId="17" fillId="2" borderId="5" xfId="1" applyNumberFormat="1" applyFont="1" applyFill="1" applyBorder="1" applyAlignment="1">
      <alignment horizontal="center"/>
    </xf>
    <xf numFmtId="1" fontId="17" fillId="2" borderId="5" xfId="0" applyNumberFormat="1" applyFont="1" applyFill="1" applyBorder="1" applyAlignment="1">
      <alignment horizontal="center"/>
    </xf>
    <xf numFmtId="3" fontId="17" fillId="2" borderId="5" xfId="0" applyNumberFormat="1" applyFont="1" applyFill="1" applyBorder="1" applyAlignment="1">
      <alignment horizontal="center"/>
    </xf>
    <xf numFmtId="0" fontId="17" fillId="2" borderId="19" xfId="0" applyFont="1" applyFill="1" applyBorder="1"/>
    <xf numFmtId="0" fontId="17" fillId="2" borderId="35" xfId="0" applyFont="1" applyFill="1" applyBorder="1"/>
    <xf numFmtId="0" fontId="17" fillId="2" borderId="36" xfId="0" applyFont="1" applyFill="1" applyBorder="1" applyAlignment="1">
      <alignment horizontal="left"/>
    </xf>
    <xf numFmtId="0" fontId="17" fillId="2" borderId="36" xfId="0" applyFont="1" applyFill="1" applyBorder="1"/>
    <xf numFmtId="0" fontId="17" fillId="2" borderId="11" xfId="0" applyFont="1" applyFill="1" applyBorder="1"/>
    <xf numFmtId="0" fontId="17" fillId="2" borderId="42" xfId="0" applyFont="1" applyFill="1" applyBorder="1"/>
    <xf numFmtId="0" fontId="17" fillId="2" borderId="37" xfId="0" applyFont="1" applyFill="1" applyBorder="1"/>
    <xf numFmtId="0" fontId="19" fillId="4" borderId="14" xfId="0" applyFont="1" applyFill="1" applyBorder="1" applyAlignment="1">
      <alignment horizontal="center" vertical="center" wrapText="1"/>
    </xf>
    <xf numFmtId="1" fontId="17" fillId="3" borderId="39" xfId="3" applyNumberFormat="1" applyFont="1" applyFill="1" applyBorder="1" applyAlignment="1">
      <alignment horizontal="center" vertical="center" wrapText="1"/>
    </xf>
    <xf numFmtId="3" fontId="19" fillId="5" borderId="39" xfId="3" applyNumberFormat="1" applyFont="1" applyFill="1" applyBorder="1" applyAlignment="1">
      <alignment horizontal="center" vertical="center" wrapText="1"/>
    </xf>
    <xf numFmtId="1" fontId="17" fillId="3" borderId="11" xfId="3" applyNumberFormat="1" applyFont="1" applyFill="1" applyBorder="1" applyAlignment="1">
      <alignment horizontal="center" vertical="center" wrapText="1"/>
    </xf>
    <xf numFmtId="3" fontId="19" fillId="5" borderId="11" xfId="3" applyNumberFormat="1" applyFont="1" applyFill="1" applyBorder="1" applyAlignment="1">
      <alignment horizontal="center" vertical="center" wrapText="1"/>
    </xf>
    <xf numFmtId="3" fontId="17" fillId="4" borderId="11" xfId="3" applyNumberFormat="1" applyFont="1" applyFill="1" applyBorder="1" applyAlignment="1">
      <alignment horizontal="center" vertical="center" wrapText="1"/>
    </xf>
    <xf numFmtId="0" fontId="17" fillId="2" borderId="26" xfId="0" applyFont="1" applyFill="1" applyBorder="1"/>
    <xf numFmtId="0" fontId="17" fillId="2" borderId="39" xfId="0" applyNumberFormat="1" applyFont="1" applyFill="1" applyBorder="1" applyAlignment="1">
      <alignment vertical="center"/>
    </xf>
    <xf numFmtId="4" fontId="17" fillId="12" borderId="39" xfId="3" applyNumberFormat="1" applyFont="1" applyFill="1" applyBorder="1" applyAlignment="1">
      <alignment horizontal="center" vertical="center" wrapText="1"/>
    </xf>
    <xf numFmtId="4" fontId="19" fillId="5" borderId="39" xfId="3" applyNumberFormat="1" applyFont="1" applyFill="1" applyBorder="1" applyAlignment="1">
      <alignment horizontal="center" vertical="center" wrapText="1"/>
    </xf>
    <xf numFmtId="0" fontId="17" fillId="2" borderId="11" xfId="0" applyNumberFormat="1" applyFont="1" applyFill="1" applyBorder="1" applyAlignment="1">
      <alignment vertical="center"/>
    </xf>
    <xf numFmtId="3" fontId="17" fillId="2" borderId="0" xfId="0" applyNumberFormat="1" applyFont="1" applyFill="1" applyBorder="1"/>
    <xf numFmtId="0" fontId="17" fillId="2" borderId="39" xfId="0" applyNumberFormat="1" applyFont="1" applyFill="1" applyBorder="1" applyAlignment="1">
      <alignment vertical="center" wrapText="1"/>
    </xf>
    <xf numFmtId="4" fontId="17" fillId="12" borderId="11" xfId="3" applyNumberFormat="1" applyFont="1" applyFill="1" applyBorder="1" applyAlignment="1">
      <alignment horizontal="center" vertical="center" wrapText="1"/>
    </xf>
    <xf numFmtId="4" fontId="19" fillId="5" borderId="11" xfId="3" applyNumberFormat="1" applyFont="1" applyFill="1" applyBorder="1" applyAlignment="1">
      <alignment horizontal="center" vertical="center" wrapText="1"/>
    </xf>
    <xf numFmtId="0" fontId="17" fillId="2" borderId="11" xfId="0" applyNumberFormat="1" applyFont="1" applyFill="1" applyBorder="1" applyAlignment="1">
      <alignment vertical="center" wrapText="1"/>
    </xf>
    <xf numFmtId="0" fontId="17" fillId="2" borderId="6" xfId="0" applyFont="1" applyFill="1" applyBorder="1"/>
    <xf numFmtId="0" fontId="17" fillId="2" borderId="7" xfId="0" applyFont="1" applyFill="1" applyBorder="1" applyAlignment="1">
      <alignment horizontal="left"/>
    </xf>
    <xf numFmtId="0" fontId="17" fillId="2" borderId="7" xfId="0" applyFont="1" applyFill="1" applyBorder="1"/>
    <xf numFmtId="0" fontId="17" fillId="2" borderId="8" xfId="0" applyFont="1" applyFill="1" applyBorder="1"/>
    <xf numFmtId="0" fontId="17" fillId="2" borderId="38" xfId="3" applyFont="1" applyFill="1" applyBorder="1" applyAlignment="1">
      <alignment horizontal="center" vertical="center" wrapText="1"/>
    </xf>
    <xf numFmtId="4" fontId="17" fillId="5" borderId="39" xfId="3" applyNumberFormat="1" applyFont="1" applyFill="1" applyBorder="1" applyAlignment="1">
      <alignment horizontal="center" vertical="center" wrapText="1"/>
    </xf>
    <xf numFmtId="9" fontId="19" fillId="2" borderId="39" xfId="2" applyFont="1" applyFill="1" applyBorder="1" applyAlignment="1">
      <alignment horizontal="center" vertical="center" wrapText="1"/>
    </xf>
    <xf numFmtId="0" fontId="17" fillId="2" borderId="41" xfId="3" applyFont="1" applyFill="1" applyBorder="1" applyAlignment="1">
      <alignment horizontal="center" vertical="center" wrapText="1"/>
    </xf>
    <xf numFmtId="4" fontId="17" fillId="5" borderId="11" xfId="3" applyNumberFormat="1" applyFont="1" applyFill="1" applyBorder="1" applyAlignment="1">
      <alignment horizontal="center" vertical="center" wrapText="1"/>
    </xf>
    <xf numFmtId="4" fontId="19" fillId="2" borderId="0" xfId="0" applyNumberFormat="1" applyFont="1" applyFill="1" applyBorder="1"/>
    <xf numFmtId="3" fontId="17" fillId="2" borderId="26" xfId="3" applyNumberFormat="1" applyFont="1" applyFill="1" applyBorder="1" applyAlignment="1">
      <alignment horizontal="center" vertical="center" wrapText="1"/>
    </xf>
    <xf numFmtId="168" fontId="17" fillId="4" borderId="39" xfId="3" applyNumberFormat="1" applyFont="1" applyFill="1" applyBorder="1" applyAlignment="1">
      <alignment horizontal="center" vertical="center" wrapText="1"/>
    </xf>
    <xf numFmtId="4" fontId="17" fillId="5" borderId="5" xfId="3" applyNumberFormat="1" applyFont="1" applyFill="1" applyBorder="1" applyAlignment="1">
      <alignment horizontal="center" vertical="center" wrapText="1"/>
    </xf>
    <xf numFmtId="4" fontId="19" fillId="5" borderId="5" xfId="3" applyNumberFormat="1" applyFont="1" applyFill="1" applyBorder="1" applyAlignment="1">
      <alignment horizontal="center" vertical="center" wrapText="1"/>
    </xf>
    <xf numFmtId="3" fontId="17" fillId="4" borderId="5" xfId="3" applyNumberFormat="1" applyFont="1" applyFill="1" applyBorder="1" applyAlignment="1">
      <alignment horizontal="center" vertical="center" wrapText="1"/>
    </xf>
    <xf numFmtId="0" fontId="17" fillId="2" borderId="33" xfId="3" applyFont="1" applyFill="1" applyBorder="1" applyAlignment="1">
      <alignment horizontal="center" vertical="center" wrapText="1"/>
    </xf>
    <xf numFmtId="0" fontId="17" fillId="2" borderId="0" xfId="3" applyFont="1" applyFill="1" applyBorder="1" applyAlignment="1">
      <alignment horizontal="left" vertical="center" wrapText="1"/>
    </xf>
    <xf numFmtId="0" fontId="17" fillId="2" borderId="0" xfId="3" applyFont="1" applyFill="1" applyBorder="1" applyAlignment="1">
      <alignment horizontal="center" vertical="center" wrapText="1"/>
    </xf>
    <xf numFmtId="9" fontId="17" fillId="2" borderId="0" xfId="4" applyFont="1" applyFill="1" applyBorder="1" applyAlignment="1">
      <alignment horizontal="center" vertical="center" wrapText="1"/>
    </xf>
    <xf numFmtId="164" fontId="17" fillId="2" borderId="0" xfId="1" applyFont="1" applyFill="1" applyBorder="1" applyAlignment="1">
      <alignment horizontal="center" vertical="center" wrapText="1"/>
    </xf>
    <xf numFmtId="15" fontId="17" fillId="2" borderId="0" xfId="3" applyNumberFormat="1" applyFont="1" applyFill="1" applyBorder="1" applyAlignment="1">
      <alignment horizontal="center" vertical="center" wrapText="1"/>
    </xf>
    <xf numFmtId="0" fontId="17" fillId="2" borderId="0" xfId="1" applyNumberFormat="1" applyFont="1" applyFill="1" applyBorder="1" applyAlignment="1">
      <alignment horizontal="center" vertical="center" wrapText="1"/>
    </xf>
    <xf numFmtId="4" fontId="17" fillId="2" borderId="0" xfId="3" applyNumberFormat="1" applyFont="1" applyFill="1" applyBorder="1" applyAlignment="1">
      <alignment horizontal="center" vertical="center" wrapText="1"/>
    </xf>
    <xf numFmtId="4" fontId="19" fillId="2" borderId="0" xfId="3" applyNumberFormat="1" applyFont="1" applyFill="1" applyBorder="1" applyAlignment="1">
      <alignment horizontal="center" vertical="center" wrapText="1"/>
    </xf>
    <xf numFmtId="3" fontId="17" fillId="2" borderId="0" xfId="3" applyNumberFormat="1" applyFont="1" applyFill="1" applyBorder="1" applyAlignment="1">
      <alignment horizontal="center" vertical="center" wrapText="1"/>
    </xf>
    <xf numFmtId="9" fontId="17" fillId="2" borderId="0" xfId="2" applyFont="1" applyFill="1" applyBorder="1" applyAlignment="1">
      <alignment horizontal="center" vertical="center" wrapText="1"/>
    </xf>
    <xf numFmtId="4" fontId="17" fillId="2" borderId="0" xfId="3" applyNumberFormat="1" applyFont="1" applyFill="1" applyBorder="1" applyAlignment="1">
      <alignment vertical="center" wrapText="1"/>
    </xf>
    <xf numFmtId="4" fontId="17" fillId="5" borderId="45" xfId="3" applyNumberFormat="1" applyFont="1" applyFill="1" applyBorder="1" applyAlignment="1">
      <alignment horizontal="center" vertical="center" wrapText="1"/>
    </xf>
    <xf numFmtId="168" fontId="17" fillId="4" borderId="45" xfId="3" applyNumberFormat="1" applyFont="1" applyFill="1" applyBorder="1" applyAlignment="1">
      <alignment horizontal="center" vertical="center" wrapText="1"/>
    </xf>
    <xf numFmtId="167" fontId="17" fillId="3" borderId="45" xfId="4" applyNumberFormat="1" applyFont="1" applyFill="1" applyBorder="1" applyAlignment="1">
      <alignment horizontal="center" vertical="center" wrapText="1"/>
    </xf>
    <xf numFmtId="0" fontId="17" fillId="2" borderId="28" xfId="0" applyFont="1" applyFill="1" applyBorder="1"/>
    <xf numFmtId="0" fontId="17" fillId="2" borderId="29" xfId="0" applyFont="1" applyFill="1" applyBorder="1" applyAlignment="1">
      <alignment horizontal="left"/>
    </xf>
    <xf numFmtId="0" fontId="17" fillId="2" borderId="29" xfId="0" applyFont="1" applyFill="1" applyBorder="1"/>
    <xf numFmtId="0" fontId="19" fillId="2" borderId="29" xfId="0" applyFont="1" applyFill="1" applyBorder="1"/>
    <xf numFmtId="0" fontId="17" fillId="2" borderId="30" xfId="0" applyFont="1" applyFill="1" applyBorder="1"/>
    <xf numFmtId="0" fontId="17" fillId="3" borderId="47" xfId="3" applyFont="1" applyFill="1" applyBorder="1" applyAlignment="1">
      <alignment horizontal="left" vertical="center" wrapText="1"/>
    </xf>
    <xf numFmtId="0" fontId="17" fillId="3" borderId="47" xfId="3" applyFont="1" applyFill="1" applyBorder="1" applyAlignment="1">
      <alignment horizontal="center" vertical="center" wrapText="1"/>
    </xf>
    <xf numFmtId="9" fontId="17" fillId="3" borderId="47" xfId="4" applyFont="1" applyFill="1" applyBorder="1" applyAlignment="1">
      <alignment horizontal="center" vertical="center" wrapText="1"/>
    </xf>
    <xf numFmtId="168" fontId="17" fillId="4" borderId="5" xfId="3" applyNumberFormat="1" applyFont="1" applyFill="1" applyBorder="1" applyAlignment="1">
      <alignment horizontal="center" vertical="center" wrapText="1"/>
    </xf>
    <xf numFmtId="168" fontId="17" fillId="4" borderId="11" xfId="3" applyNumberFormat="1" applyFont="1" applyFill="1" applyBorder="1" applyAlignment="1">
      <alignment horizontal="center" vertical="center" wrapText="1"/>
    </xf>
    <xf numFmtId="4" fontId="17" fillId="2" borderId="0" xfId="0" applyNumberFormat="1" applyFont="1" applyFill="1" applyBorder="1"/>
    <xf numFmtId="0" fontId="20" fillId="9" borderId="8" xfId="0" applyFont="1" applyFill="1" applyBorder="1"/>
    <xf numFmtId="0" fontId="15" fillId="4" borderId="11"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21" fillId="2" borderId="6" xfId="0" applyFont="1" applyFill="1" applyBorder="1"/>
    <xf numFmtId="0" fontId="21" fillId="2" borderId="7" xfId="0" applyFont="1" applyFill="1" applyBorder="1" applyAlignment="1">
      <alignment horizontal="left"/>
    </xf>
    <xf numFmtId="0" fontId="21" fillId="2" borderId="7" xfId="0" applyFont="1" applyFill="1" applyBorder="1"/>
    <xf numFmtId="0" fontId="21" fillId="2" borderId="8" xfId="0" applyFont="1" applyFill="1" applyBorder="1"/>
    <xf numFmtId="4" fontId="17" fillId="0" borderId="48" xfId="3" applyNumberFormat="1" applyFont="1" applyBorder="1" applyAlignment="1">
      <alignment vertical="center" wrapText="1"/>
    </xf>
    <xf numFmtId="168" fontId="22" fillId="4" borderId="39" xfId="3" applyNumberFormat="1" applyFont="1" applyFill="1" applyBorder="1" applyAlignment="1">
      <alignment horizontal="center" vertical="center" wrapText="1"/>
    </xf>
    <xf numFmtId="3" fontId="17" fillId="5" borderId="5" xfId="3" applyNumberFormat="1" applyFont="1" applyFill="1" applyBorder="1" applyAlignment="1">
      <alignment horizontal="center" vertical="center" wrapText="1"/>
    </xf>
    <xf numFmtId="171" fontId="17" fillId="2" borderId="0" xfId="0" applyNumberFormat="1" applyFont="1" applyFill="1" applyBorder="1"/>
    <xf numFmtId="0" fontId="21" fillId="2" borderId="33" xfId="0" applyFont="1" applyFill="1" applyBorder="1"/>
    <xf numFmtId="0" fontId="21" fillId="2" borderId="0" xfId="0" applyFont="1" applyFill="1" applyBorder="1" applyAlignment="1">
      <alignment horizontal="left"/>
    </xf>
    <xf numFmtId="0" fontId="21" fillId="2" borderId="0" xfId="0" applyFont="1" applyFill="1" applyBorder="1"/>
    <xf numFmtId="0" fontId="21" fillId="2" borderId="27" xfId="0" applyFont="1" applyFill="1" applyBorder="1"/>
    <xf numFmtId="0" fontId="21" fillId="2" borderId="40" xfId="0" applyFont="1" applyFill="1" applyBorder="1"/>
    <xf numFmtId="165" fontId="21" fillId="2" borderId="5" xfId="1" applyNumberFormat="1" applyFont="1" applyFill="1" applyBorder="1" applyAlignment="1">
      <alignment horizontal="center"/>
    </xf>
    <xf numFmtId="3" fontId="21" fillId="2" borderId="5" xfId="0" applyNumberFormat="1" applyFont="1" applyFill="1" applyBorder="1" applyAlignment="1">
      <alignment horizontal="center"/>
    </xf>
    <xf numFmtId="0" fontId="21" fillId="2" borderId="19" xfId="0" applyFont="1" applyFill="1" applyBorder="1"/>
    <xf numFmtId="0" fontId="21" fillId="2" borderId="35" xfId="0" applyFont="1" applyFill="1" applyBorder="1"/>
    <xf numFmtId="0" fontId="21" fillId="2" borderId="36" xfId="0" applyFont="1" applyFill="1" applyBorder="1" applyAlignment="1">
      <alignment horizontal="left"/>
    </xf>
    <xf numFmtId="0" fontId="21" fillId="2" borderId="36" xfId="0" applyFont="1" applyFill="1" applyBorder="1"/>
    <xf numFmtId="0" fontId="21" fillId="2" borderId="11" xfId="0" applyFont="1" applyFill="1" applyBorder="1"/>
    <xf numFmtId="0" fontId="21" fillId="2" borderId="42" xfId="0" applyFont="1" applyFill="1" applyBorder="1"/>
    <xf numFmtId="0" fontId="21" fillId="2" borderId="37" xfId="0" applyFont="1" applyFill="1" applyBorder="1"/>
    <xf numFmtId="170" fontId="17" fillId="3" borderId="39" xfId="4" applyNumberFormat="1" applyFont="1" applyFill="1" applyBorder="1" applyAlignment="1">
      <alignment horizontal="center" vertical="center" wrapText="1"/>
    </xf>
    <xf numFmtId="10" fontId="17" fillId="3" borderId="11" xfId="4" applyNumberFormat="1" applyFont="1" applyFill="1" applyBorder="1" applyAlignment="1">
      <alignment horizontal="center" vertical="center" wrapText="1"/>
    </xf>
    <xf numFmtId="3" fontId="21" fillId="2" borderId="0" xfId="0" applyNumberFormat="1" applyFont="1" applyFill="1" applyBorder="1"/>
    <xf numFmtId="10" fontId="17" fillId="3" borderId="5" xfId="4" applyNumberFormat="1" applyFont="1" applyFill="1" applyBorder="1" applyAlignment="1">
      <alignment horizontal="center" vertical="center" wrapText="1"/>
    </xf>
    <xf numFmtId="0" fontId="20" fillId="9" borderId="7" xfId="0" applyFont="1" applyFill="1" applyBorder="1" applyAlignment="1">
      <alignment horizontal="center"/>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164" fontId="17" fillId="0" borderId="45" xfId="1" applyFont="1" applyBorder="1" applyAlignment="1">
      <alignment horizontal="center" vertical="center"/>
    </xf>
    <xf numFmtId="0" fontId="19" fillId="8" borderId="45" xfId="0" applyFont="1" applyFill="1" applyBorder="1" applyAlignment="1">
      <alignment horizontal="justify" vertical="center" wrapText="1"/>
    </xf>
    <xf numFmtId="15" fontId="19" fillId="3" borderId="45" xfId="3" applyNumberFormat="1" applyFont="1" applyFill="1" applyBorder="1" applyAlignment="1">
      <alignment horizontal="center" vertical="center" wrapText="1"/>
    </xf>
    <xf numFmtId="0" fontId="17" fillId="8" borderId="0" xfId="0" applyFont="1" applyFill="1" applyBorder="1" applyAlignment="1">
      <alignment vertical="center"/>
    </xf>
    <xf numFmtId="0" fontId="19" fillId="8" borderId="39" xfId="0" applyFont="1" applyFill="1" applyBorder="1" applyAlignment="1">
      <alignment horizontal="justify" vertical="center"/>
    </xf>
    <xf numFmtId="0" fontId="19" fillId="8" borderId="11" xfId="0" applyFont="1" applyFill="1" applyBorder="1" applyAlignment="1">
      <alignment horizontal="justify" vertical="center"/>
    </xf>
    <xf numFmtId="0" fontId="17" fillId="2" borderId="19" xfId="0" applyFont="1" applyFill="1" applyBorder="1" applyAlignment="1">
      <alignment horizontal="center"/>
    </xf>
    <xf numFmtId="0" fontId="17" fillId="2" borderId="42" xfId="0" applyFont="1" applyFill="1" applyBorder="1" applyAlignment="1">
      <alignment horizontal="center"/>
    </xf>
    <xf numFmtId="0" fontId="19" fillId="8" borderId="5" xfId="0" applyFont="1" applyFill="1" applyBorder="1" applyAlignment="1">
      <alignment horizontal="justify" vertical="center"/>
    </xf>
    <xf numFmtId="170" fontId="17" fillId="3" borderId="11" xfId="4" applyNumberFormat="1" applyFont="1" applyFill="1" applyBorder="1" applyAlignment="1">
      <alignment horizontal="center" vertical="center" wrapText="1"/>
    </xf>
    <xf numFmtId="168" fontId="17" fillId="2" borderId="0" xfId="0" applyNumberFormat="1" applyFont="1" applyFill="1" applyBorder="1"/>
    <xf numFmtId="164" fontId="17" fillId="0" borderId="39" xfId="1" applyFont="1" applyBorder="1" applyAlignment="1">
      <alignment horizontal="center" vertical="center"/>
    </xf>
    <xf numFmtId="0" fontId="19" fillId="8" borderId="39" xfId="0" applyFont="1" applyFill="1" applyBorder="1" applyAlignment="1">
      <alignment horizontal="justify" vertical="center" wrapText="1"/>
    </xf>
    <xf numFmtId="15" fontId="19" fillId="3" borderId="39" xfId="3" applyNumberFormat="1" applyFont="1" applyFill="1" applyBorder="1" applyAlignment="1">
      <alignment horizontal="center" vertical="center" wrapText="1"/>
    </xf>
    <xf numFmtId="164" fontId="17" fillId="0" borderId="11" xfId="1" applyFont="1" applyBorder="1" applyAlignment="1">
      <alignment horizontal="center" vertical="center" wrapText="1"/>
    </xf>
    <xf numFmtId="0" fontId="19" fillId="8" borderId="11" xfId="0" applyFont="1" applyFill="1" applyBorder="1" applyAlignment="1">
      <alignment horizontal="justify" vertical="center" wrapText="1"/>
    </xf>
    <xf numFmtId="15" fontId="19" fillId="3" borderId="11" xfId="3" applyNumberFormat="1" applyFont="1" applyFill="1" applyBorder="1" applyAlignment="1">
      <alignment horizontal="center" vertical="center" wrapText="1"/>
    </xf>
    <xf numFmtId="9" fontId="17" fillId="12" borderId="11" xfId="2" applyFont="1" applyFill="1" applyBorder="1" applyAlignment="1">
      <alignment horizontal="center" vertical="center" wrapText="1"/>
    </xf>
    <xf numFmtId="0" fontId="17" fillId="3" borderId="45" xfId="3" applyFont="1" applyFill="1" applyBorder="1" applyAlignment="1">
      <alignment horizontal="justify" vertical="center" wrapText="1"/>
    </xf>
    <xf numFmtId="0" fontId="17" fillId="0" borderId="39" xfId="3" applyNumberFormat="1" applyFont="1" applyBorder="1" applyAlignment="1">
      <alignment horizontal="justify" vertical="center"/>
    </xf>
    <xf numFmtId="9" fontId="17" fillId="12" borderId="39" xfId="2" applyFont="1" applyFill="1" applyBorder="1" applyAlignment="1">
      <alignment horizontal="center" vertical="center" wrapText="1"/>
    </xf>
    <xf numFmtId="4" fontId="23" fillId="0" borderId="40" xfId="3" applyNumberFormat="1" applyFont="1" applyBorder="1" applyAlignment="1">
      <alignment vertical="center" wrapText="1"/>
    </xf>
    <xf numFmtId="0" fontId="17" fillId="0" borderId="11" xfId="3" applyNumberFormat="1" applyFont="1" applyBorder="1" applyAlignment="1">
      <alignment horizontal="justify" vertical="center"/>
    </xf>
    <xf numFmtId="0" fontId="17" fillId="5" borderId="5" xfId="2" applyNumberFormat="1" applyFont="1" applyFill="1" applyBorder="1" applyAlignment="1">
      <alignment horizontal="center" vertical="center" wrapText="1"/>
    </xf>
    <xf numFmtId="3" fontId="17" fillId="2" borderId="26" xfId="3" applyNumberFormat="1" applyFont="1" applyFill="1" applyBorder="1" applyAlignment="1">
      <alignment vertical="center" wrapText="1"/>
    </xf>
    <xf numFmtId="9" fontId="17" fillId="2" borderId="26" xfId="2" applyFont="1" applyFill="1" applyBorder="1" applyAlignment="1">
      <alignment horizontal="center" vertical="center" wrapText="1"/>
    </xf>
    <xf numFmtId="0" fontId="17" fillId="9" borderId="7" xfId="0" applyFont="1" applyFill="1" applyBorder="1" applyAlignment="1">
      <alignment horizontal="center"/>
    </xf>
    <xf numFmtId="0" fontId="17" fillId="2" borderId="7" xfId="0" applyFont="1" applyFill="1" applyBorder="1" applyAlignment="1">
      <alignment horizontal="center"/>
    </xf>
    <xf numFmtId="14" fontId="17" fillId="5" borderId="39" xfId="2" applyNumberFormat="1" applyFont="1" applyFill="1" applyBorder="1" applyAlignment="1">
      <alignment horizontal="center" vertical="center" wrapText="1"/>
    </xf>
    <xf numFmtId="0" fontId="17" fillId="2" borderId="0" xfId="0" applyFont="1" applyFill="1" applyBorder="1" applyAlignment="1">
      <alignment horizontal="center"/>
    </xf>
    <xf numFmtId="0" fontId="17" fillId="2" borderId="11" xfId="0" applyFont="1" applyFill="1" applyBorder="1" applyAlignment="1">
      <alignment horizontal="center"/>
    </xf>
    <xf numFmtId="1" fontId="17" fillId="5" borderId="39" xfId="2" applyNumberFormat="1" applyFont="1" applyFill="1" applyBorder="1" applyAlignment="1">
      <alignment horizontal="center" vertical="center" wrapText="1"/>
    </xf>
    <xf numFmtId="2" fontId="17" fillId="2" borderId="19" xfId="0" applyNumberFormat="1" applyFont="1" applyFill="1" applyBorder="1"/>
    <xf numFmtId="1" fontId="17" fillId="5" borderId="11" xfId="2" applyNumberFormat="1" applyFont="1" applyFill="1" applyBorder="1" applyAlignment="1">
      <alignment horizontal="center" vertical="center" wrapText="1"/>
    </xf>
    <xf numFmtId="9" fontId="17" fillId="5" borderId="26" xfId="2" applyFont="1" applyFill="1" applyBorder="1" applyAlignment="1">
      <alignment horizontal="center" vertical="center" wrapText="1"/>
    </xf>
    <xf numFmtId="0" fontId="17" fillId="2" borderId="42" xfId="0" applyFont="1" applyFill="1" applyBorder="1" applyAlignment="1">
      <alignment wrapText="1"/>
    </xf>
    <xf numFmtId="0" fontId="15" fillId="2" borderId="39" xfId="0" applyFont="1" applyFill="1" applyBorder="1" applyAlignment="1">
      <alignment horizontal="center"/>
    </xf>
    <xf numFmtId="0" fontId="15" fillId="2" borderId="39" xfId="0" applyFont="1" applyFill="1" applyBorder="1"/>
    <xf numFmtId="0" fontId="19" fillId="2" borderId="0" xfId="0" applyFont="1" applyFill="1" applyAlignment="1">
      <alignment horizontal="left"/>
    </xf>
    <xf numFmtId="14" fontId="19" fillId="2" borderId="0" xfId="0" applyNumberFormat="1" applyFont="1" applyFill="1"/>
    <xf numFmtId="0" fontId="25" fillId="9" borderId="6" xfId="0" applyFont="1" applyFill="1" applyBorder="1"/>
    <xf numFmtId="0" fontId="25" fillId="9" borderId="7" xfId="0" applyFont="1" applyFill="1" applyBorder="1"/>
    <xf numFmtId="0" fontId="25" fillId="9" borderId="7" xfId="0" applyFont="1" applyFill="1" applyBorder="1" applyAlignment="1">
      <alignment horizontal="center" vertical="center"/>
    </xf>
    <xf numFmtId="0" fontId="19" fillId="9" borderId="7" xfId="0" applyFont="1" applyFill="1" applyBorder="1"/>
    <xf numFmtId="0" fontId="19" fillId="9" borderId="8" xfId="0" applyFont="1" applyFill="1" applyBorder="1"/>
    <xf numFmtId="0" fontId="19" fillId="9" borderId="1" xfId="0" applyFont="1" applyFill="1" applyBorder="1"/>
    <xf numFmtId="0" fontId="19" fillId="4" borderId="46" xfId="0" applyFont="1" applyFill="1" applyBorder="1" applyAlignment="1">
      <alignment horizontal="center" vertical="center" wrapText="1"/>
    </xf>
    <xf numFmtId="0" fontId="19" fillId="4" borderId="45" xfId="0" applyFont="1" applyFill="1" applyBorder="1" applyAlignment="1">
      <alignment horizontal="center" vertical="center" wrapText="1"/>
    </xf>
    <xf numFmtId="0" fontId="19" fillId="4" borderId="45" xfId="0" applyFont="1" applyFill="1" applyBorder="1" applyAlignment="1">
      <alignment horizontal="center" vertical="center"/>
    </xf>
    <xf numFmtId="0" fontId="19" fillId="4" borderId="48" xfId="0" applyFont="1" applyFill="1" applyBorder="1" applyAlignment="1">
      <alignment horizontal="center" vertical="center" wrapText="1"/>
    </xf>
    <xf numFmtId="0" fontId="17" fillId="2" borderId="0" xfId="0" applyFont="1" applyFill="1" applyAlignment="1">
      <alignment vertical="center" wrapText="1"/>
    </xf>
    <xf numFmtId="0" fontId="17" fillId="2" borderId="43" xfId="0" applyFont="1" applyFill="1" applyBorder="1"/>
    <xf numFmtId="0" fontId="17" fillId="2" borderId="50" xfId="0" applyFont="1" applyFill="1" applyBorder="1"/>
    <xf numFmtId="9" fontId="17" fillId="3" borderId="39" xfId="3" applyNumberFormat="1" applyFont="1" applyFill="1" applyBorder="1" applyAlignment="1">
      <alignment horizontal="center" vertical="center" wrapText="1"/>
    </xf>
    <xf numFmtId="1" fontId="17" fillId="2" borderId="39" xfId="0" applyNumberFormat="1" applyFont="1" applyFill="1" applyBorder="1" applyAlignment="1">
      <alignment horizontal="center" vertical="center"/>
    </xf>
    <xf numFmtId="0" fontId="17" fillId="0" borderId="12" xfId="3" applyFont="1" applyBorder="1" applyAlignment="1">
      <alignment vertical="center" wrapText="1"/>
    </xf>
    <xf numFmtId="1" fontId="17" fillId="2" borderId="5" xfId="0" applyNumberFormat="1" applyFont="1" applyFill="1" applyBorder="1" applyAlignment="1">
      <alignment horizontal="center" vertical="center"/>
    </xf>
    <xf numFmtId="0" fontId="17" fillId="0" borderId="51" xfId="3" applyFont="1" applyBorder="1" applyAlignment="1">
      <alignment vertical="center" wrapText="1"/>
    </xf>
    <xf numFmtId="1" fontId="17" fillId="2" borderId="11" xfId="0" applyNumberFormat="1" applyFont="1" applyFill="1" applyBorder="1" applyAlignment="1">
      <alignment horizontal="center" vertical="center"/>
    </xf>
    <xf numFmtId="0" fontId="17" fillId="0" borderId="52" xfId="3" applyFont="1" applyBorder="1" applyAlignment="1">
      <alignment vertical="center" wrapText="1"/>
    </xf>
    <xf numFmtId="1" fontId="17" fillId="2" borderId="0" xfId="0" applyNumberFormat="1" applyFont="1" applyFill="1" applyBorder="1"/>
    <xf numFmtId="1" fontId="17" fillId="3" borderId="5" xfId="3" applyNumberFormat="1" applyFont="1" applyFill="1" applyBorder="1" applyAlignment="1">
      <alignment horizontal="center" vertical="center" wrapText="1"/>
    </xf>
    <xf numFmtId="0" fontId="17" fillId="2" borderId="40"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42" xfId="0" applyFont="1" applyFill="1" applyBorder="1" applyAlignment="1">
      <alignment horizontal="center" vertical="center"/>
    </xf>
    <xf numFmtId="164" fontId="17" fillId="2" borderId="26" xfId="1" applyFont="1" applyFill="1" applyBorder="1" applyAlignment="1">
      <alignment horizontal="center" vertical="center" wrapText="1"/>
    </xf>
    <xf numFmtId="10" fontId="17" fillId="3" borderId="39" xfId="4" applyNumberFormat="1" applyFont="1" applyFill="1" applyBorder="1" applyAlignment="1">
      <alignment horizontal="center" vertical="center" wrapText="1"/>
    </xf>
    <xf numFmtId="164" fontId="17" fillId="5" borderId="39" xfId="1" applyFont="1" applyFill="1" applyBorder="1" applyAlignment="1">
      <alignment horizontal="center" vertical="center" wrapText="1"/>
    </xf>
    <xf numFmtId="0" fontId="19" fillId="4" borderId="18"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5" xfId="0" applyFont="1" applyFill="1" applyBorder="1" applyAlignment="1">
      <alignment horizontal="center" vertical="center"/>
    </xf>
    <xf numFmtId="0" fontId="19" fillId="4" borderId="19" xfId="0" applyFont="1" applyFill="1" applyBorder="1" applyAlignment="1">
      <alignment horizontal="center" vertical="center" wrapText="1"/>
    </xf>
    <xf numFmtId="0" fontId="17" fillId="2" borderId="44" xfId="0" applyFont="1" applyFill="1" applyBorder="1"/>
    <xf numFmtId="0" fontId="17" fillId="2" borderId="31" xfId="0" applyFont="1" applyFill="1" applyBorder="1"/>
    <xf numFmtId="0" fontId="17" fillId="2" borderId="49" xfId="0" applyFont="1" applyFill="1" applyBorder="1"/>
    <xf numFmtId="9" fontId="17" fillId="3" borderId="39" xfId="4" applyNumberFormat="1" applyFont="1" applyFill="1" applyBorder="1" applyAlignment="1">
      <alignment horizontal="center" vertical="center" wrapText="1"/>
    </xf>
    <xf numFmtId="0" fontId="15" fillId="4" borderId="18"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5" xfId="0" applyFont="1" applyFill="1" applyBorder="1" applyAlignment="1">
      <alignment horizontal="center" vertical="center"/>
    </xf>
    <xf numFmtId="0" fontId="15" fillId="4" borderId="19" xfId="0" applyFont="1" applyFill="1" applyBorder="1" applyAlignment="1">
      <alignment horizontal="center" vertical="center" wrapText="1"/>
    </xf>
    <xf numFmtId="0" fontId="21" fillId="2" borderId="44" xfId="0" applyFont="1" applyFill="1" applyBorder="1"/>
    <xf numFmtId="0" fontId="21" fillId="2" borderId="31" xfId="0" applyFont="1" applyFill="1" applyBorder="1"/>
    <xf numFmtId="0" fontId="21" fillId="2" borderId="49" xfId="0" applyFont="1" applyFill="1" applyBorder="1"/>
    <xf numFmtId="0" fontId="17" fillId="3" borderId="11" xfId="3" applyFont="1" applyFill="1" applyBorder="1" applyAlignment="1">
      <alignment vertical="center" wrapText="1"/>
    </xf>
    <xf numFmtId="1" fontId="21" fillId="2" borderId="0" xfId="0" applyNumberFormat="1" applyFont="1" applyFill="1" applyBorder="1"/>
    <xf numFmtId="0" fontId="21" fillId="2" borderId="28" xfId="0" applyFont="1" applyFill="1" applyBorder="1"/>
    <xf numFmtId="0" fontId="21" fillId="2" borderId="29" xfId="0" applyFont="1" applyFill="1" applyBorder="1"/>
    <xf numFmtId="0" fontId="21" fillId="2" borderId="30" xfId="0" applyFont="1" applyFill="1" applyBorder="1"/>
    <xf numFmtId="164" fontId="17" fillId="0" borderId="39" xfId="1" applyFont="1" applyBorder="1" applyAlignment="1">
      <alignment horizontal="center" vertical="center" wrapText="1"/>
    </xf>
    <xf numFmtId="0" fontId="19" fillId="8" borderId="5" xfId="0" applyFont="1" applyFill="1" applyBorder="1" applyAlignment="1">
      <alignment horizontal="justify" vertical="center" wrapText="1"/>
    </xf>
    <xf numFmtId="4" fontId="17" fillId="0" borderId="51" xfId="3" applyNumberFormat="1" applyFont="1" applyBorder="1" applyAlignment="1">
      <alignment horizontal="justify" vertical="center" wrapText="1"/>
    </xf>
    <xf numFmtId="0" fontId="17" fillId="2" borderId="0" xfId="0" applyFont="1" applyFill="1" applyAlignment="1">
      <alignment wrapText="1"/>
    </xf>
    <xf numFmtId="9" fontId="17" fillId="3" borderId="5" xfId="4" applyNumberFormat="1" applyFont="1" applyFill="1" applyBorder="1" applyAlignment="1">
      <alignment horizontal="center" vertical="center" wrapText="1"/>
    </xf>
    <xf numFmtId="0" fontId="19" fillId="2" borderId="38" xfId="0" applyFont="1" applyFill="1" applyBorder="1" applyAlignment="1">
      <alignment wrapText="1"/>
    </xf>
    <xf numFmtId="0" fontId="19" fillId="2" borderId="18" xfId="0" applyFont="1" applyFill="1" applyBorder="1"/>
    <xf numFmtId="0" fontId="19" fillId="2" borderId="18" xfId="0" applyFont="1" applyFill="1" applyBorder="1" applyAlignment="1">
      <alignment wrapText="1"/>
    </xf>
    <xf numFmtId="0" fontId="19" fillId="2" borderId="41" xfId="0" applyFont="1" applyFill="1" applyBorder="1"/>
    <xf numFmtId="0" fontId="21" fillId="0" borderId="19" xfId="0" applyFont="1" applyBorder="1" applyAlignment="1">
      <alignment horizontal="justify" vertical="center"/>
    </xf>
    <xf numFmtId="0" fontId="17" fillId="0" borderId="42" xfId="3" applyFont="1" applyBorder="1" applyAlignment="1">
      <alignment vertical="center" wrapText="1"/>
    </xf>
    <xf numFmtId="0" fontId="25" fillId="9" borderId="8" xfId="0" applyFont="1" applyFill="1" applyBorder="1"/>
    <xf numFmtId="0" fontId="15" fillId="2" borderId="38" xfId="0" applyFont="1" applyFill="1" applyBorder="1" applyAlignment="1">
      <alignment wrapText="1"/>
    </xf>
    <xf numFmtId="0" fontId="15" fillId="2" borderId="18" xfId="0" applyFont="1" applyFill="1" applyBorder="1"/>
    <xf numFmtId="0" fontId="15" fillId="2" borderId="18" xfId="0" applyFont="1" applyFill="1" applyBorder="1" applyAlignment="1">
      <alignment wrapText="1"/>
    </xf>
    <xf numFmtId="0" fontId="15" fillId="2" borderId="41" xfId="0" applyFont="1" applyFill="1" applyBorder="1"/>
    <xf numFmtId="0" fontId="19" fillId="2" borderId="38" xfId="0" applyFont="1" applyFill="1" applyBorder="1" applyAlignment="1">
      <alignment horizontal="justify" wrapText="1"/>
    </xf>
    <xf numFmtId="0" fontId="19" fillId="2" borderId="18" xfId="0" applyFont="1" applyFill="1" applyBorder="1" applyAlignment="1">
      <alignment horizontal="justify"/>
    </xf>
    <xf numFmtId="0" fontId="19" fillId="2" borderId="18" xfId="0" applyFont="1" applyFill="1" applyBorder="1" applyAlignment="1">
      <alignment horizontal="justify" wrapText="1"/>
    </xf>
    <xf numFmtId="4" fontId="17" fillId="0" borderId="19" xfId="3" applyNumberFormat="1" applyFont="1" applyBorder="1" applyAlignment="1">
      <alignment horizontal="justify" vertical="center" wrapText="1"/>
    </xf>
    <xf numFmtId="0" fontId="17" fillId="0" borderId="19" xfId="3" applyFont="1" applyBorder="1" applyAlignment="1">
      <alignment vertical="center" wrapText="1"/>
    </xf>
    <xf numFmtId="0" fontId="17" fillId="2" borderId="19" xfId="0" applyFont="1" applyFill="1" applyBorder="1" applyAlignment="1">
      <alignment wrapText="1"/>
    </xf>
    <xf numFmtId="0" fontId="8" fillId="2" borderId="5" xfId="0" applyFont="1" applyFill="1" applyBorder="1" applyAlignment="1">
      <alignment horizontal="center" vertical="center"/>
    </xf>
    <xf numFmtId="0" fontId="7" fillId="4" borderId="5" xfId="0" applyFont="1" applyFill="1" applyBorder="1" applyAlignment="1">
      <alignment horizontal="center" vertical="center"/>
    </xf>
    <xf numFmtId="0" fontId="9" fillId="4" borderId="5" xfId="0" applyFont="1" applyFill="1" applyBorder="1" applyAlignment="1">
      <alignment horizontal="center" vertical="center"/>
    </xf>
    <xf numFmtId="0" fontId="8" fillId="2" borderId="5" xfId="0" applyFont="1" applyFill="1" applyBorder="1" applyAlignment="1">
      <alignment horizontal="justify" vertical="center" wrapText="1"/>
    </xf>
    <xf numFmtId="0" fontId="11" fillId="0" borderId="31" xfId="0" applyFont="1" applyBorder="1" applyAlignment="1">
      <alignment horizontal="center" vertical="top"/>
    </xf>
    <xf numFmtId="0" fontId="11" fillId="0" borderId="26" xfId="0" applyFont="1" applyBorder="1" applyAlignment="1">
      <alignment horizontal="center" vertical="top"/>
    </xf>
    <xf numFmtId="0" fontId="9" fillId="2" borderId="0" xfId="0" applyFont="1" applyFill="1" applyAlignment="1">
      <alignment horizontal="center"/>
    </xf>
    <xf numFmtId="0" fontId="8" fillId="2" borderId="0" xfId="0" applyFont="1" applyFill="1" applyAlignment="1">
      <alignment horizontal="center" vertical="center" wrapText="1"/>
    </xf>
    <xf numFmtId="0" fontId="2" fillId="2" borderId="0" xfId="0" applyFont="1" applyFill="1" applyAlignment="1">
      <alignment horizontal="center" wrapText="1"/>
    </xf>
    <xf numFmtId="0" fontId="11" fillId="4" borderId="5" xfId="0" applyFont="1" applyFill="1" applyBorder="1" applyAlignment="1">
      <alignment horizontal="center" wrapText="1"/>
    </xf>
    <xf numFmtId="9" fontId="11" fillId="4" borderId="5" xfId="0" applyNumberFormat="1" applyFont="1" applyFill="1" applyBorder="1" applyAlignment="1">
      <alignment horizontal="center" wrapText="1"/>
    </xf>
    <xf numFmtId="0" fontId="0" fillId="2" borderId="0" xfId="0" applyFont="1" applyFill="1" applyAlignment="1">
      <alignment horizontal="center" wrapText="1"/>
    </xf>
    <xf numFmtId="0" fontId="16" fillId="2" borderId="2" xfId="0" applyFont="1" applyFill="1" applyBorder="1" applyAlignment="1">
      <alignment horizontal="left" wrapText="1"/>
    </xf>
    <xf numFmtId="0" fontId="16" fillId="2" borderId="3" xfId="0" applyFont="1" applyFill="1" applyBorder="1" applyAlignment="1">
      <alignment horizontal="left" wrapText="1"/>
    </xf>
    <xf numFmtId="0" fontId="16" fillId="2" borderId="4" xfId="0" applyFont="1" applyFill="1" applyBorder="1" applyAlignment="1">
      <alignment horizontal="left" wrapText="1"/>
    </xf>
    <xf numFmtId="0" fontId="0" fillId="11" borderId="16" xfId="0" applyFont="1" applyFill="1" applyBorder="1" applyAlignment="1">
      <alignment horizontal="center" textRotation="90" wrapText="1"/>
    </xf>
    <xf numFmtId="0" fontId="0" fillId="11" borderId="43" xfId="0" applyFont="1" applyFill="1" applyBorder="1" applyAlignment="1">
      <alignment horizontal="center" textRotation="90" wrapText="1"/>
    </xf>
    <xf numFmtId="0" fontId="0" fillId="11" borderId="17" xfId="0" applyFont="1" applyFill="1" applyBorder="1" applyAlignment="1">
      <alignment horizontal="center" textRotation="90" wrapText="1"/>
    </xf>
    <xf numFmtId="0" fontId="0" fillId="10" borderId="38" xfId="0" applyFont="1" applyFill="1" applyBorder="1" applyAlignment="1">
      <alignment horizontal="center" textRotation="90" wrapText="1"/>
    </xf>
    <xf numFmtId="0" fontId="0" fillId="10" borderId="18" xfId="0" applyFont="1" applyFill="1" applyBorder="1" applyAlignment="1">
      <alignment horizontal="center" textRotation="90" wrapText="1"/>
    </xf>
    <xf numFmtId="0" fontId="0" fillId="10" borderId="44" xfId="0" applyFont="1" applyFill="1" applyBorder="1" applyAlignment="1">
      <alignment horizontal="center" textRotation="90" wrapText="1"/>
    </xf>
    <xf numFmtId="0" fontId="0" fillId="10" borderId="41" xfId="0" applyFont="1" applyFill="1" applyBorder="1" applyAlignment="1">
      <alignment horizontal="center" textRotation="90"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7" fillId="2" borderId="38" xfId="0" applyFont="1" applyFill="1" applyBorder="1" applyAlignment="1">
      <alignment horizontal="center"/>
    </xf>
    <xf numFmtId="0" fontId="17" fillId="2" borderId="39" xfId="0" applyFont="1" applyFill="1" applyBorder="1" applyAlignment="1">
      <alignment horizontal="center"/>
    </xf>
    <xf numFmtId="0" fontId="19" fillId="2" borderId="18" xfId="0" applyFont="1" applyFill="1" applyBorder="1" applyAlignment="1">
      <alignment horizontal="center"/>
    </xf>
    <xf numFmtId="0" fontId="19" fillId="2" borderId="5" xfId="0" applyFont="1" applyFill="1" applyBorder="1" applyAlignment="1">
      <alignment horizontal="center"/>
    </xf>
    <xf numFmtId="0" fontId="17" fillId="2" borderId="41" xfId="0" applyFont="1" applyFill="1" applyBorder="1" applyAlignment="1">
      <alignment horizontal="center"/>
    </xf>
    <xf numFmtId="0" fontId="17" fillId="2" borderId="11" xfId="0" applyFont="1" applyFill="1" applyBorder="1" applyAlignment="1">
      <alignment horizontal="center"/>
    </xf>
    <xf numFmtId="0" fontId="19" fillId="4" borderId="32" xfId="0" applyFont="1" applyFill="1" applyBorder="1" applyAlignment="1">
      <alignment horizontal="center" vertical="center" wrapText="1"/>
    </xf>
    <xf numFmtId="3" fontId="17" fillId="5" borderId="39" xfId="3" applyNumberFormat="1" applyFont="1" applyFill="1" applyBorder="1" applyAlignment="1">
      <alignment horizontal="center" vertical="center" wrapText="1"/>
    </xf>
    <xf numFmtId="3" fontId="17" fillId="5" borderId="11" xfId="3" applyNumberFormat="1" applyFont="1" applyFill="1" applyBorder="1" applyAlignment="1">
      <alignment horizontal="center" vertical="center" wrapText="1"/>
    </xf>
    <xf numFmtId="3" fontId="17" fillId="5" borderId="5" xfId="3" applyNumberFormat="1" applyFont="1" applyFill="1" applyBorder="1" applyAlignment="1">
      <alignment horizontal="center" vertical="center" wrapText="1"/>
    </xf>
    <xf numFmtId="0" fontId="17" fillId="0" borderId="11" xfId="0" applyFont="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2" borderId="18" xfId="0" applyFont="1" applyFill="1" applyBorder="1" applyAlignment="1">
      <alignment horizontal="center"/>
    </xf>
    <xf numFmtId="0" fontId="15" fillId="2" borderId="5" xfId="0" applyFont="1" applyFill="1" applyBorder="1" applyAlignment="1">
      <alignment horizontal="center"/>
    </xf>
    <xf numFmtId="0" fontId="21" fillId="2" borderId="41" xfId="0" applyFont="1" applyFill="1" applyBorder="1" applyAlignment="1">
      <alignment horizontal="center"/>
    </xf>
    <xf numFmtId="0" fontId="21" fillId="2" borderId="11" xfId="0" applyFont="1" applyFill="1" applyBorder="1" applyAlignment="1">
      <alignment horizontal="center"/>
    </xf>
    <xf numFmtId="0" fontId="21" fillId="2" borderId="38" xfId="0" applyFont="1" applyFill="1" applyBorder="1" applyAlignment="1">
      <alignment horizontal="center"/>
    </xf>
    <xf numFmtId="0" fontId="21" fillId="2" borderId="39" xfId="0" applyFont="1" applyFill="1" applyBorder="1" applyAlignment="1">
      <alignment horizontal="center"/>
    </xf>
    <xf numFmtId="0" fontId="19" fillId="4" borderId="19" xfId="0" applyFont="1" applyFill="1" applyBorder="1" applyAlignment="1">
      <alignment horizontal="center" vertical="center" wrapText="1"/>
    </xf>
    <xf numFmtId="0" fontId="19" fillId="4" borderId="42" xfId="0" applyFont="1" applyFill="1" applyBorder="1" applyAlignment="1">
      <alignment horizontal="center" vertical="center" wrapText="1"/>
    </xf>
    <xf numFmtId="0" fontId="17" fillId="2" borderId="0" xfId="0" applyFont="1" applyFill="1" applyBorder="1" applyAlignment="1">
      <alignment horizontal="center"/>
    </xf>
    <xf numFmtId="0" fontId="19" fillId="2" borderId="38" xfId="0" applyFont="1" applyFill="1" applyBorder="1" applyAlignment="1">
      <alignment horizontal="center"/>
    </xf>
    <xf numFmtId="0" fontId="19" fillId="2" borderId="39" xfId="0" applyFont="1" applyFill="1" applyBorder="1" applyAlignment="1">
      <alignment horizontal="center"/>
    </xf>
    <xf numFmtId="0" fontId="24" fillId="2" borderId="0" xfId="0" applyFont="1" applyFill="1" applyAlignment="1">
      <alignment horizontal="center"/>
    </xf>
    <xf numFmtId="3" fontId="17" fillId="2" borderId="39" xfId="0" applyNumberFormat="1" applyFont="1" applyFill="1" applyBorder="1" applyAlignment="1">
      <alignment horizontal="center" vertical="center"/>
    </xf>
    <xf numFmtId="3" fontId="17" fillId="2" borderId="5" xfId="0" applyNumberFormat="1" applyFont="1" applyFill="1" applyBorder="1" applyAlignment="1">
      <alignment horizontal="center" vertical="center"/>
    </xf>
    <xf numFmtId="3" fontId="17" fillId="2" borderId="11" xfId="0" applyNumberFormat="1" applyFont="1" applyFill="1" applyBorder="1" applyAlignment="1">
      <alignment horizontal="center" vertical="center"/>
    </xf>
    <xf numFmtId="1" fontId="17" fillId="2" borderId="39" xfId="0" applyNumberFormat="1" applyFont="1" applyFill="1" applyBorder="1" applyAlignment="1">
      <alignment horizontal="center" vertical="center"/>
    </xf>
    <xf numFmtId="1" fontId="17" fillId="2" borderId="5" xfId="0" applyNumberFormat="1" applyFont="1" applyFill="1" applyBorder="1" applyAlignment="1">
      <alignment horizontal="center" vertical="center"/>
    </xf>
    <xf numFmtId="1" fontId="17" fillId="2" borderId="11" xfId="0" applyNumberFormat="1" applyFont="1" applyFill="1" applyBorder="1" applyAlignment="1">
      <alignment horizontal="center" vertical="center"/>
    </xf>
    <xf numFmtId="0" fontId="18" fillId="2" borderId="0" xfId="0" applyFont="1" applyFill="1" applyAlignment="1">
      <alignment horizontal="center"/>
    </xf>
  </cellXfs>
  <cellStyles count="14">
    <cellStyle name="Millares" xfId="1" builtinId="3"/>
    <cellStyle name="Millares 2" xfId="6"/>
    <cellStyle name="Moneda" xfId="13" builtinId="4"/>
    <cellStyle name="Moneda 2" xfId="7"/>
    <cellStyle name="Normal" xfId="0" builtinId="0"/>
    <cellStyle name="Normal 2" xfId="3"/>
    <cellStyle name="Normal 2 2" xfId="5"/>
    <cellStyle name="Normal 2 5" xfId="8"/>
    <cellStyle name="Normal 2_Kresidual" xfId="9"/>
    <cellStyle name="Normal 3" xfId="10"/>
    <cellStyle name="Normal 4" xfId="11"/>
    <cellStyle name="Porcentaje" xfId="2" builtinId="5"/>
    <cellStyle name="Porcentual 2" xfId="4"/>
    <cellStyle name="Porcentual 3" xfId="12"/>
  </cellStyles>
  <dxfs count="1521">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EVA3_ANI\AppData\Local\Temp\EVALUACION%20OFERTA%20No.%2008%20%20VJ-VE-CM-010-2013%20-%20AEROPU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FRODR~1\AppData\Local\Temp\VJ-VGC-CM-2014%20-%20Centronort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Users\ANI\AppData\Local\Temp\DIRINFRA-027-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mfolarte\AppData\Local\Microsoft\Windows\Temporary%20Internet%20Files\Content.Outlook\TKYBBRU4\Matriz%20Evaluaci&#243;n%20T&#233;cnica%20(5-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Users\mfolarte\AppData\Local\Microsoft\Windows\Temporary%20Internet%20Files\Content.Outlook\TKYBBRU4\Matriz%20Evaluaci&#243;n%20T&#233;cnica%20(9-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mfolarte\AppData\Local\Microsoft\Windows\Temporary%20Internet%20Files\Content.Outlook\TKYBBRU4\Matriz%20Evaluaci&#243;n%20T&#233;cnica-(13-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mfolarte\AppData\Local\Microsoft\Windows\Temporary%20Internet%20Files\Content.Outlook\TKYBBRU4\Matriz%20Evaluaci&#243;n%20T&#233;cnica%20(17-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2)"/>
      <sheetName val="EXP.ESPECIFICA"/>
      <sheetName val="RES. ESPECIFICA"/>
      <sheetName val="datos"/>
      <sheetName val="DEPENDENCIAS"/>
      <sheetName val="Resumen de profesionales"/>
      <sheetName val="SML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RESUMEN EXP. GENERAL"/>
      <sheetName val="EXP.ESPECIFICA (2)"/>
      <sheetName val="EXP.ESPECIFICA"/>
      <sheetName val="RES. ESPECIFICA"/>
      <sheetName val="datos"/>
      <sheetName val="DEPENDENCIAS"/>
      <sheetName val="Resumen de profesionales"/>
      <sheetName val="SMLM"/>
    </sheetNames>
    <sheetDataSet>
      <sheetData sheetId="0">
        <row r="3">
          <cell r="B3" t="str">
            <v>VICEPRESIDENCIA DE ESTRUCTURACIÓN</v>
          </cell>
        </row>
        <row r="6">
          <cell r="B6" t="str">
            <v>VJ-VE-CM-001-2014</v>
          </cell>
        </row>
        <row r="7">
          <cell r="B7" t="str">
            <v>Interventoría integral del Contrato de Concesión, que incluye pero no se limita a la interventoría financiera, administrativa, técnica, legal, operativa, ambiental y de seguridad, del contrato No. 8000011OK-2008, cuyo objeto es  “La Concesión para la administración, operación, explotación comercial, adecuación, modernización y mantenimiento de los aeropuertos Olaya Herrera (Medellín), José María Córdova (Rionegro), El Caraño (Quibdó), Los Garzones (Montería), Antonio Roldán Betancourt (Carepa) y las Brujas (Corozal)”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B2" t="str">
            <v>DIRECCIÓN DE INFRAESTRUCTURA</v>
          </cell>
          <cell r="I2" t="str">
            <v>CONSORCIO</v>
          </cell>
        </row>
        <row r="3">
          <cell r="I3" t="str">
            <v>UNIÓN TEMPORAL</v>
          </cell>
        </row>
        <row r="4">
          <cell r="I4" t="str">
            <v>INTERESADO PERSONA NATURAL O JURIDICA</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PERSONAL"/>
      <sheetName val="PROPONENTES"/>
      <sheetName val="KRC"/>
      <sheetName val="EXPER.GRAL-PRECAL"/>
      <sheetName val="CAP-OPERATIVA"/>
      <sheetName val="CAP ADMIN."/>
      <sheetName val="RESUMEN1"/>
      <sheetName val="RESUMEN"/>
      <sheetName val="SMLM"/>
      <sheetName val="NOTAS"/>
      <sheetName val="DATOS"/>
      <sheetName val="LISTAS"/>
    </sheetNames>
    <sheetDataSet>
      <sheetData sheetId="0">
        <row r="1">
          <cell r="B1" t="str">
            <v>MINISTERIO DE TRANSPORTE</v>
          </cell>
        </row>
      </sheetData>
      <sheetData sheetId="1">
        <row r="14">
          <cell r="C14">
            <v>1</v>
          </cell>
        </row>
      </sheetData>
      <sheetData sheetId="2"/>
      <sheetData sheetId="3">
        <row r="14">
          <cell r="P14">
            <v>1</v>
          </cell>
        </row>
      </sheetData>
      <sheetData sheetId="4"/>
      <sheetData sheetId="5"/>
      <sheetData sheetId="6"/>
      <sheetData sheetId="7"/>
      <sheetData sheetId="8">
        <row r="17">
          <cell r="G17" t="str">
            <v>VÁLIDO</v>
          </cell>
        </row>
        <row r="18">
          <cell r="G18" t="str">
            <v>NO VÁLIDO</v>
          </cell>
        </row>
      </sheetData>
      <sheetData sheetId="9"/>
      <sheetData sheetId="10"/>
      <sheetData sheetId="11">
        <row r="2">
          <cell r="B2" t="str">
            <v>DIRECCIÓN GENERAL - OFICINA DE PREVENCIÓN Y ATENCIÓN DE EMERGENCIAS</v>
          </cell>
          <cell r="D2" t="str">
            <v>PROFESIONAL ESPECIALISTA CATEGORIA 2</v>
          </cell>
          <cell r="E2" t="str">
            <v>ECONOMISTA</v>
          </cell>
        </row>
        <row r="3">
          <cell r="D3" t="str">
            <v>PROFESIONAL CATEGORIA 3</v>
          </cell>
          <cell r="E3" t="str">
            <v>ING. ELECTRONICO</v>
          </cell>
        </row>
        <row r="4">
          <cell r="D4" t="str">
            <v>PROFESIONAL ESPECIALISTA CATEGORIA 3</v>
          </cell>
          <cell r="E4" t="str">
            <v>ECOLOGO</v>
          </cell>
        </row>
        <row r="5">
          <cell r="D5" t="str">
            <v>PROFESIONAL CATEGORIA 4</v>
          </cell>
          <cell r="E5" t="str">
            <v>ING. AMBIENTAL</v>
          </cell>
        </row>
        <row r="6">
          <cell r="E6" t="str">
            <v>ING. CIVIL</v>
          </cell>
        </row>
        <row r="7">
          <cell r="E7" t="str">
            <v>ING. DE PETROLEOS</v>
          </cell>
        </row>
        <row r="8">
          <cell r="E8" t="str">
            <v>ING. DE SISTEMAS</v>
          </cell>
        </row>
        <row r="9">
          <cell r="E9" t="str">
            <v>ING. DE VIAS Y TRANSPORTE</v>
          </cell>
        </row>
        <row r="10">
          <cell r="E10" t="str">
            <v>ING. ELECTRICO</v>
          </cell>
        </row>
        <row r="11">
          <cell r="E11" t="str">
            <v>ING. ELECTRONICA</v>
          </cell>
        </row>
        <row r="12">
          <cell r="E12" t="str">
            <v>ING. FISICA</v>
          </cell>
        </row>
        <row r="13">
          <cell r="E13" t="str">
            <v>ING. CIVIL DE INDUSTRIAS</v>
          </cell>
        </row>
        <row r="14">
          <cell r="E14" t="str">
            <v>ING. GEOLOGO</v>
          </cell>
        </row>
        <row r="15">
          <cell r="E15" t="str">
            <v>ING. INDUSTRIAL</v>
          </cell>
        </row>
        <row r="16">
          <cell r="E16" t="str">
            <v>ING. MECANICO</v>
          </cell>
        </row>
        <row r="17">
          <cell r="E17" t="str">
            <v>ADMINISTRADOR</v>
          </cell>
        </row>
        <row r="18">
          <cell r="E18" t="str">
            <v>ING. QUIMICO</v>
          </cell>
        </row>
        <row r="19">
          <cell r="E19" t="str">
            <v>ABOGADO</v>
          </cell>
        </row>
        <row r="20">
          <cell r="E20" t="str">
            <v>OTRO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Proponentes"/>
      <sheetName val="Requisitos"/>
      <sheetName val="Resumen"/>
      <sheetName val="E Genreal 5"/>
      <sheetName val="E Genreal 6"/>
      <sheetName val="E Genreal 7"/>
      <sheetName val="E Genreal 8"/>
      <sheetName val="E Específica"/>
      <sheetName val="SMLM"/>
      <sheetName val="Anexo conversiones"/>
      <sheetName val="IQY Serie historica"/>
      <sheetName val="EURODOLAR"/>
      <sheetName val="Hoja1"/>
    </sheetNames>
    <sheetDataSet>
      <sheetData sheetId="0"/>
      <sheetData sheetId="1">
        <row r="10">
          <cell r="B10">
            <v>0</v>
          </cell>
          <cell r="C10">
            <v>0</v>
          </cell>
          <cell r="D10">
            <v>0</v>
          </cell>
        </row>
        <row r="11">
          <cell r="B11">
            <v>1</v>
          </cell>
          <cell r="C11" t="str">
            <v>CONSORCIO CONIISA - TECNICONSULTA</v>
          </cell>
          <cell r="D11">
            <v>0</v>
          </cell>
        </row>
        <row r="12">
          <cell r="B12">
            <v>0</v>
          </cell>
          <cell r="C12">
            <v>0</v>
          </cell>
          <cell r="D12">
            <v>0</v>
          </cell>
        </row>
        <row r="13">
          <cell r="B13">
            <v>0</v>
          </cell>
          <cell r="C13">
            <v>0</v>
          </cell>
          <cell r="D13">
            <v>0</v>
          </cell>
        </row>
        <row r="14">
          <cell r="B14">
            <v>0</v>
          </cell>
          <cell r="C14">
            <v>0</v>
          </cell>
          <cell r="D14">
            <v>0</v>
          </cell>
        </row>
        <row r="15">
          <cell r="B15">
            <v>2</v>
          </cell>
          <cell r="C15" t="str">
            <v>UNION TEMPORAL AEROPUERTO PALMIRA</v>
          </cell>
          <cell r="D15">
            <v>0</v>
          </cell>
        </row>
        <row r="16">
          <cell r="B16">
            <v>0</v>
          </cell>
          <cell r="C16">
            <v>0</v>
          </cell>
          <cell r="D16">
            <v>0</v>
          </cell>
        </row>
        <row r="17">
          <cell r="B17">
            <v>0</v>
          </cell>
          <cell r="C17">
            <v>0</v>
          </cell>
          <cell r="D17">
            <v>0</v>
          </cell>
        </row>
        <row r="18">
          <cell r="B18">
            <v>3</v>
          </cell>
          <cell r="C18" t="str">
            <v>CONSORCIO ANTIOQUIA 2014</v>
          </cell>
          <cell r="D18">
            <v>0</v>
          </cell>
        </row>
        <row r="19">
          <cell r="B19">
            <v>0</v>
          </cell>
          <cell r="C19">
            <v>0</v>
          </cell>
          <cell r="D19">
            <v>0</v>
          </cell>
        </row>
        <row r="20">
          <cell r="B20">
            <v>0</v>
          </cell>
          <cell r="C20">
            <v>0</v>
          </cell>
          <cell r="D20">
            <v>0</v>
          </cell>
        </row>
        <row r="21">
          <cell r="B21">
            <v>4</v>
          </cell>
          <cell r="C21" t="str">
            <v>CONSORCIO AEROPISTA DEL VALLE</v>
          </cell>
          <cell r="D21">
            <v>0</v>
          </cell>
        </row>
        <row r="22">
          <cell r="B22">
            <v>0</v>
          </cell>
          <cell r="C22">
            <v>0</v>
          </cell>
          <cell r="D22">
            <v>0</v>
          </cell>
        </row>
        <row r="23">
          <cell r="B23">
            <v>0</v>
          </cell>
          <cell r="C23">
            <v>0</v>
          </cell>
          <cell r="D23">
            <v>0</v>
          </cell>
        </row>
        <row r="24">
          <cell r="B24">
            <v>0</v>
          </cell>
          <cell r="C24">
            <v>0</v>
          </cell>
          <cell r="D24">
            <v>0</v>
          </cell>
        </row>
        <row r="25">
          <cell r="B25">
            <v>5</v>
          </cell>
          <cell r="C25" t="str">
            <v>CONSORCIO SUPERVISION AEROCALI</v>
          </cell>
          <cell r="D25">
            <v>1</v>
          </cell>
        </row>
        <row r="26">
          <cell r="B26">
            <v>1</v>
          </cell>
          <cell r="C26" t="str">
            <v>INGETEC S.A.</v>
          </cell>
          <cell r="D26">
            <v>0.65</v>
          </cell>
        </row>
        <row r="27">
          <cell r="B27">
            <v>2</v>
          </cell>
          <cell r="C27" t="str">
            <v>UG21</v>
          </cell>
          <cell r="D27">
            <v>0.35</v>
          </cell>
        </row>
        <row r="28">
          <cell r="B28">
            <v>6</v>
          </cell>
          <cell r="C28" t="str">
            <v>CONSORCIO AERO PALMIRA</v>
          </cell>
          <cell r="D28">
            <v>1</v>
          </cell>
        </row>
        <row r="29">
          <cell r="B29">
            <v>1</v>
          </cell>
          <cell r="C29" t="str">
            <v>DIEGO FONSECA CHAVES</v>
          </cell>
          <cell r="D29">
            <v>0.51</v>
          </cell>
        </row>
        <row r="30">
          <cell r="B30">
            <v>2</v>
          </cell>
          <cell r="C30" t="str">
            <v xml:space="preserve">ICEACSA CONSULTORES SUCURSAL COLOMBIA </v>
          </cell>
          <cell r="D30">
            <v>0.49</v>
          </cell>
        </row>
        <row r="31">
          <cell r="B31">
            <v>7</v>
          </cell>
          <cell r="C31" t="str">
            <v>CONSORCIO MAB-OMICRON</v>
          </cell>
          <cell r="D31">
            <v>1</v>
          </cell>
        </row>
        <row r="32">
          <cell r="B32">
            <v>1</v>
          </cell>
          <cell r="C32" t="str">
            <v>MAB INGENIERIA DE VALOR S.A.</v>
          </cell>
          <cell r="D32">
            <v>0.51</v>
          </cell>
        </row>
        <row r="33">
          <cell r="B33">
            <v>2</v>
          </cell>
          <cell r="C33" t="str">
            <v>OMICRON AMEPRO S.A.</v>
          </cell>
          <cell r="D33">
            <v>0.49</v>
          </cell>
        </row>
        <row r="34">
          <cell r="B34">
            <v>8</v>
          </cell>
          <cell r="C34" t="str">
            <v>CONSORCIO EPSILON - CALI</v>
          </cell>
          <cell r="D34">
            <v>1</v>
          </cell>
        </row>
        <row r="35">
          <cell r="B35">
            <v>1</v>
          </cell>
          <cell r="C35" t="str">
            <v>PROYECTOS E INTERVENTORIAS LIMITADA</v>
          </cell>
          <cell r="D35">
            <v>0.7</v>
          </cell>
        </row>
        <row r="36">
          <cell r="B36">
            <v>2</v>
          </cell>
          <cell r="C36" t="str">
            <v>CIVILTEC INGENIEROS LTDA</v>
          </cell>
          <cell r="D36">
            <v>0.3</v>
          </cell>
        </row>
        <row r="37">
          <cell r="B37">
            <v>9</v>
          </cell>
          <cell r="C37" t="str">
            <v>CONSORCION INTERVENTORIA PALMIRA 2014</v>
          </cell>
          <cell r="D37">
            <v>0</v>
          </cell>
        </row>
        <row r="38">
          <cell r="B38">
            <v>0</v>
          </cell>
          <cell r="C38">
            <v>0</v>
          </cell>
          <cell r="D38">
            <v>0</v>
          </cell>
        </row>
        <row r="39">
          <cell r="B39">
            <v>0</v>
          </cell>
          <cell r="C39">
            <v>0</v>
          </cell>
          <cell r="D39">
            <v>0</v>
          </cell>
        </row>
        <row r="40">
          <cell r="B40">
            <v>0</v>
          </cell>
          <cell r="C40">
            <v>0</v>
          </cell>
          <cell r="D40">
            <v>0</v>
          </cell>
        </row>
        <row r="41">
          <cell r="B41">
            <v>10</v>
          </cell>
          <cell r="C41" t="str">
            <v>CONSORCIO INTERVENTORIA AEROPUERTO CALI</v>
          </cell>
          <cell r="D41">
            <v>0</v>
          </cell>
        </row>
        <row r="42">
          <cell r="B42">
            <v>0</v>
          </cell>
          <cell r="C42">
            <v>0</v>
          </cell>
          <cell r="D42">
            <v>0</v>
          </cell>
        </row>
        <row r="43">
          <cell r="B43">
            <v>0</v>
          </cell>
          <cell r="C43">
            <v>0</v>
          </cell>
          <cell r="D43">
            <v>0</v>
          </cell>
        </row>
      </sheetData>
      <sheetData sheetId="2">
        <row r="3">
          <cell r="I3">
            <v>10609.20247324035</v>
          </cell>
        </row>
        <row r="6">
          <cell r="I6">
            <v>10609.20247324035</v>
          </cell>
        </row>
        <row r="8">
          <cell r="I8">
            <v>5415.9634171266234</v>
          </cell>
        </row>
        <row r="10">
          <cell r="I10">
            <v>1380.5396945616883</v>
          </cell>
        </row>
      </sheetData>
      <sheetData sheetId="3"/>
      <sheetData sheetId="4"/>
      <sheetData sheetId="5"/>
      <sheetData sheetId="6"/>
      <sheetData sheetId="7"/>
      <sheetData sheetId="8"/>
      <sheetData sheetId="9">
        <row r="2">
          <cell r="A2">
            <v>29222</v>
          </cell>
          <cell r="B2">
            <v>0</v>
          </cell>
          <cell r="C2">
            <v>29587</v>
          </cell>
          <cell r="D2">
            <v>4500</v>
          </cell>
        </row>
        <row r="3">
          <cell r="A3">
            <v>29588</v>
          </cell>
          <cell r="B3">
            <v>0</v>
          </cell>
          <cell r="C3">
            <v>29952</v>
          </cell>
          <cell r="D3">
            <v>5700</v>
          </cell>
        </row>
        <row r="4">
          <cell r="A4">
            <v>29953</v>
          </cell>
          <cell r="B4">
            <v>0</v>
          </cell>
          <cell r="C4">
            <v>30317</v>
          </cell>
          <cell r="D4">
            <v>7410</v>
          </cell>
        </row>
        <row r="5">
          <cell r="A5">
            <v>30318</v>
          </cell>
          <cell r="B5">
            <v>0</v>
          </cell>
          <cell r="C5">
            <v>30682</v>
          </cell>
          <cell r="D5">
            <v>9261</v>
          </cell>
        </row>
        <row r="6">
          <cell r="A6">
            <v>30683</v>
          </cell>
          <cell r="B6">
            <v>0</v>
          </cell>
          <cell r="C6">
            <v>31048</v>
          </cell>
          <cell r="D6">
            <v>11298</v>
          </cell>
        </row>
        <row r="7">
          <cell r="A7">
            <v>31049</v>
          </cell>
          <cell r="B7">
            <v>0</v>
          </cell>
          <cell r="C7">
            <v>31413</v>
          </cell>
          <cell r="D7">
            <v>13557.6</v>
          </cell>
        </row>
        <row r="8">
          <cell r="A8">
            <v>31414</v>
          </cell>
          <cell r="B8">
            <v>0</v>
          </cell>
          <cell r="C8">
            <v>31778</v>
          </cell>
          <cell r="D8">
            <v>16611.400000000001</v>
          </cell>
        </row>
        <row r="9">
          <cell r="A9">
            <v>31779</v>
          </cell>
          <cell r="B9">
            <v>0</v>
          </cell>
          <cell r="C9">
            <v>32143</v>
          </cell>
          <cell r="D9">
            <v>20509.8</v>
          </cell>
        </row>
        <row r="10">
          <cell r="A10">
            <v>32144</v>
          </cell>
          <cell r="B10">
            <v>0</v>
          </cell>
          <cell r="C10">
            <v>32508</v>
          </cell>
          <cell r="D10">
            <v>25637.4</v>
          </cell>
        </row>
        <row r="11">
          <cell r="A11">
            <v>32509</v>
          </cell>
          <cell r="B11">
            <v>0</v>
          </cell>
          <cell r="C11">
            <v>32873</v>
          </cell>
          <cell r="D11">
            <v>32559.599999999999</v>
          </cell>
        </row>
        <row r="12">
          <cell r="A12">
            <v>32874</v>
          </cell>
          <cell r="B12">
            <v>0</v>
          </cell>
          <cell r="C12">
            <v>33238</v>
          </cell>
          <cell r="D12">
            <v>41025</v>
          </cell>
        </row>
        <row r="13">
          <cell r="A13">
            <v>33239</v>
          </cell>
          <cell r="B13">
            <v>0</v>
          </cell>
          <cell r="C13">
            <v>33603</v>
          </cell>
          <cell r="D13">
            <v>51716.1</v>
          </cell>
        </row>
        <row r="14">
          <cell r="A14">
            <v>33604</v>
          </cell>
          <cell r="B14">
            <v>0</v>
          </cell>
          <cell r="C14">
            <v>33969</v>
          </cell>
          <cell r="D14">
            <v>65190</v>
          </cell>
        </row>
        <row r="15">
          <cell r="A15">
            <v>33970</v>
          </cell>
          <cell r="B15">
            <v>0</v>
          </cell>
          <cell r="C15">
            <v>34334</v>
          </cell>
          <cell r="D15">
            <v>81510</v>
          </cell>
        </row>
        <row r="16">
          <cell r="A16">
            <v>34335</v>
          </cell>
          <cell r="B16">
            <v>0</v>
          </cell>
          <cell r="C16">
            <v>34699</v>
          </cell>
          <cell r="D16">
            <v>98700</v>
          </cell>
        </row>
        <row r="17">
          <cell r="A17">
            <v>34700</v>
          </cell>
          <cell r="B17">
            <v>0</v>
          </cell>
          <cell r="C17">
            <v>35064</v>
          </cell>
          <cell r="D17">
            <v>118933.5</v>
          </cell>
        </row>
        <row r="18">
          <cell r="A18">
            <v>35065</v>
          </cell>
          <cell r="B18">
            <v>0</v>
          </cell>
          <cell r="C18">
            <v>35430</v>
          </cell>
          <cell r="D18">
            <v>142125</v>
          </cell>
        </row>
        <row r="19">
          <cell r="A19">
            <v>35431</v>
          </cell>
          <cell r="B19">
            <v>0</v>
          </cell>
          <cell r="C19">
            <v>35795</v>
          </cell>
          <cell r="D19">
            <v>172005</v>
          </cell>
        </row>
        <row r="20">
          <cell r="A20">
            <v>35796</v>
          </cell>
          <cell r="B20">
            <v>0</v>
          </cell>
          <cell r="C20">
            <v>36160</v>
          </cell>
          <cell r="D20">
            <v>203826</v>
          </cell>
        </row>
        <row r="21">
          <cell r="A21">
            <v>36161</v>
          </cell>
          <cell r="B21">
            <v>0</v>
          </cell>
          <cell r="C21">
            <v>36525</v>
          </cell>
          <cell r="D21">
            <v>236460</v>
          </cell>
        </row>
        <row r="22">
          <cell r="A22">
            <v>36526</v>
          </cell>
          <cell r="B22">
            <v>0</v>
          </cell>
          <cell r="C22">
            <v>36891</v>
          </cell>
          <cell r="D22">
            <v>260100</v>
          </cell>
        </row>
        <row r="23">
          <cell r="A23">
            <v>36892</v>
          </cell>
          <cell r="B23">
            <v>0</v>
          </cell>
          <cell r="C23">
            <v>37256</v>
          </cell>
          <cell r="D23">
            <v>286000</v>
          </cell>
        </row>
        <row r="24">
          <cell r="A24">
            <v>37257</v>
          </cell>
          <cell r="B24">
            <v>0</v>
          </cell>
          <cell r="C24">
            <v>37621</v>
          </cell>
          <cell r="D24">
            <v>309000</v>
          </cell>
        </row>
        <row r="25">
          <cell r="A25">
            <v>37622</v>
          </cell>
          <cell r="B25">
            <v>0</v>
          </cell>
          <cell r="C25">
            <v>37986</v>
          </cell>
          <cell r="D25">
            <v>332000</v>
          </cell>
        </row>
        <row r="26">
          <cell r="A26">
            <v>37987</v>
          </cell>
          <cell r="B26">
            <v>0</v>
          </cell>
          <cell r="C26">
            <v>38352</v>
          </cell>
          <cell r="D26">
            <v>358000</v>
          </cell>
        </row>
        <row r="27">
          <cell r="A27">
            <v>38353</v>
          </cell>
          <cell r="B27">
            <v>0</v>
          </cell>
          <cell r="C27">
            <v>38717</v>
          </cell>
          <cell r="D27">
            <v>381500</v>
          </cell>
        </row>
        <row r="28">
          <cell r="A28">
            <v>38718</v>
          </cell>
          <cell r="B28">
            <v>0</v>
          </cell>
          <cell r="C28">
            <v>39082</v>
          </cell>
          <cell r="D28">
            <v>408000</v>
          </cell>
        </row>
        <row r="29">
          <cell r="A29">
            <v>39083</v>
          </cell>
          <cell r="B29">
            <v>0</v>
          </cell>
          <cell r="C29">
            <v>39447</v>
          </cell>
          <cell r="D29">
            <v>433700</v>
          </cell>
        </row>
        <row r="30">
          <cell r="A30">
            <v>39448</v>
          </cell>
          <cell r="B30">
            <v>0</v>
          </cell>
          <cell r="C30">
            <v>39813</v>
          </cell>
          <cell r="D30">
            <v>461500</v>
          </cell>
        </row>
        <row r="31">
          <cell r="A31">
            <v>39814</v>
          </cell>
          <cell r="B31">
            <v>0</v>
          </cell>
          <cell r="C31">
            <v>40178</v>
          </cell>
          <cell r="D31">
            <v>496900</v>
          </cell>
        </row>
        <row r="32">
          <cell r="A32">
            <v>40179</v>
          </cell>
          <cell r="C32">
            <v>40543</v>
          </cell>
          <cell r="D32">
            <v>515000</v>
          </cell>
        </row>
        <row r="33">
          <cell r="A33">
            <v>40544</v>
          </cell>
          <cell r="C33">
            <v>40908</v>
          </cell>
          <cell r="D33">
            <v>535600</v>
          </cell>
        </row>
        <row r="34">
          <cell r="A34">
            <v>40909</v>
          </cell>
          <cell r="C34">
            <v>41274</v>
          </cell>
          <cell r="D34">
            <v>566700</v>
          </cell>
        </row>
        <row r="35">
          <cell r="A35">
            <v>41275</v>
          </cell>
          <cell r="C35">
            <v>41639</v>
          </cell>
          <cell r="D35">
            <v>589500</v>
          </cell>
        </row>
        <row r="36">
          <cell r="A36">
            <v>41640</v>
          </cell>
          <cell r="C36">
            <v>42004</v>
          </cell>
          <cell r="D36">
            <v>616000</v>
          </cell>
        </row>
      </sheetData>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quisitos"/>
      <sheetName val="Proponentes"/>
      <sheetName val="Resumen"/>
      <sheetName val="E General Prop9"/>
      <sheetName val="E EspecíficaProp9"/>
      <sheetName val="E General Prop10"/>
      <sheetName val="E EspecíficaProp10"/>
      <sheetName val="E General Prop11"/>
      <sheetName val="E EspecíficaProp11"/>
      <sheetName val="E General Prop12"/>
      <sheetName val="E EspecíficaProp12"/>
      <sheetName val="SMLM"/>
      <sheetName val="Anexo conversiones"/>
      <sheetName val="IQY Serie historica"/>
      <sheetName val="EURODOLAR"/>
      <sheetName val="Valor Contr Prop9 Intersa"/>
      <sheetName val="Hoja2"/>
    </sheetNames>
    <sheetDataSet>
      <sheetData sheetId="0"/>
      <sheetData sheetId="1">
        <row r="7">
          <cell r="I7">
            <v>1350.6493506493507</v>
          </cell>
        </row>
        <row r="10">
          <cell r="I10">
            <v>1380.5396945616883</v>
          </cell>
        </row>
      </sheetData>
      <sheetData sheetId="2">
        <row r="10">
          <cell r="B10">
            <v>0</v>
          </cell>
          <cell r="C10">
            <v>0</v>
          </cell>
          <cell r="D10">
            <v>0</v>
          </cell>
        </row>
        <row r="11">
          <cell r="B11">
            <v>1</v>
          </cell>
          <cell r="C11" t="str">
            <v>CONSORCIO CONIISA - TECNICONSULTA</v>
          </cell>
          <cell r="D11">
            <v>0</v>
          </cell>
        </row>
        <row r="12">
          <cell r="B12">
            <v>0</v>
          </cell>
          <cell r="C12">
            <v>0</v>
          </cell>
          <cell r="D12">
            <v>0</v>
          </cell>
        </row>
        <row r="13">
          <cell r="B13">
            <v>0</v>
          </cell>
          <cell r="C13">
            <v>0</v>
          </cell>
          <cell r="D13">
            <v>0</v>
          </cell>
        </row>
        <row r="14">
          <cell r="B14">
            <v>0</v>
          </cell>
          <cell r="C14">
            <v>0</v>
          </cell>
          <cell r="D14">
            <v>0</v>
          </cell>
        </row>
        <row r="15">
          <cell r="B15">
            <v>2</v>
          </cell>
          <cell r="C15" t="str">
            <v>UNION TEMPORAL AEROPUERTO PALMIRA</v>
          </cell>
          <cell r="D15">
            <v>0</v>
          </cell>
        </row>
        <row r="16">
          <cell r="B16">
            <v>0</v>
          </cell>
          <cell r="C16">
            <v>0</v>
          </cell>
          <cell r="D16">
            <v>0</v>
          </cell>
        </row>
        <row r="17">
          <cell r="B17">
            <v>0</v>
          </cell>
          <cell r="C17">
            <v>0</v>
          </cell>
          <cell r="D17">
            <v>0</v>
          </cell>
        </row>
        <row r="18">
          <cell r="B18">
            <v>3</v>
          </cell>
          <cell r="C18" t="str">
            <v>CONSORCIO ANTIOQUIA 2014</v>
          </cell>
          <cell r="D18">
            <v>0</v>
          </cell>
        </row>
        <row r="19">
          <cell r="B19">
            <v>0</v>
          </cell>
          <cell r="C19">
            <v>0</v>
          </cell>
          <cell r="D19">
            <v>0</v>
          </cell>
        </row>
        <row r="20">
          <cell r="B20">
            <v>0</v>
          </cell>
          <cell r="C20">
            <v>0</v>
          </cell>
          <cell r="D20">
            <v>0</v>
          </cell>
        </row>
        <row r="21">
          <cell r="B21">
            <v>4</v>
          </cell>
          <cell r="C21" t="str">
            <v>CONSORCIO AEROPISTA DEL VALLE</v>
          </cell>
          <cell r="D21">
            <v>0</v>
          </cell>
        </row>
        <row r="22">
          <cell r="B22">
            <v>0</v>
          </cell>
          <cell r="C22">
            <v>0</v>
          </cell>
          <cell r="D22">
            <v>0</v>
          </cell>
        </row>
        <row r="23">
          <cell r="B23">
            <v>0</v>
          </cell>
          <cell r="C23">
            <v>0</v>
          </cell>
          <cell r="D23">
            <v>0</v>
          </cell>
        </row>
        <row r="24">
          <cell r="B24">
            <v>0</v>
          </cell>
          <cell r="C24">
            <v>0</v>
          </cell>
          <cell r="D24">
            <v>0</v>
          </cell>
        </row>
        <row r="25">
          <cell r="B25">
            <v>5</v>
          </cell>
          <cell r="C25" t="str">
            <v>CONSORCIO SUPERVISION AEROCALI</v>
          </cell>
          <cell r="D25">
            <v>0</v>
          </cell>
        </row>
        <row r="26">
          <cell r="B26">
            <v>0</v>
          </cell>
          <cell r="C26">
            <v>0</v>
          </cell>
          <cell r="D26">
            <v>0</v>
          </cell>
        </row>
        <row r="27">
          <cell r="B27">
            <v>0</v>
          </cell>
          <cell r="C27">
            <v>0</v>
          </cell>
          <cell r="D27">
            <v>0</v>
          </cell>
        </row>
        <row r="28">
          <cell r="B28">
            <v>6</v>
          </cell>
          <cell r="C28" t="str">
            <v>CONSORCIO AEROPALMIRA</v>
          </cell>
          <cell r="D28">
            <v>0</v>
          </cell>
        </row>
        <row r="29">
          <cell r="B29">
            <v>0</v>
          </cell>
          <cell r="C29">
            <v>0</v>
          </cell>
          <cell r="D29">
            <v>0</v>
          </cell>
        </row>
        <row r="30">
          <cell r="B30">
            <v>0</v>
          </cell>
          <cell r="C30">
            <v>0</v>
          </cell>
          <cell r="D30">
            <v>0</v>
          </cell>
        </row>
        <row r="31">
          <cell r="B31">
            <v>7</v>
          </cell>
          <cell r="C31" t="str">
            <v>CONSORCIO MAB-OMNICRON</v>
          </cell>
          <cell r="D31">
            <v>0</v>
          </cell>
        </row>
        <row r="32">
          <cell r="B32">
            <v>0</v>
          </cell>
          <cell r="C32">
            <v>0</v>
          </cell>
          <cell r="D32">
            <v>0</v>
          </cell>
        </row>
        <row r="33">
          <cell r="B33">
            <v>0</v>
          </cell>
          <cell r="C33">
            <v>0</v>
          </cell>
          <cell r="D33">
            <v>0</v>
          </cell>
        </row>
        <row r="34">
          <cell r="B34">
            <v>8</v>
          </cell>
          <cell r="C34" t="str">
            <v>CONSORCIO EPSILON - CALI</v>
          </cell>
          <cell r="D34">
            <v>0</v>
          </cell>
        </row>
        <row r="35">
          <cell r="B35">
            <v>0</v>
          </cell>
          <cell r="C35">
            <v>0</v>
          </cell>
          <cell r="D35">
            <v>0</v>
          </cell>
        </row>
        <row r="36">
          <cell r="B36">
            <v>0</v>
          </cell>
          <cell r="C36">
            <v>0</v>
          </cell>
          <cell r="D36">
            <v>0</v>
          </cell>
        </row>
        <row r="37">
          <cell r="B37">
            <v>0</v>
          </cell>
          <cell r="C37">
            <v>0</v>
          </cell>
          <cell r="D37">
            <v>0</v>
          </cell>
        </row>
        <row r="38">
          <cell r="B38">
            <v>9</v>
          </cell>
          <cell r="C38" t="str">
            <v>CONSORCIO INTERVENTORIA PALMIRA 2014</v>
          </cell>
          <cell r="D38">
            <v>1</v>
          </cell>
        </row>
        <row r="39">
          <cell r="B39">
            <v>0</v>
          </cell>
          <cell r="C39" t="str">
            <v>AYESA COLOMBIA S.A.S.</v>
          </cell>
          <cell r="D39">
            <v>0.6</v>
          </cell>
        </row>
        <row r="40">
          <cell r="B40">
            <v>0</v>
          </cell>
          <cell r="C40" t="str">
            <v>INTERSA S.A.</v>
          </cell>
          <cell r="D40">
            <v>0.4</v>
          </cell>
        </row>
        <row r="41">
          <cell r="B41">
            <v>10</v>
          </cell>
          <cell r="C41" t="str">
            <v>CONSORCIO INTERVENTORIA AEROPUERTO CALI</v>
          </cell>
          <cell r="D41">
            <v>1</v>
          </cell>
        </row>
        <row r="42">
          <cell r="B42">
            <v>0</v>
          </cell>
          <cell r="C42" t="str">
            <v>CONSULTORES TÉCNICOS Y ECONÓMICOS S.A.</v>
          </cell>
          <cell r="D42">
            <v>0.51</v>
          </cell>
        </row>
        <row r="43">
          <cell r="B43">
            <v>0</v>
          </cell>
          <cell r="C43" t="str">
            <v>JOYCO S.A.S</v>
          </cell>
          <cell r="D43">
            <v>0.49</v>
          </cell>
        </row>
        <row r="44">
          <cell r="B44">
            <v>11</v>
          </cell>
          <cell r="C44" t="str">
            <v>CONSORCIO UNIDOS PARA EL AEROPUERTO DE PALMIRA</v>
          </cell>
          <cell r="D44">
            <v>1</v>
          </cell>
        </row>
        <row r="45">
          <cell r="B45">
            <v>0</v>
          </cell>
          <cell r="C45" t="str">
            <v>TRN INGENIERÍA Y PLANIFICACIÓN DE INFRAESTRUCTURAS S.A. SUCURSAL COLOMBIA</v>
          </cell>
          <cell r="D45">
            <v>0.51</v>
          </cell>
        </row>
        <row r="46">
          <cell r="B46">
            <v>0</v>
          </cell>
          <cell r="C46" t="str">
            <v>XIMA S.A.S.</v>
          </cell>
          <cell r="D46">
            <v>0.25</v>
          </cell>
        </row>
        <row r="47">
          <cell r="B47">
            <v>0</v>
          </cell>
          <cell r="C47" t="str">
            <v>PLANES</v>
          </cell>
          <cell r="D47">
            <v>0.24</v>
          </cell>
        </row>
        <row r="48">
          <cell r="B48">
            <v>12</v>
          </cell>
          <cell r="C48" t="str">
            <v>CONSORCIO AEROPUERTOS ANI</v>
          </cell>
          <cell r="D48">
            <v>1</v>
          </cell>
        </row>
        <row r="49">
          <cell r="B49">
            <v>0</v>
          </cell>
          <cell r="C49" t="str">
            <v>BETTIN RECURSOS AMBIENTALES E INGENIERÍA SAS BRAIN INGENIERIA SAS</v>
          </cell>
          <cell r="D49">
            <v>0.49</v>
          </cell>
        </row>
        <row r="50">
          <cell r="B50">
            <v>0</v>
          </cell>
          <cell r="C50" t="str">
            <v>JAHV MCGREGOR S.A. AUDITORES CONSULTORES</v>
          </cell>
          <cell r="D50">
            <v>0.51</v>
          </cell>
        </row>
        <row r="51">
          <cell r="B51">
            <v>13</v>
          </cell>
          <cell r="C51" t="str">
            <v>CONSORCIO INTERVENTORIA PALMIRA</v>
          </cell>
          <cell r="D51">
            <v>0</v>
          </cell>
        </row>
        <row r="52">
          <cell r="B52">
            <v>0</v>
          </cell>
          <cell r="C52">
            <v>0</v>
          </cell>
          <cell r="D52">
            <v>0</v>
          </cell>
        </row>
        <row r="53">
          <cell r="B53">
            <v>0</v>
          </cell>
          <cell r="C53">
            <v>0</v>
          </cell>
          <cell r="D53">
            <v>0</v>
          </cell>
        </row>
        <row r="54">
          <cell r="B54">
            <v>0</v>
          </cell>
          <cell r="C54">
            <v>0</v>
          </cell>
          <cell r="D54">
            <v>0</v>
          </cell>
        </row>
        <row r="55">
          <cell r="B55">
            <v>14</v>
          </cell>
          <cell r="C55" t="str">
            <v>CONSORCIO INTERVENTORIA AEROPUERTO PALMIRA 2014</v>
          </cell>
          <cell r="D55">
            <v>0</v>
          </cell>
        </row>
        <row r="56">
          <cell r="B56">
            <v>0</v>
          </cell>
          <cell r="C56">
            <v>0</v>
          </cell>
          <cell r="D56">
            <v>0</v>
          </cell>
        </row>
        <row r="57">
          <cell r="B57">
            <v>0</v>
          </cell>
          <cell r="C57">
            <v>0</v>
          </cell>
          <cell r="D57">
            <v>0</v>
          </cell>
        </row>
        <row r="58">
          <cell r="B58">
            <v>15</v>
          </cell>
          <cell r="C58" t="str">
            <v>CONSORCIO AEROPUERTO DEL VALLE</v>
          </cell>
          <cell r="D58">
            <v>0</v>
          </cell>
        </row>
        <row r="59">
          <cell r="B59">
            <v>0</v>
          </cell>
          <cell r="C59">
            <v>0</v>
          </cell>
          <cell r="D59">
            <v>0</v>
          </cell>
        </row>
        <row r="60">
          <cell r="B60">
            <v>0</v>
          </cell>
          <cell r="C60">
            <v>0</v>
          </cell>
          <cell r="D60">
            <v>0</v>
          </cell>
        </row>
        <row r="61">
          <cell r="B61">
            <v>0</v>
          </cell>
          <cell r="C61">
            <v>0</v>
          </cell>
          <cell r="D61">
            <v>0</v>
          </cell>
        </row>
        <row r="62">
          <cell r="B62">
            <v>16</v>
          </cell>
          <cell r="C62" t="str">
            <v>CONSORCIO CONCESIONES 04</v>
          </cell>
          <cell r="D62">
            <v>0</v>
          </cell>
        </row>
        <row r="63">
          <cell r="B63">
            <v>0</v>
          </cell>
          <cell r="C63">
            <v>0</v>
          </cell>
          <cell r="D63">
            <v>0</v>
          </cell>
        </row>
        <row r="64">
          <cell r="B64">
            <v>0</v>
          </cell>
          <cell r="C64">
            <v>0</v>
          </cell>
          <cell r="D64">
            <v>0</v>
          </cell>
        </row>
        <row r="65">
          <cell r="B65">
            <v>17</v>
          </cell>
          <cell r="C65" t="str">
            <v>CONSORCIO INTERVENTORES AEROPORTUARIOS</v>
          </cell>
          <cell r="D65">
            <v>0</v>
          </cell>
        </row>
        <row r="66">
          <cell r="B66">
            <v>0</v>
          </cell>
          <cell r="C66">
            <v>0</v>
          </cell>
          <cell r="D66">
            <v>0</v>
          </cell>
        </row>
        <row r="67">
          <cell r="B67">
            <v>0</v>
          </cell>
          <cell r="C67">
            <v>0</v>
          </cell>
          <cell r="D67">
            <v>0</v>
          </cell>
        </row>
        <row r="68">
          <cell r="B68">
            <v>0</v>
          </cell>
          <cell r="C68">
            <v>0</v>
          </cell>
          <cell r="D68">
            <v>0</v>
          </cell>
        </row>
        <row r="69">
          <cell r="B69">
            <v>18</v>
          </cell>
          <cell r="C69" t="str">
            <v>CONSORCIO ECOPIDDO</v>
          </cell>
          <cell r="D69">
            <v>0</v>
          </cell>
        </row>
        <row r="70">
          <cell r="B70">
            <v>0</v>
          </cell>
          <cell r="C70">
            <v>0</v>
          </cell>
          <cell r="D70">
            <v>0</v>
          </cell>
        </row>
        <row r="71">
          <cell r="B71">
            <v>0</v>
          </cell>
          <cell r="C71">
            <v>0</v>
          </cell>
          <cell r="D71">
            <v>0</v>
          </cell>
        </row>
        <row r="72">
          <cell r="B72">
            <v>19</v>
          </cell>
          <cell r="C72" t="str">
            <v>CONSORCIO INCOPLAN INTEGRAL SEG CALI</v>
          </cell>
          <cell r="D72">
            <v>0</v>
          </cell>
        </row>
        <row r="73">
          <cell r="B73">
            <v>0</v>
          </cell>
          <cell r="C73">
            <v>0</v>
          </cell>
          <cell r="D73">
            <v>0</v>
          </cell>
        </row>
        <row r="74">
          <cell r="B74">
            <v>0</v>
          </cell>
          <cell r="C74">
            <v>0</v>
          </cell>
          <cell r="D74">
            <v>0</v>
          </cell>
        </row>
        <row r="75">
          <cell r="B75">
            <v>0</v>
          </cell>
          <cell r="C75">
            <v>0</v>
          </cell>
          <cell r="D75">
            <v>0</v>
          </cell>
        </row>
        <row r="76">
          <cell r="B76">
            <v>20</v>
          </cell>
          <cell r="C76" t="str">
            <v>CONSORCIO INTERVENTORIA AEROPUERTO 2014</v>
          </cell>
          <cell r="D76">
            <v>0</v>
          </cell>
        </row>
        <row r="77">
          <cell r="B77">
            <v>0</v>
          </cell>
          <cell r="C77">
            <v>0</v>
          </cell>
          <cell r="D77">
            <v>0</v>
          </cell>
        </row>
        <row r="78">
          <cell r="B78">
            <v>0</v>
          </cell>
          <cell r="C78">
            <v>0</v>
          </cell>
          <cell r="D78">
            <v>0</v>
          </cell>
        </row>
      </sheetData>
      <sheetData sheetId="3"/>
      <sheetData sheetId="4"/>
      <sheetData sheetId="5"/>
      <sheetData sheetId="6"/>
      <sheetData sheetId="7"/>
      <sheetData sheetId="8"/>
      <sheetData sheetId="9"/>
      <sheetData sheetId="10"/>
      <sheetData sheetId="11"/>
      <sheetData sheetId="12">
        <row r="2">
          <cell r="A2">
            <v>29222</v>
          </cell>
          <cell r="B2">
            <v>0</v>
          </cell>
          <cell r="C2">
            <v>29587</v>
          </cell>
          <cell r="D2">
            <v>4500</v>
          </cell>
        </row>
        <row r="3">
          <cell r="A3">
            <v>29588</v>
          </cell>
          <cell r="B3">
            <v>0</v>
          </cell>
          <cell r="C3">
            <v>29952</v>
          </cell>
          <cell r="D3">
            <v>5700</v>
          </cell>
        </row>
        <row r="4">
          <cell r="A4">
            <v>29953</v>
          </cell>
          <cell r="B4">
            <v>0</v>
          </cell>
          <cell r="C4">
            <v>30317</v>
          </cell>
          <cell r="D4">
            <v>7410</v>
          </cell>
        </row>
        <row r="5">
          <cell r="A5">
            <v>30318</v>
          </cell>
          <cell r="B5">
            <v>0</v>
          </cell>
          <cell r="C5">
            <v>30682</v>
          </cell>
          <cell r="D5">
            <v>9261</v>
          </cell>
        </row>
        <row r="6">
          <cell r="A6">
            <v>30683</v>
          </cell>
          <cell r="B6">
            <v>0</v>
          </cell>
          <cell r="C6">
            <v>31048</v>
          </cell>
          <cell r="D6">
            <v>11298</v>
          </cell>
        </row>
        <row r="7">
          <cell r="A7">
            <v>31049</v>
          </cell>
          <cell r="B7">
            <v>0</v>
          </cell>
          <cell r="C7">
            <v>31413</v>
          </cell>
          <cell r="D7">
            <v>13557.6</v>
          </cell>
        </row>
        <row r="8">
          <cell r="A8">
            <v>31414</v>
          </cell>
          <cell r="B8">
            <v>0</v>
          </cell>
          <cell r="C8">
            <v>31778</v>
          </cell>
          <cell r="D8">
            <v>16611.400000000001</v>
          </cell>
        </row>
        <row r="9">
          <cell r="A9">
            <v>31779</v>
          </cell>
          <cell r="B9">
            <v>0</v>
          </cell>
          <cell r="C9">
            <v>32143</v>
          </cell>
          <cell r="D9">
            <v>20509.8</v>
          </cell>
        </row>
        <row r="10">
          <cell r="A10">
            <v>32144</v>
          </cell>
          <cell r="B10">
            <v>0</v>
          </cell>
          <cell r="C10">
            <v>32508</v>
          </cell>
          <cell r="D10">
            <v>25637.4</v>
          </cell>
        </row>
        <row r="11">
          <cell r="A11">
            <v>32509</v>
          </cell>
          <cell r="B11">
            <v>0</v>
          </cell>
          <cell r="C11">
            <v>32873</v>
          </cell>
          <cell r="D11">
            <v>32559.599999999999</v>
          </cell>
        </row>
        <row r="12">
          <cell r="A12">
            <v>32874</v>
          </cell>
          <cell r="B12">
            <v>0</v>
          </cell>
          <cell r="C12">
            <v>33238</v>
          </cell>
          <cell r="D12">
            <v>41025</v>
          </cell>
        </row>
        <row r="13">
          <cell r="A13">
            <v>33239</v>
          </cell>
          <cell r="B13">
            <v>0</v>
          </cell>
          <cell r="C13">
            <v>33603</v>
          </cell>
          <cell r="D13">
            <v>51716.1</v>
          </cell>
        </row>
        <row r="14">
          <cell r="A14">
            <v>33604</v>
          </cell>
          <cell r="B14">
            <v>0</v>
          </cell>
          <cell r="C14">
            <v>33969</v>
          </cell>
          <cell r="D14">
            <v>65190</v>
          </cell>
        </row>
        <row r="15">
          <cell r="A15">
            <v>33970</v>
          </cell>
          <cell r="B15">
            <v>0</v>
          </cell>
          <cell r="C15">
            <v>34334</v>
          </cell>
          <cell r="D15">
            <v>81510</v>
          </cell>
        </row>
        <row r="16">
          <cell r="A16">
            <v>34335</v>
          </cell>
          <cell r="B16">
            <v>0</v>
          </cell>
          <cell r="C16">
            <v>34699</v>
          </cell>
          <cell r="D16">
            <v>98700</v>
          </cell>
        </row>
        <row r="17">
          <cell r="A17">
            <v>34700</v>
          </cell>
          <cell r="B17">
            <v>0</v>
          </cell>
          <cell r="C17">
            <v>35064</v>
          </cell>
          <cell r="D17">
            <v>118933.5</v>
          </cell>
        </row>
        <row r="18">
          <cell r="A18">
            <v>35065</v>
          </cell>
          <cell r="B18">
            <v>0</v>
          </cell>
          <cell r="C18">
            <v>35430</v>
          </cell>
          <cell r="D18">
            <v>142125</v>
          </cell>
        </row>
        <row r="19">
          <cell r="A19">
            <v>35431</v>
          </cell>
          <cell r="B19">
            <v>0</v>
          </cell>
          <cell r="C19">
            <v>35795</v>
          </cell>
          <cell r="D19">
            <v>172005</v>
          </cell>
        </row>
        <row r="20">
          <cell r="A20">
            <v>35796</v>
          </cell>
          <cell r="B20">
            <v>0</v>
          </cell>
          <cell r="C20">
            <v>36160</v>
          </cell>
          <cell r="D20">
            <v>203826</v>
          </cell>
        </row>
        <row r="21">
          <cell r="A21">
            <v>36161</v>
          </cell>
          <cell r="B21">
            <v>0</v>
          </cell>
          <cell r="C21">
            <v>36525</v>
          </cell>
          <cell r="D21">
            <v>236460</v>
          </cell>
        </row>
        <row r="22">
          <cell r="A22">
            <v>36526</v>
          </cell>
          <cell r="B22">
            <v>0</v>
          </cell>
          <cell r="C22">
            <v>36891</v>
          </cell>
          <cell r="D22">
            <v>260100</v>
          </cell>
        </row>
        <row r="23">
          <cell r="A23">
            <v>36892</v>
          </cell>
          <cell r="B23">
            <v>0</v>
          </cell>
          <cell r="C23">
            <v>37256</v>
          </cell>
          <cell r="D23">
            <v>286000</v>
          </cell>
        </row>
        <row r="24">
          <cell r="A24">
            <v>37257</v>
          </cell>
          <cell r="B24">
            <v>0</v>
          </cell>
          <cell r="C24">
            <v>37621</v>
          </cell>
          <cell r="D24">
            <v>309000</v>
          </cell>
        </row>
        <row r="25">
          <cell r="A25">
            <v>37622</v>
          </cell>
          <cell r="B25">
            <v>0</v>
          </cell>
          <cell r="C25">
            <v>37986</v>
          </cell>
          <cell r="D25">
            <v>332000</v>
          </cell>
        </row>
        <row r="26">
          <cell r="A26">
            <v>37987</v>
          </cell>
          <cell r="B26">
            <v>0</v>
          </cell>
          <cell r="C26">
            <v>38352</v>
          </cell>
          <cell r="D26">
            <v>358000</v>
          </cell>
        </row>
        <row r="27">
          <cell r="A27">
            <v>38353</v>
          </cell>
          <cell r="B27">
            <v>0</v>
          </cell>
          <cell r="C27">
            <v>38717</v>
          </cell>
          <cell r="D27">
            <v>381500</v>
          </cell>
        </row>
        <row r="28">
          <cell r="A28">
            <v>38718</v>
          </cell>
          <cell r="B28">
            <v>0</v>
          </cell>
          <cell r="C28">
            <v>39082</v>
          </cell>
          <cell r="D28">
            <v>408000</v>
          </cell>
        </row>
        <row r="29">
          <cell r="A29">
            <v>39083</v>
          </cell>
          <cell r="B29">
            <v>0</v>
          </cell>
          <cell r="C29">
            <v>39447</v>
          </cell>
          <cell r="D29">
            <v>433700</v>
          </cell>
        </row>
        <row r="30">
          <cell r="A30">
            <v>39448</v>
          </cell>
          <cell r="B30">
            <v>0</v>
          </cell>
          <cell r="C30">
            <v>39813</v>
          </cell>
          <cell r="D30">
            <v>461500</v>
          </cell>
        </row>
        <row r="31">
          <cell r="A31">
            <v>39814</v>
          </cell>
          <cell r="B31">
            <v>0</v>
          </cell>
          <cell r="C31">
            <v>40178</v>
          </cell>
          <cell r="D31">
            <v>496900</v>
          </cell>
        </row>
        <row r="32">
          <cell r="A32">
            <v>40179</v>
          </cell>
          <cell r="C32">
            <v>40543</v>
          </cell>
          <cell r="D32">
            <v>515000</v>
          </cell>
        </row>
        <row r="33">
          <cell r="A33">
            <v>40544</v>
          </cell>
          <cell r="C33">
            <v>40908</v>
          </cell>
          <cell r="D33">
            <v>535600</v>
          </cell>
        </row>
        <row r="34">
          <cell r="A34">
            <v>40909</v>
          </cell>
          <cell r="C34">
            <v>41274</v>
          </cell>
          <cell r="D34">
            <v>566700</v>
          </cell>
        </row>
        <row r="35">
          <cell r="A35">
            <v>41275</v>
          </cell>
          <cell r="C35">
            <v>41639</v>
          </cell>
          <cell r="D35">
            <v>589500</v>
          </cell>
        </row>
        <row r="36">
          <cell r="A36">
            <v>41640</v>
          </cell>
          <cell r="C36">
            <v>42004</v>
          </cell>
          <cell r="D36">
            <v>616000</v>
          </cell>
        </row>
      </sheetData>
      <sheetData sheetId="13"/>
      <sheetData sheetId="14"/>
      <sheetData sheetId="15"/>
      <sheetData sheetId="16">
        <row r="8">
          <cell r="G8">
            <v>5669.9874240665013</v>
          </cell>
        </row>
      </sheetData>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quisitos"/>
      <sheetName val="Proponentes"/>
      <sheetName val="Resumen"/>
      <sheetName val="E Genreal"/>
      <sheetName val="E Específica"/>
      <sheetName val="SMLM"/>
      <sheetName val="Anexo conversiones"/>
      <sheetName val="IQY Serie historica"/>
      <sheetName val="EURODOLAR"/>
    </sheetNames>
    <sheetDataSet>
      <sheetData sheetId="0"/>
      <sheetData sheetId="1">
        <row r="7">
          <cell r="I7">
            <v>1350.6493506493507</v>
          </cell>
        </row>
        <row r="10">
          <cell r="I10">
            <v>1380.5396945616883</v>
          </cell>
        </row>
      </sheetData>
      <sheetData sheetId="2">
        <row r="10">
          <cell r="B10">
            <v>0</v>
          </cell>
          <cell r="C10">
            <v>0</v>
          </cell>
          <cell r="D10">
            <v>0</v>
          </cell>
        </row>
        <row r="11">
          <cell r="B11">
            <v>1</v>
          </cell>
          <cell r="C11" t="str">
            <v>CONSORCIO CONIISA - TECNICONSULTA</v>
          </cell>
          <cell r="D11">
            <v>0</v>
          </cell>
        </row>
        <row r="12">
          <cell r="B12">
            <v>0</v>
          </cell>
          <cell r="C12">
            <v>0</v>
          </cell>
          <cell r="D12">
            <v>0</v>
          </cell>
        </row>
        <row r="13">
          <cell r="B13">
            <v>0</v>
          </cell>
          <cell r="C13">
            <v>0</v>
          </cell>
          <cell r="D13">
            <v>0</v>
          </cell>
        </row>
        <row r="14">
          <cell r="B14">
            <v>0</v>
          </cell>
          <cell r="C14">
            <v>0</v>
          </cell>
          <cell r="D14">
            <v>0</v>
          </cell>
        </row>
        <row r="15">
          <cell r="B15">
            <v>2</v>
          </cell>
          <cell r="C15" t="str">
            <v>UNION TEMPORAL AEROPUERTO PALMIRA</v>
          </cell>
          <cell r="D15">
            <v>0</v>
          </cell>
        </row>
        <row r="16">
          <cell r="B16">
            <v>0</v>
          </cell>
          <cell r="C16">
            <v>0</v>
          </cell>
          <cell r="D16">
            <v>0</v>
          </cell>
        </row>
        <row r="17">
          <cell r="B17">
            <v>0</v>
          </cell>
          <cell r="C17">
            <v>0</v>
          </cell>
          <cell r="D17">
            <v>0</v>
          </cell>
        </row>
        <row r="18">
          <cell r="B18">
            <v>3</v>
          </cell>
          <cell r="C18" t="str">
            <v>CONSORCIO ANTIOQUIA 2014</v>
          </cell>
          <cell r="D18">
            <v>0</v>
          </cell>
        </row>
        <row r="19">
          <cell r="B19">
            <v>0</v>
          </cell>
          <cell r="C19">
            <v>0</v>
          </cell>
          <cell r="D19">
            <v>0</v>
          </cell>
        </row>
        <row r="20">
          <cell r="B20">
            <v>0</v>
          </cell>
          <cell r="C20">
            <v>0</v>
          </cell>
          <cell r="D20">
            <v>0</v>
          </cell>
        </row>
        <row r="21">
          <cell r="B21">
            <v>4</v>
          </cell>
          <cell r="C21" t="str">
            <v>CONSORCIO AEROPISTA DEL VALLE</v>
          </cell>
          <cell r="D21">
            <v>0</v>
          </cell>
        </row>
        <row r="22">
          <cell r="B22">
            <v>0</v>
          </cell>
          <cell r="C22">
            <v>0</v>
          </cell>
          <cell r="D22">
            <v>0</v>
          </cell>
        </row>
        <row r="23">
          <cell r="B23">
            <v>0</v>
          </cell>
          <cell r="C23">
            <v>0</v>
          </cell>
          <cell r="D23">
            <v>0</v>
          </cell>
        </row>
        <row r="24">
          <cell r="B24">
            <v>0</v>
          </cell>
          <cell r="C24">
            <v>0</v>
          </cell>
          <cell r="D24">
            <v>0</v>
          </cell>
        </row>
        <row r="25">
          <cell r="B25">
            <v>5</v>
          </cell>
          <cell r="C25" t="str">
            <v>CONSORCIO SUPERVISION AEROCALI</v>
          </cell>
          <cell r="D25">
            <v>0</v>
          </cell>
        </row>
        <row r="26">
          <cell r="B26">
            <v>0</v>
          </cell>
          <cell r="C26">
            <v>0</v>
          </cell>
          <cell r="D26">
            <v>0</v>
          </cell>
        </row>
        <row r="27">
          <cell r="B27">
            <v>0</v>
          </cell>
          <cell r="C27">
            <v>0</v>
          </cell>
          <cell r="D27">
            <v>0</v>
          </cell>
        </row>
        <row r="28">
          <cell r="B28">
            <v>6</v>
          </cell>
          <cell r="C28" t="str">
            <v>CONSORCIO AEROPALMIRA</v>
          </cell>
          <cell r="D28">
            <v>0</v>
          </cell>
        </row>
        <row r="29">
          <cell r="B29">
            <v>0</v>
          </cell>
          <cell r="C29">
            <v>0</v>
          </cell>
          <cell r="D29">
            <v>0</v>
          </cell>
        </row>
        <row r="30">
          <cell r="B30">
            <v>0</v>
          </cell>
          <cell r="C30">
            <v>0</v>
          </cell>
          <cell r="D30">
            <v>0</v>
          </cell>
        </row>
        <row r="31">
          <cell r="B31">
            <v>7</v>
          </cell>
          <cell r="C31" t="str">
            <v>CONSORCIO MAB-OMNICRON</v>
          </cell>
          <cell r="D31">
            <v>0</v>
          </cell>
        </row>
        <row r="32">
          <cell r="B32">
            <v>0</v>
          </cell>
          <cell r="C32">
            <v>0</v>
          </cell>
          <cell r="D32">
            <v>0</v>
          </cell>
        </row>
        <row r="33">
          <cell r="B33">
            <v>0</v>
          </cell>
          <cell r="C33">
            <v>0</v>
          </cell>
          <cell r="D33">
            <v>0</v>
          </cell>
        </row>
        <row r="34">
          <cell r="B34">
            <v>8</v>
          </cell>
          <cell r="C34" t="str">
            <v>CONSORCIO EPSILON - CALI</v>
          </cell>
          <cell r="D34">
            <v>0</v>
          </cell>
        </row>
        <row r="35">
          <cell r="B35">
            <v>0</v>
          </cell>
          <cell r="C35">
            <v>0</v>
          </cell>
          <cell r="D35">
            <v>0</v>
          </cell>
        </row>
        <row r="36">
          <cell r="B36">
            <v>0</v>
          </cell>
          <cell r="C36">
            <v>0</v>
          </cell>
          <cell r="D36">
            <v>0</v>
          </cell>
        </row>
        <row r="37">
          <cell r="B37">
            <v>0</v>
          </cell>
          <cell r="C37">
            <v>0</v>
          </cell>
          <cell r="D37">
            <v>0</v>
          </cell>
        </row>
        <row r="38">
          <cell r="B38">
            <v>9</v>
          </cell>
          <cell r="C38" t="str">
            <v>CONSORCION INTERVENTORIA PALMIRA 2014</v>
          </cell>
          <cell r="D38">
            <v>0</v>
          </cell>
        </row>
        <row r="39">
          <cell r="B39">
            <v>0</v>
          </cell>
          <cell r="C39">
            <v>0</v>
          </cell>
          <cell r="D39">
            <v>0</v>
          </cell>
        </row>
        <row r="40">
          <cell r="B40">
            <v>0</v>
          </cell>
          <cell r="C40">
            <v>0</v>
          </cell>
          <cell r="D40">
            <v>0</v>
          </cell>
        </row>
        <row r="41">
          <cell r="B41">
            <v>0</v>
          </cell>
          <cell r="C41">
            <v>0</v>
          </cell>
          <cell r="D41">
            <v>0</v>
          </cell>
        </row>
        <row r="42">
          <cell r="B42">
            <v>10</v>
          </cell>
          <cell r="C42" t="str">
            <v>CONSORCIO INTERVENTORIA AEROPUERTO CALI</v>
          </cell>
          <cell r="D42">
            <v>0</v>
          </cell>
        </row>
        <row r="43">
          <cell r="B43">
            <v>0</v>
          </cell>
          <cell r="C43">
            <v>0</v>
          </cell>
          <cell r="D43">
            <v>0</v>
          </cell>
        </row>
        <row r="44">
          <cell r="B44">
            <v>0</v>
          </cell>
          <cell r="C44">
            <v>0</v>
          </cell>
          <cell r="D44">
            <v>0</v>
          </cell>
        </row>
        <row r="45">
          <cell r="B45">
            <v>11</v>
          </cell>
          <cell r="C45" t="str">
            <v>CONSORCIO UNIDOS PARA EL AEROPUERTO DE PALMIRA</v>
          </cell>
          <cell r="D45">
            <v>0</v>
          </cell>
        </row>
        <row r="46">
          <cell r="B46">
            <v>0</v>
          </cell>
          <cell r="C46">
            <v>0</v>
          </cell>
          <cell r="D46">
            <v>0</v>
          </cell>
        </row>
        <row r="47">
          <cell r="B47">
            <v>0</v>
          </cell>
          <cell r="C47">
            <v>0</v>
          </cell>
          <cell r="D47">
            <v>0</v>
          </cell>
        </row>
        <row r="48">
          <cell r="B48">
            <v>0</v>
          </cell>
          <cell r="C48">
            <v>0</v>
          </cell>
          <cell r="D48">
            <v>0</v>
          </cell>
        </row>
        <row r="49">
          <cell r="B49">
            <v>12</v>
          </cell>
          <cell r="C49" t="str">
            <v>CONSORCIO AEROPUERTOA ANI</v>
          </cell>
          <cell r="D49">
            <v>0</v>
          </cell>
        </row>
        <row r="50">
          <cell r="B50">
            <v>0</v>
          </cell>
          <cell r="C50">
            <v>0</v>
          </cell>
          <cell r="D50">
            <v>0</v>
          </cell>
        </row>
        <row r="51">
          <cell r="B51">
            <v>0</v>
          </cell>
          <cell r="C51">
            <v>0</v>
          </cell>
          <cell r="D51">
            <v>0</v>
          </cell>
        </row>
        <row r="52">
          <cell r="B52">
            <v>13</v>
          </cell>
          <cell r="C52" t="str">
            <v>CONSORCIO INTERVENTORIA PALMIRA</v>
          </cell>
          <cell r="D52">
            <v>1</v>
          </cell>
        </row>
        <row r="53">
          <cell r="B53">
            <v>0</v>
          </cell>
          <cell r="C53" t="str">
            <v>C&amp;M CONSULTORES S.A.</v>
          </cell>
          <cell r="D53">
            <v>0.51</v>
          </cell>
        </row>
        <row r="54">
          <cell r="B54">
            <v>0</v>
          </cell>
          <cell r="C54" t="str">
            <v>EUROESTUDIOS S.A.S.</v>
          </cell>
          <cell r="D54">
            <v>0.49</v>
          </cell>
        </row>
        <row r="55">
          <cell r="B55">
            <v>14</v>
          </cell>
          <cell r="C55" t="str">
            <v>CONSORCIO INTERVENTORIA AEROPUERTO PALMIRA 2014</v>
          </cell>
          <cell r="D55">
            <v>1</v>
          </cell>
        </row>
        <row r="56">
          <cell r="B56">
            <v>0</v>
          </cell>
          <cell r="C56" t="str">
            <v>EPYSA COLOMBIA</v>
          </cell>
          <cell r="D56">
            <v>0.51</v>
          </cell>
        </row>
        <row r="57">
          <cell r="B57">
            <v>0</v>
          </cell>
          <cell r="C57" t="str">
            <v>CB INGENIEROS S.A.</v>
          </cell>
          <cell r="D57">
            <v>0.25</v>
          </cell>
        </row>
        <row r="58">
          <cell r="B58">
            <v>0</v>
          </cell>
          <cell r="C58" t="str">
            <v>HACE INGENIEROS S.A.S.</v>
          </cell>
          <cell r="D58">
            <v>0.24</v>
          </cell>
        </row>
        <row r="59">
          <cell r="B59">
            <v>15</v>
          </cell>
          <cell r="C59" t="str">
            <v>CONSORCIO AEROPUERTO DEL VALLE</v>
          </cell>
          <cell r="D59">
            <v>1</v>
          </cell>
        </row>
        <row r="60">
          <cell r="B60">
            <v>0</v>
          </cell>
          <cell r="C60" t="str">
            <v>INTERVENTORÍAS Y DISEÑOS S.A.</v>
          </cell>
          <cell r="D60">
            <v>0.65</v>
          </cell>
        </row>
        <row r="61">
          <cell r="B61">
            <v>0</v>
          </cell>
          <cell r="C61" t="str">
            <v>3B PROYECTOS S.A.S.</v>
          </cell>
          <cell r="D61">
            <v>0.35</v>
          </cell>
        </row>
        <row r="62">
          <cell r="B62">
            <v>16</v>
          </cell>
          <cell r="C62" t="str">
            <v>CONSORCIO CONCESIONES 04</v>
          </cell>
          <cell r="D62">
            <v>1</v>
          </cell>
        </row>
        <row r="63">
          <cell r="B63">
            <v>0</v>
          </cell>
          <cell r="C63" t="str">
            <v>INGENIERÍA Y CONSULTORÍA INGECON S.A.S.</v>
          </cell>
          <cell r="D63">
            <v>0.51</v>
          </cell>
        </row>
        <row r="64">
          <cell r="B64">
            <v>0</v>
          </cell>
          <cell r="C64" t="str">
            <v>TBC TABIQUE INGENIERÍA S.A.S.</v>
          </cell>
          <cell r="D64">
            <v>0.24</v>
          </cell>
        </row>
        <row r="65">
          <cell r="B65">
            <v>0</v>
          </cell>
          <cell r="C65" t="str">
            <v>INFRAESTRUCTURA INTEGRAL S.A.S.</v>
          </cell>
          <cell r="D65">
            <v>0.25</v>
          </cell>
        </row>
        <row r="66">
          <cell r="B66">
            <v>17</v>
          </cell>
          <cell r="C66" t="str">
            <v>CONSORCIO INTERVENTORES AEROPORTUARIOS</v>
          </cell>
          <cell r="D66">
            <v>0</v>
          </cell>
        </row>
        <row r="67">
          <cell r="B67">
            <v>0</v>
          </cell>
          <cell r="C67">
            <v>0</v>
          </cell>
          <cell r="D67">
            <v>0</v>
          </cell>
        </row>
        <row r="68">
          <cell r="B68">
            <v>0</v>
          </cell>
          <cell r="C68">
            <v>0</v>
          </cell>
          <cell r="D68">
            <v>0</v>
          </cell>
        </row>
        <row r="69">
          <cell r="B69">
            <v>0</v>
          </cell>
          <cell r="C69">
            <v>0</v>
          </cell>
          <cell r="D69">
            <v>0</v>
          </cell>
        </row>
        <row r="70">
          <cell r="B70">
            <v>18</v>
          </cell>
          <cell r="C70" t="str">
            <v>CONSORCIO ECOPIDDO</v>
          </cell>
          <cell r="D70">
            <v>0</v>
          </cell>
        </row>
        <row r="71">
          <cell r="B71">
            <v>0</v>
          </cell>
          <cell r="C71">
            <v>0</v>
          </cell>
          <cell r="D71">
            <v>0</v>
          </cell>
        </row>
        <row r="72">
          <cell r="B72">
            <v>0</v>
          </cell>
          <cell r="C72">
            <v>0</v>
          </cell>
          <cell r="D72">
            <v>0</v>
          </cell>
        </row>
        <row r="73">
          <cell r="B73">
            <v>19</v>
          </cell>
          <cell r="C73" t="str">
            <v>CONSORCIO INCOPLAN INTEGRAL SEG CALI</v>
          </cell>
          <cell r="D73">
            <v>0</v>
          </cell>
        </row>
        <row r="74">
          <cell r="B74">
            <v>0</v>
          </cell>
          <cell r="C74">
            <v>0</v>
          </cell>
          <cell r="D74">
            <v>0</v>
          </cell>
        </row>
        <row r="75">
          <cell r="B75">
            <v>0</v>
          </cell>
          <cell r="C75">
            <v>0</v>
          </cell>
          <cell r="D75">
            <v>0</v>
          </cell>
        </row>
        <row r="76">
          <cell r="B76">
            <v>0</v>
          </cell>
          <cell r="C76">
            <v>0</v>
          </cell>
          <cell r="D76">
            <v>0</v>
          </cell>
        </row>
        <row r="77">
          <cell r="B77">
            <v>20</v>
          </cell>
          <cell r="C77" t="str">
            <v>CONSORCIO INTERVENTORIA AEROPUERTO 2014</v>
          </cell>
          <cell r="D77">
            <v>0</v>
          </cell>
        </row>
      </sheetData>
      <sheetData sheetId="3"/>
      <sheetData sheetId="4"/>
      <sheetData sheetId="5"/>
      <sheetData sheetId="6">
        <row r="2">
          <cell r="A2">
            <v>29222</v>
          </cell>
          <cell r="B2">
            <v>0</v>
          </cell>
          <cell r="C2">
            <v>29587</v>
          </cell>
          <cell r="D2">
            <v>4500</v>
          </cell>
        </row>
        <row r="3">
          <cell r="A3">
            <v>29588</v>
          </cell>
          <cell r="B3">
            <v>0</v>
          </cell>
          <cell r="C3">
            <v>29952</v>
          </cell>
          <cell r="D3">
            <v>5700</v>
          </cell>
        </row>
        <row r="4">
          <cell r="A4">
            <v>29953</v>
          </cell>
          <cell r="B4">
            <v>0</v>
          </cell>
          <cell r="C4">
            <v>30317</v>
          </cell>
          <cell r="D4">
            <v>7410</v>
          </cell>
        </row>
        <row r="5">
          <cell r="A5">
            <v>30318</v>
          </cell>
          <cell r="B5">
            <v>0</v>
          </cell>
          <cell r="C5">
            <v>30682</v>
          </cell>
          <cell r="D5">
            <v>9261</v>
          </cell>
        </row>
        <row r="6">
          <cell r="A6">
            <v>30683</v>
          </cell>
          <cell r="B6">
            <v>0</v>
          </cell>
          <cell r="C6">
            <v>31048</v>
          </cell>
          <cell r="D6">
            <v>11298</v>
          </cell>
        </row>
        <row r="7">
          <cell r="A7">
            <v>31049</v>
          </cell>
          <cell r="B7">
            <v>0</v>
          </cell>
          <cell r="C7">
            <v>31413</v>
          </cell>
          <cell r="D7">
            <v>13557.6</v>
          </cell>
        </row>
        <row r="8">
          <cell r="A8">
            <v>31414</v>
          </cell>
          <cell r="B8">
            <v>0</v>
          </cell>
          <cell r="C8">
            <v>31778</v>
          </cell>
          <cell r="D8">
            <v>16611.400000000001</v>
          </cell>
        </row>
        <row r="9">
          <cell r="A9">
            <v>31779</v>
          </cell>
          <cell r="B9">
            <v>0</v>
          </cell>
          <cell r="C9">
            <v>32143</v>
          </cell>
          <cell r="D9">
            <v>20509.8</v>
          </cell>
        </row>
        <row r="10">
          <cell r="A10">
            <v>32144</v>
          </cell>
          <cell r="B10">
            <v>0</v>
          </cell>
          <cell r="C10">
            <v>32508</v>
          </cell>
          <cell r="D10">
            <v>25637.4</v>
          </cell>
        </row>
        <row r="11">
          <cell r="A11">
            <v>32509</v>
          </cell>
          <cell r="B11">
            <v>0</v>
          </cell>
          <cell r="C11">
            <v>32873</v>
          </cell>
          <cell r="D11">
            <v>32559.599999999999</v>
          </cell>
        </row>
        <row r="12">
          <cell r="A12">
            <v>32874</v>
          </cell>
          <cell r="B12">
            <v>0</v>
          </cell>
          <cell r="C12">
            <v>33238</v>
          </cell>
          <cell r="D12">
            <v>41025</v>
          </cell>
        </row>
        <row r="13">
          <cell r="A13">
            <v>33239</v>
          </cell>
          <cell r="B13">
            <v>0</v>
          </cell>
          <cell r="C13">
            <v>33603</v>
          </cell>
          <cell r="D13">
            <v>51716.1</v>
          </cell>
        </row>
        <row r="14">
          <cell r="A14">
            <v>33604</v>
          </cell>
          <cell r="B14">
            <v>0</v>
          </cell>
          <cell r="C14">
            <v>33969</v>
          </cell>
          <cell r="D14">
            <v>65190</v>
          </cell>
        </row>
        <row r="15">
          <cell r="A15">
            <v>33970</v>
          </cell>
          <cell r="B15">
            <v>0</v>
          </cell>
          <cell r="C15">
            <v>34334</v>
          </cell>
          <cell r="D15">
            <v>81510</v>
          </cell>
        </row>
        <row r="16">
          <cell r="A16">
            <v>34335</v>
          </cell>
          <cell r="B16">
            <v>0</v>
          </cell>
          <cell r="C16">
            <v>34699</v>
          </cell>
          <cell r="D16">
            <v>98700</v>
          </cell>
        </row>
        <row r="17">
          <cell r="A17">
            <v>34700</v>
          </cell>
          <cell r="B17">
            <v>0</v>
          </cell>
          <cell r="C17">
            <v>35064</v>
          </cell>
          <cell r="D17">
            <v>118933.5</v>
          </cell>
        </row>
        <row r="18">
          <cell r="A18">
            <v>35065</v>
          </cell>
          <cell r="B18">
            <v>0</v>
          </cell>
          <cell r="C18">
            <v>35430</v>
          </cell>
          <cell r="D18">
            <v>142125</v>
          </cell>
        </row>
        <row r="19">
          <cell r="A19">
            <v>35431</v>
          </cell>
          <cell r="B19">
            <v>0</v>
          </cell>
          <cell r="C19">
            <v>35795</v>
          </cell>
          <cell r="D19">
            <v>172005</v>
          </cell>
        </row>
        <row r="20">
          <cell r="A20">
            <v>35796</v>
          </cell>
          <cell r="B20">
            <v>0</v>
          </cell>
          <cell r="C20">
            <v>36160</v>
          </cell>
          <cell r="D20">
            <v>203826</v>
          </cell>
        </row>
        <row r="21">
          <cell r="A21">
            <v>36161</v>
          </cell>
          <cell r="B21">
            <v>0</v>
          </cell>
          <cell r="C21">
            <v>36525</v>
          </cell>
          <cell r="D21">
            <v>236460</v>
          </cell>
        </row>
        <row r="22">
          <cell r="A22">
            <v>36526</v>
          </cell>
          <cell r="B22">
            <v>0</v>
          </cell>
          <cell r="C22">
            <v>36891</v>
          </cell>
          <cell r="D22">
            <v>260100</v>
          </cell>
        </row>
        <row r="23">
          <cell r="A23">
            <v>36892</v>
          </cell>
          <cell r="B23">
            <v>0</v>
          </cell>
          <cell r="C23">
            <v>37256</v>
          </cell>
          <cell r="D23">
            <v>286000</v>
          </cell>
        </row>
        <row r="24">
          <cell r="A24">
            <v>37257</v>
          </cell>
          <cell r="B24">
            <v>0</v>
          </cell>
          <cell r="C24">
            <v>37621</v>
          </cell>
          <cell r="D24">
            <v>309000</v>
          </cell>
        </row>
        <row r="25">
          <cell r="A25">
            <v>37622</v>
          </cell>
          <cell r="B25">
            <v>0</v>
          </cell>
          <cell r="C25">
            <v>37986</v>
          </cell>
          <cell r="D25">
            <v>332000</v>
          </cell>
        </row>
        <row r="26">
          <cell r="A26">
            <v>37987</v>
          </cell>
          <cell r="B26">
            <v>0</v>
          </cell>
          <cell r="C26">
            <v>38352</v>
          </cell>
          <cell r="D26">
            <v>358000</v>
          </cell>
        </row>
        <row r="27">
          <cell r="A27">
            <v>38353</v>
          </cell>
          <cell r="B27">
            <v>0</v>
          </cell>
          <cell r="C27">
            <v>38717</v>
          </cell>
          <cell r="D27">
            <v>381500</v>
          </cell>
        </row>
        <row r="28">
          <cell r="A28">
            <v>38718</v>
          </cell>
          <cell r="B28">
            <v>0</v>
          </cell>
          <cell r="C28">
            <v>39082</v>
          </cell>
          <cell r="D28">
            <v>408000</v>
          </cell>
        </row>
        <row r="29">
          <cell r="A29">
            <v>39083</v>
          </cell>
          <cell r="B29">
            <v>0</v>
          </cell>
          <cell r="C29">
            <v>39447</v>
          </cell>
          <cell r="D29">
            <v>433700</v>
          </cell>
        </row>
        <row r="30">
          <cell r="A30">
            <v>39448</v>
          </cell>
          <cell r="B30">
            <v>0</v>
          </cell>
          <cell r="C30">
            <v>39813</v>
          </cell>
          <cell r="D30">
            <v>461500</v>
          </cell>
        </row>
        <row r="31">
          <cell r="A31">
            <v>39814</v>
          </cell>
          <cell r="B31">
            <v>0</v>
          </cell>
          <cell r="C31">
            <v>40178</v>
          </cell>
          <cell r="D31">
            <v>496900</v>
          </cell>
        </row>
        <row r="32">
          <cell r="A32">
            <v>40179</v>
          </cell>
          <cell r="C32">
            <v>40543</v>
          </cell>
          <cell r="D32">
            <v>515000</v>
          </cell>
        </row>
        <row r="33">
          <cell r="A33">
            <v>40544</v>
          </cell>
          <cell r="C33">
            <v>40908</v>
          </cell>
          <cell r="D33">
            <v>535600</v>
          </cell>
        </row>
        <row r="34">
          <cell r="A34">
            <v>40909</v>
          </cell>
          <cell r="C34">
            <v>41274</v>
          </cell>
          <cell r="D34">
            <v>566700</v>
          </cell>
        </row>
        <row r="35">
          <cell r="A35">
            <v>41275</v>
          </cell>
          <cell r="C35">
            <v>41639</v>
          </cell>
          <cell r="D35">
            <v>589500</v>
          </cell>
        </row>
        <row r="36">
          <cell r="A36">
            <v>41640</v>
          </cell>
          <cell r="C36">
            <v>42004</v>
          </cell>
          <cell r="D36">
            <v>616000</v>
          </cell>
        </row>
      </sheetData>
      <sheetData sheetId="7"/>
      <sheetData sheetId="8">
        <row r="4567">
          <cell r="B4567">
            <v>2766.83</v>
          </cell>
        </row>
        <row r="6556">
          <cell r="B6556">
            <v>1993.8</v>
          </cell>
        </row>
      </sheetData>
      <sheetData sheetId="9">
        <row r="1503">
          <cell r="B1503">
            <v>1.4677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Requisitos"/>
      <sheetName val="Proponentes"/>
      <sheetName val="Resumen"/>
      <sheetName val="E Gal  Oferta 17"/>
      <sheetName val="E EspF 17"/>
      <sheetName val="E Gral Oferta 18"/>
      <sheetName val="E EspF 18"/>
      <sheetName val="E Gral Oferta 19"/>
      <sheetName val="E EspF 19"/>
      <sheetName val="E Gral Oferta 20"/>
      <sheetName val="E EspF 20"/>
      <sheetName val="SMLM"/>
      <sheetName val="Anexo conversiones"/>
      <sheetName val="IQY Serie historica"/>
      <sheetName val="EURODOLAR"/>
      <sheetName val="Hoja7"/>
    </sheetNames>
    <sheetDataSet>
      <sheetData sheetId="0"/>
      <sheetData sheetId="1">
        <row r="7">
          <cell r="I7">
            <v>1350.6493506493507</v>
          </cell>
        </row>
        <row r="10">
          <cell r="I10">
            <v>1380.5396945616883</v>
          </cell>
        </row>
      </sheetData>
      <sheetData sheetId="2">
        <row r="10">
          <cell r="B10">
            <v>0</v>
          </cell>
          <cell r="C10">
            <v>0</v>
          </cell>
          <cell r="D10">
            <v>0</v>
          </cell>
        </row>
        <row r="11">
          <cell r="B11">
            <v>1</v>
          </cell>
          <cell r="C11" t="str">
            <v>CONSORCIO CONIISA - TECNICONSULTA</v>
          </cell>
          <cell r="D11">
            <v>0</v>
          </cell>
        </row>
        <row r="12">
          <cell r="B12">
            <v>0</v>
          </cell>
          <cell r="C12">
            <v>0</v>
          </cell>
          <cell r="D12">
            <v>0</v>
          </cell>
        </row>
        <row r="13">
          <cell r="B13">
            <v>0</v>
          </cell>
          <cell r="C13">
            <v>0</v>
          </cell>
          <cell r="D13">
            <v>0</v>
          </cell>
        </row>
        <row r="14">
          <cell r="B14">
            <v>0</v>
          </cell>
          <cell r="C14">
            <v>0</v>
          </cell>
          <cell r="D14">
            <v>0</v>
          </cell>
        </row>
        <row r="15">
          <cell r="B15">
            <v>2</v>
          </cell>
          <cell r="C15" t="str">
            <v>UNION TEMPORAL AEROPUERTO PALMIRA</v>
          </cell>
          <cell r="D15">
            <v>0</v>
          </cell>
        </row>
        <row r="16">
          <cell r="B16">
            <v>0</v>
          </cell>
          <cell r="C16">
            <v>0</v>
          </cell>
          <cell r="D16">
            <v>0</v>
          </cell>
        </row>
        <row r="17">
          <cell r="B17">
            <v>0</v>
          </cell>
          <cell r="C17">
            <v>0</v>
          </cell>
          <cell r="D17">
            <v>0</v>
          </cell>
        </row>
        <row r="18">
          <cell r="B18">
            <v>3</v>
          </cell>
          <cell r="C18" t="str">
            <v>CONSORCIO ANTIOQUIA 2014</v>
          </cell>
          <cell r="D18">
            <v>0</v>
          </cell>
        </row>
        <row r="19">
          <cell r="B19">
            <v>0</v>
          </cell>
          <cell r="C19">
            <v>0</v>
          </cell>
          <cell r="D19">
            <v>0</v>
          </cell>
        </row>
        <row r="20">
          <cell r="B20">
            <v>0</v>
          </cell>
          <cell r="C20">
            <v>0</v>
          </cell>
          <cell r="D20">
            <v>0</v>
          </cell>
        </row>
        <row r="21">
          <cell r="B21">
            <v>4</v>
          </cell>
          <cell r="C21" t="str">
            <v>CONSORCIO AEROPISTA DEL VALLE</v>
          </cell>
          <cell r="D21">
            <v>0</v>
          </cell>
        </row>
        <row r="22">
          <cell r="B22">
            <v>0</v>
          </cell>
          <cell r="C22">
            <v>0</v>
          </cell>
          <cell r="D22">
            <v>0</v>
          </cell>
        </row>
        <row r="23">
          <cell r="B23">
            <v>0</v>
          </cell>
          <cell r="C23">
            <v>0</v>
          </cell>
          <cell r="D23">
            <v>0</v>
          </cell>
        </row>
        <row r="24">
          <cell r="B24">
            <v>0</v>
          </cell>
          <cell r="C24">
            <v>0</v>
          </cell>
          <cell r="D24">
            <v>0</v>
          </cell>
        </row>
        <row r="25">
          <cell r="B25">
            <v>5</v>
          </cell>
          <cell r="C25" t="str">
            <v>CONSORCIO SUPERVISION AEROCALI</v>
          </cell>
          <cell r="D25">
            <v>0</v>
          </cell>
        </row>
        <row r="26">
          <cell r="B26">
            <v>0</v>
          </cell>
          <cell r="C26">
            <v>0</v>
          </cell>
          <cell r="D26">
            <v>0</v>
          </cell>
        </row>
        <row r="27">
          <cell r="B27">
            <v>0</v>
          </cell>
          <cell r="C27">
            <v>0</v>
          </cell>
          <cell r="D27">
            <v>0</v>
          </cell>
        </row>
        <row r="28">
          <cell r="B28">
            <v>6</v>
          </cell>
          <cell r="C28" t="str">
            <v>CONSORCIO AEROPALMIRA</v>
          </cell>
          <cell r="D28">
            <v>0</v>
          </cell>
        </row>
        <row r="29">
          <cell r="B29">
            <v>0</v>
          </cell>
          <cell r="C29">
            <v>0</v>
          </cell>
          <cell r="D29">
            <v>0</v>
          </cell>
        </row>
        <row r="30">
          <cell r="B30">
            <v>0</v>
          </cell>
          <cell r="C30">
            <v>0</v>
          </cell>
          <cell r="D30">
            <v>0</v>
          </cell>
        </row>
        <row r="31">
          <cell r="B31">
            <v>7</v>
          </cell>
          <cell r="C31" t="str">
            <v>CONSORCIO MAB-OMNICRON</v>
          </cell>
          <cell r="D31">
            <v>0</v>
          </cell>
        </row>
        <row r="32">
          <cell r="B32">
            <v>0</v>
          </cell>
          <cell r="C32">
            <v>0</v>
          </cell>
          <cell r="D32">
            <v>0</v>
          </cell>
        </row>
        <row r="33">
          <cell r="B33">
            <v>0</v>
          </cell>
          <cell r="C33">
            <v>0</v>
          </cell>
          <cell r="D33">
            <v>0</v>
          </cell>
        </row>
        <row r="34">
          <cell r="B34">
            <v>8</v>
          </cell>
          <cell r="C34" t="str">
            <v>CONSORCIO EPSILON - CALI</v>
          </cell>
          <cell r="D34">
            <v>0</v>
          </cell>
        </row>
        <row r="35">
          <cell r="B35">
            <v>0</v>
          </cell>
          <cell r="C35">
            <v>0</v>
          </cell>
          <cell r="D35">
            <v>0</v>
          </cell>
        </row>
        <row r="36">
          <cell r="B36">
            <v>0</v>
          </cell>
          <cell r="C36">
            <v>0</v>
          </cell>
          <cell r="D36">
            <v>0</v>
          </cell>
        </row>
        <row r="37">
          <cell r="B37">
            <v>0</v>
          </cell>
          <cell r="C37">
            <v>0</v>
          </cell>
          <cell r="D37">
            <v>0</v>
          </cell>
        </row>
        <row r="38">
          <cell r="B38">
            <v>9</v>
          </cell>
          <cell r="C38" t="str">
            <v>CONSORCION INTERVENTORIA PALMIRA 2014</v>
          </cell>
          <cell r="D38">
            <v>0</v>
          </cell>
        </row>
        <row r="39">
          <cell r="B39">
            <v>0</v>
          </cell>
          <cell r="C39">
            <v>0</v>
          </cell>
          <cell r="D39">
            <v>0</v>
          </cell>
        </row>
        <row r="40">
          <cell r="B40">
            <v>0</v>
          </cell>
          <cell r="C40">
            <v>0</v>
          </cell>
          <cell r="D40">
            <v>0</v>
          </cell>
        </row>
        <row r="41">
          <cell r="B41">
            <v>0</v>
          </cell>
          <cell r="C41">
            <v>0</v>
          </cell>
          <cell r="D41">
            <v>0</v>
          </cell>
        </row>
        <row r="42">
          <cell r="B42">
            <v>10</v>
          </cell>
          <cell r="C42" t="str">
            <v>CONSORCIO INTERVENTORIA AEROPUERTO CALI</v>
          </cell>
          <cell r="D42">
            <v>0</v>
          </cell>
        </row>
        <row r="43">
          <cell r="B43">
            <v>0</v>
          </cell>
          <cell r="C43">
            <v>0</v>
          </cell>
          <cell r="D43">
            <v>0</v>
          </cell>
        </row>
        <row r="44">
          <cell r="B44">
            <v>0</v>
          </cell>
          <cell r="C44">
            <v>0</v>
          </cell>
          <cell r="D44">
            <v>0</v>
          </cell>
        </row>
        <row r="45">
          <cell r="B45">
            <v>11</v>
          </cell>
          <cell r="C45" t="str">
            <v>CONSORCIO UNIDOS PARA EL AEROPUERTO DE PALMIRA</v>
          </cell>
          <cell r="D45">
            <v>0</v>
          </cell>
        </row>
        <row r="46">
          <cell r="B46">
            <v>0</v>
          </cell>
          <cell r="C46">
            <v>0</v>
          </cell>
          <cell r="D46">
            <v>0</v>
          </cell>
        </row>
        <row r="47">
          <cell r="B47">
            <v>0</v>
          </cell>
          <cell r="C47">
            <v>0</v>
          </cell>
          <cell r="D47">
            <v>0</v>
          </cell>
        </row>
        <row r="48">
          <cell r="B48">
            <v>0</v>
          </cell>
          <cell r="C48">
            <v>0</v>
          </cell>
          <cell r="D48">
            <v>0</v>
          </cell>
        </row>
        <row r="49">
          <cell r="B49">
            <v>12</v>
          </cell>
          <cell r="C49" t="str">
            <v>CONSORCIO AEROPUERTOA ANI</v>
          </cell>
          <cell r="D49">
            <v>0</v>
          </cell>
        </row>
        <row r="50">
          <cell r="B50">
            <v>0</v>
          </cell>
          <cell r="C50">
            <v>0</v>
          </cell>
          <cell r="D50">
            <v>0</v>
          </cell>
        </row>
        <row r="51">
          <cell r="B51">
            <v>0</v>
          </cell>
          <cell r="C51">
            <v>0</v>
          </cell>
          <cell r="D51">
            <v>0</v>
          </cell>
        </row>
        <row r="52">
          <cell r="B52">
            <v>13</v>
          </cell>
          <cell r="C52" t="str">
            <v>CONSORCIO INTERVENTORIA PALMIRA</v>
          </cell>
          <cell r="D52">
            <v>0</v>
          </cell>
        </row>
        <row r="53">
          <cell r="B53">
            <v>0</v>
          </cell>
          <cell r="C53">
            <v>0</v>
          </cell>
          <cell r="D53">
            <v>0</v>
          </cell>
        </row>
        <row r="54">
          <cell r="B54">
            <v>0</v>
          </cell>
          <cell r="C54">
            <v>0</v>
          </cell>
          <cell r="D54">
            <v>0</v>
          </cell>
        </row>
        <row r="55">
          <cell r="B55">
            <v>0</v>
          </cell>
          <cell r="C55">
            <v>0</v>
          </cell>
          <cell r="D55">
            <v>0</v>
          </cell>
        </row>
        <row r="56">
          <cell r="B56">
            <v>14</v>
          </cell>
          <cell r="C56" t="str">
            <v>CONSORCIO INTERVENTORIA AEROPUERTO PALMIRA 2014</v>
          </cell>
          <cell r="D56">
            <v>0</v>
          </cell>
        </row>
        <row r="57">
          <cell r="B57">
            <v>0</v>
          </cell>
          <cell r="C57">
            <v>0</v>
          </cell>
          <cell r="D57">
            <v>0</v>
          </cell>
        </row>
        <row r="58">
          <cell r="B58">
            <v>0</v>
          </cell>
          <cell r="C58">
            <v>0</v>
          </cell>
          <cell r="D58">
            <v>0</v>
          </cell>
        </row>
        <row r="59">
          <cell r="B59">
            <v>15</v>
          </cell>
          <cell r="C59" t="str">
            <v>CONSORCIO AEROPUERTO DEL VALLE</v>
          </cell>
          <cell r="D59">
            <v>0</v>
          </cell>
        </row>
        <row r="60">
          <cell r="B60">
            <v>0</v>
          </cell>
          <cell r="C60">
            <v>0</v>
          </cell>
          <cell r="D60">
            <v>0</v>
          </cell>
        </row>
        <row r="61">
          <cell r="B61">
            <v>0</v>
          </cell>
          <cell r="C61">
            <v>0</v>
          </cell>
          <cell r="D61">
            <v>0</v>
          </cell>
        </row>
        <row r="62">
          <cell r="B62">
            <v>0</v>
          </cell>
          <cell r="C62">
            <v>0</v>
          </cell>
          <cell r="D62">
            <v>0</v>
          </cell>
        </row>
        <row r="63">
          <cell r="B63">
            <v>16</v>
          </cell>
          <cell r="C63" t="str">
            <v>CONSORCIO CONCESIONES 04</v>
          </cell>
          <cell r="D63">
            <v>0</v>
          </cell>
        </row>
        <row r="64">
          <cell r="B64">
            <v>0</v>
          </cell>
          <cell r="C64">
            <v>0</v>
          </cell>
          <cell r="D64">
            <v>0</v>
          </cell>
        </row>
        <row r="65">
          <cell r="B65">
            <v>0</v>
          </cell>
          <cell r="C65">
            <v>0</v>
          </cell>
          <cell r="D65">
            <v>0</v>
          </cell>
        </row>
        <row r="66">
          <cell r="B66">
            <v>17</v>
          </cell>
          <cell r="C66" t="str">
            <v>CONSORCIO INTERVENTORES AEROPORTUARIOS</v>
          </cell>
          <cell r="D66">
            <v>1</v>
          </cell>
        </row>
        <row r="67">
          <cell r="B67">
            <v>0</v>
          </cell>
          <cell r="C67" t="str">
            <v>CONSULTORIA INTEGRAL Y ESTUDIOS S.A.S</v>
          </cell>
          <cell r="D67">
            <v>0.51</v>
          </cell>
        </row>
        <row r="68">
          <cell r="B68">
            <v>0</v>
          </cell>
          <cell r="C68" t="str">
            <v>CONSULTORES UNIDOS</v>
          </cell>
          <cell r="D68">
            <v>0.2</v>
          </cell>
        </row>
        <row r="69">
          <cell r="B69">
            <v>0</v>
          </cell>
          <cell r="C69" t="str">
            <v>BOMA INPASA COLOMBIA S.A.S.</v>
          </cell>
          <cell r="D69">
            <v>0.28999999999999998</v>
          </cell>
        </row>
        <row r="70">
          <cell r="B70">
            <v>18</v>
          </cell>
          <cell r="C70" t="str">
            <v>CONSORCIO ECOPIDDO</v>
          </cell>
          <cell r="D70">
            <v>1</v>
          </cell>
        </row>
        <row r="71">
          <cell r="B71">
            <v>0</v>
          </cell>
          <cell r="C71" t="str">
            <v xml:space="preserve">JORGE PIDDO SEGUIDO DE LA EXPRESION </v>
          </cell>
          <cell r="D71">
            <v>0.67</v>
          </cell>
        </row>
        <row r="72">
          <cell r="B72">
            <v>0</v>
          </cell>
          <cell r="C72" t="str">
            <v>ESTRUCTURADOR COLOMBIANA S.A.S</v>
          </cell>
          <cell r="D72">
            <v>0.33</v>
          </cell>
        </row>
        <row r="73">
          <cell r="B73">
            <v>19</v>
          </cell>
          <cell r="C73" t="str">
            <v>CONSORCIO INCOPLAN INTEGRAL SEG CALI</v>
          </cell>
          <cell r="D73">
            <v>1</v>
          </cell>
        </row>
        <row r="74">
          <cell r="B74">
            <v>0</v>
          </cell>
          <cell r="C74" t="str">
            <v>INGENIERIA CONSULTORIA Y PLANEACION S.A. INCOPLAN S.A. (LIDER)</v>
          </cell>
          <cell r="D74">
            <v>0.51</v>
          </cell>
        </row>
        <row r="75">
          <cell r="B75">
            <v>0</v>
          </cell>
          <cell r="C75" t="str">
            <v>INTEGRAL INGENIERIA DE SUPERVISION S.A.S</v>
          </cell>
          <cell r="D75">
            <v>0.24</v>
          </cell>
        </row>
        <row r="76">
          <cell r="B76">
            <v>0</v>
          </cell>
          <cell r="C76" t="str">
            <v>SEG INGENIERIA S.A.S</v>
          </cell>
          <cell r="D76">
            <v>0.25</v>
          </cell>
        </row>
        <row r="77">
          <cell r="B77">
            <v>20</v>
          </cell>
          <cell r="C77" t="str">
            <v>CONSORCIO INTERVENTORIA AEROPUERTO 2014</v>
          </cell>
          <cell r="D77">
            <v>1</v>
          </cell>
        </row>
        <row r="78">
          <cell r="B78">
            <v>0</v>
          </cell>
          <cell r="C78" t="str">
            <v>INGEOCIM S.A.S.</v>
          </cell>
          <cell r="D78">
            <v>0.51</v>
          </cell>
        </row>
        <row r="79">
          <cell r="B79">
            <v>0</v>
          </cell>
          <cell r="C79" t="str">
            <v>CRA SERVICIOS S.A.S.</v>
          </cell>
          <cell r="D79">
            <v>0.25</v>
          </cell>
        </row>
        <row r="80">
          <cell r="B80">
            <v>0</v>
          </cell>
          <cell r="C80" t="str">
            <v>TYPSA S.A.S.</v>
          </cell>
          <cell r="D80">
            <v>0.24</v>
          </cell>
        </row>
        <row r="81">
          <cell r="D81">
            <v>0</v>
          </cell>
        </row>
      </sheetData>
      <sheetData sheetId="3"/>
      <sheetData sheetId="4"/>
      <sheetData sheetId="5"/>
      <sheetData sheetId="6"/>
      <sheetData sheetId="7"/>
      <sheetData sheetId="8"/>
      <sheetData sheetId="9"/>
      <sheetData sheetId="10"/>
      <sheetData sheetId="11"/>
      <sheetData sheetId="12">
        <row r="2">
          <cell r="A2">
            <v>29222</v>
          </cell>
          <cell r="B2">
            <v>0</v>
          </cell>
          <cell r="C2">
            <v>29587</v>
          </cell>
          <cell r="D2">
            <v>4500</v>
          </cell>
        </row>
        <row r="3">
          <cell r="A3">
            <v>29588</v>
          </cell>
          <cell r="B3">
            <v>0</v>
          </cell>
          <cell r="C3">
            <v>29952</v>
          </cell>
          <cell r="D3">
            <v>5700</v>
          </cell>
        </row>
        <row r="4">
          <cell r="A4">
            <v>29953</v>
          </cell>
          <cell r="B4">
            <v>0</v>
          </cell>
          <cell r="C4">
            <v>30317</v>
          </cell>
          <cell r="D4">
            <v>7410</v>
          </cell>
        </row>
        <row r="5">
          <cell r="A5">
            <v>30318</v>
          </cell>
          <cell r="B5">
            <v>0</v>
          </cell>
          <cell r="C5">
            <v>30682</v>
          </cell>
          <cell r="D5">
            <v>9261</v>
          </cell>
        </row>
        <row r="6">
          <cell r="A6">
            <v>30683</v>
          </cell>
          <cell r="B6">
            <v>0</v>
          </cell>
          <cell r="C6">
            <v>31048</v>
          </cell>
          <cell r="D6">
            <v>11298</v>
          </cell>
        </row>
        <row r="7">
          <cell r="A7">
            <v>31049</v>
          </cell>
          <cell r="B7">
            <v>0</v>
          </cell>
          <cell r="C7">
            <v>31413</v>
          </cell>
          <cell r="D7">
            <v>13557.6</v>
          </cell>
        </row>
        <row r="8">
          <cell r="A8">
            <v>31414</v>
          </cell>
          <cell r="B8">
            <v>0</v>
          </cell>
          <cell r="C8">
            <v>31778</v>
          </cell>
          <cell r="D8">
            <v>16611.400000000001</v>
          </cell>
        </row>
        <row r="9">
          <cell r="A9">
            <v>31779</v>
          </cell>
          <cell r="B9">
            <v>0</v>
          </cell>
          <cell r="C9">
            <v>32143</v>
          </cell>
          <cell r="D9">
            <v>20509.8</v>
          </cell>
        </row>
        <row r="10">
          <cell r="A10">
            <v>32144</v>
          </cell>
          <cell r="B10">
            <v>0</v>
          </cell>
          <cell r="C10">
            <v>32508</v>
          </cell>
          <cell r="D10">
            <v>25637.4</v>
          </cell>
        </row>
        <row r="11">
          <cell r="A11">
            <v>32509</v>
          </cell>
          <cell r="B11">
            <v>0</v>
          </cell>
          <cell r="C11">
            <v>32873</v>
          </cell>
          <cell r="D11">
            <v>32559.599999999999</v>
          </cell>
        </row>
        <row r="12">
          <cell r="A12">
            <v>32874</v>
          </cell>
          <cell r="B12">
            <v>0</v>
          </cell>
          <cell r="C12">
            <v>33238</v>
          </cell>
          <cell r="D12">
            <v>41025</v>
          </cell>
        </row>
        <row r="13">
          <cell r="A13">
            <v>33239</v>
          </cell>
          <cell r="B13">
            <v>0</v>
          </cell>
          <cell r="C13">
            <v>33603</v>
          </cell>
          <cell r="D13">
            <v>51716.1</v>
          </cell>
        </row>
        <row r="14">
          <cell r="A14">
            <v>33604</v>
          </cell>
          <cell r="B14">
            <v>0</v>
          </cell>
          <cell r="C14">
            <v>33969</v>
          </cell>
          <cell r="D14">
            <v>65190</v>
          </cell>
        </row>
        <row r="15">
          <cell r="A15">
            <v>33970</v>
          </cell>
          <cell r="B15">
            <v>0</v>
          </cell>
          <cell r="C15">
            <v>34334</v>
          </cell>
          <cell r="D15">
            <v>81510</v>
          </cell>
        </row>
        <row r="16">
          <cell r="A16">
            <v>34335</v>
          </cell>
          <cell r="B16">
            <v>0</v>
          </cell>
          <cell r="C16">
            <v>34699</v>
          </cell>
          <cell r="D16">
            <v>98700</v>
          </cell>
        </row>
        <row r="17">
          <cell r="A17">
            <v>34700</v>
          </cell>
          <cell r="B17">
            <v>0</v>
          </cell>
          <cell r="C17">
            <v>35064</v>
          </cell>
          <cell r="D17">
            <v>118933.5</v>
          </cell>
        </row>
        <row r="18">
          <cell r="A18">
            <v>35065</v>
          </cell>
          <cell r="B18">
            <v>0</v>
          </cell>
          <cell r="C18">
            <v>35430</v>
          </cell>
          <cell r="D18">
            <v>142125</v>
          </cell>
        </row>
        <row r="19">
          <cell r="A19">
            <v>35431</v>
          </cell>
          <cell r="B19">
            <v>0</v>
          </cell>
          <cell r="C19">
            <v>35795</v>
          </cell>
          <cell r="D19">
            <v>172005</v>
          </cell>
        </row>
        <row r="20">
          <cell r="A20">
            <v>35796</v>
          </cell>
          <cell r="B20">
            <v>0</v>
          </cell>
          <cell r="C20">
            <v>36160</v>
          </cell>
          <cell r="D20">
            <v>203826</v>
          </cell>
        </row>
        <row r="21">
          <cell r="A21">
            <v>36161</v>
          </cell>
          <cell r="B21">
            <v>0</v>
          </cell>
          <cell r="C21">
            <v>36525</v>
          </cell>
          <cell r="D21">
            <v>236460</v>
          </cell>
        </row>
        <row r="22">
          <cell r="A22">
            <v>36526</v>
          </cell>
          <cell r="B22">
            <v>0</v>
          </cell>
          <cell r="C22">
            <v>36891</v>
          </cell>
          <cell r="D22">
            <v>260100</v>
          </cell>
        </row>
        <row r="23">
          <cell r="A23">
            <v>36892</v>
          </cell>
          <cell r="B23">
            <v>0</v>
          </cell>
          <cell r="C23">
            <v>37256</v>
          </cell>
          <cell r="D23">
            <v>286000</v>
          </cell>
        </row>
        <row r="24">
          <cell r="A24">
            <v>37257</v>
          </cell>
          <cell r="B24">
            <v>0</v>
          </cell>
          <cell r="C24">
            <v>37621</v>
          </cell>
          <cell r="D24">
            <v>309000</v>
          </cell>
        </row>
        <row r="25">
          <cell r="A25">
            <v>37622</v>
          </cell>
          <cell r="B25">
            <v>0</v>
          </cell>
          <cell r="C25">
            <v>37986</v>
          </cell>
          <cell r="D25">
            <v>332000</v>
          </cell>
        </row>
        <row r="26">
          <cell r="A26">
            <v>37987</v>
          </cell>
          <cell r="B26">
            <v>0</v>
          </cell>
          <cell r="C26">
            <v>38352</v>
          </cell>
          <cell r="D26">
            <v>358000</v>
          </cell>
        </row>
        <row r="27">
          <cell r="A27">
            <v>38353</v>
          </cell>
          <cell r="B27">
            <v>0</v>
          </cell>
          <cell r="C27">
            <v>38717</v>
          </cell>
          <cell r="D27">
            <v>381500</v>
          </cell>
        </row>
        <row r="28">
          <cell r="A28">
            <v>38718</v>
          </cell>
          <cell r="B28">
            <v>0</v>
          </cell>
          <cell r="C28">
            <v>39082</v>
          </cell>
          <cell r="D28">
            <v>408000</v>
          </cell>
        </row>
        <row r="29">
          <cell r="A29">
            <v>39083</v>
          </cell>
          <cell r="B29">
            <v>0</v>
          </cell>
          <cell r="C29">
            <v>39447</v>
          </cell>
          <cell r="D29">
            <v>433700</v>
          </cell>
        </row>
        <row r="30">
          <cell r="A30">
            <v>39448</v>
          </cell>
          <cell r="B30">
            <v>0</v>
          </cell>
          <cell r="C30">
            <v>39813</v>
          </cell>
          <cell r="D30">
            <v>461500</v>
          </cell>
        </row>
        <row r="31">
          <cell r="A31">
            <v>39814</v>
          </cell>
          <cell r="B31">
            <v>0</v>
          </cell>
          <cell r="C31">
            <v>40178</v>
          </cell>
          <cell r="D31">
            <v>496900</v>
          </cell>
        </row>
        <row r="32">
          <cell r="A32">
            <v>40179</v>
          </cell>
          <cell r="C32">
            <v>40543</v>
          </cell>
          <cell r="D32">
            <v>515000</v>
          </cell>
        </row>
        <row r="33">
          <cell r="A33">
            <v>40544</v>
          </cell>
          <cell r="C33">
            <v>40908</v>
          </cell>
          <cell r="D33">
            <v>535600</v>
          </cell>
        </row>
        <row r="34">
          <cell r="A34">
            <v>40909</v>
          </cell>
          <cell r="C34">
            <v>41274</v>
          </cell>
          <cell r="D34">
            <v>566700</v>
          </cell>
        </row>
        <row r="35">
          <cell r="A35">
            <v>41275</v>
          </cell>
          <cell r="C35">
            <v>41639</v>
          </cell>
          <cell r="D35">
            <v>589500</v>
          </cell>
        </row>
        <row r="36">
          <cell r="A36">
            <v>41640</v>
          </cell>
          <cell r="C36">
            <v>42004</v>
          </cell>
          <cell r="D36">
            <v>616000</v>
          </cell>
        </row>
      </sheetData>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2"/>
  <sheetViews>
    <sheetView zoomScale="80" zoomScaleNormal="80" workbookViewId="0">
      <selection activeCell="C20" sqref="C20"/>
    </sheetView>
  </sheetViews>
  <sheetFormatPr baseColWidth="10" defaultColWidth="11.42578125" defaultRowHeight="14.25" x14ac:dyDescent="0.25"/>
  <cols>
    <col min="1" max="1" width="4.85546875" style="2" customWidth="1"/>
    <col min="2" max="2" width="42" style="2" customWidth="1"/>
    <col min="3" max="3" width="48.140625" style="2" bestFit="1" customWidth="1"/>
    <col min="4" max="4" width="35.5703125" style="2" bestFit="1" customWidth="1"/>
    <col min="5" max="5" width="38.42578125" style="2" bestFit="1" customWidth="1"/>
    <col min="6" max="16384" width="11.42578125" style="2"/>
  </cols>
  <sheetData>
    <row r="1" spans="2:5" ht="22.5" customHeight="1" x14ac:dyDescent="0.25"/>
    <row r="2" spans="2:5" ht="27.75" customHeight="1" x14ac:dyDescent="0.25">
      <c r="B2" s="352" t="s">
        <v>39</v>
      </c>
      <c r="C2" s="352"/>
      <c r="D2" s="352"/>
      <c r="E2" s="352"/>
    </row>
    <row r="3" spans="2:5" ht="22.5" customHeight="1" x14ac:dyDescent="0.25">
      <c r="B3" s="353" t="s">
        <v>40</v>
      </c>
      <c r="C3" s="353"/>
      <c r="D3" s="353"/>
      <c r="E3" s="353"/>
    </row>
    <row r="4" spans="2:5" x14ac:dyDescent="0.25">
      <c r="B4" s="37" t="s">
        <v>41</v>
      </c>
      <c r="C4" s="351" t="s">
        <v>10</v>
      </c>
      <c r="D4" s="351"/>
      <c r="E4" s="351"/>
    </row>
    <row r="5" spans="2:5" x14ac:dyDescent="0.25">
      <c r="B5" s="37" t="s">
        <v>42</v>
      </c>
      <c r="C5" s="351"/>
      <c r="D5" s="351"/>
      <c r="E5" s="351"/>
    </row>
    <row r="6" spans="2:5" x14ac:dyDescent="0.25">
      <c r="B6" s="37" t="s">
        <v>43</v>
      </c>
      <c r="C6" s="351">
        <v>20</v>
      </c>
      <c r="D6" s="351"/>
      <c r="E6" s="351"/>
    </row>
    <row r="7" spans="2:5" x14ac:dyDescent="0.25">
      <c r="B7" s="37" t="s">
        <v>44</v>
      </c>
      <c r="C7" s="351" t="s">
        <v>90</v>
      </c>
      <c r="D7" s="351"/>
      <c r="E7" s="351"/>
    </row>
    <row r="8" spans="2:5" ht="89.25" customHeight="1" x14ac:dyDescent="0.25">
      <c r="B8" s="37" t="s">
        <v>45</v>
      </c>
      <c r="C8" s="354" t="s">
        <v>91</v>
      </c>
      <c r="D8" s="354"/>
      <c r="E8" s="354"/>
    </row>
    <row r="9" spans="2:5" ht="28.5" customHeight="1" x14ac:dyDescent="0.25">
      <c r="B9" s="38" t="s">
        <v>46</v>
      </c>
      <c r="C9" s="351"/>
      <c r="D9" s="351"/>
      <c r="E9" s="351"/>
    </row>
    <row r="10" spans="2:5" ht="24.75" customHeight="1" x14ac:dyDescent="0.25">
      <c r="B10" s="38" t="s">
        <v>47</v>
      </c>
      <c r="C10" s="351"/>
      <c r="D10" s="351"/>
      <c r="E10" s="351"/>
    </row>
    <row r="11" spans="2:5" x14ac:dyDescent="0.25">
      <c r="B11" s="38" t="s">
        <v>110</v>
      </c>
      <c r="C11" s="351" t="s">
        <v>109</v>
      </c>
      <c r="D11" s="351"/>
      <c r="E11" s="351"/>
    </row>
    <row r="12" spans="2:5" x14ac:dyDescent="0.25">
      <c r="B12" s="38" t="s">
        <v>111</v>
      </c>
      <c r="C12" s="351" t="s">
        <v>112</v>
      </c>
      <c r="D12" s="351"/>
      <c r="E12" s="351"/>
    </row>
  </sheetData>
  <mergeCells count="11">
    <mergeCell ref="C8:E8"/>
    <mergeCell ref="C9:E9"/>
    <mergeCell ref="C10:E10"/>
    <mergeCell ref="C11:E11"/>
    <mergeCell ref="C12:E12"/>
    <mergeCell ref="C7:E7"/>
    <mergeCell ref="B2:E2"/>
    <mergeCell ref="B3:E3"/>
    <mergeCell ref="C4:E4"/>
    <mergeCell ref="C5:E5"/>
    <mergeCell ref="C6:E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
  <sheetViews>
    <sheetView workbookViewId="0">
      <selection activeCell="H21" sqref="H21"/>
    </sheetView>
  </sheetViews>
  <sheetFormatPr baseColWidth="10" defaultColWidth="11.42578125" defaultRowHeight="15" x14ac:dyDescent="0.25"/>
  <cols>
    <col min="1" max="1" width="5.42578125" customWidth="1"/>
    <col min="2" max="2" width="4.5703125" bestFit="1" customWidth="1"/>
    <col min="3" max="3" width="21.5703125" customWidth="1"/>
    <col min="4" max="4" width="4.140625" customWidth="1"/>
    <col min="5" max="5" width="16.5703125" customWidth="1"/>
    <col min="7" max="7" width="22.7109375" customWidth="1"/>
    <col min="8" max="8" width="17.85546875" bestFit="1" customWidth="1"/>
    <col min="9" max="9" width="11.5703125" bestFit="1" customWidth="1"/>
    <col min="10" max="10" width="16.85546875" bestFit="1" customWidth="1"/>
    <col min="11" max="11" width="18.5703125" customWidth="1"/>
    <col min="12" max="12" width="13.140625" customWidth="1"/>
  </cols>
  <sheetData>
    <row r="1" spans="2:12" ht="20.25" customHeight="1" x14ac:dyDescent="0.25"/>
    <row r="2" spans="2:12" x14ac:dyDescent="0.25">
      <c r="G2" s="43" t="s">
        <v>96</v>
      </c>
      <c r="H2" s="44">
        <v>616000</v>
      </c>
      <c r="I2" s="36" t="s">
        <v>26</v>
      </c>
    </row>
    <row r="3" spans="2:12" x14ac:dyDescent="0.25">
      <c r="G3" s="43" t="s">
        <v>92</v>
      </c>
      <c r="H3" s="62">
        <v>6541634245</v>
      </c>
      <c r="I3" s="63">
        <f>PO/H2</f>
        <v>10619.536112012987</v>
      </c>
      <c r="J3" s="71"/>
      <c r="K3" s="70"/>
      <c r="L3" s="71"/>
    </row>
    <row r="4" spans="2:12" x14ac:dyDescent="0.25">
      <c r="I4" s="14"/>
    </row>
    <row r="5" spans="2:12" x14ac:dyDescent="0.25">
      <c r="H5" s="1"/>
      <c r="I5" s="14"/>
    </row>
    <row r="6" spans="2:12" x14ac:dyDescent="0.25">
      <c r="B6" s="355" t="s">
        <v>5</v>
      </c>
      <c r="C6" s="355" t="s">
        <v>3</v>
      </c>
      <c r="D6" s="35" t="s">
        <v>4</v>
      </c>
      <c r="E6" s="35" t="s">
        <v>0</v>
      </c>
      <c r="F6" s="39">
        <v>1</v>
      </c>
      <c r="G6" s="39" t="s">
        <v>93</v>
      </c>
      <c r="H6" s="40">
        <f>F6*H3</f>
        <v>6541634245</v>
      </c>
      <c r="I6" s="41">
        <v>10609.20247324035</v>
      </c>
    </row>
    <row r="7" spans="2:12" x14ac:dyDescent="0.25">
      <c r="B7" s="356"/>
      <c r="C7" s="356"/>
      <c r="D7" s="35" t="s">
        <v>6</v>
      </c>
      <c r="E7" s="35" t="s">
        <v>1</v>
      </c>
      <c r="F7" s="39"/>
      <c r="G7" s="39"/>
      <c r="H7" s="40">
        <v>832000000</v>
      </c>
      <c r="I7" s="41">
        <v>1350.6493506493507</v>
      </c>
    </row>
    <row r="8" spans="2:12" x14ac:dyDescent="0.25">
      <c r="B8" s="356"/>
      <c r="C8" s="356"/>
      <c r="D8" s="35" t="s">
        <v>7</v>
      </c>
      <c r="E8" s="35" t="s">
        <v>2</v>
      </c>
      <c r="F8" s="39">
        <v>0.51</v>
      </c>
      <c r="G8" s="39" t="s">
        <v>94</v>
      </c>
      <c r="H8" s="42">
        <f>H6*F8</f>
        <v>3336233464.9500003</v>
      </c>
      <c r="I8" s="41">
        <v>5415.9634171266234</v>
      </c>
    </row>
    <row r="9" spans="2:12" x14ac:dyDescent="0.25">
      <c r="B9" s="356"/>
      <c r="C9" s="356"/>
      <c r="D9" s="35"/>
      <c r="E9" s="35" t="s">
        <v>8</v>
      </c>
      <c r="F9" s="39"/>
      <c r="G9" s="39"/>
      <c r="H9" s="40">
        <v>832000000</v>
      </c>
      <c r="I9" s="41">
        <v>1350.6493506493507</v>
      </c>
    </row>
    <row r="10" spans="2:12" ht="20.25" customHeight="1" x14ac:dyDescent="0.25">
      <c r="B10" s="64" t="s">
        <v>65</v>
      </c>
      <c r="C10" s="64" t="s">
        <v>64</v>
      </c>
      <c r="D10" s="35"/>
      <c r="E10" s="35" t="s">
        <v>1</v>
      </c>
      <c r="F10" s="39">
        <v>0.13</v>
      </c>
      <c r="G10" s="39" t="s">
        <v>95</v>
      </c>
      <c r="H10" s="40">
        <f>+F10*PO</f>
        <v>850412451.85000002</v>
      </c>
      <c r="I10" s="41">
        <v>1380.5396945616883</v>
      </c>
    </row>
  </sheetData>
  <mergeCells count="2">
    <mergeCell ref="C6:C9"/>
    <mergeCell ref="B6:B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01"/>
  <sheetViews>
    <sheetView topLeftCell="A10" workbookViewId="0">
      <selection activeCell="C66" sqref="C66"/>
    </sheetView>
  </sheetViews>
  <sheetFormatPr baseColWidth="10" defaultColWidth="11.42578125" defaultRowHeight="14.25" x14ac:dyDescent="0.2"/>
  <cols>
    <col min="1" max="1" width="11.42578125" style="3"/>
    <col min="2" max="2" width="3.28515625" style="3" customWidth="1"/>
    <col min="3" max="3" width="74.7109375" style="3" customWidth="1"/>
    <col min="4" max="4" width="7.140625" style="68" bestFit="1" customWidth="1"/>
    <col min="5" max="5" width="21.5703125" style="3" customWidth="1"/>
    <col min="6" max="16384" width="11.42578125" style="3"/>
  </cols>
  <sheetData>
    <row r="2" spans="1:6" ht="15" x14ac:dyDescent="0.25">
      <c r="B2" s="357" t="s">
        <v>9</v>
      </c>
      <c r="C2" s="357"/>
      <c r="D2" s="357"/>
    </row>
    <row r="3" spans="1:6" ht="15" x14ac:dyDescent="0.25">
      <c r="B3" s="357" t="s">
        <v>10</v>
      </c>
      <c r="C3" s="357"/>
      <c r="D3" s="357"/>
    </row>
    <row r="5" spans="1:6" ht="15" x14ac:dyDescent="0.25">
      <c r="B5" s="357" t="s">
        <v>108</v>
      </c>
      <c r="C5" s="357"/>
      <c r="D5" s="357"/>
    </row>
    <row r="6" spans="1:6" ht="117.75" customHeight="1" x14ac:dyDescent="0.2">
      <c r="B6" s="358" t="s">
        <v>91</v>
      </c>
      <c r="C6" s="358"/>
      <c r="D6" s="358"/>
    </row>
    <row r="7" spans="1:6" ht="15" x14ac:dyDescent="0.25">
      <c r="B7" s="357" t="s">
        <v>48</v>
      </c>
      <c r="C7" s="357"/>
      <c r="D7" s="357"/>
    </row>
    <row r="8" spans="1:6" ht="15" x14ac:dyDescent="0.25">
      <c r="B8" s="357" t="s">
        <v>49</v>
      </c>
      <c r="C8" s="357"/>
      <c r="D8" s="357"/>
    </row>
    <row r="9" spans="1:6" ht="15" thickBot="1" x14ac:dyDescent="0.25">
      <c r="B9" s="4"/>
      <c r="C9" s="4"/>
      <c r="D9" s="65"/>
    </row>
    <row r="10" spans="1:6" ht="15.75" thickTop="1" thickBot="1" x14ac:dyDescent="0.25">
      <c r="B10" s="5"/>
      <c r="C10" s="5"/>
      <c r="D10" s="66"/>
    </row>
    <row r="11" spans="1:6" ht="15.75" thickTop="1" x14ac:dyDescent="0.25">
      <c r="A11" s="6"/>
      <c r="B11" s="45">
        <v>1</v>
      </c>
      <c r="C11" s="7" t="s">
        <v>113</v>
      </c>
      <c r="D11" s="8">
        <v>1</v>
      </c>
      <c r="F11" s="13"/>
    </row>
    <row r="12" spans="1:6" x14ac:dyDescent="0.2">
      <c r="B12" s="46"/>
      <c r="C12" s="9" t="s">
        <v>150</v>
      </c>
      <c r="D12" s="10">
        <v>0.6</v>
      </c>
      <c r="F12" s="13"/>
    </row>
    <row r="13" spans="1:6" x14ac:dyDescent="0.2">
      <c r="B13" s="46"/>
      <c r="C13" s="9" t="s">
        <v>151</v>
      </c>
      <c r="D13" s="10">
        <v>0.4</v>
      </c>
      <c r="F13" s="13"/>
    </row>
    <row r="14" spans="1:6" x14ac:dyDescent="0.2">
      <c r="B14" s="47">
        <v>2</v>
      </c>
      <c r="C14" s="11" t="s">
        <v>114</v>
      </c>
      <c r="D14" s="12">
        <v>1</v>
      </c>
      <c r="F14" s="13"/>
    </row>
    <row r="15" spans="1:6" x14ac:dyDescent="0.2">
      <c r="B15" s="46"/>
      <c r="C15" s="9" t="s">
        <v>162</v>
      </c>
      <c r="D15" s="10">
        <v>0.6</v>
      </c>
      <c r="F15" s="13"/>
    </row>
    <row r="16" spans="1:6" x14ac:dyDescent="0.2">
      <c r="B16" s="46"/>
      <c r="C16" s="9" t="s">
        <v>163</v>
      </c>
      <c r="D16" s="10">
        <v>0.4</v>
      </c>
      <c r="F16" s="13"/>
    </row>
    <row r="17" spans="1:6" ht="15" x14ac:dyDescent="0.25">
      <c r="A17" s="6"/>
      <c r="B17" s="47">
        <v>3</v>
      </c>
      <c r="C17" s="11" t="s">
        <v>216</v>
      </c>
      <c r="D17" s="12">
        <v>1</v>
      </c>
      <c r="F17" s="13"/>
    </row>
    <row r="18" spans="1:6" x14ac:dyDescent="0.2">
      <c r="B18" s="46"/>
      <c r="C18" s="9" t="s">
        <v>51</v>
      </c>
      <c r="D18" s="10">
        <v>0.65</v>
      </c>
      <c r="F18" s="13"/>
    </row>
    <row r="19" spans="1:6" x14ac:dyDescent="0.2">
      <c r="B19" s="46"/>
      <c r="C19" s="9" t="s">
        <v>50</v>
      </c>
      <c r="D19" s="10">
        <v>0.25</v>
      </c>
      <c r="F19" s="13"/>
    </row>
    <row r="20" spans="1:6" x14ac:dyDescent="0.2">
      <c r="B20" s="46"/>
      <c r="C20" s="9" t="s">
        <v>169</v>
      </c>
      <c r="D20" s="10">
        <v>0.1</v>
      </c>
      <c r="F20" s="13"/>
    </row>
    <row r="21" spans="1:6" x14ac:dyDescent="0.2">
      <c r="B21" s="47">
        <v>4</v>
      </c>
      <c r="C21" s="11" t="s">
        <v>115</v>
      </c>
      <c r="D21" s="12">
        <v>1</v>
      </c>
      <c r="F21" s="13"/>
    </row>
    <row r="22" spans="1:6" x14ac:dyDescent="0.2">
      <c r="B22" s="46"/>
      <c r="C22" s="9" t="s">
        <v>217</v>
      </c>
      <c r="D22" s="10">
        <v>0.51</v>
      </c>
      <c r="F22" s="13"/>
    </row>
    <row r="23" spans="1:6" x14ac:dyDescent="0.2">
      <c r="B23" s="46"/>
      <c r="C23" s="9" t="s">
        <v>185</v>
      </c>
      <c r="D23" s="10">
        <v>0.49</v>
      </c>
      <c r="F23" s="13"/>
    </row>
    <row r="24" spans="1:6" x14ac:dyDescent="0.2">
      <c r="B24" s="47">
        <v>5</v>
      </c>
      <c r="C24" s="11" t="s">
        <v>116</v>
      </c>
      <c r="D24" s="12">
        <v>1</v>
      </c>
    </row>
    <row r="25" spans="1:6" x14ac:dyDescent="0.2">
      <c r="B25" s="46">
        <v>1</v>
      </c>
      <c r="C25" s="9" t="s">
        <v>224</v>
      </c>
      <c r="D25" s="10">
        <v>0.65</v>
      </c>
    </row>
    <row r="26" spans="1:6" x14ac:dyDescent="0.2">
      <c r="B26" s="46">
        <v>2</v>
      </c>
      <c r="C26" s="9" t="s">
        <v>225</v>
      </c>
      <c r="D26" s="10">
        <v>0.35</v>
      </c>
    </row>
    <row r="27" spans="1:6" x14ac:dyDescent="0.2">
      <c r="B27" s="47">
        <v>6</v>
      </c>
      <c r="C27" s="11" t="s">
        <v>226</v>
      </c>
      <c r="D27" s="12">
        <v>1</v>
      </c>
    </row>
    <row r="28" spans="1:6" x14ac:dyDescent="0.2">
      <c r="B28" s="46">
        <v>1</v>
      </c>
      <c r="C28" s="9" t="s">
        <v>227</v>
      </c>
      <c r="D28" s="10">
        <v>0.51</v>
      </c>
    </row>
    <row r="29" spans="1:6" x14ac:dyDescent="0.2">
      <c r="B29" s="46">
        <v>2</v>
      </c>
      <c r="C29" s="9" t="s">
        <v>228</v>
      </c>
      <c r="D29" s="10">
        <v>0.49</v>
      </c>
    </row>
    <row r="30" spans="1:6" x14ac:dyDescent="0.2">
      <c r="B30" s="47">
        <v>7</v>
      </c>
      <c r="C30" s="11" t="s">
        <v>229</v>
      </c>
      <c r="D30" s="12">
        <v>1</v>
      </c>
    </row>
    <row r="31" spans="1:6" x14ac:dyDescent="0.2">
      <c r="B31" s="46">
        <v>1</v>
      </c>
      <c r="C31" s="9" t="s">
        <v>230</v>
      </c>
      <c r="D31" s="10">
        <v>0.51</v>
      </c>
    </row>
    <row r="32" spans="1:6" x14ac:dyDescent="0.2">
      <c r="B32" s="46">
        <v>2</v>
      </c>
      <c r="C32" s="9" t="s">
        <v>231</v>
      </c>
      <c r="D32" s="10">
        <v>0.49</v>
      </c>
    </row>
    <row r="33" spans="2:4" x14ac:dyDescent="0.2">
      <c r="B33" s="47">
        <v>8</v>
      </c>
      <c r="C33" s="11" t="s">
        <v>118</v>
      </c>
      <c r="D33" s="12">
        <v>1</v>
      </c>
    </row>
    <row r="34" spans="2:4" x14ac:dyDescent="0.2">
      <c r="B34" s="46">
        <v>1</v>
      </c>
      <c r="C34" s="9" t="s">
        <v>232</v>
      </c>
      <c r="D34" s="10">
        <v>0.7</v>
      </c>
    </row>
    <row r="35" spans="2:4" x14ac:dyDescent="0.2">
      <c r="B35" s="46">
        <v>2</v>
      </c>
      <c r="C35" s="9" t="s">
        <v>233</v>
      </c>
      <c r="D35" s="10">
        <v>0.3</v>
      </c>
    </row>
    <row r="36" spans="2:4" x14ac:dyDescent="0.2">
      <c r="B36" s="47">
        <v>9</v>
      </c>
      <c r="C36" s="11" t="s">
        <v>117</v>
      </c>
      <c r="D36" s="12">
        <f>SUM(D37:D38)</f>
        <v>1</v>
      </c>
    </row>
    <row r="37" spans="2:4" x14ac:dyDescent="0.2">
      <c r="B37" s="46"/>
      <c r="C37" s="9" t="s">
        <v>624</v>
      </c>
      <c r="D37" s="10">
        <v>0.6</v>
      </c>
    </row>
    <row r="38" spans="2:4" x14ac:dyDescent="0.2">
      <c r="B38" s="46"/>
      <c r="C38" s="9" t="s">
        <v>564</v>
      </c>
      <c r="D38" s="10">
        <v>0.4</v>
      </c>
    </row>
    <row r="39" spans="2:4" x14ac:dyDescent="0.2">
      <c r="B39" s="47">
        <v>10</v>
      </c>
      <c r="C39" s="11" t="s">
        <v>119</v>
      </c>
      <c r="D39" s="12">
        <f>SUM(D40:D41)</f>
        <v>1</v>
      </c>
    </row>
    <row r="40" spans="2:4" x14ac:dyDescent="0.2">
      <c r="B40" s="46"/>
      <c r="C40" s="9" t="s">
        <v>625</v>
      </c>
      <c r="D40" s="10">
        <v>0.51</v>
      </c>
    </row>
    <row r="41" spans="2:4" x14ac:dyDescent="0.2">
      <c r="B41" s="46"/>
      <c r="C41" s="9" t="s">
        <v>626</v>
      </c>
      <c r="D41" s="10">
        <v>0.49</v>
      </c>
    </row>
    <row r="42" spans="2:4" x14ac:dyDescent="0.2">
      <c r="B42" s="47">
        <v>11</v>
      </c>
      <c r="C42" s="11" t="s">
        <v>120</v>
      </c>
      <c r="D42" s="12">
        <f>SUM(D43:D45)</f>
        <v>1</v>
      </c>
    </row>
    <row r="43" spans="2:4" x14ac:dyDescent="0.2">
      <c r="B43" s="46"/>
      <c r="C43" s="9" t="s">
        <v>627</v>
      </c>
      <c r="D43" s="10">
        <v>0.51</v>
      </c>
    </row>
    <row r="44" spans="2:4" x14ac:dyDescent="0.2">
      <c r="B44" s="46"/>
      <c r="C44" s="9" t="s">
        <v>628</v>
      </c>
      <c r="D44" s="10">
        <v>0.25</v>
      </c>
    </row>
    <row r="45" spans="2:4" x14ac:dyDescent="0.2">
      <c r="B45" s="46"/>
      <c r="C45" s="9" t="s">
        <v>629</v>
      </c>
      <c r="D45" s="10">
        <v>0.24</v>
      </c>
    </row>
    <row r="46" spans="2:4" x14ac:dyDescent="0.2">
      <c r="B46" s="47">
        <v>12</v>
      </c>
      <c r="C46" s="11" t="s">
        <v>121</v>
      </c>
      <c r="D46" s="12">
        <f>SUM(D47:D48)</f>
        <v>1</v>
      </c>
    </row>
    <row r="47" spans="2:4" x14ac:dyDescent="0.2">
      <c r="B47" s="46"/>
      <c r="C47" s="9" t="s">
        <v>630</v>
      </c>
      <c r="D47" s="10">
        <v>0.49</v>
      </c>
    </row>
    <row r="48" spans="2:4" x14ac:dyDescent="0.2">
      <c r="B48" s="46"/>
      <c r="C48" s="9" t="s">
        <v>631</v>
      </c>
      <c r="D48" s="10">
        <v>0.51</v>
      </c>
    </row>
    <row r="49" spans="2:4" x14ac:dyDescent="0.2">
      <c r="B49" s="47">
        <v>13</v>
      </c>
      <c r="C49" s="11" t="s">
        <v>122</v>
      </c>
      <c r="D49" s="12">
        <f>SUM(D50:D51)</f>
        <v>1</v>
      </c>
    </row>
    <row r="50" spans="2:4" x14ac:dyDescent="0.2">
      <c r="B50" s="46"/>
      <c r="C50" s="9" t="s">
        <v>296</v>
      </c>
      <c r="D50" s="10">
        <v>0.51</v>
      </c>
    </row>
    <row r="51" spans="2:4" x14ac:dyDescent="0.2">
      <c r="B51" s="46"/>
      <c r="C51" s="9" t="s">
        <v>297</v>
      </c>
      <c r="D51" s="10">
        <v>0.49</v>
      </c>
    </row>
    <row r="52" spans="2:4" x14ac:dyDescent="0.2">
      <c r="B52" s="47">
        <v>14</v>
      </c>
      <c r="C52" s="11" t="s">
        <v>123</v>
      </c>
      <c r="D52" s="12">
        <f>SUM(D53:D55)</f>
        <v>1</v>
      </c>
    </row>
    <row r="53" spans="2:4" x14ac:dyDescent="0.2">
      <c r="B53" s="46"/>
      <c r="C53" s="9" t="s">
        <v>298</v>
      </c>
      <c r="D53" s="10">
        <v>0.51</v>
      </c>
    </row>
    <row r="54" spans="2:4" x14ac:dyDescent="0.2">
      <c r="B54" s="46"/>
      <c r="C54" s="9" t="s">
        <v>299</v>
      </c>
      <c r="D54" s="10">
        <v>0.25</v>
      </c>
    </row>
    <row r="55" spans="2:4" x14ac:dyDescent="0.2">
      <c r="B55" s="46"/>
      <c r="C55" s="9" t="s">
        <v>300</v>
      </c>
      <c r="D55" s="10">
        <v>0.24</v>
      </c>
    </row>
    <row r="56" spans="2:4" x14ac:dyDescent="0.2">
      <c r="B56" s="47">
        <v>15</v>
      </c>
      <c r="C56" s="11" t="s">
        <v>124</v>
      </c>
      <c r="D56" s="12">
        <f>SUM(D57:D58)</f>
        <v>1</v>
      </c>
    </row>
    <row r="57" spans="2:4" x14ac:dyDescent="0.2">
      <c r="B57" s="46"/>
      <c r="C57" s="9" t="s">
        <v>301</v>
      </c>
      <c r="D57" s="10">
        <v>0.65</v>
      </c>
    </row>
    <row r="58" spans="2:4" x14ac:dyDescent="0.2">
      <c r="B58" s="46"/>
      <c r="C58" s="9" t="s">
        <v>302</v>
      </c>
      <c r="D58" s="10">
        <v>0.35</v>
      </c>
    </row>
    <row r="59" spans="2:4" x14ac:dyDescent="0.2">
      <c r="B59" s="47">
        <v>16</v>
      </c>
      <c r="C59" s="11" t="s">
        <v>125</v>
      </c>
      <c r="D59" s="12">
        <f>SUM(D60:D62)</f>
        <v>1</v>
      </c>
    </row>
    <row r="60" spans="2:4" x14ac:dyDescent="0.2">
      <c r="B60" s="46"/>
      <c r="C60" s="9" t="s">
        <v>303</v>
      </c>
      <c r="D60" s="10">
        <v>0.51</v>
      </c>
    </row>
    <row r="61" spans="2:4" x14ac:dyDescent="0.2">
      <c r="B61" s="46"/>
      <c r="C61" s="9" t="s">
        <v>304</v>
      </c>
      <c r="D61" s="10">
        <v>0.24</v>
      </c>
    </row>
    <row r="62" spans="2:4" x14ac:dyDescent="0.2">
      <c r="B62" s="46"/>
      <c r="C62" s="9" t="s">
        <v>305</v>
      </c>
      <c r="D62" s="10">
        <v>0.25</v>
      </c>
    </row>
    <row r="63" spans="2:4" x14ac:dyDescent="0.2">
      <c r="B63" s="47">
        <v>17</v>
      </c>
      <c r="C63" s="11" t="s">
        <v>126</v>
      </c>
      <c r="D63" s="12">
        <f>SUM(D64:D66)</f>
        <v>1</v>
      </c>
    </row>
    <row r="64" spans="2:4" x14ac:dyDescent="0.2">
      <c r="B64" s="46"/>
      <c r="C64" s="9" t="s">
        <v>402</v>
      </c>
      <c r="D64" s="10">
        <v>0.51</v>
      </c>
    </row>
    <row r="65" spans="2:4" x14ac:dyDescent="0.2">
      <c r="B65" s="46"/>
      <c r="C65" s="9" t="s">
        <v>403</v>
      </c>
      <c r="D65" s="10">
        <v>0.2</v>
      </c>
    </row>
    <row r="66" spans="2:4" x14ac:dyDescent="0.2">
      <c r="B66" s="46"/>
      <c r="C66" s="9" t="s">
        <v>404</v>
      </c>
      <c r="D66" s="10">
        <v>0.28999999999999998</v>
      </c>
    </row>
    <row r="67" spans="2:4" x14ac:dyDescent="0.2">
      <c r="B67" s="47">
        <v>18</v>
      </c>
      <c r="C67" s="11" t="s">
        <v>127</v>
      </c>
      <c r="D67" s="12">
        <f>SUM(D68:D69)</f>
        <v>1</v>
      </c>
    </row>
    <row r="68" spans="2:4" x14ac:dyDescent="0.2">
      <c r="B68" s="46"/>
      <c r="C68" s="9" t="s">
        <v>405</v>
      </c>
      <c r="D68" s="10">
        <v>0.67</v>
      </c>
    </row>
    <row r="69" spans="2:4" x14ac:dyDescent="0.2">
      <c r="B69" s="46"/>
      <c r="C69" s="9" t="s">
        <v>406</v>
      </c>
      <c r="D69" s="10">
        <v>0.33</v>
      </c>
    </row>
    <row r="70" spans="2:4" x14ac:dyDescent="0.2">
      <c r="B70" s="47">
        <v>19</v>
      </c>
      <c r="C70" s="11" t="s">
        <v>128</v>
      </c>
      <c r="D70" s="12">
        <f>SUM(D71:D73)</f>
        <v>1</v>
      </c>
    </row>
    <row r="71" spans="2:4" x14ac:dyDescent="0.2">
      <c r="B71" s="46"/>
      <c r="C71" s="9" t="s">
        <v>407</v>
      </c>
      <c r="D71" s="10">
        <v>0.51</v>
      </c>
    </row>
    <row r="72" spans="2:4" x14ac:dyDescent="0.2">
      <c r="B72" s="46"/>
      <c r="C72" s="9" t="s">
        <v>408</v>
      </c>
      <c r="D72" s="10">
        <v>0.24</v>
      </c>
    </row>
    <row r="73" spans="2:4" x14ac:dyDescent="0.2">
      <c r="B73" s="46"/>
      <c r="C73" s="9" t="s">
        <v>409</v>
      </c>
      <c r="D73" s="10">
        <v>0.25</v>
      </c>
    </row>
    <row r="74" spans="2:4" x14ac:dyDescent="0.2">
      <c r="B74" s="47">
        <v>20</v>
      </c>
      <c r="C74" s="11" t="s">
        <v>129</v>
      </c>
      <c r="D74" s="12">
        <f>SUM(D75:D77)</f>
        <v>1</v>
      </c>
    </row>
    <row r="75" spans="2:4" x14ac:dyDescent="0.2">
      <c r="B75" s="46"/>
      <c r="C75" s="9" t="s">
        <v>410</v>
      </c>
      <c r="D75" s="10">
        <v>0.51</v>
      </c>
    </row>
    <row r="76" spans="2:4" x14ac:dyDescent="0.2">
      <c r="B76" s="46"/>
      <c r="C76" s="9" t="s">
        <v>411</v>
      </c>
      <c r="D76" s="10">
        <v>0.25</v>
      </c>
    </row>
    <row r="77" spans="2:4" x14ac:dyDescent="0.2">
      <c r="B77" s="46"/>
      <c r="C77" s="9" t="s">
        <v>412</v>
      </c>
      <c r="D77" s="10">
        <v>0.24</v>
      </c>
    </row>
    <row r="78" spans="2:4" x14ac:dyDescent="0.2">
      <c r="D78" s="67"/>
    </row>
    <row r="79" spans="2:4" x14ac:dyDescent="0.2">
      <c r="D79" s="67"/>
    </row>
    <row r="80" spans="2:4" x14ac:dyDescent="0.2">
      <c r="D80" s="67"/>
    </row>
    <row r="81" spans="4:4" x14ac:dyDescent="0.2">
      <c r="D81" s="67"/>
    </row>
    <row r="82" spans="4:4" x14ac:dyDescent="0.2">
      <c r="D82" s="67"/>
    </row>
    <row r="83" spans="4:4" x14ac:dyDescent="0.2">
      <c r="D83" s="67"/>
    </row>
    <row r="84" spans="4:4" x14ac:dyDescent="0.2">
      <c r="D84" s="67"/>
    </row>
    <row r="85" spans="4:4" x14ac:dyDescent="0.2">
      <c r="D85" s="67"/>
    </row>
    <row r="86" spans="4:4" x14ac:dyDescent="0.2">
      <c r="D86" s="67"/>
    </row>
    <row r="87" spans="4:4" x14ac:dyDescent="0.2">
      <c r="D87" s="67"/>
    </row>
    <row r="88" spans="4:4" x14ac:dyDescent="0.2">
      <c r="D88" s="67"/>
    </row>
    <row r="89" spans="4:4" x14ac:dyDescent="0.2">
      <c r="D89" s="67"/>
    </row>
    <row r="90" spans="4:4" x14ac:dyDescent="0.2">
      <c r="D90" s="67"/>
    </row>
    <row r="91" spans="4:4" x14ac:dyDescent="0.2">
      <c r="D91" s="67"/>
    </row>
    <row r="92" spans="4:4" x14ac:dyDescent="0.2">
      <c r="D92" s="67"/>
    </row>
    <row r="93" spans="4:4" x14ac:dyDescent="0.2">
      <c r="D93" s="67"/>
    </row>
    <row r="94" spans="4:4" x14ac:dyDescent="0.2">
      <c r="D94" s="67"/>
    </row>
    <row r="95" spans="4:4" x14ac:dyDescent="0.2">
      <c r="D95" s="67"/>
    </row>
    <row r="96" spans="4:4" x14ac:dyDescent="0.2">
      <c r="D96" s="67"/>
    </row>
    <row r="97" spans="4:4" x14ac:dyDescent="0.2">
      <c r="D97" s="67"/>
    </row>
    <row r="98" spans="4:4" x14ac:dyDescent="0.2">
      <c r="D98" s="67"/>
    </row>
    <row r="99" spans="4:4" x14ac:dyDescent="0.2">
      <c r="D99" s="67"/>
    </row>
    <row r="100" spans="4:4" x14ac:dyDescent="0.2">
      <c r="D100" s="67"/>
    </row>
    <row r="101" spans="4:4" x14ac:dyDescent="0.2">
      <c r="D101" s="67"/>
    </row>
    <row r="102" spans="4:4" x14ac:dyDescent="0.2">
      <c r="D102" s="67"/>
    </row>
    <row r="103" spans="4:4" x14ac:dyDescent="0.2">
      <c r="D103" s="67"/>
    </row>
    <row r="104" spans="4:4" x14ac:dyDescent="0.2">
      <c r="D104" s="67"/>
    </row>
    <row r="105" spans="4:4" x14ac:dyDescent="0.2">
      <c r="D105" s="67"/>
    </row>
    <row r="106" spans="4:4" x14ac:dyDescent="0.2">
      <c r="D106" s="67"/>
    </row>
    <row r="107" spans="4:4" x14ac:dyDescent="0.2">
      <c r="D107" s="67"/>
    </row>
    <row r="108" spans="4:4" x14ac:dyDescent="0.2">
      <c r="D108" s="67"/>
    </row>
    <row r="109" spans="4:4" x14ac:dyDescent="0.2">
      <c r="D109" s="67"/>
    </row>
    <row r="110" spans="4:4" x14ac:dyDescent="0.2">
      <c r="D110" s="67"/>
    </row>
    <row r="111" spans="4:4" x14ac:dyDescent="0.2">
      <c r="D111" s="67"/>
    </row>
    <row r="112" spans="4:4" x14ac:dyDescent="0.2">
      <c r="D112" s="67"/>
    </row>
    <row r="113" spans="4:4" x14ac:dyDescent="0.2">
      <c r="D113" s="67"/>
    </row>
    <row r="114" spans="4:4" x14ac:dyDescent="0.2">
      <c r="D114" s="67"/>
    </row>
    <row r="115" spans="4:4" x14ac:dyDescent="0.2">
      <c r="D115" s="67"/>
    </row>
    <row r="116" spans="4:4" x14ac:dyDescent="0.2">
      <c r="D116" s="67"/>
    </row>
    <row r="117" spans="4:4" x14ac:dyDescent="0.2">
      <c r="D117" s="67"/>
    </row>
    <row r="118" spans="4:4" x14ac:dyDescent="0.2">
      <c r="D118" s="67"/>
    </row>
    <row r="119" spans="4:4" x14ac:dyDescent="0.2">
      <c r="D119" s="67"/>
    </row>
    <row r="120" spans="4:4" x14ac:dyDescent="0.2">
      <c r="D120" s="67"/>
    </row>
    <row r="121" spans="4:4" x14ac:dyDescent="0.2">
      <c r="D121" s="67"/>
    </row>
    <row r="122" spans="4:4" x14ac:dyDescent="0.2">
      <c r="D122" s="67"/>
    </row>
    <row r="123" spans="4:4" x14ac:dyDescent="0.2">
      <c r="D123" s="67"/>
    </row>
    <row r="124" spans="4:4" x14ac:dyDescent="0.2">
      <c r="D124" s="67"/>
    </row>
    <row r="125" spans="4:4" x14ac:dyDescent="0.2">
      <c r="D125" s="67"/>
    </row>
    <row r="126" spans="4:4" x14ac:dyDescent="0.2">
      <c r="D126" s="67"/>
    </row>
    <row r="127" spans="4:4" x14ac:dyDescent="0.2">
      <c r="D127" s="67"/>
    </row>
    <row r="128" spans="4:4" x14ac:dyDescent="0.2">
      <c r="D128" s="67"/>
    </row>
    <row r="129" spans="4:4" x14ac:dyDescent="0.2">
      <c r="D129" s="67"/>
    </row>
    <row r="130" spans="4:4" x14ac:dyDescent="0.2">
      <c r="D130" s="67"/>
    </row>
    <row r="131" spans="4:4" x14ac:dyDescent="0.2">
      <c r="D131" s="67"/>
    </row>
    <row r="132" spans="4:4" x14ac:dyDescent="0.2">
      <c r="D132" s="67"/>
    </row>
    <row r="133" spans="4:4" x14ac:dyDescent="0.2">
      <c r="D133" s="67"/>
    </row>
    <row r="134" spans="4:4" x14ac:dyDescent="0.2">
      <c r="D134" s="67"/>
    </row>
    <row r="135" spans="4:4" x14ac:dyDescent="0.2">
      <c r="D135" s="67"/>
    </row>
    <row r="136" spans="4:4" x14ac:dyDescent="0.2">
      <c r="D136" s="67"/>
    </row>
    <row r="137" spans="4:4" x14ac:dyDescent="0.2">
      <c r="D137" s="67"/>
    </row>
    <row r="138" spans="4:4" x14ac:dyDescent="0.2">
      <c r="D138" s="67"/>
    </row>
    <row r="139" spans="4:4" x14ac:dyDescent="0.2">
      <c r="D139" s="67"/>
    </row>
    <row r="140" spans="4:4" x14ac:dyDescent="0.2">
      <c r="D140" s="67"/>
    </row>
    <row r="141" spans="4:4" x14ac:dyDescent="0.2">
      <c r="D141" s="67"/>
    </row>
    <row r="142" spans="4:4" x14ac:dyDescent="0.2">
      <c r="D142" s="67"/>
    </row>
    <row r="143" spans="4:4" x14ac:dyDescent="0.2">
      <c r="D143" s="67"/>
    </row>
    <row r="144" spans="4:4" x14ac:dyDescent="0.2">
      <c r="D144" s="67"/>
    </row>
    <row r="145" spans="4:4" x14ac:dyDescent="0.2">
      <c r="D145" s="67"/>
    </row>
    <row r="146" spans="4:4" x14ac:dyDescent="0.2">
      <c r="D146" s="67"/>
    </row>
    <row r="147" spans="4:4" x14ac:dyDescent="0.2">
      <c r="D147" s="67"/>
    </row>
    <row r="148" spans="4:4" x14ac:dyDescent="0.2">
      <c r="D148" s="67"/>
    </row>
    <row r="149" spans="4:4" x14ac:dyDescent="0.2">
      <c r="D149" s="67"/>
    </row>
    <row r="150" spans="4:4" x14ac:dyDescent="0.2">
      <c r="D150" s="67"/>
    </row>
    <row r="151" spans="4:4" x14ac:dyDescent="0.2">
      <c r="D151" s="67"/>
    </row>
    <row r="152" spans="4:4" x14ac:dyDescent="0.2">
      <c r="D152" s="67"/>
    </row>
    <row r="153" spans="4:4" x14ac:dyDescent="0.2">
      <c r="D153" s="67"/>
    </row>
    <row r="154" spans="4:4" x14ac:dyDescent="0.2">
      <c r="D154" s="67"/>
    </row>
    <row r="155" spans="4:4" x14ac:dyDescent="0.2">
      <c r="D155" s="67"/>
    </row>
    <row r="156" spans="4:4" x14ac:dyDescent="0.2">
      <c r="D156" s="67"/>
    </row>
    <row r="157" spans="4:4" x14ac:dyDescent="0.2">
      <c r="D157" s="67"/>
    </row>
    <row r="158" spans="4:4" x14ac:dyDescent="0.2">
      <c r="D158" s="67"/>
    </row>
    <row r="159" spans="4:4" x14ac:dyDescent="0.2">
      <c r="D159" s="67"/>
    </row>
    <row r="160" spans="4:4" x14ac:dyDescent="0.2">
      <c r="D160" s="67"/>
    </row>
    <row r="161" spans="4:4" x14ac:dyDescent="0.2">
      <c r="D161" s="67"/>
    </row>
    <row r="162" spans="4:4" x14ac:dyDescent="0.2">
      <c r="D162" s="67"/>
    </row>
    <row r="163" spans="4:4" x14ac:dyDescent="0.2">
      <c r="D163" s="67"/>
    </row>
    <row r="164" spans="4:4" x14ac:dyDescent="0.2">
      <c r="D164" s="67"/>
    </row>
    <row r="165" spans="4:4" x14ac:dyDescent="0.2">
      <c r="D165" s="67"/>
    </row>
    <row r="166" spans="4:4" x14ac:dyDescent="0.2">
      <c r="D166" s="67"/>
    </row>
    <row r="167" spans="4:4" x14ac:dyDescent="0.2">
      <c r="D167" s="67"/>
    </row>
    <row r="168" spans="4:4" x14ac:dyDescent="0.2">
      <c r="D168" s="67"/>
    </row>
    <row r="169" spans="4:4" x14ac:dyDescent="0.2">
      <c r="D169" s="67"/>
    </row>
    <row r="170" spans="4:4" x14ac:dyDescent="0.2">
      <c r="D170" s="67"/>
    </row>
    <row r="171" spans="4:4" x14ac:dyDescent="0.2">
      <c r="D171" s="67"/>
    </row>
    <row r="172" spans="4:4" x14ac:dyDescent="0.2">
      <c r="D172" s="67"/>
    </row>
    <row r="173" spans="4:4" x14ac:dyDescent="0.2">
      <c r="D173" s="67"/>
    </row>
    <row r="174" spans="4:4" x14ac:dyDescent="0.2">
      <c r="D174" s="67"/>
    </row>
    <row r="175" spans="4:4" x14ac:dyDescent="0.2">
      <c r="D175" s="67"/>
    </row>
    <row r="176" spans="4:4" x14ac:dyDescent="0.2">
      <c r="D176" s="67"/>
    </row>
    <row r="177" spans="4:4" x14ac:dyDescent="0.2">
      <c r="D177" s="67"/>
    </row>
    <row r="178" spans="4:4" x14ac:dyDescent="0.2">
      <c r="D178" s="67"/>
    </row>
    <row r="179" spans="4:4" x14ac:dyDescent="0.2">
      <c r="D179" s="67"/>
    </row>
    <row r="180" spans="4:4" x14ac:dyDescent="0.2">
      <c r="D180" s="67"/>
    </row>
    <row r="181" spans="4:4" x14ac:dyDescent="0.2">
      <c r="D181" s="67"/>
    </row>
    <row r="182" spans="4:4" x14ac:dyDescent="0.2">
      <c r="D182" s="67"/>
    </row>
    <row r="183" spans="4:4" x14ac:dyDescent="0.2">
      <c r="D183" s="67"/>
    </row>
    <row r="184" spans="4:4" x14ac:dyDescent="0.2">
      <c r="D184" s="67"/>
    </row>
    <row r="185" spans="4:4" x14ac:dyDescent="0.2">
      <c r="D185" s="67"/>
    </row>
    <row r="186" spans="4:4" x14ac:dyDescent="0.2">
      <c r="D186" s="67"/>
    </row>
    <row r="187" spans="4:4" x14ac:dyDescent="0.2">
      <c r="D187" s="67"/>
    </row>
    <row r="188" spans="4:4" x14ac:dyDescent="0.2">
      <c r="D188" s="67"/>
    </row>
    <row r="189" spans="4:4" x14ac:dyDescent="0.2">
      <c r="D189" s="67"/>
    </row>
    <row r="190" spans="4:4" x14ac:dyDescent="0.2">
      <c r="D190" s="67"/>
    </row>
    <row r="191" spans="4:4" x14ac:dyDescent="0.2">
      <c r="D191" s="67"/>
    </row>
    <row r="192" spans="4:4" x14ac:dyDescent="0.2">
      <c r="D192" s="67"/>
    </row>
    <row r="193" spans="4:4" x14ac:dyDescent="0.2">
      <c r="D193" s="67"/>
    </row>
    <row r="194" spans="4:4" x14ac:dyDescent="0.2">
      <c r="D194" s="67"/>
    </row>
    <row r="195" spans="4:4" x14ac:dyDescent="0.2">
      <c r="D195" s="67"/>
    </row>
    <row r="196" spans="4:4" x14ac:dyDescent="0.2">
      <c r="D196" s="67"/>
    </row>
    <row r="197" spans="4:4" x14ac:dyDescent="0.2">
      <c r="D197" s="67"/>
    </row>
    <row r="198" spans="4:4" x14ac:dyDescent="0.2">
      <c r="D198" s="67"/>
    </row>
    <row r="199" spans="4:4" x14ac:dyDescent="0.2">
      <c r="D199" s="67"/>
    </row>
    <row r="200" spans="4:4" x14ac:dyDescent="0.2">
      <c r="D200" s="67"/>
    </row>
    <row r="201" spans="4:4" x14ac:dyDescent="0.2">
      <c r="D201" s="67"/>
    </row>
  </sheetData>
  <mergeCells count="6">
    <mergeCell ref="B8:D8"/>
    <mergeCell ref="B2:D2"/>
    <mergeCell ref="B3:D3"/>
    <mergeCell ref="B5:D5"/>
    <mergeCell ref="B6:D6"/>
    <mergeCell ref="B7:D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21"/>
  <sheetViews>
    <sheetView zoomScale="87" zoomScaleNormal="87" workbookViewId="0">
      <selection activeCell="L16" sqref="L16"/>
    </sheetView>
  </sheetViews>
  <sheetFormatPr baseColWidth="10" defaultColWidth="11.42578125" defaultRowHeight="15" x14ac:dyDescent="0.25"/>
  <cols>
    <col min="1" max="1" width="11.42578125" style="16"/>
    <col min="2" max="2" width="11.42578125" style="16" customWidth="1"/>
    <col min="3" max="3" width="4.5703125" style="16" customWidth="1"/>
    <col min="4" max="4" width="44.140625" style="16" customWidth="1"/>
    <col min="5" max="5" width="18.85546875" style="16" customWidth="1"/>
    <col min="6" max="6" width="10.7109375" style="16" customWidth="1"/>
    <col min="7" max="7" width="11.42578125" style="16"/>
    <col min="8" max="8" width="13.5703125" style="16" customWidth="1"/>
    <col min="9" max="9" width="4.7109375" style="16" customWidth="1"/>
    <col min="10" max="10" width="47.42578125" style="16" customWidth="1"/>
    <col min="11" max="11" width="12.42578125" style="16" customWidth="1"/>
    <col min="12" max="12" width="22.85546875" style="16" customWidth="1"/>
    <col min="13" max="16384" width="11.42578125" style="16"/>
  </cols>
  <sheetData>
    <row r="2" spans="2:15" ht="15" customHeight="1" x14ac:dyDescent="0.25">
      <c r="B2" s="359" t="s">
        <v>9</v>
      </c>
      <c r="C2" s="359"/>
      <c r="D2" s="359"/>
      <c r="E2" s="359"/>
    </row>
    <row r="3" spans="2:15" ht="15" customHeight="1" x14ac:dyDescent="0.25">
      <c r="B3" s="359" t="s">
        <v>223</v>
      </c>
      <c r="C3" s="359"/>
      <c r="D3" s="359"/>
      <c r="E3" s="359"/>
    </row>
    <row r="4" spans="2:15" ht="15.75" x14ac:dyDescent="0.25">
      <c r="D4" s="29"/>
      <c r="E4" s="17"/>
    </row>
    <row r="5" spans="2:15" ht="15" customHeight="1" x14ac:dyDescent="0.25">
      <c r="B5" s="359" t="s">
        <v>76</v>
      </c>
      <c r="C5" s="359"/>
      <c r="D5" s="359"/>
      <c r="E5" s="359"/>
    </row>
    <row r="6" spans="2:15" x14ac:dyDescent="0.25">
      <c r="D6" s="17"/>
      <c r="E6" s="17"/>
    </row>
    <row r="7" spans="2:15" x14ac:dyDescent="0.25">
      <c r="B7" s="360"/>
      <c r="C7" s="360"/>
      <c r="D7" s="56" t="s">
        <v>77</v>
      </c>
      <c r="E7" s="57" t="s">
        <v>26</v>
      </c>
      <c r="F7" s="50"/>
    </row>
    <row r="8" spans="2:15" ht="25.5" customHeight="1" x14ac:dyDescent="0.25">
      <c r="B8" s="360" t="s">
        <v>97</v>
      </c>
      <c r="C8" s="360"/>
      <c r="D8" s="58">
        <f>+PO</f>
        <v>6541634245</v>
      </c>
      <c r="E8" s="61">
        <f>D8/Requisitos!H2</f>
        <v>10619.536112012987</v>
      </c>
      <c r="F8" s="53"/>
      <c r="J8" s="48"/>
      <c r="K8" s="48"/>
      <c r="L8" s="48"/>
      <c r="M8" s="48"/>
      <c r="N8" s="48"/>
      <c r="O8" s="48"/>
    </row>
    <row r="9" spans="2:15" x14ac:dyDescent="0.25">
      <c r="B9" s="361">
        <v>0.51</v>
      </c>
      <c r="C9" s="361"/>
      <c r="D9" s="59">
        <f>D8*B9</f>
        <v>3336233464.9500003</v>
      </c>
      <c r="E9" s="61">
        <f>D9/Requisitos!H2</f>
        <v>5415.9634171266234</v>
      </c>
      <c r="F9" s="53"/>
      <c r="J9" s="48"/>
      <c r="K9" s="48"/>
      <c r="L9" s="48"/>
      <c r="M9" s="48"/>
      <c r="N9" s="48"/>
      <c r="O9" s="48"/>
    </row>
    <row r="10" spans="2:15" x14ac:dyDescent="0.25">
      <c r="B10" s="361">
        <v>0.13</v>
      </c>
      <c r="C10" s="361"/>
      <c r="D10" s="59">
        <f>D8*B10</f>
        <v>850412451.85000002</v>
      </c>
      <c r="E10" s="61">
        <f>D10/Requisitos!H2</f>
        <v>1380.5396945616883</v>
      </c>
      <c r="F10" s="53"/>
      <c r="J10" s="48"/>
      <c r="K10" s="48"/>
      <c r="L10" s="49"/>
      <c r="M10" s="50"/>
      <c r="N10" s="48"/>
      <c r="O10" s="48"/>
    </row>
    <row r="11" spans="2:15" ht="12" customHeight="1" x14ac:dyDescent="0.25">
      <c r="B11" s="362"/>
      <c r="C11" s="362"/>
      <c r="J11" s="48"/>
      <c r="K11" s="51"/>
      <c r="L11" s="52"/>
      <c r="M11" s="53"/>
      <c r="N11" s="48"/>
      <c r="O11" s="48"/>
    </row>
    <row r="12" spans="2:15" ht="15.75" thickBot="1" x14ac:dyDescent="0.3">
      <c r="J12" s="48"/>
      <c r="K12" s="54"/>
      <c r="L12" s="55"/>
      <c r="M12" s="53"/>
      <c r="N12" s="48"/>
      <c r="O12" s="48"/>
    </row>
    <row r="13" spans="2:15" ht="23.25" customHeight="1" thickBot="1" x14ac:dyDescent="0.3">
      <c r="B13" s="363" t="s">
        <v>106</v>
      </c>
      <c r="C13" s="364"/>
      <c r="D13" s="365"/>
      <c r="E13" s="60" t="s">
        <v>294</v>
      </c>
      <c r="H13" s="363" t="s">
        <v>138</v>
      </c>
      <c r="I13" s="364"/>
      <c r="J13" s="365"/>
      <c r="K13" s="60" t="s">
        <v>294</v>
      </c>
      <c r="M13" s="48"/>
      <c r="N13" s="48"/>
      <c r="O13" s="48"/>
    </row>
    <row r="14" spans="2:15" ht="18.75" customHeight="1" x14ac:dyDescent="0.25">
      <c r="B14" s="366" t="s">
        <v>78</v>
      </c>
      <c r="C14" s="21">
        <v>1</v>
      </c>
      <c r="D14" s="22" t="s">
        <v>89</v>
      </c>
      <c r="E14" s="31" t="s">
        <v>82</v>
      </c>
      <c r="H14" s="366" t="s">
        <v>78</v>
      </c>
      <c r="I14" s="21">
        <v>1</v>
      </c>
      <c r="J14" s="22" t="s">
        <v>89</v>
      </c>
      <c r="K14" s="31" t="s">
        <v>82</v>
      </c>
      <c r="L14" s="48"/>
      <c r="M14" s="48"/>
      <c r="N14" s="48"/>
      <c r="O14" s="48"/>
    </row>
    <row r="15" spans="2:15" ht="19.5" customHeight="1" x14ac:dyDescent="0.25">
      <c r="B15" s="367"/>
      <c r="C15" s="23">
        <v>2</v>
      </c>
      <c r="D15" s="24" t="s">
        <v>98</v>
      </c>
      <c r="E15" s="31" t="s">
        <v>82</v>
      </c>
      <c r="H15" s="367"/>
      <c r="I15" s="23">
        <v>2</v>
      </c>
      <c r="J15" s="24" t="s">
        <v>98</v>
      </c>
      <c r="K15" s="31" t="s">
        <v>82</v>
      </c>
    </row>
    <row r="16" spans="2:15" ht="21.75" customHeight="1" x14ac:dyDescent="0.25">
      <c r="B16" s="367"/>
      <c r="C16" s="23">
        <v>3</v>
      </c>
      <c r="D16" s="24" t="s">
        <v>99</v>
      </c>
      <c r="E16" s="31" t="s">
        <v>82</v>
      </c>
      <c r="H16" s="367"/>
      <c r="I16" s="23">
        <v>3</v>
      </c>
      <c r="J16" s="24" t="s">
        <v>99</v>
      </c>
      <c r="K16" s="31" t="s">
        <v>82</v>
      </c>
    </row>
    <row r="17" spans="2:15" ht="29.25" customHeight="1" thickBot="1" x14ac:dyDescent="0.3">
      <c r="B17" s="368"/>
      <c r="C17" s="25">
        <v>4</v>
      </c>
      <c r="D17" s="26" t="s">
        <v>100</v>
      </c>
      <c r="E17" s="32" t="s">
        <v>82</v>
      </c>
      <c r="H17" s="368"/>
      <c r="I17" s="25">
        <v>4</v>
      </c>
      <c r="J17" s="26" t="s">
        <v>100</v>
      </c>
      <c r="K17" s="31" t="s">
        <v>82</v>
      </c>
      <c r="L17" s="48"/>
    </row>
    <row r="18" spans="2:15" ht="32.25" customHeight="1" thickBot="1" x14ac:dyDescent="0.3">
      <c r="B18" s="369" t="s">
        <v>81</v>
      </c>
      <c r="C18" s="18" t="s">
        <v>79</v>
      </c>
      <c r="D18" s="27" t="s">
        <v>80</v>
      </c>
      <c r="E18" s="32" t="s">
        <v>82</v>
      </c>
      <c r="H18" s="369" t="s">
        <v>81</v>
      </c>
      <c r="I18" s="18" t="s">
        <v>79</v>
      </c>
      <c r="J18" s="27" t="s">
        <v>80</v>
      </c>
      <c r="K18" s="32" t="s">
        <v>82</v>
      </c>
    </row>
    <row r="19" spans="2:15" ht="47.25" customHeight="1" thickBot="1" x14ac:dyDescent="0.3">
      <c r="B19" s="370"/>
      <c r="C19" s="19" t="s">
        <v>83</v>
      </c>
      <c r="D19" s="15" t="s">
        <v>101</v>
      </c>
      <c r="E19" s="32" t="s">
        <v>82</v>
      </c>
      <c r="H19" s="370"/>
      <c r="I19" s="19" t="s">
        <v>83</v>
      </c>
      <c r="J19" s="15" t="s">
        <v>101</v>
      </c>
      <c r="K19" s="32" t="s">
        <v>82</v>
      </c>
    </row>
    <row r="20" spans="2:15" x14ac:dyDescent="0.25">
      <c r="B20" s="370"/>
      <c r="C20" s="19" t="s">
        <v>87</v>
      </c>
      <c r="D20" s="15" t="s">
        <v>88</v>
      </c>
      <c r="E20" s="33">
        <v>0</v>
      </c>
      <c r="H20" s="370"/>
      <c r="I20" s="19" t="s">
        <v>87</v>
      </c>
      <c r="J20" s="15" t="s">
        <v>88</v>
      </c>
      <c r="K20" s="33">
        <v>0</v>
      </c>
    </row>
    <row r="21" spans="2:15" ht="31.5" customHeight="1" x14ac:dyDescent="0.25">
      <c r="B21" s="371"/>
      <c r="C21" s="19" t="s">
        <v>84</v>
      </c>
      <c r="D21" s="15" t="s">
        <v>102</v>
      </c>
      <c r="E21" s="33">
        <v>4</v>
      </c>
      <c r="H21" s="371"/>
      <c r="I21" s="19" t="s">
        <v>84</v>
      </c>
      <c r="J21" s="15" t="s">
        <v>102</v>
      </c>
      <c r="K21" s="33">
        <v>4</v>
      </c>
    </row>
    <row r="22" spans="2:15" ht="16.5" thickBot="1" x14ac:dyDescent="0.3">
      <c r="B22" s="372"/>
      <c r="C22" s="20" t="s">
        <v>85</v>
      </c>
      <c r="D22" s="28" t="s">
        <v>86</v>
      </c>
      <c r="E22" s="34">
        <v>900</v>
      </c>
      <c r="H22" s="372"/>
      <c r="I22" s="20" t="s">
        <v>85</v>
      </c>
      <c r="J22" s="28" t="s">
        <v>86</v>
      </c>
      <c r="K22" s="34">
        <v>900</v>
      </c>
    </row>
    <row r="23" spans="2:15" ht="15.75" thickBot="1" x14ac:dyDescent="0.3"/>
    <row r="24" spans="2:15" ht="23.25" customHeight="1" thickBot="1" x14ac:dyDescent="0.3">
      <c r="B24" s="363" t="s">
        <v>107</v>
      </c>
      <c r="C24" s="364"/>
      <c r="D24" s="365"/>
      <c r="E24" s="60" t="s">
        <v>235</v>
      </c>
      <c r="H24" s="363" t="s">
        <v>139</v>
      </c>
      <c r="I24" s="364"/>
      <c r="J24" s="365"/>
      <c r="K24" s="60" t="s">
        <v>294</v>
      </c>
      <c r="M24" s="48"/>
      <c r="N24" s="48"/>
      <c r="O24" s="48"/>
    </row>
    <row r="25" spans="2:15" ht="18.75" customHeight="1" x14ac:dyDescent="0.25">
      <c r="B25" s="366" t="s">
        <v>78</v>
      </c>
      <c r="C25" s="21">
        <v>1</v>
      </c>
      <c r="D25" s="22" t="s">
        <v>89</v>
      </c>
      <c r="E25" s="30" t="s">
        <v>82</v>
      </c>
      <c r="H25" s="366" t="s">
        <v>78</v>
      </c>
      <c r="I25" s="21">
        <v>1</v>
      </c>
      <c r="J25" s="22" t="s">
        <v>89</v>
      </c>
      <c r="K25" s="30" t="s">
        <v>82</v>
      </c>
      <c r="L25" s="48"/>
      <c r="M25" s="48"/>
      <c r="N25" s="48"/>
      <c r="O25" s="48"/>
    </row>
    <row r="26" spans="2:15" ht="19.5" customHeight="1" x14ac:dyDescent="0.25">
      <c r="B26" s="367"/>
      <c r="C26" s="23">
        <v>2</v>
      </c>
      <c r="D26" s="24" t="s">
        <v>98</v>
      </c>
      <c r="E26" s="31" t="s">
        <v>82</v>
      </c>
      <c r="H26" s="367"/>
      <c r="I26" s="23">
        <v>2</v>
      </c>
      <c r="J26" s="24" t="s">
        <v>98</v>
      </c>
      <c r="K26" s="31" t="s">
        <v>687</v>
      </c>
    </row>
    <row r="27" spans="2:15" ht="21.75" customHeight="1" x14ac:dyDescent="0.25">
      <c r="B27" s="367"/>
      <c r="C27" s="23">
        <v>3</v>
      </c>
      <c r="D27" s="24" t="s">
        <v>99</v>
      </c>
      <c r="E27" s="31" t="s">
        <v>82</v>
      </c>
      <c r="H27" s="367"/>
      <c r="I27" s="23">
        <v>3</v>
      </c>
      <c r="J27" s="24" t="s">
        <v>99</v>
      </c>
      <c r="K27" s="31" t="s">
        <v>687</v>
      </c>
    </row>
    <row r="28" spans="2:15" ht="29.25" customHeight="1" thickBot="1" x14ac:dyDescent="0.3">
      <c r="B28" s="368"/>
      <c r="C28" s="25">
        <v>4</v>
      </c>
      <c r="D28" s="26" t="s">
        <v>100</v>
      </c>
      <c r="E28" s="32" t="s">
        <v>82</v>
      </c>
      <c r="H28" s="368"/>
      <c r="I28" s="25">
        <v>4</v>
      </c>
      <c r="J28" s="26" t="s">
        <v>100</v>
      </c>
      <c r="K28" s="32" t="s">
        <v>82</v>
      </c>
      <c r="L28" s="48"/>
    </row>
    <row r="29" spans="2:15" ht="32.25" customHeight="1" thickBot="1" x14ac:dyDescent="0.3">
      <c r="B29" s="369" t="s">
        <v>81</v>
      </c>
      <c r="C29" s="18" t="s">
        <v>79</v>
      </c>
      <c r="D29" s="27" t="s">
        <v>80</v>
      </c>
      <c r="E29" s="32" t="s">
        <v>82</v>
      </c>
      <c r="H29" s="369" t="s">
        <v>81</v>
      </c>
      <c r="I29" s="18" t="s">
        <v>79</v>
      </c>
      <c r="J29" s="27" t="s">
        <v>80</v>
      </c>
      <c r="K29" s="32" t="s">
        <v>82</v>
      </c>
    </row>
    <row r="30" spans="2:15" ht="47.25" customHeight="1" thickBot="1" x14ac:dyDescent="0.3">
      <c r="B30" s="370"/>
      <c r="C30" s="19" t="s">
        <v>83</v>
      </c>
      <c r="D30" s="15" t="s">
        <v>101</v>
      </c>
      <c r="E30" s="32" t="s">
        <v>82</v>
      </c>
      <c r="H30" s="370"/>
      <c r="I30" s="19" t="s">
        <v>83</v>
      </c>
      <c r="J30" s="15" t="s">
        <v>101</v>
      </c>
      <c r="K30" s="32" t="s">
        <v>82</v>
      </c>
    </row>
    <row r="31" spans="2:15" x14ac:dyDescent="0.25">
      <c r="B31" s="370"/>
      <c r="C31" s="19" t="s">
        <v>87</v>
      </c>
      <c r="D31" s="15" t="s">
        <v>88</v>
      </c>
      <c r="E31" s="33">
        <v>0</v>
      </c>
      <c r="H31" s="370"/>
      <c r="I31" s="19" t="s">
        <v>87</v>
      </c>
      <c r="J31" s="15" t="s">
        <v>88</v>
      </c>
      <c r="K31" s="33">
        <v>0</v>
      </c>
    </row>
    <row r="32" spans="2:15" ht="31.5" customHeight="1" x14ac:dyDescent="0.25">
      <c r="B32" s="371"/>
      <c r="C32" s="19" t="s">
        <v>84</v>
      </c>
      <c r="D32" s="15" t="s">
        <v>102</v>
      </c>
      <c r="E32" s="33">
        <v>4</v>
      </c>
      <c r="H32" s="371"/>
      <c r="I32" s="19" t="s">
        <v>84</v>
      </c>
      <c r="J32" s="15" t="s">
        <v>102</v>
      </c>
      <c r="K32" s="33">
        <v>4</v>
      </c>
    </row>
    <row r="33" spans="2:15" ht="16.5" thickBot="1" x14ac:dyDescent="0.3">
      <c r="B33" s="372"/>
      <c r="C33" s="20" t="s">
        <v>85</v>
      </c>
      <c r="D33" s="28" t="s">
        <v>86</v>
      </c>
      <c r="E33" s="33">
        <v>900</v>
      </c>
      <c r="H33" s="372"/>
      <c r="I33" s="20" t="s">
        <v>85</v>
      </c>
      <c r="J33" s="28" t="s">
        <v>86</v>
      </c>
      <c r="K33" s="34">
        <v>900</v>
      </c>
    </row>
    <row r="34" spans="2:15" ht="15.75" thickBot="1" x14ac:dyDescent="0.3"/>
    <row r="35" spans="2:15" ht="23.25" customHeight="1" thickBot="1" x14ac:dyDescent="0.3">
      <c r="B35" s="363" t="s">
        <v>131</v>
      </c>
      <c r="C35" s="364"/>
      <c r="D35" s="365"/>
      <c r="E35" s="60" t="s">
        <v>235</v>
      </c>
      <c r="H35" s="363" t="s">
        <v>140</v>
      </c>
      <c r="I35" s="364"/>
      <c r="J35" s="365"/>
      <c r="K35" s="60" t="s">
        <v>235</v>
      </c>
      <c r="L35" s="48"/>
      <c r="M35" s="48"/>
      <c r="N35" s="48"/>
      <c r="O35" s="48"/>
    </row>
    <row r="36" spans="2:15" ht="18.75" customHeight="1" x14ac:dyDescent="0.25">
      <c r="B36" s="366" t="s">
        <v>78</v>
      </c>
      <c r="C36" s="21">
        <v>1</v>
      </c>
      <c r="D36" s="22" t="s">
        <v>89</v>
      </c>
      <c r="E36" s="30" t="s">
        <v>82</v>
      </c>
      <c r="H36" s="366" t="s">
        <v>78</v>
      </c>
      <c r="I36" s="21">
        <v>1</v>
      </c>
      <c r="J36" s="22" t="s">
        <v>89</v>
      </c>
      <c r="K36" s="30" t="s">
        <v>82</v>
      </c>
      <c r="L36" s="48"/>
      <c r="M36" s="48"/>
      <c r="N36" s="48"/>
      <c r="O36" s="48"/>
    </row>
    <row r="37" spans="2:15" ht="19.5" customHeight="1" x14ac:dyDescent="0.25">
      <c r="B37" s="367"/>
      <c r="C37" s="23">
        <v>2</v>
      </c>
      <c r="D37" s="24" t="s">
        <v>98</v>
      </c>
      <c r="E37" s="31" t="s">
        <v>82</v>
      </c>
      <c r="H37" s="367"/>
      <c r="I37" s="23">
        <v>2</v>
      </c>
      <c r="J37" s="24" t="s">
        <v>98</v>
      </c>
      <c r="K37" s="31" t="s">
        <v>82</v>
      </c>
    </row>
    <row r="38" spans="2:15" ht="21.75" customHeight="1" x14ac:dyDescent="0.25">
      <c r="B38" s="367"/>
      <c r="C38" s="23">
        <v>3</v>
      </c>
      <c r="D38" s="24" t="s">
        <v>99</v>
      </c>
      <c r="E38" s="31" t="s">
        <v>82</v>
      </c>
      <c r="H38" s="367"/>
      <c r="I38" s="23">
        <v>3</v>
      </c>
      <c r="J38" s="24" t="s">
        <v>99</v>
      </c>
      <c r="K38" s="31" t="s">
        <v>82</v>
      </c>
    </row>
    <row r="39" spans="2:15" ht="29.25" customHeight="1" thickBot="1" x14ac:dyDescent="0.3">
      <c r="B39" s="368"/>
      <c r="C39" s="25">
        <v>4</v>
      </c>
      <c r="D39" s="26" t="s">
        <v>100</v>
      </c>
      <c r="E39" s="32" t="s">
        <v>82</v>
      </c>
      <c r="H39" s="368"/>
      <c r="I39" s="25">
        <v>4</v>
      </c>
      <c r="J39" s="26" t="s">
        <v>100</v>
      </c>
      <c r="K39" s="32" t="s">
        <v>82</v>
      </c>
    </row>
    <row r="40" spans="2:15" ht="32.25" customHeight="1" thickBot="1" x14ac:dyDescent="0.3">
      <c r="B40" s="369" t="s">
        <v>81</v>
      </c>
      <c r="C40" s="18" t="s">
        <v>79</v>
      </c>
      <c r="D40" s="27" t="s">
        <v>80</v>
      </c>
      <c r="E40" s="32" t="s">
        <v>82</v>
      </c>
      <c r="H40" s="369" t="s">
        <v>81</v>
      </c>
      <c r="I40" s="18" t="s">
        <v>79</v>
      </c>
      <c r="J40" s="27" t="s">
        <v>80</v>
      </c>
      <c r="K40" s="32" t="s">
        <v>82</v>
      </c>
    </row>
    <row r="41" spans="2:15" ht="47.25" customHeight="1" thickBot="1" x14ac:dyDescent="0.3">
      <c r="B41" s="370"/>
      <c r="C41" s="19" t="s">
        <v>83</v>
      </c>
      <c r="D41" s="15" t="s">
        <v>101</v>
      </c>
      <c r="E41" s="32" t="s">
        <v>82</v>
      </c>
      <c r="H41" s="370"/>
      <c r="I41" s="19" t="s">
        <v>83</v>
      </c>
      <c r="J41" s="15" t="s">
        <v>101</v>
      </c>
      <c r="K41" s="32" t="s">
        <v>82</v>
      </c>
    </row>
    <row r="42" spans="2:15" x14ac:dyDescent="0.25">
      <c r="B42" s="370"/>
      <c r="C42" s="19" t="s">
        <v>87</v>
      </c>
      <c r="D42" s="15" t="s">
        <v>88</v>
      </c>
      <c r="E42" s="33" t="s">
        <v>82</v>
      </c>
      <c r="H42" s="370"/>
      <c r="I42" s="19" t="s">
        <v>87</v>
      </c>
      <c r="J42" s="15" t="s">
        <v>88</v>
      </c>
      <c r="K42" s="33">
        <v>0</v>
      </c>
    </row>
    <row r="43" spans="2:15" ht="31.5" customHeight="1" x14ac:dyDescent="0.25">
      <c r="B43" s="371"/>
      <c r="C43" s="19" t="s">
        <v>84</v>
      </c>
      <c r="D43" s="15" t="s">
        <v>102</v>
      </c>
      <c r="E43" s="33">
        <v>4</v>
      </c>
      <c r="H43" s="371"/>
      <c r="I43" s="19" t="s">
        <v>84</v>
      </c>
      <c r="J43" s="15" t="s">
        <v>102</v>
      </c>
      <c r="K43" s="33">
        <v>4</v>
      </c>
    </row>
    <row r="44" spans="2:15" ht="16.5" thickBot="1" x14ac:dyDescent="0.3">
      <c r="B44" s="372"/>
      <c r="C44" s="20" t="s">
        <v>85</v>
      </c>
      <c r="D44" s="28" t="s">
        <v>86</v>
      </c>
      <c r="E44" s="34">
        <v>900</v>
      </c>
      <c r="H44" s="372"/>
      <c r="I44" s="20" t="s">
        <v>85</v>
      </c>
      <c r="J44" s="28" t="s">
        <v>86</v>
      </c>
      <c r="K44" s="34">
        <v>900</v>
      </c>
    </row>
    <row r="45" spans="2:15" ht="15.75" thickBot="1" x14ac:dyDescent="0.3"/>
    <row r="46" spans="2:15" ht="23.25" customHeight="1" thickBot="1" x14ac:dyDescent="0.3">
      <c r="B46" s="363" t="s">
        <v>132</v>
      </c>
      <c r="C46" s="364"/>
      <c r="D46" s="365"/>
      <c r="E46" s="60" t="s">
        <v>235</v>
      </c>
      <c r="H46" s="363" t="s">
        <v>141</v>
      </c>
      <c r="I46" s="364"/>
      <c r="J46" s="365"/>
      <c r="K46" s="60" t="s">
        <v>235</v>
      </c>
      <c r="M46" s="48"/>
      <c r="N46" s="48"/>
      <c r="O46" s="48"/>
    </row>
    <row r="47" spans="2:15" ht="18.75" customHeight="1" x14ac:dyDescent="0.25">
      <c r="B47" s="366" t="s">
        <v>78</v>
      </c>
      <c r="C47" s="21">
        <v>1</v>
      </c>
      <c r="D47" s="22" t="s">
        <v>89</v>
      </c>
      <c r="E47" s="30" t="s">
        <v>82</v>
      </c>
      <c r="H47" s="366" t="s">
        <v>78</v>
      </c>
      <c r="I47" s="21">
        <v>1</v>
      </c>
      <c r="J47" s="22" t="s">
        <v>89</v>
      </c>
      <c r="K47" s="30" t="s">
        <v>82</v>
      </c>
      <c r="L47" s="48"/>
      <c r="M47" s="48"/>
      <c r="N47" s="48"/>
      <c r="O47" s="48"/>
    </row>
    <row r="48" spans="2:15" ht="19.5" customHeight="1" x14ac:dyDescent="0.25">
      <c r="B48" s="367"/>
      <c r="C48" s="23">
        <v>2</v>
      </c>
      <c r="D48" s="24" t="s">
        <v>98</v>
      </c>
      <c r="E48" s="31" t="s">
        <v>82</v>
      </c>
      <c r="H48" s="367"/>
      <c r="I48" s="23">
        <v>2</v>
      </c>
      <c r="J48" s="24" t="s">
        <v>98</v>
      </c>
      <c r="K48" s="31" t="s">
        <v>82</v>
      </c>
    </row>
    <row r="49" spans="2:15" ht="21.75" customHeight="1" x14ac:dyDescent="0.25">
      <c r="B49" s="367"/>
      <c r="C49" s="23">
        <v>3</v>
      </c>
      <c r="D49" s="24" t="s">
        <v>99</v>
      </c>
      <c r="E49" s="31" t="s">
        <v>82</v>
      </c>
      <c r="H49" s="367"/>
      <c r="I49" s="23">
        <v>3</v>
      </c>
      <c r="J49" s="24" t="s">
        <v>99</v>
      </c>
      <c r="K49" s="31" t="s">
        <v>82</v>
      </c>
    </row>
    <row r="50" spans="2:15" ht="29.25" customHeight="1" thickBot="1" x14ac:dyDescent="0.3">
      <c r="B50" s="368"/>
      <c r="C50" s="25">
        <v>4</v>
      </c>
      <c r="D50" s="26" t="s">
        <v>100</v>
      </c>
      <c r="E50" s="32" t="s">
        <v>82</v>
      </c>
      <c r="H50" s="368"/>
      <c r="I50" s="25">
        <v>4</v>
      </c>
      <c r="J50" s="26" t="s">
        <v>100</v>
      </c>
      <c r="K50" s="32" t="s">
        <v>82</v>
      </c>
      <c r="L50" s="48"/>
    </row>
    <row r="51" spans="2:15" ht="32.25" customHeight="1" thickBot="1" x14ac:dyDescent="0.3">
      <c r="B51" s="369" t="s">
        <v>81</v>
      </c>
      <c r="C51" s="18" t="s">
        <v>79</v>
      </c>
      <c r="D51" s="27" t="s">
        <v>80</v>
      </c>
      <c r="E51" s="32" t="s">
        <v>82</v>
      </c>
      <c r="H51" s="369" t="s">
        <v>81</v>
      </c>
      <c r="I51" s="18" t="s">
        <v>79</v>
      </c>
      <c r="J51" s="27" t="s">
        <v>80</v>
      </c>
      <c r="K51" s="32" t="s">
        <v>82</v>
      </c>
    </row>
    <row r="52" spans="2:15" ht="47.25" customHeight="1" thickBot="1" x14ac:dyDescent="0.3">
      <c r="B52" s="370"/>
      <c r="C52" s="19" t="s">
        <v>83</v>
      </c>
      <c r="D52" s="15" t="s">
        <v>101</v>
      </c>
      <c r="E52" s="32" t="s">
        <v>82</v>
      </c>
      <c r="H52" s="370"/>
      <c r="I52" s="19" t="s">
        <v>83</v>
      </c>
      <c r="J52" s="15" t="s">
        <v>101</v>
      </c>
      <c r="K52" s="32" t="s">
        <v>82</v>
      </c>
    </row>
    <row r="53" spans="2:15" x14ac:dyDescent="0.25">
      <c r="B53" s="370"/>
      <c r="C53" s="19" t="s">
        <v>87</v>
      </c>
      <c r="D53" s="15" t="s">
        <v>88</v>
      </c>
      <c r="E53" s="33">
        <v>1</v>
      </c>
      <c r="H53" s="370"/>
      <c r="I53" s="19" t="s">
        <v>87</v>
      </c>
      <c r="J53" s="15" t="s">
        <v>88</v>
      </c>
      <c r="K53" s="33">
        <v>1</v>
      </c>
    </row>
    <row r="54" spans="2:15" ht="31.5" customHeight="1" x14ac:dyDescent="0.25">
      <c r="B54" s="371"/>
      <c r="C54" s="19" t="s">
        <v>84</v>
      </c>
      <c r="D54" s="15" t="s">
        <v>102</v>
      </c>
      <c r="E54" s="33">
        <v>4</v>
      </c>
      <c r="H54" s="371"/>
      <c r="I54" s="19" t="s">
        <v>84</v>
      </c>
      <c r="J54" s="15" t="s">
        <v>102</v>
      </c>
      <c r="K54" s="33">
        <v>4</v>
      </c>
    </row>
    <row r="55" spans="2:15" ht="16.5" thickBot="1" x14ac:dyDescent="0.3">
      <c r="B55" s="372"/>
      <c r="C55" s="20" t="s">
        <v>85</v>
      </c>
      <c r="D55" s="28" t="s">
        <v>86</v>
      </c>
      <c r="E55" s="33">
        <v>900</v>
      </c>
      <c r="H55" s="372"/>
      <c r="I55" s="20" t="s">
        <v>85</v>
      </c>
      <c r="J55" s="28" t="s">
        <v>86</v>
      </c>
      <c r="K55" s="34">
        <v>900</v>
      </c>
    </row>
    <row r="56" spans="2:15" ht="15.75" thickBot="1" x14ac:dyDescent="0.3"/>
    <row r="57" spans="2:15" ht="23.25" customHeight="1" thickBot="1" x14ac:dyDescent="0.3">
      <c r="B57" s="363" t="s">
        <v>133</v>
      </c>
      <c r="C57" s="364"/>
      <c r="D57" s="365"/>
      <c r="E57" s="60" t="s">
        <v>294</v>
      </c>
      <c r="H57" s="363" t="s">
        <v>142</v>
      </c>
      <c r="I57" s="364"/>
      <c r="J57" s="365"/>
      <c r="K57" s="60" t="s">
        <v>235</v>
      </c>
      <c r="M57" s="48"/>
      <c r="N57" s="48"/>
      <c r="O57" s="48"/>
    </row>
    <row r="58" spans="2:15" ht="18.75" customHeight="1" thickBot="1" x14ac:dyDescent="0.3">
      <c r="B58" s="366" t="s">
        <v>78</v>
      </c>
      <c r="C58" s="21">
        <v>1</v>
      </c>
      <c r="D58" s="22" t="s">
        <v>89</v>
      </c>
      <c r="E58" s="30" t="s">
        <v>82</v>
      </c>
      <c r="H58" s="366" t="s">
        <v>78</v>
      </c>
      <c r="I58" s="21">
        <v>1</v>
      </c>
      <c r="J58" s="22" t="s">
        <v>89</v>
      </c>
      <c r="K58" s="30" t="s">
        <v>82</v>
      </c>
      <c r="L58" s="48"/>
      <c r="M58" s="48"/>
      <c r="N58" s="48"/>
      <c r="O58" s="48"/>
    </row>
    <row r="59" spans="2:15" ht="19.5" customHeight="1" thickBot="1" x14ac:dyDescent="0.3">
      <c r="B59" s="367"/>
      <c r="C59" s="23">
        <v>2</v>
      </c>
      <c r="D59" s="24" t="s">
        <v>98</v>
      </c>
      <c r="E59" s="30" t="s">
        <v>82</v>
      </c>
      <c r="H59" s="367"/>
      <c r="I59" s="23">
        <v>2</v>
      </c>
      <c r="J59" s="24" t="s">
        <v>98</v>
      </c>
      <c r="K59" s="31" t="s">
        <v>82</v>
      </c>
    </row>
    <row r="60" spans="2:15" ht="21.75" customHeight="1" x14ac:dyDescent="0.25">
      <c r="B60" s="367"/>
      <c r="C60" s="23">
        <v>3</v>
      </c>
      <c r="D60" s="24" t="s">
        <v>99</v>
      </c>
      <c r="E60" s="30" t="s">
        <v>82</v>
      </c>
      <c r="H60" s="367"/>
      <c r="I60" s="23">
        <v>3</v>
      </c>
      <c r="J60" s="24" t="s">
        <v>99</v>
      </c>
      <c r="K60" s="31" t="s">
        <v>82</v>
      </c>
    </row>
    <row r="61" spans="2:15" ht="29.25" customHeight="1" thickBot="1" x14ac:dyDescent="0.3">
      <c r="B61" s="368"/>
      <c r="C61" s="25">
        <v>4</v>
      </c>
      <c r="D61" s="26" t="s">
        <v>100</v>
      </c>
      <c r="E61" s="32" t="s">
        <v>82</v>
      </c>
      <c r="H61" s="368"/>
      <c r="I61" s="25">
        <v>4</v>
      </c>
      <c r="J61" s="26" t="s">
        <v>100</v>
      </c>
      <c r="K61" s="32" t="s">
        <v>82</v>
      </c>
      <c r="L61" s="48"/>
    </row>
    <row r="62" spans="2:15" ht="32.25" customHeight="1" thickBot="1" x14ac:dyDescent="0.3">
      <c r="B62" s="369" t="s">
        <v>81</v>
      </c>
      <c r="C62" s="18" t="s">
        <v>79</v>
      </c>
      <c r="D62" s="27" t="s">
        <v>80</v>
      </c>
      <c r="E62" s="32" t="s">
        <v>234</v>
      </c>
      <c r="H62" s="369" t="s">
        <v>81</v>
      </c>
      <c r="I62" s="18" t="s">
        <v>79</v>
      </c>
      <c r="J62" s="27" t="s">
        <v>80</v>
      </c>
      <c r="K62" s="32" t="s">
        <v>82</v>
      </c>
    </row>
    <row r="63" spans="2:15" ht="47.25" customHeight="1" thickBot="1" x14ac:dyDescent="0.3">
      <c r="B63" s="370"/>
      <c r="C63" s="19" t="s">
        <v>83</v>
      </c>
      <c r="D63" s="15" t="s">
        <v>101</v>
      </c>
      <c r="E63" s="32" t="s">
        <v>82</v>
      </c>
      <c r="H63" s="370"/>
      <c r="I63" s="19" t="s">
        <v>83</v>
      </c>
      <c r="J63" s="15" t="s">
        <v>101</v>
      </c>
      <c r="K63" s="32" t="s">
        <v>82</v>
      </c>
    </row>
    <row r="64" spans="2:15" x14ac:dyDescent="0.25">
      <c r="B64" s="370"/>
      <c r="C64" s="19" t="s">
        <v>87</v>
      </c>
      <c r="D64" s="15" t="s">
        <v>88</v>
      </c>
      <c r="E64" s="33">
        <v>0</v>
      </c>
      <c r="H64" s="370"/>
      <c r="I64" s="19" t="s">
        <v>87</v>
      </c>
      <c r="J64" s="15" t="s">
        <v>88</v>
      </c>
      <c r="K64" s="33">
        <v>1</v>
      </c>
    </row>
    <row r="65" spans="2:15" ht="31.5" customHeight="1" x14ac:dyDescent="0.25">
      <c r="B65" s="371"/>
      <c r="C65" s="19" t="s">
        <v>84</v>
      </c>
      <c r="D65" s="15" t="s">
        <v>102</v>
      </c>
      <c r="E65" s="33">
        <v>3</v>
      </c>
      <c r="H65" s="371"/>
      <c r="I65" s="19" t="s">
        <v>84</v>
      </c>
      <c r="J65" s="15" t="s">
        <v>102</v>
      </c>
      <c r="K65" s="33">
        <v>4</v>
      </c>
    </row>
    <row r="66" spans="2:15" ht="16.5" thickBot="1" x14ac:dyDescent="0.3">
      <c r="B66" s="372"/>
      <c r="C66" s="20" t="s">
        <v>85</v>
      </c>
      <c r="D66" s="28" t="s">
        <v>86</v>
      </c>
      <c r="E66" s="34">
        <v>0</v>
      </c>
      <c r="H66" s="372"/>
      <c r="I66" s="20" t="s">
        <v>85</v>
      </c>
      <c r="J66" s="28" t="s">
        <v>86</v>
      </c>
      <c r="K66" s="34">
        <v>900</v>
      </c>
    </row>
    <row r="67" spans="2:15" ht="15.75" thickBot="1" x14ac:dyDescent="0.3"/>
    <row r="68" spans="2:15" ht="23.25" customHeight="1" thickBot="1" x14ac:dyDescent="0.3">
      <c r="B68" s="363" t="s">
        <v>134</v>
      </c>
      <c r="C68" s="364"/>
      <c r="D68" s="365"/>
      <c r="E68" s="60" t="s">
        <v>235</v>
      </c>
      <c r="H68" s="363" t="s">
        <v>143</v>
      </c>
      <c r="I68" s="364"/>
      <c r="J68" s="365"/>
      <c r="K68" s="60" t="s">
        <v>295</v>
      </c>
      <c r="L68" s="48" t="s">
        <v>236</v>
      </c>
      <c r="M68" s="48"/>
      <c r="N68" s="48"/>
      <c r="O68" s="48"/>
    </row>
    <row r="69" spans="2:15" ht="18.75" customHeight="1" x14ac:dyDescent="0.25">
      <c r="B69" s="366" t="s">
        <v>78</v>
      </c>
      <c r="C69" s="21">
        <v>1</v>
      </c>
      <c r="D69" s="22" t="s">
        <v>89</v>
      </c>
      <c r="E69" s="30" t="s">
        <v>82</v>
      </c>
      <c r="H69" s="366" t="s">
        <v>78</v>
      </c>
      <c r="I69" s="21">
        <v>1</v>
      </c>
      <c r="J69" s="22" t="s">
        <v>89</v>
      </c>
      <c r="K69" s="30" t="s">
        <v>234</v>
      </c>
      <c r="L69" s="48"/>
      <c r="M69" s="48"/>
      <c r="N69" s="48"/>
      <c r="O69" s="48"/>
    </row>
    <row r="70" spans="2:15" ht="19.5" customHeight="1" x14ac:dyDescent="0.25">
      <c r="B70" s="367"/>
      <c r="C70" s="23">
        <v>2</v>
      </c>
      <c r="D70" s="24" t="s">
        <v>98</v>
      </c>
      <c r="E70" s="31" t="s">
        <v>82</v>
      </c>
      <c r="H70" s="367"/>
      <c r="I70" s="23">
        <v>2</v>
      </c>
      <c r="J70" s="24" t="s">
        <v>98</v>
      </c>
      <c r="K70" s="31" t="s">
        <v>82</v>
      </c>
    </row>
    <row r="71" spans="2:15" ht="21.75" customHeight="1" x14ac:dyDescent="0.25">
      <c r="B71" s="367"/>
      <c r="C71" s="23">
        <v>3</v>
      </c>
      <c r="D71" s="24" t="s">
        <v>99</v>
      </c>
      <c r="E71" s="31" t="s">
        <v>82</v>
      </c>
      <c r="H71" s="367"/>
      <c r="I71" s="23">
        <v>3</v>
      </c>
      <c r="J71" s="24" t="s">
        <v>99</v>
      </c>
      <c r="K71" s="31" t="s">
        <v>82</v>
      </c>
    </row>
    <row r="72" spans="2:15" ht="29.25" customHeight="1" thickBot="1" x14ac:dyDescent="0.3">
      <c r="B72" s="368"/>
      <c r="C72" s="25">
        <v>4</v>
      </c>
      <c r="D72" s="26" t="s">
        <v>100</v>
      </c>
      <c r="E72" s="32" t="s">
        <v>82</v>
      </c>
      <c r="H72" s="368"/>
      <c r="I72" s="25">
        <v>4</v>
      </c>
      <c r="J72" s="26" t="s">
        <v>100</v>
      </c>
      <c r="K72" s="32" t="s">
        <v>234</v>
      </c>
    </row>
    <row r="73" spans="2:15" ht="32.25" customHeight="1" thickBot="1" x14ac:dyDescent="0.3">
      <c r="B73" s="369" t="s">
        <v>81</v>
      </c>
      <c r="C73" s="18" t="s">
        <v>79</v>
      </c>
      <c r="D73" s="27" t="s">
        <v>80</v>
      </c>
      <c r="E73" s="32" t="s">
        <v>82</v>
      </c>
      <c r="H73" s="369" t="s">
        <v>81</v>
      </c>
      <c r="I73" s="18" t="s">
        <v>79</v>
      </c>
      <c r="J73" s="27" t="s">
        <v>80</v>
      </c>
      <c r="K73" s="32" t="s">
        <v>295</v>
      </c>
      <c r="L73" s="16" t="s">
        <v>236</v>
      </c>
    </row>
    <row r="74" spans="2:15" ht="47.25" customHeight="1" thickBot="1" x14ac:dyDescent="0.3">
      <c r="B74" s="370"/>
      <c r="C74" s="19" t="s">
        <v>83</v>
      </c>
      <c r="D74" s="15" t="s">
        <v>101</v>
      </c>
      <c r="E74" s="32" t="s">
        <v>82</v>
      </c>
      <c r="H74" s="370"/>
      <c r="I74" s="19" t="s">
        <v>83</v>
      </c>
      <c r="J74" s="15" t="s">
        <v>101</v>
      </c>
      <c r="K74" s="32" t="s">
        <v>82</v>
      </c>
    </row>
    <row r="75" spans="2:15" x14ac:dyDescent="0.25">
      <c r="B75" s="370"/>
      <c r="C75" s="19" t="s">
        <v>87</v>
      </c>
      <c r="D75" s="15" t="s">
        <v>88</v>
      </c>
      <c r="E75" s="33">
        <v>1</v>
      </c>
      <c r="H75" s="370"/>
      <c r="I75" s="19" t="s">
        <v>87</v>
      </c>
      <c r="J75" s="15" t="s">
        <v>88</v>
      </c>
      <c r="K75" s="33">
        <v>0</v>
      </c>
    </row>
    <row r="76" spans="2:15" ht="31.5" customHeight="1" x14ac:dyDescent="0.25">
      <c r="B76" s="371"/>
      <c r="C76" s="19" t="s">
        <v>84</v>
      </c>
      <c r="D76" s="15" t="s">
        <v>102</v>
      </c>
      <c r="E76" s="33">
        <v>4</v>
      </c>
      <c r="H76" s="371"/>
      <c r="I76" s="19" t="s">
        <v>84</v>
      </c>
      <c r="J76" s="15" t="s">
        <v>102</v>
      </c>
      <c r="K76" s="33">
        <v>2</v>
      </c>
    </row>
    <row r="77" spans="2:15" ht="16.5" thickBot="1" x14ac:dyDescent="0.3">
      <c r="B77" s="372"/>
      <c r="C77" s="20" t="s">
        <v>85</v>
      </c>
      <c r="D77" s="28" t="s">
        <v>86</v>
      </c>
      <c r="E77" s="34">
        <v>900</v>
      </c>
      <c r="H77" s="372"/>
      <c r="I77" s="20" t="s">
        <v>85</v>
      </c>
      <c r="J77" s="28" t="s">
        <v>86</v>
      </c>
      <c r="K77" s="34" t="s">
        <v>715</v>
      </c>
    </row>
    <row r="78" spans="2:15" ht="15.75" thickBot="1" x14ac:dyDescent="0.3"/>
    <row r="79" spans="2:15" ht="23.25" customHeight="1" thickBot="1" x14ac:dyDescent="0.3">
      <c r="B79" s="363" t="s">
        <v>135</v>
      </c>
      <c r="C79" s="364"/>
      <c r="D79" s="365"/>
      <c r="E79" s="60" t="s">
        <v>235</v>
      </c>
      <c r="H79" s="363" t="s">
        <v>144</v>
      </c>
      <c r="I79" s="364"/>
      <c r="J79" s="365"/>
      <c r="K79" s="60" t="s">
        <v>294</v>
      </c>
      <c r="L79" s="48"/>
      <c r="M79" s="48"/>
      <c r="N79" s="48"/>
      <c r="O79" s="48"/>
    </row>
    <row r="80" spans="2:15" ht="18.75" customHeight="1" thickBot="1" x14ac:dyDescent="0.3">
      <c r="B80" s="366" t="s">
        <v>78</v>
      </c>
      <c r="C80" s="21">
        <v>1</v>
      </c>
      <c r="D80" s="22" t="s">
        <v>89</v>
      </c>
      <c r="E80" s="30" t="s">
        <v>82</v>
      </c>
      <c r="H80" s="366" t="s">
        <v>78</v>
      </c>
      <c r="I80" s="21">
        <v>1</v>
      </c>
      <c r="J80" s="22" t="s">
        <v>89</v>
      </c>
      <c r="K80" s="30" t="s">
        <v>82</v>
      </c>
      <c r="L80" s="48"/>
      <c r="M80" s="48"/>
      <c r="N80" s="48"/>
      <c r="O80" s="48"/>
    </row>
    <row r="81" spans="2:15" ht="19.5" customHeight="1" thickBot="1" x14ac:dyDescent="0.3">
      <c r="B81" s="367"/>
      <c r="C81" s="23">
        <v>2</v>
      </c>
      <c r="D81" s="24" t="s">
        <v>98</v>
      </c>
      <c r="E81" s="31" t="s">
        <v>82</v>
      </c>
      <c r="H81" s="367"/>
      <c r="I81" s="23">
        <v>2</v>
      </c>
      <c r="J81" s="24" t="s">
        <v>98</v>
      </c>
      <c r="K81" s="30" t="s">
        <v>82</v>
      </c>
    </row>
    <row r="82" spans="2:15" ht="21.75" customHeight="1" thickBot="1" x14ac:dyDescent="0.3">
      <c r="B82" s="367"/>
      <c r="C82" s="23">
        <v>3</v>
      </c>
      <c r="D82" s="24" t="s">
        <v>99</v>
      </c>
      <c r="E82" s="31" t="s">
        <v>82</v>
      </c>
      <c r="H82" s="367"/>
      <c r="I82" s="23">
        <v>3</v>
      </c>
      <c r="J82" s="24" t="s">
        <v>99</v>
      </c>
      <c r="K82" s="30" t="s">
        <v>82</v>
      </c>
    </row>
    <row r="83" spans="2:15" ht="29.25" customHeight="1" thickBot="1" x14ac:dyDescent="0.3">
      <c r="B83" s="368"/>
      <c r="C83" s="25">
        <v>4</v>
      </c>
      <c r="D83" s="26" t="s">
        <v>100</v>
      </c>
      <c r="E83" s="32" t="s">
        <v>82</v>
      </c>
      <c r="H83" s="368"/>
      <c r="I83" s="25">
        <v>4</v>
      </c>
      <c r="J83" s="26" t="s">
        <v>100</v>
      </c>
      <c r="K83" s="30" t="s">
        <v>82</v>
      </c>
    </row>
    <row r="84" spans="2:15" ht="32.25" customHeight="1" thickBot="1" x14ac:dyDescent="0.3">
      <c r="B84" s="369" t="s">
        <v>81</v>
      </c>
      <c r="C84" s="18" t="s">
        <v>79</v>
      </c>
      <c r="D84" s="27" t="s">
        <v>80</v>
      </c>
      <c r="E84" s="32" t="s">
        <v>82</v>
      </c>
      <c r="H84" s="369" t="s">
        <v>81</v>
      </c>
      <c r="I84" s="18" t="s">
        <v>79</v>
      </c>
      <c r="J84" s="27" t="s">
        <v>80</v>
      </c>
      <c r="K84" s="32" t="s">
        <v>82</v>
      </c>
    </row>
    <row r="85" spans="2:15" ht="47.25" customHeight="1" thickBot="1" x14ac:dyDescent="0.3">
      <c r="B85" s="370"/>
      <c r="C85" s="19" t="s">
        <v>83</v>
      </c>
      <c r="D85" s="15" t="s">
        <v>101</v>
      </c>
      <c r="E85" s="32" t="s">
        <v>82</v>
      </c>
      <c r="H85" s="370"/>
      <c r="I85" s="19" t="s">
        <v>83</v>
      </c>
      <c r="J85" s="15" t="s">
        <v>101</v>
      </c>
      <c r="K85" s="32" t="s">
        <v>82</v>
      </c>
    </row>
    <row r="86" spans="2:15" x14ac:dyDescent="0.25">
      <c r="B86" s="370"/>
      <c r="C86" s="19" t="s">
        <v>87</v>
      </c>
      <c r="D86" s="15" t="s">
        <v>88</v>
      </c>
      <c r="E86" s="33">
        <v>0</v>
      </c>
      <c r="H86" s="370"/>
      <c r="I86" s="19" t="s">
        <v>87</v>
      </c>
      <c r="J86" s="15" t="s">
        <v>88</v>
      </c>
      <c r="K86" s="33">
        <v>0</v>
      </c>
    </row>
    <row r="87" spans="2:15" ht="31.5" customHeight="1" x14ac:dyDescent="0.25">
      <c r="B87" s="371"/>
      <c r="C87" s="19" t="s">
        <v>84</v>
      </c>
      <c r="D87" s="15" t="s">
        <v>102</v>
      </c>
      <c r="E87" s="33">
        <v>4</v>
      </c>
      <c r="H87" s="371"/>
      <c r="I87" s="19" t="s">
        <v>84</v>
      </c>
      <c r="J87" s="15" t="s">
        <v>102</v>
      </c>
      <c r="K87" s="33">
        <v>4</v>
      </c>
    </row>
    <row r="88" spans="2:15" ht="16.5" thickBot="1" x14ac:dyDescent="0.3">
      <c r="B88" s="372"/>
      <c r="C88" s="20" t="s">
        <v>85</v>
      </c>
      <c r="D88" s="28" t="s">
        <v>86</v>
      </c>
      <c r="E88" s="34">
        <v>900</v>
      </c>
      <c r="H88" s="372"/>
      <c r="I88" s="20" t="s">
        <v>85</v>
      </c>
      <c r="J88" s="28" t="s">
        <v>86</v>
      </c>
      <c r="K88" s="34">
        <v>900</v>
      </c>
    </row>
    <row r="89" spans="2:15" ht="15.75" thickBot="1" x14ac:dyDescent="0.3"/>
    <row r="90" spans="2:15" ht="23.25" customHeight="1" thickBot="1" x14ac:dyDescent="0.3">
      <c r="B90" s="363" t="s">
        <v>136</v>
      </c>
      <c r="C90" s="364"/>
      <c r="D90" s="365"/>
      <c r="E90" s="60" t="s">
        <v>235</v>
      </c>
      <c r="H90" s="363" t="s">
        <v>145</v>
      </c>
      <c r="I90" s="364"/>
      <c r="J90" s="365"/>
      <c r="K90" s="60" t="s">
        <v>235</v>
      </c>
      <c r="L90" s="48"/>
      <c r="M90" s="48"/>
      <c r="N90" s="48"/>
      <c r="O90" s="48"/>
    </row>
    <row r="91" spans="2:15" ht="18.75" customHeight="1" x14ac:dyDescent="0.25">
      <c r="B91" s="366" t="s">
        <v>78</v>
      </c>
      <c r="C91" s="21">
        <v>1</v>
      </c>
      <c r="D91" s="22" t="s">
        <v>89</v>
      </c>
      <c r="E91" s="30" t="s">
        <v>82</v>
      </c>
      <c r="H91" s="366" t="s">
        <v>78</v>
      </c>
      <c r="I91" s="21">
        <v>1</v>
      </c>
      <c r="J91" s="22" t="s">
        <v>89</v>
      </c>
      <c r="K91" s="30" t="s">
        <v>82</v>
      </c>
      <c r="L91" s="48"/>
      <c r="M91" s="48"/>
      <c r="N91" s="48"/>
      <c r="O91" s="48"/>
    </row>
    <row r="92" spans="2:15" ht="19.5" customHeight="1" x14ac:dyDescent="0.25">
      <c r="B92" s="367"/>
      <c r="C92" s="23">
        <v>2</v>
      </c>
      <c r="D92" s="24" t="s">
        <v>98</v>
      </c>
      <c r="E92" s="31" t="s">
        <v>82</v>
      </c>
      <c r="H92" s="367"/>
      <c r="I92" s="23">
        <v>2</v>
      </c>
      <c r="J92" s="24" t="s">
        <v>98</v>
      </c>
      <c r="K92" s="31" t="s">
        <v>82</v>
      </c>
    </row>
    <row r="93" spans="2:15" ht="21.75" customHeight="1" x14ac:dyDescent="0.25">
      <c r="B93" s="367"/>
      <c r="C93" s="23">
        <v>3</v>
      </c>
      <c r="D93" s="24" t="s">
        <v>99</v>
      </c>
      <c r="E93" s="31" t="s">
        <v>82</v>
      </c>
      <c r="H93" s="367"/>
      <c r="I93" s="23">
        <v>3</v>
      </c>
      <c r="J93" s="24" t="s">
        <v>99</v>
      </c>
      <c r="K93" s="31" t="s">
        <v>82</v>
      </c>
    </row>
    <row r="94" spans="2:15" ht="29.25" customHeight="1" thickBot="1" x14ac:dyDescent="0.3">
      <c r="B94" s="368"/>
      <c r="C94" s="25">
        <v>4</v>
      </c>
      <c r="D94" s="26" t="s">
        <v>100</v>
      </c>
      <c r="E94" s="32" t="s">
        <v>82</v>
      </c>
      <c r="H94" s="368"/>
      <c r="I94" s="25">
        <v>4</v>
      </c>
      <c r="J94" s="26" t="s">
        <v>100</v>
      </c>
      <c r="K94" s="32" t="s">
        <v>82</v>
      </c>
    </row>
    <row r="95" spans="2:15" ht="32.25" customHeight="1" thickBot="1" x14ac:dyDescent="0.3">
      <c r="B95" s="369" t="s">
        <v>81</v>
      </c>
      <c r="C95" s="18" t="s">
        <v>79</v>
      </c>
      <c r="D95" s="27" t="s">
        <v>80</v>
      </c>
      <c r="E95" s="32" t="s">
        <v>82</v>
      </c>
      <c r="H95" s="369" t="s">
        <v>81</v>
      </c>
      <c r="I95" s="18" t="s">
        <v>79</v>
      </c>
      <c r="J95" s="27" t="s">
        <v>80</v>
      </c>
      <c r="K95" s="32" t="s">
        <v>82</v>
      </c>
    </row>
    <row r="96" spans="2:15" ht="47.25" customHeight="1" thickBot="1" x14ac:dyDescent="0.3">
      <c r="B96" s="370"/>
      <c r="C96" s="19" t="s">
        <v>83</v>
      </c>
      <c r="D96" s="15" t="s">
        <v>101</v>
      </c>
      <c r="E96" s="32" t="s">
        <v>82</v>
      </c>
      <c r="H96" s="370"/>
      <c r="I96" s="19" t="s">
        <v>83</v>
      </c>
      <c r="J96" s="15" t="s">
        <v>101</v>
      </c>
      <c r="K96" s="32" t="s">
        <v>82</v>
      </c>
    </row>
    <row r="97" spans="2:15" x14ac:dyDescent="0.25">
      <c r="B97" s="370"/>
      <c r="C97" s="19" t="s">
        <v>87</v>
      </c>
      <c r="D97" s="15" t="s">
        <v>88</v>
      </c>
      <c r="E97" s="33">
        <v>0</v>
      </c>
      <c r="H97" s="370"/>
      <c r="I97" s="19" t="s">
        <v>87</v>
      </c>
      <c r="J97" s="15" t="s">
        <v>88</v>
      </c>
      <c r="K97" s="33">
        <v>0</v>
      </c>
    </row>
    <row r="98" spans="2:15" ht="31.5" customHeight="1" x14ac:dyDescent="0.25">
      <c r="B98" s="371"/>
      <c r="C98" s="19" t="s">
        <v>84</v>
      </c>
      <c r="D98" s="15" t="s">
        <v>102</v>
      </c>
      <c r="E98" s="33">
        <v>4</v>
      </c>
      <c r="H98" s="371"/>
      <c r="I98" s="19" t="s">
        <v>84</v>
      </c>
      <c r="J98" s="15" t="s">
        <v>102</v>
      </c>
      <c r="K98" s="33">
        <v>4</v>
      </c>
    </row>
    <row r="99" spans="2:15" ht="16.5" thickBot="1" x14ac:dyDescent="0.3">
      <c r="B99" s="372"/>
      <c r="C99" s="20" t="s">
        <v>85</v>
      </c>
      <c r="D99" s="28" t="s">
        <v>86</v>
      </c>
      <c r="E99" s="34">
        <v>900</v>
      </c>
      <c r="H99" s="372"/>
      <c r="I99" s="20" t="s">
        <v>85</v>
      </c>
      <c r="J99" s="28" t="s">
        <v>86</v>
      </c>
      <c r="K99" s="34">
        <v>900</v>
      </c>
    </row>
    <row r="100" spans="2:15" ht="15.75" thickBot="1" x14ac:dyDescent="0.3"/>
    <row r="101" spans="2:15" ht="23.25" customHeight="1" thickBot="1" x14ac:dyDescent="0.3">
      <c r="B101" s="363" t="s">
        <v>137</v>
      </c>
      <c r="C101" s="364"/>
      <c r="D101" s="365"/>
      <c r="E101" s="60" t="s">
        <v>294</v>
      </c>
      <c r="H101" s="363" t="s">
        <v>146</v>
      </c>
      <c r="I101" s="364"/>
      <c r="J101" s="365"/>
      <c r="K101" s="60" t="s">
        <v>235</v>
      </c>
      <c r="L101" s="48"/>
      <c r="M101" s="48"/>
      <c r="N101" s="48"/>
      <c r="O101" s="48"/>
    </row>
    <row r="102" spans="2:15" ht="18.75" customHeight="1" x14ac:dyDescent="0.25">
      <c r="B102" s="366" t="s">
        <v>78</v>
      </c>
      <c r="C102" s="21">
        <v>1</v>
      </c>
      <c r="D102" s="22" t="s">
        <v>89</v>
      </c>
      <c r="E102" s="31" t="s">
        <v>82</v>
      </c>
      <c r="H102" s="366" t="s">
        <v>78</v>
      </c>
      <c r="I102" s="21">
        <v>1</v>
      </c>
      <c r="J102" s="22" t="s">
        <v>89</v>
      </c>
      <c r="K102" s="30" t="s">
        <v>82</v>
      </c>
      <c r="L102" s="48"/>
      <c r="M102" s="48"/>
      <c r="N102" s="48"/>
      <c r="O102" s="48"/>
    </row>
    <row r="103" spans="2:15" ht="19.5" customHeight="1" x14ac:dyDescent="0.25">
      <c r="B103" s="367"/>
      <c r="C103" s="23">
        <v>2</v>
      </c>
      <c r="D103" s="24" t="s">
        <v>98</v>
      </c>
      <c r="E103" s="31" t="s">
        <v>82</v>
      </c>
      <c r="H103" s="367"/>
      <c r="I103" s="23">
        <v>2</v>
      </c>
      <c r="J103" s="24" t="s">
        <v>98</v>
      </c>
      <c r="K103" s="31" t="s">
        <v>82</v>
      </c>
    </row>
    <row r="104" spans="2:15" ht="21.75" customHeight="1" x14ac:dyDescent="0.25">
      <c r="B104" s="367"/>
      <c r="C104" s="23">
        <v>3</v>
      </c>
      <c r="D104" s="24" t="s">
        <v>99</v>
      </c>
      <c r="E104" s="31" t="s">
        <v>82</v>
      </c>
      <c r="H104" s="367"/>
      <c r="I104" s="23">
        <v>3</v>
      </c>
      <c r="J104" s="24" t="s">
        <v>99</v>
      </c>
      <c r="K104" s="31" t="s">
        <v>82</v>
      </c>
    </row>
    <row r="105" spans="2:15" ht="29.25" customHeight="1" thickBot="1" x14ac:dyDescent="0.3">
      <c r="B105" s="368"/>
      <c r="C105" s="25">
        <v>4</v>
      </c>
      <c r="D105" s="26" t="s">
        <v>100</v>
      </c>
      <c r="E105" s="32" t="s">
        <v>82</v>
      </c>
      <c r="H105" s="368"/>
      <c r="I105" s="25">
        <v>4</v>
      </c>
      <c r="J105" s="26" t="s">
        <v>100</v>
      </c>
      <c r="K105" s="32" t="s">
        <v>82</v>
      </c>
    </row>
    <row r="106" spans="2:15" ht="32.25" customHeight="1" thickBot="1" x14ac:dyDescent="0.3">
      <c r="B106" s="369" t="s">
        <v>81</v>
      </c>
      <c r="C106" s="18" t="s">
        <v>79</v>
      </c>
      <c r="D106" s="27" t="s">
        <v>80</v>
      </c>
      <c r="E106" s="32" t="s">
        <v>82</v>
      </c>
      <c r="H106" s="369" t="s">
        <v>81</v>
      </c>
      <c r="I106" s="18" t="s">
        <v>79</v>
      </c>
      <c r="J106" s="27" t="s">
        <v>80</v>
      </c>
      <c r="K106" s="32" t="s">
        <v>82</v>
      </c>
    </row>
    <row r="107" spans="2:15" ht="47.25" customHeight="1" thickBot="1" x14ac:dyDescent="0.3">
      <c r="B107" s="370"/>
      <c r="C107" s="19" t="s">
        <v>83</v>
      </c>
      <c r="D107" s="15" t="s">
        <v>101</v>
      </c>
      <c r="E107" s="32" t="s">
        <v>82</v>
      </c>
      <c r="H107" s="370"/>
      <c r="I107" s="19" t="s">
        <v>83</v>
      </c>
      <c r="J107" s="15" t="s">
        <v>101</v>
      </c>
      <c r="K107" s="32" t="s">
        <v>82</v>
      </c>
    </row>
    <row r="108" spans="2:15" x14ac:dyDescent="0.25">
      <c r="B108" s="370"/>
      <c r="C108" s="19" t="s">
        <v>87</v>
      </c>
      <c r="D108" s="15" t="s">
        <v>88</v>
      </c>
      <c r="E108" s="33">
        <v>0</v>
      </c>
      <c r="H108" s="370"/>
      <c r="I108" s="19" t="s">
        <v>87</v>
      </c>
      <c r="J108" s="15" t="s">
        <v>88</v>
      </c>
      <c r="K108" s="33">
        <v>0</v>
      </c>
    </row>
    <row r="109" spans="2:15" ht="31.5" customHeight="1" x14ac:dyDescent="0.25">
      <c r="B109" s="371"/>
      <c r="C109" s="19" t="s">
        <v>84</v>
      </c>
      <c r="D109" s="15" t="s">
        <v>102</v>
      </c>
      <c r="E109" s="33">
        <v>4</v>
      </c>
      <c r="H109" s="371"/>
      <c r="I109" s="19" t="s">
        <v>84</v>
      </c>
      <c r="J109" s="15" t="s">
        <v>102</v>
      </c>
      <c r="K109" s="33">
        <v>4</v>
      </c>
    </row>
    <row r="110" spans="2:15" ht="16.5" thickBot="1" x14ac:dyDescent="0.3">
      <c r="B110" s="372"/>
      <c r="C110" s="20" t="s">
        <v>85</v>
      </c>
      <c r="D110" s="28" t="s">
        <v>86</v>
      </c>
      <c r="E110" s="34">
        <v>900</v>
      </c>
      <c r="H110" s="372"/>
      <c r="I110" s="20" t="s">
        <v>85</v>
      </c>
      <c r="J110" s="28" t="s">
        <v>86</v>
      </c>
      <c r="K110" s="34">
        <v>900</v>
      </c>
    </row>
    <row r="111" spans="2:15" ht="15.75" thickBot="1" x14ac:dyDescent="0.3"/>
    <row r="112" spans="2:15" ht="23.25" customHeight="1" thickBot="1" x14ac:dyDescent="0.3">
      <c r="B112" s="363" t="s">
        <v>130</v>
      </c>
      <c r="C112" s="364"/>
      <c r="D112" s="365"/>
      <c r="E112" s="60" t="s">
        <v>235</v>
      </c>
      <c r="H112" s="363" t="s">
        <v>147</v>
      </c>
      <c r="I112" s="364"/>
      <c r="J112" s="365"/>
      <c r="K112" s="60" t="s">
        <v>294</v>
      </c>
      <c r="M112" s="48"/>
      <c r="N112" s="48"/>
      <c r="O112" s="48"/>
    </row>
    <row r="113" spans="2:15" ht="18.75" customHeight="1" x14ac:dyDescent="0.25">
      <c r="B113" s="366" t="s">
        <v>78</v>
      </c>
      <c r="C113" s="21">
        <v>1</v>
      </c>
      <c r="D113" s="22" t="s">
        <v>89</v>
      </c>
      <c r="E113" s="30" t="s">
        <v>82</v>
      </c>
      <c r="H113" s="366" t="s">
        <v>78</v>
      </c>
      <c r="I113" s="21">
        <v>1</v>
      </c>
      <c r="J113" s="22" t="s">
        <v>89</v>
      </c>
      <c r="K113" s="30" t="s">
        <v>82</v>
      </c>
      <c r="L113" s="48"/>
      <c r="M113" s="48"/>
      <c r="N113" s="48"/>
      <c r="O113" s="48"/>
    </row>
    <row r="114" spans="2:15" ht="19.5" customHeight="1" x14ac:dyDescent="0.25">
      <c r="B114" s="367"/>
      <c r="C114" s="23">
        <v>2</v>
      </c>
      <c r="D114" s="24" t="s">
        <v>98</v>
      </c>
      <c r="E114" s="31" t="s">
        <v>82</v>
      </c>
      <c r="H114" s="367"/>
      <c r="I114" s="23">
        <v>2</v>
      </c>
      <c r="J114" s="24" t="s">
        <v>98</v>
      </c>
      <c r="K114" s="31" t="s">
        <v>82</v>
      </c>
    </row>
    <row r="115" spans="2:15" ht="21.75" customHeight="1" x14ac:dyDescent="0.25">
      <c r="B115" s="367"/>
      <c r="C115" s="23">
        <v>3</v>
      </c>
      <c r="D115" s="24" t="s">
        <v>99</v>
      </c>
      <c r="E115" s="31" t="s">
        <v>82</v>
      </c>
      <c r="H115" s="367"/>
      <c r="I115" s="23">
        <v>3</v>
      </c>
      <c r="J115" s="24" t="s">
        <v>99</v>
      </c>
      <c r="K115" s="31" t="s">
        <v>82</v>
      </c>
    </row>
    <row r="116" spans="2:15" ht="29.25" customHeight="1" thickBot="1" x14ac:dyDescent="0.3">
      <c r="B116" s="368"/>
      <c r="C116" s="25">
        <v>4</v>
      </c>
      <c r="D116" s="26" t="s">
        <v>100</v>
      </c>
      <c r="E116" s="32" t="s">
        <v>82</v>
      </c>
      <c r="H116" s="368"/>
      <c r="I116" s="25">
        <v>4</v>
      </c>
      <c r="J116" s="26" t="s">
        <v>100</v>
      </c>
      <c r="K116" s="32" t="s">
        <v>82</v>
      </c>
      <c r="L116" s="48"/>
    </row>
    <row r="117" spans="2:15" ht="32.25" customHeight="1" thickBot="1" x14ac:dyDescent="0.3">
      <c r="B117" s="369" t="s">
        <v>81</v>
      </c>
      <c r="C117" s="18" t="s">
        <v>79</v>
      </c>
      <c r="D117" s="27" t="s">
        <v>80</v>
      </c>
      <c r="E117" s="32" t="s">
        <v>82</v>
      </c>
      <c r="H117" s="369" t="s">
        <v>81</v>
      </c>
      <c r="I117" s="18" t="s">
        <v>79</v>
      </c>
      <c r="J117" s="27" t="s">
        <v>80</v>
      </c>
      <c r="K117" s="32" t="s">
        <v>82</v>
      </c>
    </row>
    <row r="118" spans="2:15" ht="47.25" customHeight="1" thickBot="1" x14ac:dyDescent="0.3">
      <c r="B118" s="370"/>
      <c r="C118" s="19" t="s">
        <v>83</v>
      </c>
      <c r="D118" s="15" t="s">
        <v>101</v>
      </c>
      <c r="E118" s="32" t="s">
        <v>82</v>
      </c>
      <c r="H118" s="370"/>
      <c r="I118" s="19" t="s">
        <v>83</v>
      </c>
      <c r="J118" s="15" t="s">
        <v>101</v>
      </c>
      <c r="K118" s="32" t="s">
        <v>82</v>
      </c>
    </row>
    <row r="119" spans="2:15" x14ac:dyDescent="0.25">
      <c r="B119" s="370"/>
      <c r="C119" s="19" t="s">
        <v>87</v>
      </c>
      <c r="D119" s="15" t="s">
        <v>88</v>
      </c>
      <c r="E119" s="33">
        <v>1</v>
      </c>
      <c r="H119" s="370"/>
      <c r="I119" s="19" t="s">
        <v>87</v>
      </c>
      <c r="J119" s="15" t="s">
        <v>88</v>
      </c>
      <c r="K119" s="33">
        <v>0</v>
      </c>
    </row>
    <row r="120" spans="2:15" ht="31.5" customHeight="1" x14ac:dyDescent="0.25">
      <c r="B120" s="371"/>
      <c r="C120" s="19" t="s">
        <v>84</v>
      </c>
      <c r="D120" s="15" t="s">
        <v>102</v>
      </c>
      <c r="E120" s="33">
        <v>4</v>
      </c>
      <c r="H120" s="371"/>
      <c r="I120" s="19" t="s">
        <v>84</v>
      </c>
      <c r="J120" s="15" t="s">
        <v>102</v>
      </c>
      <c r="K120" s="33">
        <v>4</v>
      </c>
    </row>
    <row r="121" spans="2:15" ht="16.5" thickBot="1" x14ac:dyDescent="0.3">
      <c r="B121" s="372"/>
      <c r="C121" s="20" t="s">
        <v>85</v>
      </c>
      <c r="D121" s="28" t="s">
        <v>86</v>
      </c>
      <c r="E121" s="34">
        <v>900</v>
      </c>
      <c r="H121" s="372"/>
      <c r="I121" s="20" t="s">
        <v>85</v>
      </c>
      <c r="J121" s="28" t="s">
        <v>86</v>
      </c>
      <c r="K121" s="34">
        <v>900</v>
      </c>
    </row>
  </sheetData>
  <mergeCells count="68">
    <mergeCell ref="B113:B116"/>
    <mergeCell ref="H113:H116"/>
    <mergeCell ref="B117:B121"/>
    <mergeCell ref="H117:H121"/>
    <mergeCell ref="B102:B105"/>
    <mergeCell ref="H102:H105"/>
    <mergeCell ref="B106:B110"/>
    <mergeCell ref="H106:H110"/>
    <mergeCell ref="B112:D112"/>
    <mergeCell ref="H112:J112"/>
    <mergeCell ref="B91:B94"/>
    <mergeCell ref="H91:H94"/>
    <mergeCell ref="B95:B99"/>
    <mergeCell ref="H95:H99"/>
    <mergeCell ref="B101:D101"/>
    <mergeCell ref="H101:J101"/>
    <mergeCell ref="B80:B83"/>
    <mergeCell ref="H80:H83"/>
    <mergeCell ref="B84:B88"/>
    <mergeCell ref="H84:H88"/>
    <mergeCell ref="B90:D90"/>
    <mergeCell ref="H90:J90"/>
    <mergeCell ref="B69:B72"/>
    <mergeCell ref="H69:H72"/>
    <mergeCell ref="B73:B77"/>
    <mergeCell ref="H73:H77"/>
    <mergeCell ref="B79:D79"/>
    <mergeCell ref="H79:J79"/>
    <mergeCell ref="B58:B61"/>
    <mergeCell ref="H58:H61"/>
    <mergeCell ref="B62:B66"/>
    <mergeCell ref="H62:H66"/>
    <mergeCell ref="B68:D68"/>
    <mergeCell ref="H68:J68"/>
    <mergeCell ref="B47:B50"/>
    <mergeCell ref="H47:H50"/>
    <mergeCell ref="B51:B55"/>
    <mergeCell ref="H51:H55"/>
    <mergeCell ref="B57:D57"/>
    <mergeCell ref="H57:J57"/>
    <mergeCell ref="B36:B39"/>
    <mergeCell ref="H36:H39"/>
    <mergeCell ref="B40:B44"/>
    <mergeCell ref="H40:H44"/>
    <mergeCell ref="B46:D46"/>
    <mergeCell ref="H46:J46"/>
    <mergeCell ref="H18:H22"/>
    <mergeCell ref="H24:J24"/>
    <mergeCell ref="H25:H28"/>
    <mergeCell ref="H29:H33"/>
    <mergeCell ref="B35:D35"/>
    <mergeCell ref="H35:J35"/>
    <mergeCell ref="B25:B28"/>
    <mergeCell ref="B29:B33"/>
    <mergeCell ref="B18:B22"/>
    <mergeCell ref="B24:D24"/>
    <mergeCell ref="B9:C9"/>
    <mergeCell ref="B10:C10"/>
    <mergeCell ref="B11:C11"/>
    <mergeCell ref="H13:J13"/>
    <mergeCell ref="H14:H17"/>
    <mergeCell ref="B14:B17"/>
    <mergeCell ref="B13:D13"/>
    <mergeCell ref="B2:E2"/>
    <mergeCell ref="B3:E3"/>
    <mergeCell ref="B5:E5"/>
    <mergeCell ref="B7:C7"/>
    <mergeCell ref="B8:C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36"/>
  <sheetViews>
    <sheetView tabSelected="1" zoomScale="80" zoomScaleNormal="80" workbookViewId="0">
      <selection activeCell="S186" sqref="S186"/>
    </sheetView>
  </sheetViews>
  <sheetFormatPr baseColWidth="10" defaultColWidth="11.42578125" defaultRowHeight="12" x14ac:dyDescent="0.2"/>
  <cols>
    <col min="1" max="2" width="2.85546875" style="74" customWidth="1"/>
    <col min="3" max="3" width="8.28515625" style="74" customWidth="1"/>
    <col min="4" max="4" width="23" style="73" customWidth="1"/>
    <col min="5" max="5" width="12.5703125" style="74" customWidth="1"/>
    <col min="6" max="6" width="52.85546875" style="73" customWidth="1"/>
    <col min="7" max="7" width="12.5703125" style="74" customWidth="1"/>
    <col min="8" max="8" width="15" style="74" customWidth="1"/>
    <col min="9" max="9" width="29.28515625" style="74" customWidth="1"/>
    <col min="10" max="10" width="13" style="74" customWidth="1"/>
    <col min="11" max="11" width="13.28515625" style="74" customWidth="1"/>
    <col min="12" max="12" width="17.28515625" style="74" hidden="1" customWidth="1"/>
    <col min="13" max="13" width="20.85546875" style="74" customWidth="1"/>
    <col min="14" max="14" width="19.85546875" style="74" customWidth="1"/>
    <col min="15" max="15" width="15.5703125" style="74" customWidth="1"/>
    <col min="16" max="16" width="15.5703125" style="74" bestFit="1" customWidth="1"/>
    <col min="17" max="18" width="19.85546875" style="74" customWidth="1"/>
    <col min="19" max="19" width="43.7109375" style="74" customWidth="1"/>
    <col min="20" max="20" width="45.28515625" style="74" customWidth="1"/>
    <col min="21" max="21" width="17.85546875" style="74" bestFit="1" customWidth="1"/>
    <col min="22" max="16384" width="11.42578125" style="74"/>
  </cols>
  <sheetData>
    <row r="1" spans="2:20" x14ac:dyDescent="0.2">
      <c r="B1" s="72"/>
      <c r="C1" s="72"/>
      <c r="D1" s="279"/>
      <c r="E1" s="72"/>
      <c r="F1" s="279"/>
      <c r="G1" s="72"/>
      <c r="H1" s="72"/>
      <c r="I1" s="72"/>
    </row>
    <row r="2" spans="2:20" x14ac:dyDescent="0.2">
      <c r="B2" s="72"/>
      <c r="C2" s="72" t="s">
        <v>9</v>
      </c>
      <c r="D2" s="279"/>
      <c r="E2" s="72"/>
      <c r="F2" s="279"/>
      <c r="G2" s="72"/>
      <c r="H2" s="72"/>
      <c r="I2" s="72"/>
    </row>
    <row r="3" spans="2:20" x14ac:dyDescent="0.2">
      <c r="B3" s="72"/>
      <c r="C3" s="72" t="s">
        <v>10</v>
      </c>
      <c r="D3" s="279"/>
      <c r="E3" s="72"/>
      <c r="F3" s="279"/>
      <c r="G3" s="72"/>
      <c r="H3" s="72" t="s">
        <v>12</v>
      </c>
      <c r="I3" s="280">
        <v>41827</v>
      </c>
    </row>
    <row r="4" spans="2:20" x14ac:dyDescent="0.2">
      <c r="B4" s="72"/>
      <c r="C4" s="72" t="s">
        <v>103</v>
      </c>
      <c r="D4" s="279"/>
      <c r="E4" s="72"/>
      <c r="F4" s="279"/>
      <c r="G4" s="72"/>
      <c r="H4" s="72" t="s">
        <v>52</v>
      </c>
      <c r="I4" s="280">
        <v>32874</v>
      </c>
    </row>
    <row r="5" spans="2:20" x14ac:dyDescent="0.2">
      <c r="B5" s="72"/>
      <c r="C5" s="72" t="s">
        <v>11</v>
      </c>
      <c r="D5" s="279"/>
      <c r="E5" s="72"/>
      <c r="F5" s="279"/>
      <c r="G5" s="72"/>
      <c r="H5" s="72"/>
      <c r="I5" s="72"/>
    </row>
    <row r="6" spans="2:20" x14ac:dyDescent="0.2">
      <c r="B6" s="72"/>
      <c r="C6" s="72"/>
      <c r="D6" s="279"/>
      <c r="E6" s="72"/>
      <c r="F6" s="279"/>
      <c r="G6" s="72"/>
      <c r="H6" s="72"/>
      <c r="I6" s="72"/>
    </row>
    <row r="7" spans="2:20" ht="12.75" x14ac:dyDescent="0.2">
      <c r="B7" s="72"/>
      <c r="C7" s="408" t="s">
        <v>741</v>
      </c>
      <c r="D7" s="408"/>
      <c r="E7" s="408"/>
      <c r="F7" s="408"/>
      <c r="G7" s="408"/>
      <c r="H7" s="408"/>
      <c r="I7" s="408"/>
      <c r="J7" s="408"/>
      <c r="K7" s="408"/>
      <c r="L7" s="408"/>
      <c r="M7" s="408"/>
      <c r="N7" s="408"/>
      <c r="O7" s="408"/>
      <c r="P7" s="408"/>
      <c r="Q7" s="408"/>
      <c r="R7" s="408"/>
      <c r="S7" s="408"/>
      <c r="T7" s="408"/>
    </row>
    <row r="8" spans="2:20" ht="15.75" customHeight="1" thickBot="1" x14ac:dyDescent="0.25"/>
    <row r="9" spans="2:20" ht="12.75" thickBot="1" x14ac:dyDescent="0.25">
      <c r="C9" s="75" t="s">
        <v>13</v>
      </c>
      <c r="D9" s="76"/>
      <c r="E9" s="77">
        <v>1</v>
      </c>
      <c r="F9" s="76" t="str">
        <f>+VLOOKUP(E9,Proponentes!$B$10:$D$41,2,FALSE())</f>
        <v>CONSORCIO CONIISA - TECNICONSULTA</v>
      </c>
      <c r="G9" s="77"/>
      <c r="H9" s="77"/>
      <c r="I9" s="77"/>
      <c r="J9" s="78"/>
      <c r="K9" s="78"/>
      <c r="L9" s="78"/>
      <c r="M9" s="78"/>
      <c r="N9" s="78"/>
      <c r="O9" s="78"/>
      <c r="P9" s="78"/>
      <c r="Q9" s="78"/>
      <c r="R9" s="78"/>
      <c r="S9" s="79"/>
      <c r="T9" s="80"/>
    </row>
    <row r="10" spans="2:20" ht="25.5" customHeight="1" x14ac:dyDescent="0.2">
      <c r="C10" s="373" t="s">
        <v>28</v>
      </c>
      <c r="D10" s="375" t="s">
        <v>29</v>
      </c>
      <c r="E10" s="375" t="s">
        <v>37</v>
      </c>
      <c r="F10" s="375" t="s">
        <v>20</v>
      </c>
      <c r="G10" s="375" t="s">
        <v>21</v>
      </c>
      <c r="H10" s="375" t="s">
        <v>22</v>
      </c>
      <c r="I10" s="375" t="s">
        <v>14</v>
      </c>
      <c r="J10" s="375" t="s">
        <v>15</v>
      </c>
      <c r="K10" s="375" t="s">
        <v>16</v>
      </c>
      <c r="L10" s="375" t="s">
        <v>56</v>
      </c>
      <c r="M10" s="375" t="s">
        <v>17</v>
      </c>
      <c r="N10" s="377" t="s">
        <v>18</v>
      </c>
      <c r="O10" s="378"/>
      <c r="P10" s="378"/>
      <c r="Q10" s="378"/>
      <c r="R10" s="378"/>
      <c r="S10" s="378"/>
      <c r="T10" s="403" t="s">
        <v>727</v>
      </c>
    </row>
    <row r="11" spans="2:20" ht="59.25" customHeight="1" thickBot="1" x14ac:dyDescent="0.25">
      <c r="C11" s="374"/>
      <c r="D11" s="376"/>
      <c r="E11" s="376"/>
      <c r="F11" s="376"/>
      <c r="G11" s="376"/>
      <c r="H11" s="376"/>
      <c r="I11" s="376"/>
      <c r="J11" s="376"/>
      <c r="K11" s="376"/>
      <c r="L11" s="376"/>
      <c r="M11" s="376"/>
      <c r="N11" s="81" t="s">
        <v>23</v>
      </c>
      <c r="O11" s="81" t="s">
        <v>55</v>
      </c>
      <c r="P11" s="81" t="s">
        <v>148</v>
      </c>
      <c r="Q11" s="81" t="s">
        <v>149</v>
      </c>
      <c r="R11" s="82" t="s">
        <v>72</v>
      </c>
      <c r="S11" s="82" t="s">
        <v>71</v>
      </c>
      <c r="T11" s="404"/>
    </row>
    <row r="12" spans="2:20" ht="12.75" thickBot="1" x14ac:dyDescent="0.25">
      <c r="C12" s="83" t="s">
        <v>24</v>
      </c>
      <c r="D12" s="84"/>
      <c r="E12" s="85"/>
      <c r="F12" s="84"/>
      <c r="G12" s="85"/>
      <c r="H12" s="85"/>
      <c r="I12" s="85"/>
      <c r="J12" s="85"/>
      <c r="K12" s="85"/>
      <c r="L12" s="85"/>
      <c r="M12" s="85"/>
      <c r="N12" s="85"/>
      <c r="O12" s="85"/>
      <c r="P12" s="85"/>
      <c r="Q12" s="85"/>
      <c r="R12" s="85"/>
      <c r="S12" s="405"/>
      <c r="T12" s="405"/>
    </row>
    <row r="13" spans="2:20" ht="129.75" customHeight="1" thickBot="1" x14ac:dyDescent="0.25">
      <c r="C13" s="86">
        <v>1</v>
      </c>
      <c r="D13" s="87" t="s">
        <v>152</v>
      </c>
      <c r="E13" s="88" t="s">
        <v>153</v>
      </c>
      <c r="F13" s="89" t="s">
        <v>154</v>
      </c>
      <c r="G13" s="88" t="s">
        <v>155</v>
      </c>
      <c r="H13" s="90">
        <v>1</v>
      </c>
      <c r="I13" s="91" t="s">
        <v>150</v>
      </c>
      <c r="J13" s="92">
        <v>39554</v>
      </c>
      <c r="K13" s="92">
        <v>40080</v>
      </c>
      <c r="L13" s="93">
        <v>15</v>
      </c>
      <c r="M13" s="94">
        <v>2471066329</v>
      </c>
      <c r="N13" s="95">
        <f t="shared" ref="N13:N15" si="0">+M13*H13</f>
        <v>2471066329</v>
      </c>
      <c r="O13" s="96">
        <f>ROUND(IF(J13&lt;$I$4,0,IF(J13="",0,IF(OR(K13="---",K13=""),N13/LOOKUP(J13,[4]SMLM!$A$3:$A$36,[4]SMLM!$D$3:$D$36),N13/LOOKUP(J13,[4]SMLM!$A$3:$A$36,[4]SMLM!$D$3:$D$36)))),0)</f>
        <v>5354</v>
      </c>
      <c r="P13" s="94">
        <f>+Requisitos!$I$7</f>
        <v>1350.6493506493507</v>
      </c>
      <c r="Q13" s="97" t="str">
        <f>+IF(O13&lt;&gt;0,IF(O13&gt;P13,"CUMPLE","NO CUMPE"),"")</f>
        <v>CUMPLE</v>
      </c>
      <c r="R13" s="97" t="s">
        <v>542</v>
      </c>
      <c r="S13" s="98" t="s">
        <v>293</v>
      </c>
      <c r="T13" s="99" t="s">
        <v>730</v>
      </c>
    </row>
    <row r="14" spans="2:20" ht="142.5" customHeight="1" thickBot="1" x14ac:dyDescent="0.25">
      <c r="C14" s="100">
        <v>2</v>
      </c>
      <c r="D14" s="101" t="s">
        <v>152</v>
      </c>
      <c r="E14" s="102" t="s">
        <v>156</v>
      </c>
      <c r="F14" s="103" t="s">
        <v>157</v>
      </c>
      <c r="G14" s="102" t="s">
        <v>155</v>
      </c>
      <c r="H14" s="104">
        <v>1</v>
      </c>
      <c r="I14" s="105" t="s">
        <v>150</v>
      </c>
      <c r="J14" s="106">
        <v>37809</v>
      </c>
      <c r="K14" s="106">
        <v>38260</v>
      </c>
      <c r="L14" s="107">
        <v>15</v>
      </c>
      <c r="M14" s="108">
        <v>5283030079</v>
      </c>
      <c r="N14" s="95"/>
      <c r="O14" s="96">
        <f>ROUND(IF(J14&lt;$I$4,0,IF(J14="",0,IF(OR(K14="---",K14=""),N14/LOOKUP(J14,[4]SMLM!$A$3:$A$36,[4]SMLM!$D$3:$D$36),N14/LOOKUP(J14,[4]SMLM!$A$3:$A$36,[4]SMLM!$D$3:$D$36)))),0)</f>
        <v>0</v>
      </c>
      <c r="P14" s="108">
        <f>+Requisitos!$I$7</f>
        <v>1350.6493506493507</v>
      </c>
      <c r="Q14" s="109" t="s">
        <v>234</v>
      </c>
      <c r="R14" s="109" t="s">
        <v>542</v>
      </c>
      <c r="S14" s="110" t="s">
        <v>293</v>
      </c>
      <c r="T14" s="111" t="s">
        <v>749</v>
      </c>
    </row>
    <row r="15" spans="2:20" ht="100.5" customHeight="1" thickBot="1" x14ac:dyDescent="0.25">
      <c r="C15" s="112">
        <v>3</v>
      </c>
      <c r="D15" s="69" t="s">
        <v>152</v>
      </c>
      <c r="E15" s="113" t="s">
        <v>688</v>
      </c>
      <c r="F15" s="114" t="s">
        <v>689</v>
      </c>
      <c r="G15" s="113" t="s">
        <v>155</v>
      </c>
      <c r="H15" s="115">
        <v>1</v>
      </c>
      <c r="I15" s="116" t="s">
        <v>150</v>
      </c>
      <c r="J15" s="117">
        <v>38974</v>
      </c>
      <c r="K15" s="117">
        <v>39478</v>
      </c>
      <c r="L15" s="118">
        <v>15</v>
      </c>
      <c r="M15" s="119">
        <v>2843774422</v>
      </c>
      <c r="N15" s="95">
        <f t="shared" si="0"/>
        <v>2843774422</v>
      </c>
      <c r="O15" s="120">
        <f>ROUND(IF(J15&lt;$I$4,0,IF(J15="",0,IF(OR(K15="---",K15=""),N15/LOOKUP(J15,[4]SMLM!$A$3:$A$36,[4]SMLM!$D$3:$D$36),N15/LOOKUP(J15,[4]SMLM!$A$3:$A$36,[4]SMLM!$D$3:$D$36)))),0)</f>
        <v>6970</v>
      </c>
      <c r="P15" s="119">
        <f>+Requisitos!$I$7</f>
        <v>1350.6493506493507</v>
      </c>
      <c r="Q15" s="121" t="str">
        <f>+IF(O15&lt;&gt;0,IF(O15&gt;P15,"CUMPLE","NO CUMPE"),"")</f>
        <v>CUMPLE</v>
      </c>
      <c r="R15" s="121" t="s">
        <v>542</v>
      </c>
      <c r="S15" s="122" t="s">
        <v>293</v>
      </c>
      <c r="T15" s="123" t="s">
        <v>731</v>
      </c>
    </row>
    <row r="16" spans="2:20" ht="12.75" thickBot="1" x14ac:dyDescent="0.25">
      <c r="C16" s="83" t="s">
        <v>25</v>
      </c>
      <c r="D16" s="84"/>
      <c r="E16" s="85"/>
      <c r="F16" s="84"/>
      <c r="G16" s="85"/>
      <c r="H16" s="85"/>
      <c r="I16" s="85"/>
      <c r="J16" s="85"/>
      <c r="K16" s="85"/>
      <c r="L16" s="85"/>
      <c r="M16" s="85"/>
      <c r="N16" s="124"/>
      <c r="O16" s="85"/>
      <c r="P16" s="85"/>
      <c r="Q16" s="85"/>
      <c r="R16" s="85"/>
      <c r="S16" s="125"/>
    </row>
    <row r="17" spans="3:20" ht="102" customHeight="1" thickBot="1" x14ac:dyDescent="0.25">
      <c r="C17" s="126">
        <v>1</v>
      </c>
      <c r="D17" s="127" t="s">
        <v>158</v>
      </c>
      <c r="E17" s="128" t="s">
        <v>159</v>
      </c>
      <c r="F17" s="127" t="s">
        <v>160</v>
      </c>
      <c r="G17" s="128" t="s">
        <v>57</v>
      </c>
      <c r="H17" s="129">
        <v>0.6</v>
      </c>
      <c r="I17" s="128" t="s">
        <v>161</v>
      </c>
      <c r="J17" s="130">
        <v>39860</v>
      </c>
      <c r="K17" s="130">
        <v>41260</v>
      </c>
      <c r="L17" s="131">
        <v>0</v>
      </c>
      <c r="M17" s="132">
        <v>8865205964</v>
      </c>
      <c r="N17" s="95">
        <f t="shared" ref="N17" si="1">+M17*H17</f>
        <v>5319123578.3999996</v>
      </c>
      <c r="O17" s="120">
        <f>ROUND(IF(J17&lt;$I$4,0,IF(J17="",0,IF(OR(K17="---",K17=""),N17/LOOKUP(J17,[4]SMLM!$A$3:$A$36,[4]SMLM!$D$3:$D$36),N17/LOOKUP(J17,[4]SMLM!$A$3:$A$36,[4]SMLM!$D$3:$D$36)))),0)</f>
        <v>10705</v>
      </c>
      <c r="P17" s="133">
        <f>+Requisitos!$I$7</f>
        <v>1350.6493506493507</v>
      </c>
      <c r="Q17" s="134" t="str">
        <f t="shared" ref="Q17" si="2">+IF(O17&lt;&gt;0,IF(O17&gt;P17,"CUMPLE","NO CUMPE"),"")</f>
        <v>CUMPLE</v>
      </c>
      <c r="R17" s="134" t="s">
        <v>521</v>
      </c>
      <c r="S17" s="135"/>
      <c r="T17" s="136"/>
    </row>
    <row r="18" spans="3:20" x14ac:dyDescent="0.2">
      <c r="C18" s="83"/>
      <c r="D18" s="84"/>
      <c r="E18" s="85"/>
      <c r="F18" s="84"/>
      <c r="G18" s="85"/>
      <c r="H18" s="85"/>
      <c r="I18" s="85"/>
      <c r="J18" s="85"/>
      <c r="K18" s="85"/>
      <c r="L18" s="85"/>
      <c r="M18" s="85"/>
      <c r="N18" s="85"/>
      <c r="O18" s="85"/>
      <c r="P18" s="85"/>
      <c r="Q18" s="85"/>
      <c r="R18" s="85"/>
      <c r="S18" s="125"/>
    </row>
    <row r="19" spans="3:20" ht="12.75" thickBot="1" x14ac:dyDescent="0.25">
      <c r="C19" s="83"/>
      <c r="D19" s="84"/>
      <c r="E19" s="85"/>
      <c r="F19" s="84"/>
      <c r="G19" s="85"/>
      <c r="H19" s="85"/>
      <c r="I19" s="85"/>
      <c r="J19" s="85"/>
      <c r="K19" s="85"/>
      <c r="L19" s="85"/>
      <c r="M19" s="85"/>
      <c r="N19" s="85"/>
      <c r="O19" s="85"/>
      <c r="P19" s="85"/>
      <c r="Q19" s="85"/>
      <c r="R19" s="85"/>
      <c r="S19" s="125"/>
    </row>
    <row r="20" spans="3:20" x14ac:dyDescent="0.2">
      <c r="C20" s="83"/>
      <c r="D20" s="84"/>
      <c r="E20" s="85"/>
      <c r="F20" s="84"/>
      <c r="G20" s="85"/>
      <c r="H20" s="85"/>
      <c r="I20" s="85"/>
      <c r="J20" s="85"/>
      <c r="K20" s="379"/>
      <c r="L20" s="380"/>
      <c r="M20" s="380"/>
      <c r="N20" s="137" t="s">
        <v>59</v>
      </c>
      <c r="O20" s="137" t="s">
        <v>26</v>
      </c>
      <c r="P20" s="138" t="s">
        <v>60</v>
      </c>
      <c r="Q20" s="139"/>
      <c r="R20" s="85"/>
      <c r="S20" s="140"/>
    </row>
    <row r="21" spans="3:20" x14ac:dyDescent="0.2">
      <c r="C21" s="83"/>
      <c r="D21" s="84"/>
      <c r="E21" s="85"/>
      <c r="F21" s="84"/>
      <c r="G21" s="85"/>
      <c r="H21" s="85"/>
      <c r="I21" s="85"/>
      <c r="J21" s="85"/>
      <c r="K21" s="381" t="s">
        <v>168</v>
      </c>
      <c r="L21" s="382"/>
      <c r="M21" s="382"/>
      <c r="N21" s="141">
        <f>+SUMAGEN</f>
        <v>6541634245</v>
      </c>
      <c r="O21" s="142">
        <f>Requisitos!I6</f>
        <v>10609.20247324035</v>
      </c>
      <c r="P21" s="143">
        <f>+SUM(O13:O17)</f>
        <v>23029</v>
      </c>
      <c r="Q21" s="144" t="str">
        <f>+IF(P21&gt;Requisitos!I6,"CUMPLE","NO CUMPLE")</f>
        <v>CUMPLE</v>
      </c>
      <c r="R21" s="85"/>
      <c r="S21" s="125"/>
    </row>
    <row r="22" spans="3:20" x14ac:dyDescent="0.2">
      <c r="C22" s="83"/>
      <c r="D22" s="84"/>
      <c r="E22" s="85"/>
      <c r="F22" s="84"/>
      <c r="G22" s="85"/>
      <c r="H22" s="85"/>
      <c r="I22" s="85"/>
      <c r="J22" s="85"/>
      <c r="K22" s="381" t="s">
        <v>104</v>
      </c>
      <c r="L22" s="382"/>
      <c r="M22" s="382"/>
      <c r="N22" s="141">
        <f>+LIDERGEN</f>
        <v>3336233464.9500003</v>
      </c>
      <c r="O22" s="142">
        <f>Requisitos!I8</f>
        <v>5415.9634171266234</v>
      </c>
      <c r="P22" s="143">
        <f>SUM(O13:O15)</f>
        <v>12324</v>
      </c>
      <c r="Q22" s="144" t="str">
        <f>+IF(P22&gt;Requisitos!I7,"CUMPLE","NO CUMPLE")</f>
        <v>CUMPLE</v>
      </c>
      <c r="R22" s="85"/>
      <c r="S22" s="125"/>
    </row>
    <row r="23" spans="3:20" ht="12.75" thickBot="1" x14ac:dyDescent="0.25">
      <c r="C23" s="145"/>
      <c r="D23" s="146"/>
      <c r="E23" s="147"/>
      <c r="F23" s="146"/>
      <c r="G23" s="147"/>
      <c r="H23" s="147"/>
      <c r="I23" s="147"/>
      <c r="J23" s="147"/>
      <c r="K23" s="383"/>
      <c r="L23" s="384"/>
      <c r="M23" s="384"/>
      <c r="N23" s="148"/>
      <c r="O23" s="148"/>
      <c r="P23" s="148"/>
      <c r="Q23" s="149" t="str">
        <f>+IF(Q21="CUMPLE",IF(Q22="CUMPLE","HÁBIL","NO CUMPLE"),"NO CUMPLE")</f>
        <v>HÁBIL</v>
      </c>
      <c r="R23" s="147"/>
      <c r="S23" s="150"/>
    </row>
    <row r="24" spans="3:20" ht="12.75" thickTop="1" x14ac:dyDescent="0.2"/>
    <row r="25" spans="3:20" ht="12.75" thickBot="1" x14ac:dyDescent="0.25"/>
    <row r="26" spans="3:20" ht="12.75" thickBot="1" x14ac:dyDescent="0.25">
      <c r="C26" s="75" t="s">
        <v>13</v>
      </c>
      <c r="D26" s="76"/>
      <c r="E26" s="77">
        <v>2</v>
      </c>
      <c r="F26" s="76" t="str">
        <f>+VLOOKUP(E26,Proponentes!$B$10:$D$41,2,FALSE())</f>
        <v>UNION TEMPORAL AEROPUERTO PALMIRA</v>
      </c>
      <c r="G26" s="77"/>
      <c r="H26" s="77"/>
      <c r="I26" s="78"/>
      <c r="J26" s="78"/>
      <c r="K26" s="78"/>
      <c r="L26" s="78"/>
      <c r="M26" s="78"/>
      <c r="N26" s="78"/>
      <c r="O26" s="78"/>
      <c r="P26" s="78"/>
      <c r="Q26" s="78"/>
      <c r="R26" s="78"/>
      <c r="S26" s="79"/>
      <c r="T26" s="80"/>
    </row>
    <row r="27" spans="3:20" ht="15" customHeight="1" x14ac:dyDescent="0.2">
      <c r="C27" s="373" t="s">
        <v>28</v>
      </c>
      <c r="D27" s="375" t="s">
        <v>29</v>
      </c>
      <c r="E27" s="375" t="s">
        <v>37</v>
      </c>
      <c r="F27" s="375" t="s">
        <v>20</v>
      </c>
      <c r="G27" s="375" t="s">
        <v>21</v>
      </c>
      <c r="H27" s="375" t="s">
        <v>22</v>
      </c>
      <c r="I27" s="375" t="s">
        <v>14</v>
      </c>
      <c r="J27" s="375" t="s">
        <v>15</v>
      </c>
      <c r="K27" s="375" t="s">
        <v>16</v>
      </c>
      <c r="L27" s="375" t="s">
        <v>56</v>
      </c>
      <c r="M27" s="375" t="s">
        <v>17</v>
      </c>
      <c r="N27" s="377" t="s">
        <v>18</v>
      </c>
      <c r="O27" s="378"/>
      <c r="P27" s="378"/>
      <c r="Q27" s="378"/>
      <c r="R27" s="378"/>
      <c r="S27" s="385"/>
      <c r="T27" s="403" t="s">
        <v>727</v>
      </c>
    </row>
    <row r="28" spans="3:20" ht="48.75" customHeight="1" thickBot="1" x14ac:dyDescent="0.25">
      <c r="C28" s="374"/>
      <c r="D28" s="376"/>
      <c r="E28" s="376"/>
      <c r="F28" s="376"/>
      <c r="G28" s="376"/>
      <c r="H28" s="376"/>
      <c r="I28" s="376"/>
      <c r="J28" s="376"/>
      <c r="K28" s="376"/>
      <c r="L28" s="376"/>
      <c r="M28" s="376"/>
      <c r="N28" s="81" t="s">
        <v>23</v>
      </c>
      <c r="O28" s="81" t="s">
        <v>55</v>
      </c>
      <c r="P28" s="81" t="s">
        <v>148</v>
      </c>
      <c r="Q28" s="81" t="s">
        <v>149</v>
      </c>
      <c r="R28" s="82" t="s">
        <v>72</v>
      </c>
      <c r="S28" s="151" t="s">
        <v>71</v>
      </c>
      <c r="T28" s="404"/>
    </row>
    <row r="29" spans="3:20" ht="12.75" thickBot="1" x14ac:dyDescent="0.25">
      <c r="C29" s="83" t="s">
        <v>24</v>
      </c>
      <c r="D29" s="84"/>
      <c r="E29" s="85"/>
      <c r="F29" s="84"/>
      <c r="G29" s="85"/>
      <c r="H29" s="85"/>
      <c r="I29" s="85"/>
      <c r="J29" s="85"/>
      <c r="K29" s="85"/>
      <c r="L29" s="85"/>
      <c r="M29" s="85"/>
      <c r="N29" s="85"/>
      <c r="O29" s="85"/>
      <c r="P29" s="85"/>
      <c r="Q29" s="85"/>
      <c r="R29" s="85"/>
      <c r="S29" s="125"/>
    </row>
    <row r="30" spans="3:20" ht="125.25" customHeight="1" thickBot="1" x14ac:dyDescent="0.25">
      <c r="C30" s="86">
        <v>1</v>
      </c>
      <c r="D30" s="87" t="s">
        <v>164</v>
      </c>
      <c r="E30" s="152" t="s">
        <v>165</v>
      </c>
      <c r="F30" s="89" t="s">
        <v>166</v>
      </c>
      <c r="G30" s="88" t="s">
        <v>57</v>
      </c>
      <c r="H30" s="90">
        <v>0.45</v>
      </c>
      <c r="I30" s="91" t="s">
        <v>162</v>
      </c>
      <c r="J30" s="92">
        <v>34338</v>
      </c>
      <c r="K30" s="92">
        <v>36305</v>
      </c>
      <c r="L30" s="93">
        <v>15</v>
      </c>
      <c r="M30" s="94">
        <v>4491569047</v>
      </c>
      <c r="N30" s="153">
        <f t="shared" ref="N30" si="3">+M30*H30</f>
        <v>2021206071.1500001</v>
      </c>
      <c r="O30" s="120">
        <f>ROUND(IF(J30&lt;$I$4,0,IF(J30="",0,IF(OR(K30="---",K30=""),N30/LOOKUP(J30,[4]SMLM!$A$3:$A$36,[4]SMLM!$D$3:$D$36),N30/LOOKUP(J30,[4]SMLM!$A$3:$A$36,[4]SMLM!$D$3:$D$36)))),0)</f>
        <v>20478</v>
      </c>
      <c r="P30" s="94">
        <f>+Requisitos!$I$7</f>
        <v>1350.6493506493507</v>
      </c>
      <c r="Q30" s="97" t="str">
        <f>+IF(O30&lt;&gt;0,IF(O30&gt;P30,"CUMPLE","NO CUMPE"),"")</f>
        <v>CUMPLE</v>
      </c>
      <c r="R30" s="97" t="s">
        <v>522</v>
      </c>
      <c r="S30" s="98"/>
      <c r="T30" s="139"/>
    </row>
    <row r="31" spans="3:20" ht="125.25" customHeight="1" thickBot="1" x14ac:dyDescent="0.25">
      <c r="C31" s="112">
        <v>2</v>
      </c>
      <c r="D31" s="69" t="s">
        <v>690</v>
      </c>
      <c r="E31" s="154" t="s">
        <v>691</v>
      </c>
      <c r="F31" s="114" t="s">
        <v>692</v>
      </c>
      <c r="G31" s="113" t="s">
        <v>57</v>
      </c>
      <c r="H31" s="115">
        <v>0.55000000000000004</v>
      </c>
      <c r="I31" s="116" t="s">
        <v>162</v>
      </c>
      <c r="J31" s="117">
        <v>39125</v>
      </c>
      <c r="K31" s="117" t="s">
        <v>249</v>
      </c>
      <c r="L31" s="118">
        <v>15</v>
      </c>
      <c r="M31" s="119">
        <v>10581323639</v>
      </c>
      <c r="N31" s="155">
        <f t="shared" ref="N31" si="4">+M31*H31</f>
        <v>5819728001.4500008</v>
      </c>
      <c r="O31" s="156">
        <f>ROUND(IF(J31&lt;$I$4,0,IF(J31="",0,IF(OR(K31="---",K31=""),N31/LOOKUP(J31,[4]SMLM!$A$3:$A$36,[4]SMLM!$D$3:$D$36),N31/LOOKUP(J31,[4]SMLM!$A$3:$A$36,[4]SMLM!$D$3:$D$36)))),0)</f>
        <v>13419</v>
      </c>
      <c r="P31" s="119">
        <f>+Requisitos!$I$7</f>
        <v>1350.6493506493507</v>
      </c>
      <c r="Q31" s="121" t="str">
        <f>+IF(O31&lt;&gt;0,IF(O31&gt;P31,"CUMPLE","NO CUMPE"),"")</f>
        <v>CUMPLE</v>
      </c>
      <c r="R31" s="121" t="s">
        <v>75</v>
      </c>
      <c r="S31" s="122"/>
      <c r="T31" s="149"/>
    </row>
    <row r="32" spans="3:20" ht="12.75" thickBot="1" x14ac:dyDescent="0.25">
      <c r="C32" s="83" t="s">
        <v>25</v>
      </c>
      <c r="D32" s="84"/>
      <c r="E32" s="85"/>
      <c r="F32" s="84"/>
      <c r="G32" s="85"/>
      <c r="H32" s="85"/>
      <c r="I32" s="85"/>
      <c r="J32" s="85"/>
      <c r="K32" s="85"/>
      <c r="L32" s="85"/>
      <c r="M32" s="85"/>
      <c r="N32" s="124"/>
      <c r="O32" s="85"/>
      <c r="P32" s="85"/>
      <c r="Q32" s="85"/>
      <c r="R32" s="85"/>
      <c r="S32" s="85"/>
      <c r="T32" s="157"/>
    </row>
    <row r="33" spans="3:20" ht="133.5" customHeight="1" thickBot="1" x14ac:dyDescent="0.25">
      <c r="C33" s="86">
        <v>1</v>
      </c>
      <c r="D33" s="87" t="s">
        <v>158</v>
      </c>
      <c r="E33" s="88">
        <v>174</v>
      </c>
      <c r="F33" s="89" t="s">
        <v>167</v>
      </c>
      <c r="G33" s="88" t="s">
        <v>57</v>
      </c>
      <c r="H33" s="90">
        <v>0.65</v>
      </c>
      <c r="I33" s="158" t="s">
        <v>163</v>
      </c>
      <c r="J33" s="92">
        <v>39615</v>
      </c>
      <c r="K33" s="92">
        <v>41152</v>
      </c>
      <c r="L33" s="93">
        <v>0</v>
      </c>
      <c r="M33" s="159">
        <v>19146251489</v>
      </c>
      <c r="N33" s="160">
        <f t="shared" ref="N33:N34" si="5">+M33*H33</f>
        <v>12445063467.85</v>
      </c>
      <c r="O33" s="120">
        <f>ROUND(IF(J33&lt;$I$4,0,IF(J33="",0,IF(OR(K33="---",K33=""),N33/LOOKUP(J33,[4]SMLM!$A$3:$A$36,[4]SMLM!$D$3:$D$36),N33/LOOKUP(J33,[4]SMLM!$A$3:$A$36,[4]SMLM!$D$3:$D$36)))),0)</f>
        <v>26967</v>
      </c>
      <c r="P33" s="94">
        <f>+Requisitos!$I$7</f>
        <v>1350.6493506493507</v>
      </c>
      <c r="Q33" s="97" t="str">
        <f t="shared" ref="Q33" si="6">+IF(O33&lt;&gt;0,IF(O33&gt;P33,"CUMPLE","NO CUMPE"),"")</f>
        <v>CUMPLE</v>
      </c>
      <c r="R33" s="97" t="s">
        <v>523</v>
      </c>
      <c r="S33" s="98"/>
      <c r="T33" s="139"/>
    </row>
    <row r="34" spans="3:20" ht="133.5" customHeight="1" thickBot="1" x14ac:dyDescent="0.25">
      <c r="C34" s="112">
        <v>4</v>
      </c>
      <c r="D34" s="113" t="s">
        <v>203</v>
      </c>
      <c r="E34" s="113" t="s">
        <v>207</v>
      </c>
      <c r="F34" s="114" t="s">
        <v>208</v>
      </c>
      <c r="G34" s="113" t="s">
        <v>209</v>
      </c>
      <c r="H34" s="115">
        <v>1</v>
      </c>
      <c r="I34" s="161" t="s">
        <v>163</v>
      </c>
      <c r="J34" s="117">
        <v>39434</v>
      </c>
      <c r="K34" s="117">
        <v>40895</v>
      </c>
      <c r="L34" s="118">
        <v>0</v>
      </c>
      <c r="M34" s="119">
        <v>6052734982</v>
      </c>
      <c r="N34" s="95">
        <f t="shared" si="5"/>
        <v>6052734982</v>
      </c>
      <c r="O34" s="156">
        <f>ROUND(IF(J34&lt;$I$4,0,IF(J34="",0,IF(OR(K34="---",K34=""),N34/LOOKUP(J34,[4]SMLM!$A$3:$A$36,[4]SMLM!$D$3:$D$36),N34/LOOKUP(J34,[4]SMLM!$A$3:$A$36,[4]SMLM!$D$3:$D$36)))),0)</f>
        <v>13956</v>
      </c>
      <c r="P34" s="119">
        <f>+Requisitos!$I$7</f>
        <v>1350.6493506493507</v>
      </c>
      <c r="Q34" s="121" t="str">
        <f t="shared" ref="Q34" si="7">+IF(O34&lt;&gt;0,IF(O34&gt;P34,"CUMPLE","NO CUMPE"),"")</f>
        <v>CUMPLE</v>
      </c>
      <c r="R34" s="134" t="s">
        <v>542</v>
      </c>
      <c r="S34" s="135" t="s">
        <v>293</v>
      </c>
      <c r="T34" s="123" t="s">
        <v>734</v>
      </c>
    </row>
    <row r="35" spans="3:20" x14ac:dyDescent="0.2">
      <c r="C35" s="83"/>
      <c r="D35" s="84"/>
      <c r="E35" s="85"/>
      <c r="F35" s="84"/>
      <c r="G35" s="85"/>
      <c r="H35" s="85"/>
      <c r="I35" s="85"/>
      <c r="J35" s="85"/>
      <c r="K35" s="85"/>
      <c r="L35" s="85"/>
      <c r="M35" s="85"/>
      <c r="N35" s="85"/>
      <c r="O35" s="162"/>
      <c r="P35" s="85"/>
      <c r="Q35" s="85"/>
      <c r="R35" s="85"/>
      <c r="S35" s="125"/>
    </row>
    <row r="36" spans="3:20" ht="12.75" thickBot="1" x14ac:dyDescent="0.25">
      <c r="C36" s="83"/>
      <c r="D36" s="84"/>
      <c r="E36" s="85"/>
      <c r="F36" s="84"/>
      <c r="G36" s="85"/>
      <c r="H36" s="85"/>
      <c r="I36" s="85"/>
      <c r="J36" s="85"/>
      <c r="K36" s="85"/>
      <c r="L36" s="85"/>
      <c r="M36" s="85"/>
      <c r="N36" s="85"/>
      <c r="O36" s="85"/>
      <c r="P36" s="85"/>
      <c r="Q36" s="85"/>
      <c r="R36" s="85"/>
      <c r="S36" s="125"/>
    </row>
    <row r="37" spans="3:20" x14ac:dyDescent="0.2">
      <c r="C37" s="83"/>
      <c r="D37" s="84"/>
      <c r="E37" s="85"/>
      <c r="F37" s="84"/>
      <c r="G37" s="85"/>
      <c r="H37" s="85"/>
      <c r="I37" s="85"/>
      <c r="J37" s="85"/>
      <c r="K37" s="379"/>
      <c r="L37" s="380"/>
      <c r="M37" s="380"/>
      <c r="N37" s="137" t="s">
        <v>59</v>
      </c>
      <c r="O37" s="137" t="s">
        <v>26</v>
      </c>
      <c r="P37" s="138" t="s">
        <v>60</v>
      </c>
      <c r="Q37" s="139"/>
      <c r="R37" s="85"/>
      <c r="S37" s="140"/>
    </row>
    <row r="38" spans="3:20" x14ac:dyDescent="0.2">
      <c r="C38" s="83"/>
      <c r="D38" s="84"/>
      <c r="E38" s="85"/>
      <c r="F38" s="84"/>
      <c r="G38" s="85"/>
      <c r="H38" s="85"/>
      <c r="I38" s="85"/>
      <c r="J38" s="85"/>
      <c r="K38" s="381" t="s">
        <v>168</v>
      </c>
      <c r="L38" s="382"/>
      <c r="M38" s="382"/>
      <c r="N38" s="141">
        <f>+SUMAGEN</f>
        <v>6541634245</v>
      </c>
      <c r="O38" s="142">
        <f>Requisitos!$I$6</f>
        <v>10609.20247324035</v>
      </c>
      <c r="P38" s="143">
        <f>+SUM(O30:O31,O33:O34)</f>
        <v>74820</v>
      </c>
      <c r="Q38" s="144" t="str">
        <f>+IF(P38&gt;Requisitos!$I$6,"CUMPLE","NO CUMPLE")</f>
        <v>CUMPLE</v>
      </c>
      <c r="R38" s="85"/>
      <c r="S38" s="125"/>
    </row>
    <row r="39" spans="3:20" x14ac:dyDescent="0.2">
      <c r="C39" s="83"/>
      <c r="D39" s="84"/>
      <c r="E39" s="85"/>
      <c r="F39" s="84"/>
      <c r="G39" s="85"/>
      <c r="H39" s="85"/>
      <c r="I39" s="85"/>
      <c r="J39" s="85"/>
      <c r="K39" s="381" t="s">
        <v>104</v>
      </c>
      <c r="L39" s="382"/>
      <c r="M39" s="382"/>
      <c r="N39" s="141">
        <f>+LIDERGEN</f>
        <v>3336233464.9500003</v>
      </c>
      <c r="O39" s="142">
        <f>Requisitos!$I$8</f>
        <v>5415.9634171266234</v>
      </c>
      <c r="P39" s="143">
        <f>SUM(O30:O31)</f>
        <v>33897</v>
      </c>
      <c r="Q39" s="144" t="str">
        <f>+IF(P39&gt;Requisitos!$I$8,"CUMPLE","NO CUMPLE")</f>
        <v>CUMPLE</v>
      </c>
      <c r="R39" s="85"/>
      <c r="S39" s="125"/>
    </row>
    <row r="40" spans="3:20" ht="12.75" thickBot="1" x14ac:dyDescent="0.25">
      <c r="C40" s="145"/>
      <c r="D40" s="146"/>
      <c r="E40" s="147"/>
      <c r="F40" s="146"/>
      <c r="G40" s="147"/>
      <c r="H40" s="147"/>
      <c r="I40" s="147"/>
      <c r="J40" s="147"/>
      <c r="K40" s="383"/>
      <c r="L40" s="384"/>
      <c r="M40" s="384"/>
      <c r="N40" s="148"/>
      <c r="O40" s="148"/>
      <c r="P40" s="148"/>
      <c r="Q40" s="149" t="str">
        <f>+IF(Q38="CUMPLE",IF(Q39="CUMPLE","HÁBIL","NO CUMPLE"),"NO CUMPLE")</f>
        <v>HÁBIL</v>
      </c>
      <c r="R40" s="147"/>
      <c r="S40" s="150"/>
    </row>
    <row r="41" spans="3:20" ht="12.75" thickTop="1" x14ac:dyDescent="0.2"/>
    <row r="42" spans="3:20" ht="12.75" thickBot="1" x14ac:dyDescent="0.25"/>
    <row r="43" spans="3:20" ht="12.75" thickBot="1" x14ac:dyDescent="0.25">
      <c r="C43" s="75" t="s">
        <v>13</v>
      </c>
      <c r="D43" s="76"/>
      <c r="E43" s="77">
        <v>3</v>
      </c>
      <c r="F43" s="76" t="str">
        <f>+VLOOKUP(E43,Proponentes!$B$10:$D$41,2,FALSE())</f>
        <v>CONSORCIO PACIFICO 2014</v>
      </c>
      <c r="G43" s="77"/>
      <c r="H43" s="77"/>
      <c r="I43" s="77"/>
      <c r="J43" s="78"/>
      <c r="K43" s="78"/>
      <c r="L43" s="78"/>
      <c r="M43" s="78"/>
      <c r="N43" s="78"/>
      <c r="O43" s="78"/>
      <c r="P43" s="78"/>
      <c r="Q43" s="78"/>
      <c r="R43" s="78"/>
      <c r="S43" s="79"/>
      <c r="T43" s="80"/>
    </row>
    <row r="44" spans="3:20" x14ac:dyDescent="0.2">
      <c r="C44" s="373" t="s">
        <v>28</v>
      </c>
      <c r="D44" s="375" t="s">
        <v>29</v>
      </c>
      <c r="E44" s="375" t="s">
        <v>37</v>
      </c>
      <c r="F44" s="375" t="s">
        <v>20</v>
      </c>
      <c r="G44" s="375" t="s">
        <v>21</v>
      </c>
      <c r="H44" s="375" t="s">
        <v>22</v>
      </c>
      <c r="I44" s="375" t="s">
        <v>14</v>
      </c>
      <c r="J44" s="375" t="s">
        <v>15</v>
      </c>
      <c r="K44" s="375" t="s">
        <v>16</v>
      </c>
      <c r="L44" s="375" t="s">
        <v>56</v>
      </c>
      <c r="M44" s="375" t="s">
        <v>17</v>
      </c>
      <c r="N44" s="377" t="s">
        <v>18</v>
      </c>
      <c r="O44" s="378"/>
      <c r="P44" s="378"/>
      <c r="Q44" s="378"/>
      <c r="R44" s="378"/>
      <c r="S44" s="385"/>
      <c r="T44" s="403" t="s">
        <v>727</v>
      </c>
    </row>
    <row r="45" spans="3:20" ht="48.75" thickBot="1" x14ac:dyDescent="0.25">
      <c r="C45" s="374"/>
      <c r="D45" s="376"/>
      <c r="E45" s="376"/>
      <c r="F45" s="376"/>
      <c r="G45" s="376"/>
      <c r="H45" s="376"/>
      <c r="I45" s="376"/>
      <c r="J45" s="376"/>
      <c r="K45" s="376"/>
      <c r="L45" s="376"/>
      <c r="M45" s="376"/>
      <c r="N45" s="81" t="s">
        <v>23</v>
      </c>
      <c r="O45" s="81" t="s">
        <v>55</v>
      </c>
      <c r="P45" s="81" t="s">
        <v>148</v>
      </c>
      <c r="Q45" s="81" t="s">
        <v>149</v>
      </c>
      <c r="R45" s="82" t="s">
        <v>72</v>
      </c>
      <c r="S45" s="151" t="s">
        <v>71</v>
      </c>
      <c r="T45" s="404"/>
    </row>
    <row r="46" spans="3:20" ht="12.75" thickBot="1" x14ac:dyDescent="0.25">
      <c r="C46" s="83" t="s">
        <v>24</v>
      </c>
      <c r="D46" s="84"/>
      <c r="E46" s="85"/>
      <c r="F46" s="84"/>
      <c r="G46" s="85"/>
      <c r="H46" s="85"/>
      <c r="I46" s="85"/>
      <c r="J46" s="85"/>
      <c r="K46" s="85"/>
      <c r="L46" s="85"/>
      <c r="M46" s="85"/>
      <c r="N46" s="85"/>
      <c r="O46" s="85"/>
      <c r="P46" s="85"/>
      <c r="Q46" s="85"/>
      <c r="R46" s="85"/>
      <c r="S46" s="125"/>
    </row>
    <row r="47" spans="3:20" ht="85.5" customHeight="1" thickBot="1" x14ac:dyDescent="0.25">
      <c r="C47" s="86">
        <v>1</v>
      </c>
      <c r="D47" s="87" t="s">
        <v>9</v>
      </c>
      <c r="E47" s="152" t="s">
        <v>170</v>
      </c>
      <c r="F47" s="89" t="s">
        <v>171</v>
      </c>
      <c r="G47" s="88" t="s">
        <v>57</v>
      </c>
      <c r="H47" s="90">
        <v>0.25</v>
      </c>
      <c r="I47" s="91" t="s">
        <v>51</v>
      </c>
      <c r="J47" s="92">
        <v>37790</v>
      </c>
      <c r="K47" s="92">
        <v>38612</v>
      </c>
      <c r="L47" s="93">
        <v>15</v>
      </c>
      <c r="M47" s="94">
        <v>2363195725</v>
      </c>
      <c r="N47" s="153">
        <f t="shared" ref="N47:N48" si="8">+M47*H47</f>
        <v>590798931.25</v>
      </c>
      <c r="O47" s="120">
        <f>ROUND(IF(J47&lt;$I$4,0,IF(J47="",0,IF(OR(K47="---",K47=""),N47/LOOKUP(J47,[4]SMLM!$A$3:$A$36,[4]SMLM!$D$3:$D$36),N47/LOOKUP(J47,[4]SMLM!$A$3:$A$36,[4]SMLM!$D$3:$D$36)))),0)</f>
        <v>1780</v>
      </c>
      <c r="P47" s="94">
        <f>+Requisitos!$I$7</f>
        <v>1350.6493506493507</v>
      </c>
      <c r="Q47" s="97" t="str">
        <f>+IF(O47&lt;&gt;0,IF(O47&gt;P47,"CUMPLE","NO CUMPE"),"")</f>
        <v>CUMPLE</v>
      </c>
      <c r="R47" s="97" t="s">
        <v>524</v>
      </c>
      <c r="S47" s="98"/>
      <c r="T47" s="139"/>
    </row>
    <row r="48" spans="3:20" ht="105" customHeight="1" thickBot="1" x14ac:dyDescent="0.25">
      <c r="C48" s="112">
        <v>2</v>
      </c>
      <c r="D48" s="69" t="s">
        <v>158</v>
      </c>
      <c r="E48" s="154" t="s">
        <v>172</v>
      </c>
      <c r="F48" s="114" t="s">
        <v>173</v>
      </c>
      <c r="G48" s="113" t="s">
        <v>57</v>
      </c>
      <c r="H48" s="115">
        <v>1</v>
      </c>
      <c r="I48" s="116" t="s">
        <v>51</v>
      </c>
      <c r="J48" s="117">
        <v>39062</v>
      </c>
      <c r="K48" s="117">
        <v>40476</v>
      </c>
      <c r="L48" s="118">
        <v>15</v>
      </c>
      <c r="M48" s="119">
        <v>2398644428</v>
      </c>
      <c r="N48" s="155">
        <f t="shared" si="8"/>
        <v>2398644428</v>
      </c>
      <c r="O48" s="156">
        <f>ROUND(IF(J48&lt;$I$4,0,IF(J48="",0,IF(OR(K48="---",K48=""),N48/LOOKUP(J48,[4]SMLM!$A$3:$A$36,[4]SMLM!$D$3:$D$36),N48/LOOKUP(J48,[4]SMLM!$A$3:$A$36,[4]SMLM!$D$3:$D$36)))),0)</f>
        <v>5879</v>
      </c>
      <c r="P48" s="119">
        <f>+Requisitos!$I$7</f>
        <v>1350.6493506493507</v>
      </c>
      <c r="Q48" s="121" t="str">
        <f>+IF(O48&lt;&gt;0,IF(O48&gt;P48,"CUMPLE","NO CUMPE"),"")</f>
        <v>CUMPLE</v>
      </c>
      <c r="R48" s="121" t="s">
        <v>525</v>
      </c>
      <c r="S48" s="122"/>
      <c r="T48" s="149"/>
    </row>
    <row r="49" spans="3:20" ht="12.75" thickBot="1" x14ac:dyDescent="0.25">
      <c r="C49" s="83" t="s">
        <v>25</v>
      </c>
      <c r="D49" s="84"/>
      <c r="E49" s="85"/>
      <c r="F49" s="84"/>
      <c r="G49" s="85"/>
      <c r="H49" s="85"/>
      <c r="I49" s="85"/>
      <c r="J49" s="85"/>
      <c r="K49" s="85"/>
      <c r="L49" s="85"/>
      <c r="M49" s="85"/>
      <c r="N49" s="124"/>
      <c r="O49" s="85"/>
      <c r="P49" s="85"/>
      <c r="Q49" s="85"/>
      <c r="R49" s="85"/>
      <c r="S49" s="85"/>
      <c r="T49" s="157"/>
    </row>
    <row r="50" spans="3:20" ht="60.75" customHeight="1" thickBot="1" x14ac:dyDescent="0.25">
      <c r="C50" s="86">
        <v>1</v>
      </c>
      <c r="D50" s="87" t="s">
        <v>174</v>
      </c>
      <c r="E50" s="88" t="s">
        <v>180</v>
      </c>
      <c r="F50" s="89" t="s">
        <v>175</v>
      </c>
      <c r="G50" s="88" t="s">
        <v>57</v>
      </c>
      <c r="H50" s="90">
        <v>1</v>
      </c>
      <c r="I50" s="163" t="s">
        <v>178</v>
      </c>
      <c r="J50" s="92">
        <v>40498</v>
      </c>
      <c r="K50" s="92">
        <v>41502</v>
      </c>
      <c r="L50" s="93">
        <v>0</v>
      </c>
      <c r="M50" s="159">
        <v>1349015195</v>
      </c>
      <c r="N50" s="160">
        <f t="shared" ref="N50:N51" si="9">+M50*H50</f>
        <v>1349015195</v>
      </c>
      <c r="O50" s="120">
        <f>ROUND(IF(J50&lt;$I$4,0,IF(J50="",0,IF(OR(K50="---",K50=""),N50/LOOKUP(J50,[4]SMLM!$A$3:$A$36,[4]SMLM!$D$3:$D$36),N50/LOOKUP(J50,[4]SMLM!$A$3:$A$36,[4]SMLM!$D$3:$D$36)))),0)</f>
        <v>2619</v>
      </c>
      <c r="P50" s="94">
        <f>+Requisitos!$I$7</f>
        <v>1350.6493506493507</v>
      </c>
      <c r="Q50" s="97" t="str">
        <f t="shared" ref="Q50:Q51" si="10">+IF(O50&lt;&gt;0,IF(O50&gt;P50,"CUMPLE","NO CUMPE"),"")</f>
        <v>CUMPLE</v>
      </c>
      <c r="R50" s="97" t="s">
        <v>526</v>
      </c>
      <c r="S50" s="98"/>
      <c r="T50" s="139"/>
    </row>
    <row r="51" spans="3:20" ht="94.5" customHeight="1" thickBot="1" x14ac:dyDescent="0.25">
      <c r="C51" s="112">
        <v>2</v>
      </c>
      <c r="D51" s="69" t="s">
        <v>177</v>
      </c>
      <c r="E51" s="113" t="s">
        <v>179</v>
      </c>
      <c r="F51" s="114" t="s">
        <v>176</v>
      </c>
      <c r="G51" s="113" t="s">
        <v>57</v>
      </c>
      <c r="H51" s="115">
        <v>1</v>
      </c>
      <c r="I51" s="69" t="s">
        <v>50</v>
      </c>
      <c r="J51" s="117">
        <v>41271</v>
      </c>
      <c r="K51" s="117">
        <v>41635</v>
      </c>
      <c r="L51" s="118">
        <v>0</v>
      </c>
      <c r="M51" s="164">
        <v>958455800</v>
      </c>
      <c r="N51" s="165">
        <f t="shared" si="9"/>
        <v>958455800</v>
      </c>
      <c r="O51" s="156">
        <f>ROUND(IF(J51&lt;$I$4,0,IF(J51="",0,IF(OR(K51="---",K51=""),N51/LOOKUP(J51,[4]SMLM!$A$3:$A$36,[4]SMLM!$D$3:$D$36),N51/LOOKUP(J51,[4]SMLM!$A$3:$A$36,[4]SMLM!$D$3:$D$36)))),0)</f>
        <v>1691</v>
      </c>
      <c r="P51" s="119">
        <f>+Requisitos!$I$7</f>
        <v>1350.6493506493507</v>
      </c>
      <c r="Q51" s="121" t="str">
        <f t="shared" si="10"/>
        <v>CUMPLE</v>
      </c>
      <c r="R51" s="121" t="s">
        <v>527</v>
      </c>
      <c r="S51" s="122"/>
      <c r="T51" s="149"/>
    </row>
    <row r="52" spans="3:20" ht="12.75" thickBot="1" x14ac:dyDescent="0.25">
      <c r="C52" s="83"/>
      <c r="D52" s="84"/>
      <c r="E52" s="85"/>
      <c r="F52" s="84"/>
      <c r="G52" s="85"/>
      <c r="H52" s="85"/>
      <c r="I52" s="85"/>
      <c r="J52" s="85"/>
      <c r="K52" s="85"/>
      <c r="L52" s="85"/>
      <c r="M52" s="85"/>
      <c r="N52" s="85"/>
      <c r="O52" s="162"/>
      <c r="P52" s="85"/>
      <c r="Q52" s="85"/>
      <c r="R52" s="85"/>
      <c r="S52" s="125"/>
    </row>
    <row r="53" spans="3:20" x14ac:dyDescent="0.2">
      <c r="C53" s="83"/>
      <c r="D53" s="84"/>
      <c r="E53" s="85"/>
      <c r="F53" s="84"/>
      <c r="G53" s="85"/>
      <c r="H53" s="85"/>
      <c r="I53" s="85"/>
      <c r="J53" s="85"/>
      <c r="K53" s="379"/>
      <c r="L53" s="380"/>
      <c r="M53" s="380"/>
      <c r="N53" s="137" t="s">
        <v>59</v>
      </c>
      <c r="O53" s="137" t="s">
        <v>26</v>
      </c>
      <c r="P53" s="138" t="s">
        <v>60</v>
      </c>
      <c r="Q53" s="139"/>
      <c r="R53" s="85"/>
      <c r="S53" s="140"/>
    </row>
    <row r="54" spans="3:20" x14ac:dyDescent="0.2">
      <c r="C54" s="83"/>
      <c r="D54" s="84"/>
      <c r="E54" s="85"/>
      <c r="F54" s="84"/>
      <c r="G54" s="85"/>
      <c r="H54" s="85"/>
      <c r="I54" s="85"/>
      <c r="J54" s="85"/>
      <c r="K54" s="381" t="s">
        <v>168</v>
      </c>
      <c r="L54" s="382"/>
      <c r="M54" s="382"/>
      <c r="N54" s="141">
        <f>+SUMAGEN</f>
        <v>6541634245</v>
      </c>
      <c r="O54" s="142">
        <f>Requisitos!$I$6</f>
        <v>10609.20247324035</v>
      </c>
      <c r="P54" s="143">
        <f>SUM(O47:O51)</f>
        <v>11969</v>
      </c>
      <c r="Q54" s="144" t="str">
        <f>+IF(P54&gt;Requisitos!$I$6,"CUMPLE","NO CUMPLE")</f>
        <v>CUMPLE</v>
      </c>
      <c r="R54" s="85"/>
      <c r="S54" s="125"/>
    </row>
    <row r="55" spans="3:20" x14ac:dyDescent="0.2">
      <c r="C55" s="83"/>
      <c r="D55" s="84"/>
      <c r="E55" s="85"/>
      <c r="F55" s="84"/>
      <c r="G55" s="85"/>
      <c r="H55" s="85"/>
      <c r="I55" s="85"/>
      <c r="J55" s="85"/>
      <c r="K55" s="381" t="s">
        <v>104</v>
      </c>
      <c r="L55" s="382"/>
      <c r="M55" s="382"/>
      <c r="N55" s="141">
        <f>+LIDERGEN</f>
        <v>3336233464.9500003</v>
      </c>
      <c r="O55" s="142">
        <f>Requisitos!$I$8</f>
        <v>5415.9634171266234</v>
      </c>
      <c r="P55" s="143">
        <f>SUM(O47:O48)</f>
        <v>7659</v>
      </c>
      <c r="Q55" s="144" t="str">
        <f>+IF(P55&gt;Requisitos!$I$8,"CUMPLE","NO CUMPLE")</f>
        <v>CUMPLE</v>
      </c>
      <c r="R55" s="85"/>
      <c r="S55" s="125"/>
    </row>
    <row r="56" spans="3:20" ht="12.75" thickBot="1" x14ac:dyDescent="0.25">
      <c r="C56" s="145"/>
      <c r="D56" s="146"/>
      <c r="E56" s="147"/>
      <c r="F56" s="146"/>
      <c r="G56" s="147"/>
      <c r="H56" s="147"/>
      <c r="I56" s="147"/>
      <c r="J56" s="147"/>
      <c r="K56" s="383"/>
      <c r="L56" s="384"/>
      <c r="M56" s="384"/>
      <c r="N56" s="148"/>
      <c r="O56" s="148"/>
      <c r="P56" s="148"/>
      <c r="Q56" s="149" t="str">
        <f>+IF(Q54="CUMPLE",IF(Q55="CUMPLE","HÁBIL","NO CUMPLE"),"NO CUMPLE")</f>
        <v>HÁBIL</v>
      </c>
      <c r="R56" s="147"/>
      <c r="S56" s="150"/>
    </row>
    <row r="57" spans="3:20" ht="12.75" thickTop="1" x14ac:dyDescent="0.2"/>
    <row r="58" spans="3:20" ht="12.75" thickBot="1" x14ac:dyDescent="0.25"/>
    <row r="59" spans="3:20" ht="12.75" thickBot="1" x14ac:dyDescent="0.25">
      <c r="C59" s="75" t="s">
        <v>13</v>
      </c>
      <c r="D59" s="76"/>
      <c r="E59" s="77">
        <v>4</v>
      </c>
      <c r="F59" s="76" t="str">
        <f>+VLOOKUP(E59,Proponentes!$B$10:$D$41,2,FALSE())</f>
        <v>CONSORCIO AEROPISTA DEL VALLE</v>
      </c>
      <c r="G59" s="77"/>
      <c r="H59" s="77"/>
      <c r="I59" s="77"/>
      <c r="J59" s="78"/>
      <c r="K59" s="78"/>
      <c r="L59" s="78"/>
      <c r="M59" s="78"/>
      <c r="N59" s="78"/>
      <c r="O59" s="78"/>
      <c r="P59" s="78"/>
      <c r="Q59" s="78"/>
      <c r="R59" s="78"/>
      <c r="S59" s="79"/>
      <c r="T59" s="80"/>
    </row>
    <row r="60" spans="3:20" x14ac:dyDescent="0.2">
      <c r="C60" s="373" t="s">
        <v>28</v>
      </c>
      <c r="D60" s="375" t="s">
        <v>29</v>
      </c>
      <c r="E60" s="375" t="s">
        <v>37</v>
      </c>
      <c r="F60" s="375" t="s">
        <v>20</v>
      </c>
      <c r="G60" s="375" t="s">
        <v>21</v>
      </c>
      <c r="H60" s="375" t="s">
        <v>22</v>
      </c>
      <c r="I60" s="375" t="s">
        <v>14</v>
      </c>
      <c r="J60" s="375" t="s">
        <v>15</v>
      </c>
      <c r="K60" s="375" t="s">
        <v>16</v>
      </c>
      <c r="L60" s="375" t="s">
        <v>56</v>
      </c>
      <c r="M60" s="375" t="s">
        <v>17</v>
      </c>
      <c r="N60" s="377" t="s">
        <v>18</v>
      </c>
      <c r="O60" s="378"/>
      <c r="P60" s="378"/>
      <c r="Q60" s="378"/>
      <c r="R60" s="378"/>
      <c r="S60" s="385"/>
      <c r="T60" s="403" t="s">
        <v>727</v>
      </c>
    </row>
    <row r="61" spans="3:20" ht="48.75" thickBot="1" x14ac:dyDescent="0.25">
      <c r="C61" s="374"/>
      <c r="D61" s="376"/>
      <c r="E61" s="376"/>
      <c r="F61" s="376"/>
      <c r="G61" s="376"/>
      <c r="H61" s="376"/>
      <c r="I61" s="376"/>
      <c r="J61" s="376"/>
      <c r="K61" s="376"/>
      <c r="L61" s="376"/>
      <c r="M61" s="376"/>
      <c r="N61" s="81" t="s">
        <v>23</v>
      </c>
      <c r="O61" s="81" t="s">
        <v>55</v>
      </c>
      <c r="P61" s="81" t="s">
        <v>148</v>
      </c>
      <c r="Q61" s="81" t="s">
        <v>149</v>
      </c>
      <c r="R61" s="82" t="s">
        <v>72</v>
      </c>
      <c r="S61" s="151" t="s">
        <v>71</v>
      </c>
      <c r="T61" s="404"/>
    </row>
    <row r="62" spans="3:20" ht="12.75" thickBot="1" x14ac:dyDescent="0.25">
      <c r="C62" s="83" t="s">
        <v>24</v>
      </c>
      <c r="D62" s="84"/>
      <c r="E62" s="85"/>
      <c r="F62" s="84"/>
      <c r="G62" s="85"/>
      <c r="H62" s="85"/>
      <c r="I62" s="85"/>
      <c r="J62" s="85"/>
      <c r="K62" s="85"/>
      <c r="L62" s="85"/>
      <c r="M62" s="85"/>
      <c r="N62" s="85"/>
      <c r="O62" s="85"/>
      <c r="P62" s="85"/>
      <c r="Q62" s="85"/>
      <c r="R62" s="85"/>
      <c r="S62" s="125"/>
    </row>
    <row r="63" spans="3:20" ht="87" customHeight="1" thickBot="1" x14ac:dyDescent="0.25">
      <c r="C63" s="86">
        <v>1</v>
      </c>
      <c r="D63" s="87" t="s">
        <v>9</v>
      </c>
      <c r="E63" s="152">
        <v>275</v>
      </c>
      <c r="F63" s="89" t="s">
        <v>181</v>
      </c>
      <c r="G63" s="88" t="s">
        <v>57</v>
      </c>
      <c r="H63" s="90">
        <v>0.5</v>
      </c>
      <c r="I63" s="91" t="s">
        <v>182</v>
      </c>
      <c r="J63" s="92">
        <v>35457</v>
      </c>
      <c r="K63" s="92">
        <v>37126</v>
      </c>
      <c r="L63" s="93">
        <v>15</v>
      </c>
      <c r="M63" s="94">
        <v>5240267062</v>
      </c>
      <c r="N63" s="153">
        <f t="shared" ref="N63" si="11">+M63*H63</f>
        <v>2620133531</v>
      </c>
      <c r="O63" s="120">
        <f>ROUND(IF(J63&lt;$I$4,0,IF(J63="",0,IF(OR(K63="---",K63=""),N63/LOOKUP(J63,[4]SMLM!$A$3:$A$36,[4]SMLM!$D$3:$D$36),N63/LOOKUP(J63,[4]SMLM!$A$3:$A$36,[4]SMLM!$D$3:$D$36)))),0)</f>
        <v>15233</v>
      </c>
      <c r="P63" s="94">
        <f>+Requisitos!$I$7</f>
        <v>1350.6493506493507</v>
      </c>
      <c r="Q63" s="97" t="str">
        <f>+IF(O63&lt;&gt;0,IF(O63&gt;P63,"CUMPLE","NO CUMPE"),"")</f>
        <v>CUMPLE</v>
      </c>
      <c r="R63" s="97" t="s">
        <v>528</v>
      </c>
      <c r="S63" s="98"/>
      <c r="T63" s="139"/>
    </row>
    <row r="64" spans="3:20" ht="87" customHeight="1" thickBot="1" x14ac:dyDescent="0.25">
      <c r="C64" s="112">
        <v>2</v>
      </c>
      <c r="D64" s="113" t="s">
        <v>212</v>
      </c>
      <c r="E64" s="154" t="s">
        <v>693</v>
      </c>
      <c r="F64" s="114" t="s">
        <v>694</v>
      </c>
      <c r="G64" s="113" t="s">
        <v>57</v>
      </c>
      <c r="H64" s="115">
        <v>0.5</v>
      </c>
      <c r="I64" s="116" t="s">
        <v>182</v>
      </c>
      <c r="J64" s="117">
        <v>36185</v>
      </c>
      <c r="K64" s="117">
        <v>36891</v>
      </c>
      <c r="L64" s="118">
        <v>15</v>
      </c>
      <c r="M64" s="119">
        <v>1228093139</v>
      </c>
      <c r="N64" s="155">
        <f t="shared" ref="N64" si="12">+M64*H64</f>
        <v>614046569.5</v>
      </c>
      <c r="O64" s="156">
        <f>ROUND(IF(J64&lt;$I$4,0,IF(J64="",0,IF(OR(K64="---",K64=""),N64/LOOKUP(J64,[4]SMLM!$A$3:$A$36,[4]SMLM!$D$3:$D$36),N64/LOOKUP(J64,[4]SMLM!$A$3:$A$36,[4]SMLM!$D$3:$D$36)))),0)</f>
        <v>2597</v>
      </c>
      <c r="P64" s="119">
        <f>+Requisitos!$I$7</f>
        <v>1350.6493506493507</v>
      </c>
      <c r="Q64" s="121" t="str">
        <f>+IF(O64&lt;&gt;0,IF(O64&gt;P64,"CUMPLE","NO CUMPE"),"")</f>
        <v>CUMPLE</v>
      </c>
      <c r="R64" s="121" t="s">
        <v>695</v>
      </c>
      <c r="S64" s="122"/>
      <c r="T64" s="144"/>
    </row>
    <row r="65" spans="3:20" ht="12.75" thickBot="1" x14ac:dyDescent="0.25">
      <c r="C65" s="83" t="s">
        <v>25</v>
      </c>
      <c r="D65" s="84"/>
      <c r="E65" s="85"/>
      <c r="F65" s="84"/>
      <c r="G65" s="85"/>
      <c r="H65" s="85"/>
      <c r="I65" s="85"/>
      <c r="J65" s="85"/>
      <c r="K65" s="85"/>
      <c r="L65" s="85"/>
      <c r="M65" s="85"/>
      <c r="N65" s="124"/>
      <c r="O65" s="85"/>
      <c r="P65" s="85"/>
      <c r="Q65" s="85"/>
      <c r="R65" s="85"/>
      <c r="S65" s="85"/>
      <c r="T65" s="144"/>
    </row>
    <row r="66" spans="3:20" ht="83.25" customHeight="1" thickBot="1" x14ac:dyDescent="0.25">
      <c r="C66" s="86">
        <v>1</v>
      </c>
      <c r="D66" s="87" t="s">
        <v>183</v>
      </c>
      <c r="E66" s="88">
        <v>779</v>
      </c>
      <c r="F66" s="89" t="s">
        <v>184</v>
      </c>
      <c r="G66" s="88" t="s">
        <v>57</v>
      </c>
      <c r="H66" s="90">
        <v>0.5</v>
      </c>
      <c r="I66" s="163" t="s">
        <v>185</v>
      </c>
      <c r="J66" s="92">
        <v>36312</v>
      </c>
      <c r="K66" s="92">
        <v>37833</v>
      </c>
      <c r="L66" s="93">
        <v>0</v>
      </c>
      <c r="M66" s="159">
        <v>5331439397</v>
      </c>
      <c r="N66" s="160">
        <f t="shared" ref="N66" si="13">+M66*H66</f>
        <v>2665719698.5</v>
      </c>
      <c r="O66" s="156">
        <f>ROUND(IF(J66&lt;$I$4,0,IF(J66="",0,IF(OR(K66="---",K66=""),N66/LOOKUP(J66,[4]SMLM!$A$3:$A$36,[4]SMLM!$D$3:$D$36),N66/LOOKUP(J66,[4]SMLM!$A$3:$A$36,[4]SMLM!$D$3:$D$36)))),0)</f>
        <v>11273</v>
      </c>
      <c r="P66" s="94">
        <f>+Requisitos!$I$7</f>
        <v>1350.6493506493507</v>
      </c>
      <c r="Q66" s="97" t="str">
        <f t="shared" ref="Q66" si="14">+IF(O66&lt;&gt;0,IF(O66&gt;P66,"CUMPLE","NO CUMPE"),"")</f>
        <v>CUMPLE</v>
      </c>
      <c r="R66" s="97" t="s">
        <v>529</v>
      </c>
      <c r="S66" s="98"/>
      <c r="T66" s="144"/>
    </row>
    <row r="67" spans="3:20" ht="83.25" customHeight="1" thickBot="1" x14ac:dyDescent="0.25">
      <c r="C67" s="112">
        <v>2</v>
      </c>
      <c r="D67" s="69" t="s">
        <v>696</v>
      </c>
      <c r="E67" s="113" t="s">
        <v>222</v>
      </c>
      <c r="F67" s="114" t="s">
        <v>697</v>
      </c>
      <c r="G67" s="113" t="s">
        <v>57</v>
      </c>
      <c r="H67" s="115">
        <v>0.75</v>
      </c>
      <c r="I67" s="166" t="s">
        <v>185</v>
      </c>
      <c r="J67" s="117">
        <v>39534</v>
      </c>
      <c r="K67" s="117">
        <v>40628</v>
      </c>
      <c r="L67" s="118">
        <v>0</v>
      </c>
      <c r="M67" s="164">
        <v>3753633746</v>
      </c>
      <c r="N67" s="165">
        <f t="shared" ref="N67" si="15">+M67*H67</f>
        <v>2815225309.5</v>
      </c>
      <c r="O67" s="156">
        <f>ROUND(IF(J67&lt;$I$4,0,IF(J67="",0,IF(OR(K67="---",K67=""),N67/LOOKUP(J67,[4]SMLM!$A$3:$A$36,[4]SMLM!$D$3:$D$36),N67/LOOKUP(J67,[4]SMLM!$A$3:$A$36,[4]SMLM!$D$3:$D$36)))),0)</f>
        <v>6100</v>
      </c>
      <c r="P67" s="119">
        <f>+Requisitos!$I$7</f>
        <v>1350.6493506493507</v>
      </c>
      <c r="Q67" s="121" t="str">
        <f t="shared" ref="Q67" si="16">+IF(O67&lt;&gt;0,IF(O67&gt;P67,"CUMPLE","NO CUMPE"),"")</f>
        <v>CUMPLE</v>
      </c>
      <c r="R67" s="121" t="s">
        <v>698</v>
      </c>
      <c r="S67" s="122"/>
      <c r="T67" s="149"/>
    </row>
    <row r="68" spans="3:20" ht="12.75" thickBot="1" x14ac:dyDescent="0.25">
      <c r="C68" s="83"/>
      <c r="D68" s="84"/>
      <c r="E68" s="85"/>
      <c r="F68" s="84"/>
      <c r="G68" s="85"/>
      <c r="H68" s="85"/>
      <c r="I68" s="85"/>
      <c r="J68" s="85"/>
      <c r="K68" s="85"/>
      <c r="L68" s="85"/>
      <c r="M68" s="85"/>
      <c r="N68" s="85"/>
      <c r="O68" s="162"/>
      <c r="P68" s="85"/>
      <c r="Q68" s="85"/>
      <c r="R68" s="85"/>
      <c r="S68" s="125"/>
    </row>
    <row r="69" spans="3:20" x14ac:dyDescent="0.2">
      <c r="C69" s="83"/>
      <c r="D69" s="84"/>
      <c r="E69" s="85"/>
      <c r="F69" s="84"/>
      <c r="G69" s="85"/>
      <c r="H69" s="85"/>
      <c r="I69" s="85"/>
      <c r="J69" s="85"/>
      <c r="K69" s="379"/>
      <c r="L69" s="380"/>
      <c r="M69" s="380"/>
      <c r="N69" s="137" t="s">
        <v>59</v>
      </c>
      <c r="O69" s="137" t="s">
        <v>26</v>
      </c>
      <c r="P69" s="138" t="s">
        <v>60</v>
      </c>
      <c r="Q69" s="139"/>
      <c r="R69" s="85"/>
      <c r="S69" s="140"/>
    </row>
    <row r="70" spans="3:20" x14ac:dyDescent="0.2">
      <c r="C70" s="83"/>
      <c r="D70" s="84"/>
      <c r="E70" s="85"/>
      <c r="F70" s="84"/>
      <c r="G70" s="85"/>
      <c r="H70" s="85"/>
      <c r="I70" s="85"/>
      <c r="J70" s="85"/>
      <c r="K70" s="381" t="s">
        <v>168</v>
      </c>
      <c r="L70" s="382"/>
      <c r="M70" s="382"/>
      <c r="N70" s="141">
        <f>+SUMAGEN</f>
        <v>6541634245</v>
      </c>
      <c r="O70" s="142">
        <f>Requisitos!$I$6</f>
        <v>10609.20247324035</v>
      </c>
      <c r="P70" s="143">
        <f>+SUM(O63:O63,O66:O66)</f>
        <v>26506</v>
      </c>
      <c r="Q70" s="144" t="str">
        <f>+IF(P70&gt;Requisitos!$I$6,"CUMPLE","NO CUMPLE")</f>
        <v>CUMPLE</v>
      </c>
      <c r="R70" s="85"/>
      <c r="S70" s="125"/>
    </row>
    <row r="71" spans="3:20" x14ac:dyDescent="0.2">
      <c r="C71" s="83"/>
      <c r="D71" s="84"/>
      <c r="E71" s="85"/>
      <c r="F71" s="84"/>
      <c r="G71" s="85"/>
      <c r="H71" s="85"/>
      <c r="I71" s="85"/>
      <c r="J71" s="85"/>
      <c r="K71" s="381" t="s">
        <v>104</v>
      </c>
      <c r="L71" s="382"/>
      <c r="M71" s="382"/>
      <c r="N71" s="141">
        <f>+LIDERGEN</f>
        <v>3336233464.9500003</v>
      </c>
      <c r="O71" s="142">
        <f>Requisitos!$I$8</f>
        <v>5415.9634171266234</v>
      </c>
      <c r="P71" s="143">
        <f>SUM(O63:O64)</f>
        <v>17830</v>
      </c>
      <c r="Q71" s="144" t="str">
        <f>+IF(P71&gt;Requisitos!$I$8,"CUMPLE","NO CUMPLE")</f>
        <v>CUMPLE</v>
      </c>
      <c r="R71" s="85"/>
      <c r="S71" s="125"/>
    </row>
    <row r="72" spans="3:20" ht="12.75" thickBot="1" x14ac:dyDescent="0.25">
      <c r="C72" s="145"/>
      <c r="D72" s="146"/>
      <c r="E72" s="147"/>
      <c r="F72" s="146"/>
      <c r="G72" s="147"/>
      <c r="H72" s="147"/>
      <c r="I72" s="147"/>
      <c r="J72" s="147"/>
      <c r="K72" s="383"/>
      <c r="L72" s="384"/>
      <c r="M72" s="384"/>
      <c r="N72" s="148"/>
      <c r="O72" s="148"/>
      <c r="P72" s="148"/>
      <c r="Q72" s="149" t="str">
        <f>+IF(Q70="CUMPLE",IF(Q71="CUMPLE","HÁBIL","NO CUMPLE"),"NO CUMPLE")</f>
        <v>HÁBIL</v>
      </c>
      <c r="R72" s="147"/>
      <c r="S72" s="150"/>
    </row>
    <row r="73" spans="3:20" ht="12.75" thickTop="1" x14ac:dyDescent="0.2"/>
    <row r="74" spans="3:20" ht="12.75" thickBot="1" x14ac:dyDescent="0.25"/>
    <row r="75" spans="3:20" ht="12.75" thickBot="1" x14ac:dyDescent="0.25">
      <c r="C75" s="75" t="s">
        <v>13</v>
      </c>
      <c r="D75" s="76"/>
      <c r="E75" s="77">
        <v>5</v>
      </c>
      <c r="F75" s="76" t="str">
        <f>+VLOOKUP(E75,[4]Proponentes!$B$10:$D$43,2,FALSE())</f>
        <v>CONSORCIO SUPERVISION AEROCALI</v>
      </c>
      <c r="G75" s="77"/>
      <c r="H75" s="77"/>
      <c r="I75" s="77"/>
      <c r="J75" s="78"/>
      <c r="K75" s="78"/>
      <c r="L75" s="78"/>
      <c r="M75" s="78"/>
      <c r="N75" s="78"/>
      <c r="O75" s="78"/>
      <c r="P75" s="78"/>
      <c r="Q75" s="78"/>
      <c r="R75" s="78"/>
      <c r="S75" s="79"/>
      <c r="T75" s="80"/>
    </row>
    <row r="76" spans="3:20" x14ac:dyDescent="0.2">
      <c r="C76" s="373" t="s">
        <v>28</v>
      </c>
      <c r="D76" s="375" t="s">
        <v>29</v>
      </c>
      <c r="E76" s="375" t="s">
        <v>37</v>
      </c>
      <c r="F76" s="375" t="s">
        <v>20</v>
      </c>
      <c r="G76" s="375" t="s">
        <v>21</v>
      </c>
      <c r="H76" s="375" t="s">
        <v>22</v>
      </c>
      <c r="I76" s="375" t="s">
        <v>14</v>
      </c>
      <c r="J76" s="375" t="s">
        <v>15</v>
      </c>
      <c r="K76" s="375" t="s">
        <v>16</v>
      </c>
      <c r="L76" s="375" t="s">
        <v>56</v>
      </c>
      <c r="M76" s="375" t="s">
        <v>17</v>
      </c>
      <c r="N76" s="377" t="s">
        <v>18</v>
      </c>
      <c r="O76" s="378"/>
      <c r="P76" s="378"/>
      <c r="Q76" s="378"/>
      <c r="R76" s="378"/>
      <c r="S76" s="385"/>
      <c r="T76" s="403" t="s">
        <v>727</v>
      </c>
    </row>
    <row r="77" spans="3:20" ht="48.75" thickBot="1" x14ac:dyDescent="0.25">
      <c r="C77" s="374"/>
      <c r="D77" s="376"/>
      <c r="E77" s="376"/>
      <c r="F77" s="376"/>
      <c r="G77" s="376"/>
      <c r="H77" s="376"/>
      <c r="I77" s="376"/>
      <c r="J77" s="376"/>
      <c r="K77" s="376"/>
      <c r="L77" s="376"/>
      <c r="M77" s="376"/>
      <c r="N77" s="81" t="s">
        <v>23</v>
      </c>
      <c r="O77" s="81" t="s">
        <v>55</v>
      </c>
      <c r="P77" s="81" t="s">
        <v>148</v>
      </c>
      <c r="Q77" s="81" t="s">
        <v>149</v>
      </c>
      <c r="R77" s="82" t="s">
        <v>72</v>
      </c>
      <c r="S77" s="151" t="s">
        <v>71</v>
      </c>
      <c r="T77" s="403"/>
    </row>
    <row r="78" spans="3:20" ht="12.75" thickBot="1" x14ac:dyDescent="0.25">
      <c r="C78" s="167" t="s">
        <v>24</v>
      </c>
      <c r="D78" s="168"/>
      <c r="E78" s="169"/>
      <c r="F78" s="168"/>
      <c r="G78" s="169"/>
      <c r="H78" s="169"/>
      <c r="I78" s="169"/>
      <c r="J78" s="169"/>
      <c r="K78" s="169"/>
      <c r="L78" s="169"/>
      <c r="M78" s="169"/>
      <c r="N78" s="169"/>
      <c r="O78" s="169"/>
      <c r="P78" s="169"/>
      <c r="Q78" s="169"/>
      <c r="R78" s="169"/>
      <c r="S78" s="170"/>
      <c r="T78" s="125"/>
    </row>
    <row r="79" spans="3:20" ht="107.25" customHeight="1" thickBot="1" x14ac:dyDescent="0.25">
      <c r="C79" s="171">
        <v>1</v>
      </c>
      <c r="D79" s="87" t="s">
        <v>58</v>
      </c>
      <c r="E79" s="88" t="s">
        <v>237</v>
      </c>
      <c r="F79" s="87" t="s">
        <v>238</v>
      </c>
      <c r="G79" s="88" t="s">
        <v>57</v>
      </c>
      <c r="H79" s="90">
        <v>1</v>
      </c>
      <c r="I79" s="87" t="s">
        <v>224</v>
      </c>
      <c r="J79" s="92">
        <v>36523</v>
      </c>
      <c r="K79" s="92">
        <v>37769</v>
      </c>
      <c r="L79" s="93">
        <v>15</v>
      </c>
      <c r="M79" s="172">
        <v>2583274473</v>
      </c>
      <c r="N79" s="160">
        <f t="shared" ref="N79" si="17">+M79*H79</f>
        <v>2583274473</v>
      </c>
      <c r="O79" s="96">
        <f>ROUND(IF(J79&lt;$I$4,0,IF(J79="",0,IF(OR(K79="---",K79=""),N79/LOOKUP(J79,[4]SMLM!$A$3:$A$36,[4]SMLM!$D$3:$D$36),N79/LOOKUP(J79,[4]SMLM!$A$3:$A$36,[4]SMLM!$D$3:$D$36)))),0)</f>
        <v>10925</v>
      </c>
      <c r="P79" s="94">
        <f>+Requisitos!$I$7</f>
        <v>1350.6493506493507</v>
      </c>
      <c r="Q79" s="173" t="str">
        <f t="shared" ref="Q79:Q83" si="18">+IF(O79&lt;&gt;0,IF(O79&gt;P79,"CUMPLE","NO CUMPE"),"")</f>
        <v>CUMPLE</v>
      </c>
      <c r="R79" s="97" t="s">
        <v>542</v>
      </c>
      <c r="S79" s="99" t="s">
        <v>519</v>
      </c>
      <c r="T79" s="99" t="s">
        <v>728</v>
      </c>
    </row>
    <row r="80" spans="3:20" ht="153.75" customHeight="1" thickBot="1" x14ac:dyDescent="0.25">
      <c r="C80" s="174">
        <v>2</v>
      </c>
      <c r="D80" s="69" t="s">
        <v>239</v>
      </c>
      <c r="E80" s="113" t="s">
        <v>240</v>
      </c>
      <c r="F80" s="69" t="s">
        <v>241</v>
      </c>
      <c r="G80" s="113" t="s">
        <v>57</v>
      </c>
      <c r="H80" s="115">
        <v>1</v>
      </c>
      <c r="I80" s="69" t="s">
        <v>224</v>
      </c>
      <c r="J80" s="117">
        <v>35422</v>
      </c>
      <c r="K80" s="117">
        <v>35976</v>
      </c>
      <c r="L80" s="118">
        <v>15</v>
      </c>
      <c r="M80" s="175">
        <v>700071600</v>
      </c>
      <c r="N80" s="160">
        <f t="shared" ref="N80:N83" si="19">+M80*H80</f>
        <v>700071600</v>
      </c>
      <c r="O80" s="156">
        <f>ROUND(IF(J80&lt;$I$4,0,IF(J80="",0,IF(OR(K80="---",K80=""),N80/LOOKUP(J80,[4]SMLM!$A$3:$A$36,[4]SMLM!$D$3:$D$36),N80/LOOKUP(J80,[4]SMLM!$A$3:$A$36,[4]SMLM!$D$3:$D$36)))),0)</f>
        <v>4926</v>
      </c>
      <c r="P80" s="119">
        <f>+Requisitos!$I$7</f>
        <v>1350.6493506493507</v>
      </c>
      <c r="Q80" s="173" t="str">
        <f t="shared" si="18"/>
        <v>CUMPLE</v>
      </c>
      <c r="R80" s="121" t="s">
        <v>542</v>
      </c>
      <c r="S80" s="123" t="s">
        <v>293</v>
      </c>
      <c r="T80" s="99" t="s">
        <v>729</v>
      </c>
    </row>
    <row r="81" spans="3:20" ht="12.75" thickBot="1" x14ac:dyDescent="0.25">
      <c r="C81" s="83" t="s">
        <v>25</v>
      </c>
      <c r="D81" s="84"/>
      <c r="E81" s="85"/>
      <c r="F81" s="84"/>
      <c r="G81" s="85"/>
      <c r="H81" s="85"/>
      <c r="I81" s="85"/>
      <c r="J81" s="85"/>
      <c r="K81" s="85"/>
      <c r="L81" s="85"/>
      <c r="M81" s="85"/>
      <c r="N81" s="85"/>
      <c r="O81" s="176"/>
      <c r="P81" s="177"/>
      <c r="Q81" s="85"/>
      <c r="R81" s="85"/>
      <c r="S81" s="125"/>
      <c r="T81" s="125"/>
    </row>
    <row r="82" spans="3:20" ht="87" customHeight="1" x14ac:dyDescent="0.2">
      <c r="C82" s="86">
        <v>3</v>
      </c>
      <c r="D82" s="87" t="s">
        <v>242</v>
      </c>
      <c r="E82" s="88" t="s">
        <v>243</v>
      </c>
      <c r="F82" s="87" t="s">
        <v>244</v>
      </c>
      <c r="G82" s="88" t="s">
        <v>209</v>
      </c>
      <c r="H82" s="90">
        <v>1</v>
      </c>
      <c r="I82" s="88" t="s">
        <v>225</v>
      </c>
      <c r="J82" s="92">
        <v>38338</v>
      </c>
      <c r="K82" s="92">
        <v>39082</v>
      </c>
      <c r="L82" s="93">
        <v>0</v>
      </c>
      <c r="M82" s="172">
        <v>1468222665.1142361</v>
      </c>
      <c r="N82" s="160">
        <f t="shared" si="19"/>
        <v>1468222665.1142361</v>
      </c>
      <c r="O82" s="178">
        <f>ROUND(IF(J82&lt;$I$4,0,IF(J82="",0,IF(OR(K82="---",K82=""),N82/LOOKUP(J82,[4]SMLM!$A$3:$A$36,[4]SMLM!$D$3:$D$36),N82/LOOKUP(J82,[4]SMLM!$A$3:$A$36,[4]SMLM!$D$3:$D$36)))),0)</f>
        <v>4101</v>
      </c>
      <c r="P82" s="94">
        <f>Requisitos!$I$9</f>
        <v>1350.6493506493507</v>
      </c>
      <c r="Q82" s="97" t="str">
        <f t="shared" si="18"/>
        <v>CUMPLE</v>
      </c>
      <c r="R82" s="97" t="s">
        <v>530</v>
      </c>
      <c r="S82" s="98" t="s">
        <v>246</v>
      </c>
      <c r="T82" s="144"/>
    </row>
    <row r="83" spans="3:20" ht="162.75" customHeight="1" thickBot="1" x14ac:dyDescent="0.25">
      <c r="C83" s="112">
        <v>4</v>
      </c>
      <c r="D83" s="69" t="s">
        <v>206</v>
      </c>
      <c r="E83" s="113" t="s">
        <v>247</v>
      </c>
      <c r="F83" s="69" t="s">
        <v>248</v>
      </c>
      <c r="G83" s="113" t="s">
        <v>57</v>
      </c>
      <c r="H83" s="115">
        <v>0.4</v>
      </c>
      <c r="I83" s="113" t="s">
        <v>225</v>
      </c>
      <c r="J83" s="117">
        <v>41282</v>
      </c>
      <c r="K83" s="117" t="s">
        <v>249</v>
      </c>
      <c r="L83" s="118">
        <v>0</v>
      </c>
      <c r="M83" s="175">
        <v>1163338632</v>
      </c>
      <c r="N83" s="165">
        <f t="shared" si="19"/>
        <v>465335452.80000001</v>
      </c>
      <c r="O83" s="156">
        <f>ROUND(IF(J83&lt;$I$4,0,IF(J83="",0,IF(OR(K83="---",K83=""),N83/LOOKUP(J83,[4]SMLM!$A$3:$A$36,[4]SMLM!$D$3:$D$36),N83/LOOKUP(J83,[4]SMLM!$A$3:$A$36,[4]SMLM!$D$3:$D$36)))),0)</f>
        <v>789</v>
      </c>
      <c r="P83" s="119">
        <f>Requisitos!$I$9</f>
        <v>1350.6493506493507</v>
      </c>
      <c r="Q83" s="121" t="str">
        <f t="shared" si="18"/>
        <v>NO CUMPE</v>
      </c>
      <c r="R83" s="121" t="s">
        <v>75</v>
      </c>
      <c r="S83" s="123" t="s">
        <v>250</v>
      </c>
      <c r="T83" s="123" t="s">
        <v>746</v>
      </c>
    </row>
    <row r="84" spans="3:20" x14ac:dyDescent="0.2">
      <c r="C84" s="83"/>
      <c r="D84" s="84"/>
      <c r="E84" s="85"/>
      <c r="F84" s="84"/>
      <c r="G84" s="85"/>
      <c r="H84" s="85"/>
      <c r="I84" s="85"/>
      <c r="J84" s="85"/>
      <c r="K84" s="85"/>
      <c r="L84" s="85"/>
      <c r="M84" s="85"/>
      <c r="N84" s="85"/>
      <c r="O84" s="85"/>
      <c r="P84" s="85"/>
      <c r="Q84" s="85"/>
      <c r="R84" s="85"/>
      <c r="S84" s="125"/>
    </row>
    <row r="85" spans="3:20" ht="12.75" thickBot="1" x14ac:dyDescent="0.25">
      <c r="C85" s="83"/>
      <c r="D85" s="84"/>
      <c r="E85" s="85"/>
      <c r="F85" s="84"/>
      <c r="G85" s="85"/>
      <c r="H85" s="85"/>
      <c r="I85" s="85"/>
      <c r="J85" s="85"/>
      <c r="K85" s="85"/>
      <c r="L85" s="85"/>
      <c r="M85" s="85"/>
      <c r="N85" s="85"/>
      <c r="O85" s="85"/>
      <c r="P85" s="85"/>
      <c r="Q85" s="85"/>
      <c r="R85" s="85"/>
      <c r="S85" s="125"/>
    </row>
    <row r="86" spans="3:20" x14ac:dyDescent="0.2">
      <c r="C86" s="83"/>
      <c r="D86" s="84"/>
      <c r="E86" s="85"/>
      <c r="F86" s="84"/>
      <c r="G86" s="85"/>
      <c r="H86" s="85"/>
      <c r="I86" s="85"/>
      <c r="J86" s="85"/>
      <c r="K86" s="379"/>
      <c r="L86" s="380"/>
      <c r="M86" s="380"/>
      <c r="N86" s="137" t="s">
        <v>59</v>
      </c>
      <c r="O86" s="137" t="s">
        <v>26</v>
      </c>
      <c r="P86" s="138" t="s">
        <v>60</v>
      </c>
      <c r="Q86" s="139"/>
      <c r="R86" s="85"/>
      <c r="S86" s="125"/>
    </row>
    <row r="87" spans="3:20" x14ac:dyDescent="0.2">
      <c r="C87" s="83"/>
      <c r="D87" s="84"/>
      <c r="E87" s="85"/>
      <c r="F87" s="84"/>
      <c r="G87" s="85"/>
      <c r="H87" s="85"/>
      <c r="I87" s="85"/>
      <c r="J87" s="85"/>
      <c r="K87" s="381" t="s">
        <v>168</v>
      </c>
      <c r="L87" s="382"/>
      <c r="M87" s="382"/>
      <c r="N87" s="141">
        <f>+SUMAGEN</f>
        <v>6541634245</v>
      </c>
      <c r="O87" s="142">
        <f>[4]Requisitos!$I$3</f>
        <v>10609.20247324035</v>
      </c>
      <c r="P87" s="143">
        <f>SUM(O79:O80)+SUM(O82)</f>
        <v>19952</v>
      </c>
      <c r="Q87" s="144" t="str">
        <f>+IF(P87&gt;[4]Requisitos!$I$6,"CUMPLE","NO CUMPLE")</f>
        <v>CUMPLE</v>
      </c>
      <c r="R87" s="85"/>
      <c r="S87" s="125"/>
    </row>
    <row r="88" spans="3:20" x14ac:dyDescent="0.2">
      <c r="C88" s="83"/>
      <c r="D88" s="84"/>
      <c r="E88" s="85"/>
      <c r="F88" s="84"/>
      <c r="G88" s="85"/>
      <c r="H88" s="85"/>
      <c r="I88" s="85"/>
      <c r="J88" s="85"/>
      <c r="K88" s="381" t="s">
        <v>104</v>
      </c>
      <c r="L88" s="382"/>
      <c r="M88" s="382"/>
      <c r="N88" s="141">
        <f>+LIDERGEN</f>
        <v>3336233464.9500003</v>
      </c>
      <c r="O88" s="142">
        <f>[4]Requisitos!$I$8</f>
        <v>5415.9634171266234</v>
      </c>
      <c r="P88" s="143">
        <f>SUM(O79:O80)</f>
        <v>15851</v>
      </c>
      <c r="Q88" s="144" t="str">
        <f>+IF(P88&gt;[4]Requisitos!$I$8,"CUMPLE","NO CUMPLE")</f>
        <v>CUMPLE</v>
      </c>
      <c r="R88" s="85"/>
      <c r="S88" s="125"/>
    </row>
    <row r="89" spans="3:20" ht="12.75" thickBot="1" x14ac:dyDescent="0.25">
      <c r="C89" s="145"/>
      <c r="D89" s="146"/>
      <c r="E89" s="147"/>
      <c r="F89" s="146"/>
      <c r="G89" s="147"/>
      <c r="H89" s="147"/>
      <c r="I89" s="147"/>
      <c r="J89" s="147"/>
      <c r="K89" s="383"/>
      <c r="L89" s="384"/>
      <c r="M89" s="384"/>
      <c r="N89" s="148"/>
      <c r="O89" s="148"/>
      <c r="P89" s="148"/>
      <c r="Q89" s="149" t="str">
        <f>+IF(Q87="CUMPLE",IF(Q88="CUMPLE","HÁBIL","NO CUMPLE"),"NO CUMPLE")</f>
        <v>HÁBIL</v>
      </c>
      <c r="R89" s="147"/>
      <c r="S89" s="150"/>
    </row>
    <row r="90" spans="3:20" ht="12.75" thickTop="1" x14ac:dyDescent="0.2"/>
    <row r="91" spans="3:20" ht="12.75" thickBot="1" x14ac:dyDescent="0.25"/>
    <row r="92" spans="3:20" ht="12.75" thickBot="1" x14ac:dyDescent="0.25">
      <c r="C92" s="75" t="s">
        <v>13</v>
      </c>
      <c r="D92" s="76"/>
      <c r="E92" s="77">
        <v>6</v>
      </c>
      <c r="F92" s="76" t="str">
        <f>+VLOOKUP(E92,[4]Proponentes!$B$10:$D$43,2,FALSE())</f>
        <v>CONSORCIO AERO PALMIRA</v>
      </c>
      <c r="G92" s="77"/>
      <c r="H92" s="77"/>
      <c r="I92" s="77"/>
      <c r="J92" s="78"/>
      <c r="K92" s="78"/>
      <c r="L92" s="78"/>
      <c r="M92" s="78"/>
      <c r="N92" s="78"/>
      <c r="O92" s="78"/>
      <c r="P92" s="78"/>
      <c r="Q92" s="78"/>
      <c r="R92" s="78"/>
      <c r="S92" s="79"/>
      <c r="T92" s="80"/>
    </row>
    <row r="93" spans="3:20" x14ac:dyDescent="0.2">
      <c r="C93" s="373" t="s">
        <v>28</v>
      </c>
      <c r="D93" s="375" t="s">
        <v>29</v>
      </c>
      <c r="E93" s="375" t="s">
        <v>37</v>
      </c>
      <c r="F93" s="375" t="s">
        <v>20</v>
      </c>
      <c r="G93" s="375" t="s">
        <v>21</v>
      </c>
      <c r="H93" s="375" t="s">
        <v>22</v>
      </c>
      <c r="I93" s="375" t="s">
        <v>14</v>
      </c>
      <c r="J93" s="375" t="s">
        <v>15</v>
      </c>
      <c r="K93" s="375" t="s">
        <v>16</v>
      </c>
      <c r="L93" s="375" t="s">
        <v>56</v>
      </c>
      <c r="M93" s="375" t="s">
        <v>17</v>
      </c>
      <c r="N93" s="377" t="s">
        <v>18</v>
      </c>
      <c r="O93" s="378"/>
      <c r="P93" s="378"/>
      <c r="Q93" s="378"/>
      <c r="R93" s="378"/>
      <c r="S93" s="385"/>
      <c r="T93" s="403" t="s">
        <v>727</v>
      </c>
    </row>
    <row r="94" spans="3:20" ht="48.75" thickBot="1" x14ac:dyDescent="0.25">
      <c r="C94" s="374"/>
      <c r="D94" s="376"/>
      <c r="E94" s="376"/>
      <c r="F94" s="376"/>
      <c r="G94" s="376"/>
      <c r="H94" s="376"/>
      <c r="I94" s="376"/>
      <c r="J94" s="376"/>
      <c r="K94" s="376"/>
      <c r="L94" s="376"/>
      <c r="M94" s="376"/>
      <c r="N94" s="81" t="s">
        <v>23</v>
      </c>
      <c r="O94" s="81" t="s">
        <v>55</v>
      </c>
      <c r="P94" s="81" t="s">
        <v>148</v>
      </c>
      <c r="Q94" s="81" t="s">
        <v>149</v>
      </c>
      <c r="R94" s="82" t="s">
        <v>72</v>
      </c>
      <c r="S94" s="151" t="s">
        <v>71</v>
      </c>
      <c r="T94" s="403"/>
    </row>
    <row r="95" spans="3:20" ht="12.75" thickBot="1" x14ac:dyDescent="0.25">
      <c r="C95" s="167" t="s">
        <v>24</v>
      </c>
      <c r="D95" s="168"/>
      <c r="E95" s="169"/>
      <c r="F95" s="168"/>
      <c r="G95" s="169"/>
      <c r="H95" s="169"/>
      <c r="I95" s="169"/>
      <c r="J95" s="169"/>
      <c r="K95" s="169"/>
      <c r="L95" s="169"/>
      <c r="M95" s="169"/>
      <c r="N95" s="169"/>
      <c r="O95" s="169"/>
      <c r="P95" s="169"/>
      <c r="Q95" s="169"/>
      <c r="R95" s="169"/>
      <c r="S95" s="170"/>
      <c r="T95" s="125"/>
    </row>
    <row r="96" spans="3:20" ht="67.5" customHeight="1" x14ac:dyDescent="0.2">
      <c r="C96" s="86">
        <v>1</v>
      </c>
      <c r="D96" s="87" t="s">
        <v>251</v>
      </c>
      <c r="E96" s="88" t="s">
        <v>243</v>
      </c>
      <c r="F96" s="87" t="s">
        <v>252</v>
      </c>
      <c r="G96" s="88" t="s">
        <v>57</v>
      </c>
      <c r="H96" s="90">
        <v>1</v>
      </c>
      <c r="I96" s="91" t="s">
        <v>253</v>
      </c>
      <c r="J96" s="92">
        <v>40268</v>
      </c>
      <c r="K96" s="92">
        <v>40847</v>
      </c>
      <c r="L96" s="93">
        <v>15</v>
      </c>
      <c r="M96" s="172">
        <v>1576786280</v>
      </c>
      <c r="N96" s="160">
        <f t="shared" ref="N96:N98" si="20">+M96*H96</f>
        <v>1576786280</v>
      </c>
      <c r="O96" s="96">
        <f>ROUND(IF(J96&lt;$I$4,0,IF(J96="",0,IF(OR(K96="---",K96=""),N96/LOOKUP(J96,[4]SMLM!$A$3:$A$36,[4]SMLM!$D$3:$D$36),N96/LOOKUP(J96,[4]SMLM!$A$3:$A$36,[4]SMLM!$D$3:$D$36)))),0)</f>
        <v>3062</v>
      </c>
      <c r="P96" s="94">
        <f>+Requisitos!$I$7</f>
        <v>1350.6493506493507</v>
      </c>
      <c r="Q96" s="97" t="str">
        <f>+IF(O96&lt;&gt;0,IF(O96&gt;P96,"CUMPLE","NO CUMPE"),"")</f>
        <v>CUMPLE</v>
      </c>
      <c r="R96" s="97" t="s">
        <v>531</v>
      </c>
      <c r="S96" s="98" t="s">
        <v>254</v>
      </c>
      <c r="T96" s="144"/>
    </row>
    <row r="97" spans="3:20" ht="152.25" customHeight="1" x14ac:dyDescent="0.2">
      <c r="C97" s="100">
        <v>2</v>
      </c>
      <c r="D97" s="101" t="s">
        <v>255</v>
      </c>
      <c r="E97" s="102" t="s">
        <v>256</v>
      </c>
      <c r="F97" s="101" t="s">
        <v>257</v>
      </c>
      <c r="G97" s="102" t="s">
        <v>57</v>
      </c>
      <c r="H97" s="104">
        <v>0.5</v>
      </c>
      <c r="I97" s="105" t="s">
        <v>253</v>
      </c>
      <c r="J97" s="106">
        <v>40137</v>
      </c>
      <c r="K97" s="106">
        <v>41232</v>
      </c>
      <c r="L97" s="107">
        <v>15</v>
      </c>
      <c r="M97" s="179">
        <v>3959042290</v>
      </c>
      <c r="N97" s="180">
        <f t="shared" si="20"/>
        <v>1979521145</v>
      </c>
      <c r="O97" s="181">
        <f>ROUND(IF(J97&lt;$I$4,0,IF(J97="",0,IF(OR(K97="---",K97=""),N97/LOOKUP(J97,[4]SMLM!$A$3:$A$36,[4]SMLM!$D$3:$D$36),N97/LOOKUP(J97,[4]SMLM!$A$3:$A$36,[4]SMLM!$D$3:$D$36)))),0)</f>
        <v>3984</v>
      </c>
      <c r="P97" s="108">
        <f>+Requisitos!$I$7</f>
        <v>1350.6493506493507</v>
      </c>
      <c r="Q97" s="109" t="str">
        <f>+IF(O97&lt;&gt;0,IF(O97&gt;P97,"CUMPLE","NO CUMPE"),"")</f>
        <v>CUMPLE</v>
      </c>
      <c r="R97" s="109" t="s">
        <v>532</v>
      </c>
      <c r="S97" s="110" t="s">
        <v>258</v>
      </c>
      <c r="T97" s="144"/>
    </row>
    <row r="98" spans="3:20" ht="228.75" thickBot="1" x14ac:dyDescent="0.25">
      <c r="C98" s="112">
        <v>3</v>
      </c>
      <c r="D98" s="69" t="s">
        <v>255</v>
      </c>
      <c r="E98" s="113" t="s">
        <v>259</v>
      </c>
      <c r="F98" s="69" t="s">
        <v>260</v>
      </c>
      <c r="G98" s="113" t="s">
        <v>57</v>
      </c>
      <c r="H98" s="115">
        <v>0.4</v>
      </c>
      <c r="I98" s="116" t="s">
        <v>253</v>
      </c>
      <c r="J98" s="117">
        <v>40143</v>
      </c>
      <c r="K98" s="117">
        <v>41183</v>
      </c>
      <c r="L98" s="118">
        <v>15</v>
      </c>
      <c r="M98" s="175">
        <v>4331349652</v>
      </c>
      <c r="N98" s="165">
        <f t="shared" si="20"/>
        <v>1732539860.8000002</v>
      </c>
      <c r="O98" s="156">
        <f>ROUND(IF(J98&lt;$I$4,0,IF(J98="",0,IF(OR(K98="---",K98=""),N98/LOOKUP(J98,[4]SMLM!$A$3:$A$36,[4]SMLM!$D$3:$D$36),N98/LOOKUP(J98,[4]SMLM!$A$3:$A$36,[4]SMLM!$D$3:$D$36)))),0)</f>
        <v>3487</v>
      </c>
      <c r="P98" s="119">
        <f>+Requisitos!$I$7</f>
        <v>1350.6493506493507</v>
      </c>
      <c r="Q98" s="121" t="str">
        <f>+IF(O98&lt;&gt;0,IF(O98&gt;P98,"CUMPLE","NO CUMPE"),"")</f>
        <v>CUMPLE</v>
      </c>
      <c r="R98" s="121" t="s">
        <v>533</v>
      </c>
      <c r="S98" s="122"/>
      <c r="T98" s="144"/>
    </row>
    <row r="99" spans="3:20" x14ac:dyDescent="0.2">
      <c r="C99" s="182"/>
      <c r="D99" s="183"/>
      <c r="E99" s="184"/>
      <c r="F99" s="183"/>
      <c r="G99" s="184"/>
      <c r="H99" s="185"/>
      <c r="I99" s="186"/>
      <c r="J99" s="187"/>
      <c r="K99" s="187"/>
      <c r="L99" s="188"/>
      <c r="M99" s="189"/>
      <c r="N99" s="190"/>
      <c r="O99" s="191"/>
      <c r="P99" s="191"/>
      <c r="Q99" s="192"/>
      <c r="R99" s="192"/>
      <c r="S99" s="193"/>
      <c r="T99" s="125"/>
    </row>
    <row r="100" spans="3:20" ht="12.75" thickBot="1" x14ac:dyDescent="0.25">
      <c r="C100" s="83" t="s">
        <v>25</v>
      </c>
      <c r="D100" s="84"/>
      <c r="E100" s="85"/>
      <c r="F100" s="84"/>
      <c r="G100" s="85"/>
      <c r="H100" s="85"/>
      <c r="I100" s="85"/>
      <c r="J100" s="85"/>
      <c r="K100" s="85"/>
      <c r="L100" s="85"/>
      <c r="M100" s="85"/>
      <c r="N100" s="124"/>
      <c r="O100" s="85"/>
      <c r="P100" s="85"/>
      <c r="Q100" s="85"/>
      <c r="R100" s="85"/>
      <c r="S100" s="125"/>
      <c r="T100" s="125"/>
    </row>
    <row r="101" spans="3:20" ht="51.75" customHeight="1" thickBot="1" x14ac:dyDescent="0.25">
      <c r="C101" s="126">
        <v>1</v>
      </c>
      <c r="D101" s="127" t="s">
        <v>261</v>
      </c>
      <c r="E101" s="128" t="s">
        <v>243</v>
      </c>
      <c r="F101" s="127" t="s">
        <v>262</v>
      </c>
      <c r="G101" s="128" t="s">
        <v>209</v>
      </c>
      <c r="H101" s="129">
        <v>0.5</v>
      </c>
      <c r="I101" s="128" t="s">
        <v>263</v>
      </c>
      <c r="J101" s="130">
        <v>39400</v>
      </c>
      <c r="K101" s="130">
        <v>40968</v>
      </c>
      <c r="L101" s="131">
        <v>0</v>
      </c>
      <c r="M101" s="194">
        <v>6134371340.4539995</v>
      </c>
      <c r="N101" s="95">
        <f t="shared" ref="N101" si="21">+M101*H101</f>
        <v>3067185670.2269998</v>
      </c>
      <c r="O101" s="195">
        <f>ROUND(IF(J101&lt;$I$4,0,IF(J101="",0,IF(OR(K101="---",K101=""),N101/LOOKUP(J101,[4]SMLM!$A$3:$A$36,[4]SMLM!$D$3:$D$36),N101/LOOKUP(J101,[4]SMLM!$A$3:$A$36,[4]SMLM!$D$3:$D$36)))),0)</f>
        <v>7072</v>
      </c>
      <c r="P101" s="133">
        <f>Requisitos!$I$9</f>
        <v>1350.6493506493507</v>
      </c>
      <c r="Q101" s="134" t="str">
        <f t="shared" ref="Q101" si="22">+IF(O101&lt;&gt;0,IF(O101&gt;P101,"CUMPLE","NO CUMPE"),"")</f>
        <v>CUMPLE</v>
      </c>
      <c r="R101" s="134" t="s">
        <v>534</v>
      </c>
      <c r="S101" s="135"/>
      <c r="T101" s="149"/>
    </row>
    <row r="102" spans="3:20" x14ac:dyDescent="0.2">
      <c r="C102" s="83"/>
      <c r="D102" s="84"/>
      <c r="E102" s="85"/>
      <c r="F102" s="84"/>
      <c r="G102" s="85"/>
      <c r="H102" s="85"/>
      <c r="I102" s="85"/>
      <c r="J102" s="85"/>
      <c r="K102" s="85"/>
      <c r="L102" s="85"/>
      <c r="M102" s="85"/>
      <c r="N102" s="85"/>
      <c r="O102" s="85"/>
      <c r="P102" s="85"/>
      <c r="Q102" s="85"/>
      <c r="R102" s="85"/>
      <c r="S102" s="125"/>
    </row>
    <row r="103" spans="3:20" ht="12.75" thickBot="1" x14ac:dyDescent="0.25">
      <c r="C103" s="83"/>
      <c r="D103" s="84"/>
      <c r="E103" s="85"/>
      <c r="F103" s="84"/>
      <c r="G103" s="85"/>
      <c r="H103" s="85"/>
      <c r="I103" s="85"/>
      <c r="J103" s="85"/>
      <c r="K103" s="85"/>
      <c r="L103" s="85"/>
      <c r="M103" s="85"/>
      <c r="N103" s="85"/>
      <c r="O103" s="85"/>
      <c r="P103" s="85"/>
      <c r="Q103" s="85"/>
      <c r="R103" s="85"/>
      <c r="S103" s="125"/>
    </row>
    <row r="104" spans="3:20" x14ac:dyDescent="0.2">
      <c r="C104" s="83"/>
      <c r="D104" s="84"/>
      <c r="E104" s="85"/>
      <c r="F104" s="84"/>
      <c r="G104" s="85"/>
      <c r="H104" s="85"/>
      <c r="I104" s="85"/>
      <c r="J104" s="85"/>
      <c r="K104" s="406"/>
      <c r="L104" s="407"/>
      <c r="M104" s="407"/>
      <c r="N104" s="137" t="s">
        <v>59</v>
      </c>
      <c r="O104" s="137" t="s">
        <v>26</v>
      </c>
      <c r="P104" s="138" t="s">
        <v>60</v>
      </c>
      <c r="Q104" s="139"/>
      <c r="R104" s="85"/>
      <c r="S104" s="125"/>
    </row>
    <row r="105" spans="3:20" x14ac:dyDescent="0.2">
      <c r="C105" s="83"/>
      <c r="D105" s="84"/>
      <c r="E105" s="85"/>
      <c r="F105" s="84"/>
      <c r="G105" s="85"/>
      <c r="H105" s="85"/>
      <c r="I105" s="85"/>
      <c r="J105" s="85"/>
      <c r="K105" s="381" t="s">
        <v>168</v>
      </c>
      <c r="L105" s="382"/>
      <c r="M105" s="382"/>
      <c r="N105" s="141">
        <f>+SUMAGEN</f>
        <v>6541634245</v>
      </c>
      <c r="O105" s="142">
        <f>[4]Requisitos!$I$3</f>
        <v>10609.20247324035</v>
      </c>
      <c r="P105" s="143">
        <f>+SUM(O96:O98,O101:O101)</f>
        <v>17605</v>
      </c>
      <c r="Q105" s="144" t="str">
        <f>+IF(P105&gt;[4]Requisitos!$I$6,"CUMPLE","NO CUMPLE")</f>
        <v>CUMPLE</v>
      </c>
      <c r="R105" s="85"/>
      <c r="S105" s="125"/>
    </row>
    <row r="106" spans="3:20" x14ac:dyDescent="0.2">
      <c r="C106" s="83"/>
      <c r="D106" s="84"/>
      <c r="E106" s="85"/>
      <c r="F106" s="84"/>
      <c r="G106" s="85"/>
      <c r="H106" s="85"/>
      <c r="I106" s="85"/>
      <c r="J106" s="85"/>
      <c r="K106" s="381" t="s">
        <v>104</v>
      </c>
      <c r="L106" s="382"/>
      <c r="M106" s="382"/>
      <c r="N106" s="141">
        <f>+LIDERGEN</f>
        <v>3336233464.9500003</v>
      </c>
      <c r="O106" s="142">
        <f>[4]Requisitos!$I$8</f>
        <v>5415.9634171266234</v>
      </c>
      <c r="P106" s="143">
        <f>+SUM(O96:O98)</f>
        <v>10533</v>
      </c>
      <c r="Q106" s="144" t="str">
        <f>+IF(P106&gt;[4]Requisitos!$I$8,"CUMPLE","NO CUMPLE")</f>
        <v>CUMPLE</v>
      </c>
      <c r="R106" s="85"/>
      <c r="S106" s="125"/>
    </row>
    <row r="107" spans="3:20" ht="12.75" thickBot="1" x14ac:dyDescent="0.25">
      <c r="C107" s="145"/>
      <c r="D107" s="146"/>
      <c r="E107" s="147"/>
      <c r="F107" s="146"/>
      <c r="G107" s="147"/>
      <c r="H107" s="147"/>
      <c r="I107" s="147"/>
      <c r="J107" s="147"/>
      <c r="K107" s="383"/>
      <c r="L107" s="384"/>
      <c r="M107" s="384"/>
      <c r="N107" s="148"/>
      <c r="O107" s="148"/>
      <c r="P107" s="148"/>
      <c r="Q107" s="149" t="str">
        <f>+IF(Q105="CUMPLE",IF(Q106="CUMPLE","HÁBIL","NO CUMPLE"),"NO CUMPLE")</f>
        <v>HÁBIL</v>
      </c>
      <c r="R107" s="147"/>
      <c r="S107" s="150"/>
    </row>
    <row r="108" spans="3:20" ht="12.75" thickTop="1" x14ac:dyDescent="0.2"/>
    <row r="109" spans="3:20" ht="12.75" thickBot="1" x14ac:dyDescent="0.25"/>
    <row r="110" spans="3:20" ht="12.75" thickBot="1" x14ac:dyDescent="0.25">
      <c r="C110" s="75" t="s">
        <v>13</v>
      </c>
      <c r="D110" s="76"/>
      <c r="E110" s="77">
        <v>7</v>
      </c>
      <c r="F110" s="76" t="str">
        <f>+VLOOKUP(E110,[4]Proponentes!$B$10:$D$43,2,FALSE())</f>
        <v>CONSORCIO MAB-OMICRON</v>
      </c>
      <c r="G110" s="77"/>
      <c r="H110" s="77"/>
      <c r="I110" s="78"/>
      <c r="J110" s="78"/>
      <c r="K110" s="78"/>
      <c r="L110" s="78"/>
      <c r="M110" s="78"/>
      <c r="N110" s="78"/>
      <c r="O110" s="78"/>
      <c r="P110" s="78"/>
      <c r="Q110" s="78"/>
      <c r="R110" s="78"/>
      <c r="S110" s="79"/>
      <c r="T110" s="80"/>
    </row>
    <row r="111" spans="3:20" x14ac:dyDescent="0.2">
      <c r="C111" s="373" t="s">
        <v>28</v>
      </c>
      <c r="D111" s="375" t="s">
        <v>29</v>
      </c>
      <c r="E111" s="375" t="s">
        <v>37</v>
      </c>
      <c r="F111" s="375" t="s">
        <v>20</v>
      </c>
      <c r="G111" s="375" t="s">
        <v>21</v>
      </c>
      <c r="H111" s="375" t="s">
        <v>22</v>
      </c>
      <c r="I111" s="375" t="s">
        <v>14</v>
      </c>
      <c r="J111" s="375" t="s">
        <v>15</v>
      </c>
      <c r="K111" s="375" t="s">
        <v>16</v>
      </c>
      <c r="L111" s="375" t="s">
        <v>56</v>
      </c>
      <c r="M111" s="375" t="s">
        <v>17</v>
      </c>
      <c r="N111" s="377" t="s">
        <v>18</v>
      </c>
      <c r="O111" s="378"/>
      <c r="P111" s="378"/>
      <c r="Q111" s="378"/>
      <c r="R111" s="378"/>
      <c r="S111" s="385"/>
      <c r="T111" s="403" t="s">
        <v>727</v>
      </c>
    </row>
    <row r="112" spans="3:20" ht="48.75" thickBot="1" x14ac:dyDescent="0.25">
      <c r="C112" s="374"/>
      <c r="D112" s="376"/>
      <c r="E112" s="376"/>
      <c r="F112" s="376"/>
      <c r="G112" s="376"/>
      <c r="H112" s="376"/>
      <c r="I112" s="376"/>
      <c r="J112" s="376"/>
      <c r="K112" s="376"/>
      <c r="L112" s="376"/>
      <c r="M112" s="376"/>
      <c r="N112" s="81" t="s">
        <v>23</v>
      </c>
      <c r="O112" s="81" t="s">
        <v>55</v>
      </c>
      <c r="P112" s="81" t="s">
        <v>148</v>
      </c>
      <c r="Q112" s="81" t="s">
        <v>149</v>
      </c>
      <c r="R112" s="82" t="s">
        <v>72</v>
      </c>
      <c r="S112" s="151" t="s">
        <v>71</v>
      </c>
      <c r="T112" s="403"/>
    </row>
    <row r="113" spans="3:20" ht="12.75" thickBot="1" x14ac:dyDescent="0.25">
      <c r="C113" s="167" t="s">
        <v>24</v>
      </c>
      <c r="D113" s="168"/>
      <c r="E113" s="169"/>
      <c r="F113" s="168"/>
      <c r="G113" s="169"/>
      <c r="H113" s="169"/>
      <c r="I113" s="169"/>
      <c r="J113" s="169"/>
      <c r="K113" s="169"/>
      <c r="L113" s="169"/>
      <c r="M113" s="169"/>
      <c r="N113" s="169"/>
      <c r="O113" s="169"/>
      <c r="P113" s="169"/>
      <c r="Q113" s="169"/>
      <c r="R113" s="169"/>
      <c r="S113" s="170"/>
      <c r="T113" s="125"/>
    </row>
    <row r="114" spans="3:20" ht="134.25" customHeight="1" thickBot="1" x14ac:dyDescent="0.25">
      <c r="C114" s="126">
        <v>1</v>
      </c>
      <c r="D114" s="127" t="s">
        <v>9</v>
      </c>
      <c r="E114" s="128" t="s">
        <v>264</v>
      </c>
      <c r="F114" s="127" t="s">
        <v>265</v>
      </c>
      <c r="G114" s="128" t="s">
        <v>57</v>
      </c>
      <c r="H114" s="129">
        <v>0.4</v>
      </c>
      <c r="I114" s="196" t="s">
        <v>230</v>
      </c>
      <c r="J114" s="130">
        <v>40567</v>
      </c>
      <c r="K114" s="130" t="s">
        <v>249</v>
      </c>
      <c r="L114" s="131">
        <v>15</v>
      </c>
      <c r="M114" s="194">
        <v>28597786771</v>
      </c>
      <c r="N114" s="95">
        <f t="shared" ref="N114" si="23">+M114*H114</f>
        <v>11439114708.400002</v>
      </c>
      <c r="O114" s="120">
        <f>ROUND(IF(J114&lt;$I$4,0,IF(J114="",0,IF(OR(K114="---",K114=""),N114/LOOKUP(J114,[4]SMLM!$A$3:$A$36,[4]SMLM!$D$3:$D$36),N114/LOOKUP(J114,[4]SMLM!$A$3:$A$36,[4]SMLM!$D$3:$D$36)))),0)</f>
        <v>21358</v>
      </c>
      <c r="P114" s="133">
        <f>+Requisitos!$I$7</f>
        <v>1350.6493506493507</v>
      </c>
      <c r="Q114" s="134" t="str">
        <f>+IF(O114&lt;&gt;0,IF(O114&gt;P114,"CUMPLE","NO CUMPE"),"")</f>
        <v>CUMPLE</v>
      </c>
      <c r="R114" s="134" t="s">
        <v>75</v>
      </c>
      <c r="S114" s="135"/>
      <c r="T114" s="144"/>
    </row>
    <row r="115" spans="3:20" x14ac:dyDescent="0.2">
      <c r="C115" s="182"/>
      <c r="D115" s="183"/>
      <c r="E115" s="184"/>
      <c r="F115" s="183"/>
      <c r="G115" s="184"/>
      <c r="H115" s="185"/>
      <c r="I115" s="186"/>
      <c r="J115" s="187"/>
      <c r="K115" s="187"/>
      <c r="L115" s="188"/>
      <c r="M115" s="189"/>
      <c r="N115" s="190"/>
      <c r="O115" s="191"/>
      <c r="P115" s="191"/>
      <c r="Q115" s="192"/>
      <c r="R115" s="192"/>
      <c r="S115" s="193"/>
      <c r="T115" s="125"/>
    </row>
    <row r="116" spans="3:20" ht="12.75" thickBot="1" x14ac:dyDescent="0.25">
      <c r="C116" s="197" t="s">
        <v>25</v>
      </c>
      <c r="D116" s="198"/>
      <c r="E116" s="199"/>
      <c r="F116" s="198"/>
      <c r="G116" s="199"/>
      <c r="H116" s="199"/>
      <c r="I116" s="199"/>
      <c r="J116" s="199"/>
      <c r="K116" s="199"/>
      <c r="L116" s="199"/>
      <c r="M116" s="199"/>
      <c r="N116" s="200"/>
      <c r="O116" s="199"/>
      <c r="P116" s="199"/>
      <c r="Q116" s="199"/>
      <c r="R116" s="199"/>
      <c r="S116" s="201"/>
      <c r="T116" s="125"/>
    </row>
    <row r="117" spans="3:20" ht="98.25" customHeight="1" thickBot="1" x14ac:dyDescent="0.25">
      <c r="C117" s="126">
        <v>1</v>
      </c>
      <c r="D117" s="202" t="s">
        <v>266</v>
      </c>
      <c r="E117" s="203" t="s">
        <v>243</v>
      </c>
      <c r="F117" s="202" t="s">
        <v>267</v>
      </c>
      <c r="G117" s="203" t="s">
        <v>209</v>
      </c>
      <c r="H117" s="204">
        <v>1</v>
      </c>
      <c r="I117" s="203" t="s">
        <v>268</v>
      </c>
      <c r="J117" s="130">
        <v>38056</v>
      </c>
      <c r="K117" s="130">
        <v>39436</v>
      </c>
      <c r="L117" s="131">
        <v>0</v>
      </c>
      <c r="M117" s="194">
        <v>3120768151.0231442</v>
      </c>
      <c r="N117" s="95">
        <f t="shared" ref="N117" si="24">+M117*H117</f>
        <v>3120768151.0231442</v>
      </c>
      <c r="O117" s="195">
        <f>ROUND(IF(J117&lt;$I$4,0,IF(J117="",0,IF(OR(K117="---",K117=""),N117/LOOKUP(J117,[4]SMLM!$A$3:$A$36,[4]SMLM!$D$3:$D$36),N117/LOOKUP(J117,[4]SMLM!$A$3:$A$36,[4]SMLM!$D$3:$D$36)))),0)</f>
        <v>8717</v>
      </c>
      <c r="P117" s="133">
        <f>Requisitos!$I$7</f>
        <v>1350.6493506493507</v>
      </c>
      <c r="Q117" s="134" t="str">
        <f t="shared" ref="Q117" si="25">+IF(O117&lt;&gt;0,IF(O117&gt;P117,"CUMPLE","NO CUMPE"),"")</f>
        <v>CUMPLE</v>
      </c>
      <c r="R117" s="134" t="s">
        <v>245</v>
      </c>
      <c r="S117" s="135" t="s">
        <v>535</v>
      </c>
      <c r="T117" s="149"/>
    </row>
    <row r="118" spans="3:20" x14ac:dyDescent="0.2">
      <c r="C118" s="83"/>
      <c r="D118" s="84"/>
      <c r="E118" s="85"/>
      <c r="F118" s="84"/>
      <c r="G118" s="85"/>
      <c r="H118" s="85"/>
      <c r="I118" s="85"/>
      <c r="J118" s="85"/>
      <c r="K118" s="85"/>
      <c r="L118" s="85"/>
      <c r="M118" s="85"/>
      <c r="N118" s="85"/>
      <c r="O118" s="85"/>
      <c r="P118" s="85"/>
      <c r="Q118" s="85"/>
      <c r="R118" s="85"/>
      <c r="S118" s="125"/>
    </row>
    <row r="119" spans="3:20" ht="12.75" thickBot="1" x14ac:dyDescent="0.25">
      <c r="C119" s="83"/>
      <c r="D119" s="84"/>
      <c r="E119" s="85"/>
      <c r="F119" s="84"/>
      <c r="G119" s="85"/>
      <c r="H119" s="85"/>
      <c r="I119" s="85"/>
      <c r="J119" s="85"/>
      <c r="K119" s="85"/>
      <c r="L119" s="85"/>
      <c r="M119" s="85"/>
      <c r="N119" s="85"/>
      <c r="O119" s="85"/>
      <c r="P119" s="85"/>
      <c r="Q119" s="85"/>
      <c r="R119" s="85"/>
      <c r="S119" s="125"/>
    </row>
    <row r="120" spans="3:20" x14ac:dyDescent="0.2">
      <c r="C120" s="83"/>
      <c r="D120" s="84"/>
      <c r="E120" s="85"/>
      <c r="F120" s="84"/>
      <c r="G120" s="85"/>
      <c r="H120" s="85"/>
      <c r="I120" s="85"/>
      <c r="J120" s="85"/>
      <c r="K120" s="379"/>
      <c r="L120" s="380"/>
      <c r="M120" s="380"/>
      <c r="N120" s="137" t="s">
        <v>59</v>
      </c>
      <c r="O120" s="137" t="s">
        <v>26</v>
      </c>
      <c r="P120" s="138" t="s">
        <v>60</v>
      </c>
      <c r="Q120" s="139"/>
      <c r="R120" s="85"/>
      <c r="S120" s="125"/>
    </row>
    <row r="121" spans="3:20" x14ac:dyDescent="0.2">
      <c r="C121" s="83"/>
      <c r="D121" s="84"/>
      <c r="E121" s="85"/>
      <c r="F121" s="84"/>
      <c r="G121" s="85"/>
      <c r="H121" s="85"/>
      <c r="I121" s="85"/>
      <c r="J121" s="85"/>
      <c r="K121" s="381" t="s">
        <v>168</v>
      </c>
      <c r="L121" s="382"/>
      <c r="M121" s="382"/>
      <c r="N121" s="141">
        <f>+SUMAGEN</f>
        <v>6541634245</v>
      </c>
      <c r="O121" s="142">
        <f>[4]Requisitos!$I$3</f>
        <v>10609.20247324035</v>
      </c>
      <c r="P121" s="143">
        <f>+SUM(O114:O114,O117:O117)</f>
        <v>30075</v>
      </c>
      <c r="Q121" s="144" t="str">
        <f>+IF(P121&gt;[4]Requisitos!$I$6,"CUMPLE","NO CUMPLE")</f>
        <v>CUMPLE</v>
      </c>
      <c r="R121" s="85"/>
      <c r="S121" s="125"/>
    </row>
    <row r="122" spans="3:20" x14ac:dyDescent="0.2">
      <c r="C122" s="83"/>
      <c r="D122" s="84"/>
      <c r="E122" s="85"/>
      <c r="F122" s="84"/>
      <c r="G122" s="85"/>
      <c r="H122" s="85"/>
      <c r="I122" s="85"/>
      <c r="J122" s="85"/>
      <c r="K122" s="381" t="s">
        <v>104</v>
      </c>
      <c r="L122" s="382"/>
      <c r="M122" s="382"/>
      <c r="N122" s="141">
        <f>+LIDERGEN</f>
        <v>3336233464.9500003</v>
      </c>
      <c r="O122" s="142">
        <f>[4]Requisitos!$I$8</f>
        <v>5415.9634171266234</v>
      </c>
      <c r="P122" s="143">
        <f>+SUM(O114:O114)</f>
        <v>21358</v>
      </c>
      <c r="Q122" s="144" t="str">
        <f>+IF(P122&gt;[4]Requisitos!$I$8,"CUMPLE","NO CUMPLE")</f>
        <v>CUMPLE</v>
      </c>
      <c r="R122" s="85"/>
      <c r="S122" s="125"/>
    </row>
    <row r="123" spans="3:20" ht="12.75" thickBot="1" x14ac:dyDescent="0.25">
      <c r="C123" s="145"/>
      <c r="D123" s="146"/>
      <c r="E123" s="147"/>
      <c r="F123" s="146"/>
      <c r="G123" s="147"/>
      <c r="H123" s="147"/>
      <c r="I123" s="147"/>
      <c r="J123" s="147"/>
      <c r="K123" s="383"/>
      <c r="L123" s="384"/>
      <c r="M123" s="384"/>
      <c r="N123" s="148"/>
      <c r="O123" s="148"/>
      <c r="P123" s="148"/>
      <c r="Q123" s="149" t="str">
        <f>+IF(Q121="CUMPLE",IF(Q122="CUMPLE","HÁBIL","NO CUMPLE"),"NO CUMPLE")</f>
        <v>HÁBIL</v>
      </c>
      <c r="R123" s="147"/>
      <c r="S123" s="150"/>
    </row>
    <row r="124" spans="3:20" ht="12.75" thickTop="1" x14ac:dyDescent="0.2"/>
    <row r="125" spans="3:20" ht="12.75" thickBot="1" x14ac:dyDescent="0.25"/>
    <row r="126" spans="3:20" ht="12.75" thickBot="1" x14ac:dyDescent="0.25">
      <c r="C126" s="75" t="s">
        <v>13</v>
      </c>
      <c r="D126" s="76"/>
      <c r="E126" s="77">
        <v>8</v>
      </c>
      <c r="F126" s="76" t="str">
        <f>+VLOOKUP(E126,[4]Proponentes!$B$10:$D$43,2,FALSE())</f>
        <v>CONSORCIO EPSILON - CALI</v>
      </c>
      <c r="G126" s="77"/>
      <c r="H126" s="77"/>
      <c r="I126" s="78"/>
      <c r="J126" s="78"/>
      <c r="K126" s="78"/>
      <c r="L126" s="78"/>
      <c r="M126" s="78"/>
      <c r="N126" s="78"/>
      <c r="O126" s="78"/>
      <c r="P126" s="78"/>
      <c r="Q126" s="78"/>
      <c r="R126" s="78"/>
      <c r="S126" s="79"/>
      <c r="T126" s="80"/>
    </row>
    <row r="127" spans="3:20" x14ac:dyDescent="0.2">
      <c r="C127" s="373" t="s">
        <v>28</v>
      </c>
      <c r="D127" s="375" t="s">
        <v>29</v>
      </c>
      <c r="E127" s="375" t="s">
        <v>37</v>
      </c>
      <c r="F127" s="375" t="s">
        <v>20</v>
      </c>
      <c r="G127" s="375" t="s">
        <v>21</v>
      </c>
      <c r="H127" s="375" t="s">
        <v>22</v>
      </c>
      <c r="I127" s="375" t="s">
        <v>14</v>
      </c>
      <c r="J127" s="375" t="s">
        <v>15</v>
      </c>
      <c r="K127" s="375" t="s">
        <v>16</v>
      </c>
      <c r="L127" s="375" t="s">
        <v>56</v>
      </c>
      <c r="M127" s="375" t="s">
        <v>17</v>
      </c>
      <c r="N127" s="377" t="s">
        <v>18</v>
      </c>
      <c r="O127" s="378"/>
      <c r="P127" s="378"/>
      <c r="Q127" s="378"/>
      <c r="R127" s="378"/>
      <c r="S127" s="385"/>
      <c r="T127" s="403" t="s">
        <v>727</v>
      </c>
    </row>
    <row r="128" spans="3:20" ht="48.75" thickBot="1" x14ac:dyDescent="0.25">
      <c r="C128" s="374"/>
      <c r="D128" s="376"/>
      <c r="E128" s="376"/>
      <c r="F128" s="376"/>
      <c r="G128" s="376"/>
      <c r="H128" s="376"/>
      <c r="I128" s="376"/>
      <c r="J128" s="376"/>
      <c r="K128" s="376"/>
      <c r="L128" s="376"/>
      <c r="M128" s="376"/>
      <c r="N128" s="81" t="s">
        <v>23</v>
      </c>
      <c r="O128" s="81" t="s">
        <v>55</v>
      </c>
      <c r="P128" s="81" t="s">
        <v>148</v>
      </c>
      <c r="Q128" s="81" t="s">
        <v>149</v>
      </c>
      <c r="R128" s="82" t="s">
        <v>72</v>
      </c>
      <c r="S128" s="151" t="s">
        <v>71</v>
      </c>
      <c r="T128" s="403"/>
    </row>
    <row r="129" spans="3:20" ht="12.75" thickBot="1" x14ac:dyDescent="0.25">
      <c r="C129" s="167" t="s">
        <v>24</v>
      </c>
      <c r="D129" s="168"/>
      <c r="E129" s="169"/>
      <c r="F129" s="168"/>
      <c r="G129" s="169"/>
      <c r="H129" s="169"/>
      <c r="I129" s="169"/>
      <c r="J129" s="169"/>
      <c r="K129" s="169"/>
      <c r="L129" s="169"/>
      <c r="M129" s="169"/>
      <c r="N129" s="169"/>
      <c r="O129" s="169"/>
      <c r="P129" s="169"/>
      <c r="Q129" s="169"/>
      <c r="R129" s="169"/>
      <c r="S129" s="170"/>
      <c r="T129" s="125"/>
    </row>
    <row r="130" spans="3:20" ht="102" customHeight="1" thickBot="1" x14ac:dyDescent="0.25">
      <c r="C130" s="126">
        <v>1</v>
      </c>
      <c r="D130" s="127" t="s">
        <v>255</v>
      </c>
      <c r="E130" s="128" t="s">
        <v>269</v>
      </c>
      <c r="F130" s="127" t="s">
        <v>270</v>
      </c>
      <c r="G130" s="128" t="s">
        <v>57</v>
      </c>
      <c r="H130" s="129">
        <v>0.7</v>
      </c>
      <c r="I130" s="196" t="s">
        <v>271</v>
      </c>
      <c r="J130" s="130">
        <v>39860</v>
      </c>
      <c r="K130" s="130">
        <v>41337</v>
      </c>
      <c r="L130" s="131">
        <v>15</v>
      </c>
      <c r="M130" s="194">
        <v>13157959981</v>
      </c>
      <c r="N130" s="95">
        <f t="shared" ref="N130" si="26">+M130*H130</f>
        <v>9210571986.6999989</v>
      </c>
      <c r="O130" s="120">
        <f>ROUND(IF(J130&lt;$I$4,0,IF(J130="",0,IF(OR(K130="---",K130=""),N130/LOOKUP(J130,[4]SMLM!$A$3:$A$36,[4]SMLM!$D$3:$D$36),N130/LOOKUP(J130,[4]SMLM!$A$3:$A$36,[4]SMLM!$D$3:$D$36)))),0)</f>
        <v>18536</v>
      </c>
      <c r="P130" s="133">
        <f>+Requisitos!$I$7</f>
        <v>1350.6493506493507</v>
      </c>
      <c r="Q130" s="134" t="str">
        <f>+IF(O130&lt;&gt;0,IF(O130&gt;P130,"CUMPLE","NO CUMPE"),"")</f>
        <v>CUMPLE</v>
      </c>
      <c r="R130" s="134" t="s">
        <v>536</v>
      </c>
      <c r="S130" s="135"/>
      <c r="T130" s="144"/>
    </row>
    <row r="131" spans="3:20" x14ac:dyDescent="0.2">
      <c r="C131" s="182"/>
      <c r="D131" s="183"/>
      <c r="E131" s="184"/>
      <c r="F131" s="183"/>
      <c r="G131" s="184"/>
      <c r="H131" s="185"/>
      <c r="I131" s="186"/>
      <c r="J131" s="187"/>
      <c r="K131" s="187"/>
      <c r="L131" s="188"/>
      <c r="M131" s="189"/>
      <c r="N131" s="190"/>
      <c r="O131" s="191"/>
      <c r="P131" s="191"/>
      <c r="Q131" s="192"/>
      <c r="R131" s="192"/>
      <c r="S131" s="193"/>
      <c r="T131" s="125"/>
    </row>
    <row r="132" spans="3:20" ht="12.75" thickBot="1" x14ac:dyDescent="0.25">
      <c r="C132" s="83" t="s">
        <v>25</v>
      </c>
      <c r="D132" s="84"/>
      <c r="E132" s="85"/>
      <c r="F132" s="84"/>
      <c r="G132" s="85"/>
      <c r="H132" s="85"/>
      <c r="I132" s="85"/>
      <c r="J132" s="85"/>
      <c r="K132" s="85"/>
      <c r="L132" s="85"/>
      <c r="M132" s="85"/>
      <c r="N132" s="124"/>
      <c r="O132" s="85"/>
      <c r="P132" s="85"/>
      <c r="Q132" s="85"/>
      <c r="R132" s="85"/>
      <c r="S132" s="125"/>
      <c r="T132" s="125"/>
    </row>
    <row r="133" spans="3:20" ht="85.5" customHeight="1" thickBot="1" x14ac:dyDescent="0.25">
      <c r="C133" s="86">
        <v>1</v>
      </c>
      <c r="D133" s="87" t="s">
        <v>255</v>
      </c>
      <c r="E133" s="88" t="s">
        <v>272</v>
      </c>
      <c r="F133" s="87" t="s">
        <v>273</v>
      </c>
      <c r="G133" s="88" t="s">
        <v>57</v>
      </c>
      <c r="H133" s="90">
        <v>0.4</v>
      </c>
      <c r="I133" s="88" t="s">
        <v>274</v>
      </c>
      <c r="J133" s="92">
        <v>35859</v>
      </c>
      <c r="K133" s="92">
        <v>36345</v>
      </c>
      <c r="L133" s="93">
        <v>0</v>
      </c>
      <c r="M133" s="172">
        <v>1881895787</v>
      </c>
      <c r="N133" s="160">
        <f t="shared" ref="N133" si="27">+M133*H133</f>
        <v>752758314.80000007</v>
      </c>
      <c r="O133" s="178">
        <f>ROUND(IF(J133&lt;$I$4,0,IF(J133="",0,IF(OR(K133="---",K133=""),N133/LOOKUP(J133,[4]SMLM!$A$3:$A$36,[4]SMLM!$D$3:$D$36),N133/LOOKUP(J133,[4]SMLM!$A$3:$A$36,[4]SMLM!$D$3:$D$36)))),0)</f>
        <v>3693</v>
      </c>
      <c r="P133" s="94">
        <f>Requisitos!$I$9</f>
        <v>1350.6493506493507</v>
      </c>
      <c r="Q133" s="97" t="str">
        <f t="shared" ref="Q133" si="28">+IF(O133&lt;&gt;0,IF(O133&gt;P133,"CUMPLE","NO CUMPE"),"")</f>
        <v>CUMPLE</v>
      </c>
      <c r="R133" s="97" t="s">
        <v>537</v>
      </c>
      <c r="S133" s="98"/>
      <c r="T133" s="144"/>
    </row>
    <row r="134" spans="3:20" ht="85.5" customHeight="1" thickBot="1" x14ac:dyDescent="0.25">
      <c r="C134" s="100">
        <v>2</v>
      </c>
      <c r="D134" s="101" t="s">
        <v>183</v>
      </c>
      <c r="E134" s="102" t="s">
        <v>290</v>
      </c>
      <c r="F134" s="101" t="s">
        <v>699</v>
      </c>
      <c r="G134" s="102" t="s">
        <v>57</v>
      </c>
      <c r="H134" s="104">
        <v>0.5</v>
      </c>
      <c r="I134" s="102" t="s">
        <v>274</v>
      </c>
      <c r="J134" s="106">
        <v>37271</v>
      </c>
      <c r="K134" s="106">
        <v>38507</v>
      </c>
      <c r="L134" s="107">
        <v>0</v>
      </c>
      <c r="M134" s="179">
        <v>2372844012.1999998</v>
      </c>
      <c r="N134" s="180">
        <f t="shared" ref="N134" si="29">+M134*H134</f>
        <v>1186422006.0999999</v>
      </c>
      <c r="O134" s="205">
        <f>ROUND(IF(J134&lt;$I$4,0,IF(J134="",0,IF(OR(K134="---",K134=""),N134/LOOKUP(J134,[4]SMLM!$A$3:$A$36,[4]SMLM!$D$3:$D$36),N134/LOOKUP(J134,[4]SMLM!$A$3:$A$36,[4]SMLM!$D$3:$D$36)))),0)</f>
        <v>3840</v>
      </c>
      <c r="P134" s="108">
        <f>Requisitos!$I$9</f>
        <v>1350.6493506493507</v>
      </c>
      <c r="Q134" s="109" t="str">
        <f t="shared" ref="Q134" si="30">+IF(O134&lt;&gt;0,IF(O134&gt;P134,"CUMPLE","NO CUMPE"),"")</f>
        <v>CUMPLE</v>
      </c>
      <c r="R134" s="97" t="s">
        <v>702</v>
      </c>
      <c r="S134" s="110"/>
      <c r="T134" s="144"/>
    </row>
    <row r="135" spans="3:20" ht="85.5" customHeight="1" thickBot="1" x14ac:dyDescent="0.25">
      <c r="C135" s="112">
        <v>3</v>
      </c>
      <c r="D135" s="69" t="s">
        <v>255</v>
      </c>
      <c r="E135" s="113" t="s">
        <v>700</v>
      </c>
      <c r="F135" s="69" t="s">
        <v>701</v>
      </c>
      <c r="G135" s="113" t="s">
        <v>57</v>
      </c>
      <c r="H135" s="115">
        <v>1</v>
      </c>
      <c r="I135" s="113" t="s">
        <v>274</v>
      </c>
      <c r="J135" s="117">
        <v>39133</v>
      </c>
      <c r="K135" s="117">
        <v>39636</v>
      </c>
      <c r="L135" s="118">
        <v>0</v>
      </c>
      <c r="M135" s="175">
        <v>1330028412</v>
      </c>
      <c r="N135" s="165">
        <f t="shared" ref="N135" si="31">+M135*H135</f>
        <v>1330028412</v>
      </c>
      <c r="O135" s="206">
        <f>ROUND(IF(J135&lt;$I$4,0,IF(J135="",0,IF(OR(K135="---",K135=""),N135/LOOKUP(J135,[4]SMLM!$A$3:$A$36,[4]SMLM!$D$3:$D$36),N135/LOOKUP(J135,[4]SMLM!$A$3:$A$36,[4]SMLM!$D$3:$D$36)))),0)</f>
        <v>3067</v>
      </c>
      <c r="P135" s="119">
        <f>Requisitos!$I$9</f>
        <v>1350.6493506493507</v>
      </c>
      <c r="Q135" s="121" t="str">
        <f t="shared" ref="Q135" si="32">+IF(O135&lt;&gt;0,IF(O135&gt;P135,"CUMPLE","NO CUMPE"),"")</f>
        <v>CUMPLE</v>
      </c>
      <c r="R135" s="134" t="s">
        <v>703</v>
      </c>
      <c r="S135" s="122"/>
      <c r="T135" s="149"/>
    </row>
    <row r="136" spans="3:20" x14ac:dyDescent="0.2">
      <c r="C136" s="83"/>
      <c r="D136" s="84"/>
      <c r="E136" s="85"/>
      <c r="F136" s="84"/>
      <c r="G136" s="85"/>
      <c r="H136" s="85"/>
      <c r="I136" s="85"/>
      <c r="J136" s="85"/>
      <c r="K136" s="85"/>
      <c r="L136" s="85"/>
      <c r="M136" s="85"/>
      <c r="N136" s="85"/>
      <c r="O136" s="207"/>
      <c r="P136" s="85"/>
      <c r="Q136" s="85"/>
      <c r="R136" s="85"/>
      <c r="S136" s="125"/>
    </row>
    <row r="137" spans="3:20" ht="12.75" thickBot="1" x14ac:dyDescent="0.25">
      <c r="C137" s="83"/>
      <c r="D137" s="84"/>
      <c r="E137" s="85"/>
      <c r="F137" s="84"/>
      <c r="G137" s="85"/>
      <c r="H137" s="85"/>
      <c r="I137" s="85"/>
      <c r="J137" s="85"/>
      <c r="K137" s="85"/>
      <c r="L137" s="85"/>
      <c r="M137" s="85"/>
      <c r="N137" s="85"/>
      <c r="O137" s="85"/>
      <c r="P137" s="85"/>
      <c r="Q137" s="85"/>
      <c r="R137" s="85"/>
      <c r="S137" s="125"/>
    </row>
    <row r="138" spans="3:20" x14ac:dyDescent="0.2">
      <c r="C138" s="83"/>
      <c r="D138" s="84"/>
      <c r="E138" s="85"/>
      <c r="F138" s="84"/>
      <c r="G138" s="85"/>
      <c r="H138" s="85"/>
      <c r="I138" s="85"/>
      <c r="J138" s="85"/>
      <c r="K138" s="379"/>
      <c r="L138" s="380"/>
      <c r="M138" s="380"/>
      <c r="N138" s="137" t="s">
        <v>59</v>
      </c>
      <c r="O138" s="137" t="s">
        <v>26</v>
      </c>
      <c r="P138" s="138" t="s">
        <v>60</v>
      </c>
      <c r="Q138" s="139"/>
      <c r="R138" s="85"/>
      <c r="S138" s="125"/>
    </row>
    <row r="139" spans="3:20" x14ac:dyDescent="0.2">
      <c r="C139" s="83"/>
      <c r="D139" s="84"/>
      <c r="E139" s="85"/>
      <c r="F139" s="84"/>
      <c r="G139" s="85"/>
      <c r="H139" s="85"/>
      <c r="I139" s="85"/>
      <c r="J139" s="85"/>
      <c r="K139" s="381" t="s">
        <v>168</v>
      </c>
      <c r="L139" s="382"/>
      <c r="M139" s="382"/>
      <c r="N139" s="141">
        <f>+SUMAGEN</f>
        <v>6541634245</v>
      </c>
      <c r="O139" s="142">
        <f>[4]Requisitos!$I$3</f>
        <v>10609.20247324035</v>
      </c>
      <c r="P139" s="143">
        <f>+SUM(O130:O130,O133:O135)</f>
        <v>29136</v>
      </c>
      <c r="Q139" s="144" t="str">
        <f>+IF(P139&gt;[4]Requisitos!$I$6,"CUMPLE","NO CUMPLE")</f>
        <v>CUMPLE</v>
      </c>
      <c r="R139" s="85"/>
      <c r="S139" s="125"/>
    </row>
    <row r="140" spans="3:20" x14ac:dyDescent="0.2">
      <c r="C140" s="83"/>
      <c r="D140" s="84"/>
      <c r="E140" s="85"/>
      <c r="F140" s="84"/>
      <c r="G140" s="85"/>
      <c r="H140" s="85"/>
      <c r="I140" s="85"/>
      <c r="J140" s="85"/>
      <c r="K140" s="381" t="s">
        <v>104</v>
      </c>
      <c r="L140" s="382"/>
      <c r="M140" s="382"/>
      <c r="N140" s="141">
        <f>+LIDERGEN</f>
        <v>3336233464.9500003</v>
      </c>
      <c r="O140" s="142">
        <f>[4]Requisitos!$I$8</f>
        <v>5415.9634171266234</v>
      </c>
      <c r="P140" s="143">
        <f>+SUM(O130:O130)</f>
        <v>18536</v>
      </c>
      <c r="Q140" s="144" t="str">
        <f>+IF(P140&gt;[4]Requisitos!$I$8,"CUMPLE","NO CUMPLE")</f>
        <v>CUMPLE</v>
      </c>
      <c r="R140" s="85"/>
      <c r="S140" s="125"/>
    </row>
    <row r="141" spans="3:20" ht="12.75" thickBot="1" x14ac:dyDescent="0.25">
      <c r="C141" s="145"/>
      <c r="D141" s="146"/>
      <c r="E141" s="147"/>
      <c r="F141" s="146"/>
      <c r="G141" s="147"/>
      <c r="H141" s="147"/>
      <c r="I141" s="147"/>
      <c r="J141" s="147"/>
      <c r="K141" s="383"/>
      <c r="L141" s="384"/>
      <c r="M141" s="384"/>
      <c r="N141" s="148"/>
      <c r="O141" s="148"/>
      <c r="P141" s="148"/>
      <c r="Q141" s="149" t="str">
        <f>+IF(Q139="CUMPLE",IF(Q140="CUMPLE","HÁBIL","NO CUMPLE"),"NO CUMPLE")</f>
        <v>HÁBIL</v>
      </c>
      <c r="R141" s="147"/>
      <c r="S141" s="150"/>
    </row>
    <row r="142" spans="3:20" ht="12.75" thickTop="1" x14ac:dyDescent="0.2"/>
    <row r="143" spans="3:20" ht="12.75" thickBot="1" x14ac:dyDescent="0.25"/>
    <row r="144" spans="3:20" ht="12.75" thickBot="1" x14ac:dyDescent="0.25">
      <c r="C144" s="75" t="s">
        <v>13</v>
      </c>
      <c r="D144" s="76"/>
      <c r="E144" s="77">
        <v>9</v>
      </c>
      <c r="F144" s="76" t="str">
        <f>+VLOOKUP(E144,[5]Proponentes!$B$10:$D$43,2,FALSE())</f>
        <v>CONSORCIO INTERVENTORIA PALMIRA 2014</v>
      </c>
      <c r="G144" s="77"/>
      <c r="H144" s="77"/>
      <c r="I144" s="77"/>
      <c r="J144" s="77"/>
      <c r="K144" s="77"/>
      <c r="L144" s="77"/>
      <c r="M144" s="77"/>
      <c r="N144" s="77"/>
      <c r="O144" s="77"/>
      <c r="P144" s="77"/>
      <c r="Q144" s="77"/>
      <c r="R144" s="77"/>
      <c r="S144" s="208"/>
      <c r="T144" s="80"/>
    </row>
    <row r="145" spans="3:20" x14ac:dyDescent="0.2">
      <c r="C145" s="395" t="s">
        <v>28</v>
      </c>
      <c r="D145" s="390" t="s">
        <v>29</v>
      </c>
      <c r="E145" s="390" t="s">
        <v>37</v>
      </c>
      <c r="F145" s="390" t="s">
        <v>20</v>
      </c>
      <c r="G145" s="390" t="s">
        <v>21</v>
      </c>
      <c r="H145" s="390" t="s">
        <v>22</v>
      </c>
      <c r="I145" s="390" t="s">
        <v>14</v>
      </c>
      <c r="J145" s="390" t="s">
        <v>15</v>
      </c>
      <c r="K145" s="390" t="s">
        <v>16</v>
      </c>
      <c r="L145" s="390" t="s">
        <v>56</v>
      </c>
      <c r="M145" s="390" t="s">
        <v>17</v>
      </c>
      <c r="N145" s="392" t="s">
        <v>18</v>
      </c>
      <c r="O145" s="393"/>
      <c r="P145" s="393"/>
      <c r="Q145" s="393"/>
      <c r="R145" s="393"/>
      <c r="S145" s="394"/>
      <c r="T145" s="403" t="s">
        <v>727</v>
      </c>
    </row>
    <row r="146" spans="3:20" ht="48.75" thickBot="1" x14ac:dyDescent="0.25">
      <c r="C146" s="396"/>
      <c r="D146" s="391"/>
      <c r="E146" s="391"/>
      <c r="F146" s="391"/>
      <c r="G146" s="391"/>
      <c r="H146" s="391"/>
      <c r="I146" s="391"/>
      <c r="J146" s="391"/>
      <c r="K146" s="391"/>
      <c r="L146" s="391"/>
      <c r="M146" s="391"/>
      <c r="N146" s="209" t="s">
        <v>23</v>
      </c>
      <c r="O146" s="209" t="s">
        <v>55</v>
      </c>
      <c r="P146" s="209" t="s">
        <v>148</v>
      </c>
      <c r="Q146" s="209" t="s">
        <v>149</v>
      </c>
      <c r="R146" s="210" t="s">
        <v>72</v>
      </c>
      <c r="S146" s="211" t="s">
        <v>71</v>
      </c>
      <c r="T146" s="403"/>
    </row>
    <row r="147" spans="3:20" ht="12.75" thickBot="1" x14ac:dyDescent="0.25">
      <c r="C147" s="212" t="s">
        <v>24</v>
      </c>
      <c r="D147" s="213"/>
      <c r="E147" s="214"/>
      <c r="F147" s="213"/>
      <c r="G147" s="214"/>
      <c r="H147" s="214"/>
      <c r="I147" s="214"/>
      <c r="J147" s="214"/>
      <c r="K147" s="214"/>
      <c r="L147" s="214"/>
      <c r="M147" s="214"/>
      <c r="N147" s="214"/>
      <c r="O147" s="214"/>
      <c r="P147" s="214"/>
      <c r="Q147" s="214"/>
      <c r="R147" s="214"/>
      <c r="S147" s="215"/>
      <c r="T147" s="125"/>
    </row>
    <row r="148" spans="3:20" ht="162" customHeight="1" thickBot="1" x14ac:dyDescent="0.25">
      <c r="C148" s="126">
        <v>1</v>
      </c>
      <c r="D148" s="127" t="s">
        <v>445</v>
      </c>
      <c r="E148" s="128" t="s">
        <v>559</v>
      </c>
      <c r="F148" s="127" t="s">
        <v>560</v>
      </c>
      <c r="G148" s="128" t="s">
        <v>209</v>
      </c>
      <c r="H148" s="129">
        <v>1</v>
      </c>
      <c r="I148" s="196" t="s">
        <v>561</v>
      </c>
      <c r="J148" s="130">
        <v>37591</v>
      </c>
      <c r="K148" s="130">
        <v>40087</v>
      </c>
      <c r="L148" s="131">
        <v>15</v>
      </c>
      <c r="M148" s="194">
        <v>12339476794.01</v>
      </c>
      <c r="N148" s="160">
        <f t="shared" ref="N148:N152" si="33">+M148*H148</f>
        <v>12339476794.01</v>
      </c>
      <c r="O148" s="120">
        <f>ROUND(IF(J148&lt;$I$4,0,IF(J148="",0,IF(OR(K148="---",K148=""),N148/LOOKUP(J148,[5]SMLM!$A$3:$A$36,[5]SMLM!$D$3:$D$36),N148/LOOKUP(J148,[5]SMLM!$A$3:$A$36,[5]SMLM!$D$3:$D$36)))),0)</f>
        <v>39934</v>
      </c>
      <c r="P148" s="133">
        <f>Requisitos!$I$9</f>
        <v>1350.6493506493507</v>
      </c>
      <c r="Q148" s="97" t="str">
        <f>+IF(O148&lt;&gt;0,IF(O148&gt;P148,"CUMPLE","NO CUMPE"),"")</f>
        <v>CUMPLE</v>
      </c>
      <c r="R148" s="134" t="s">
        <v>542</v>
      </c>
      <c r="S148" s="216" t="s">
        <v>724</v>
      </c>
      <c r="T148" s="216" t="s">
        <v>733</v>
      </c>
    </row>
    <row r="149" spans="3:20" ht="12.75" thickBot="1" x14ac:dyDescent="0.25">
      <c r="C149" s="83" t="s">
        <v>25</v>
      </c>
      <c r="D149" s="84"/>
      <c r="E149" s="85"/>
      <c r="F149" s="84"/>
      <c r="G149" s="85"/>
      <c r="H149" s="85"/>
      <c r="I149" s="85"/>
      <c r="J149" s="85"/>
      <c r="K149" s="85"/>
      <c r="L149" s="85"/>
      <c r="M149" s="85"/>
      <c r="N149" s="124"/>
      <c r="O149" s="85"/>
      <c r="P149" s="85"/>
      <c r="Q149" s="85"/>
      <c r="R149" s="85"/>
      <c r="S149" s="125"/>
      <c r="T149" s="125"/>
    </row>
    <row r="150" spans="3:20" ht="266.25" customHeight="1" x14ac:dyDescent="0.2">
      <c r="C150" s="86">
        <v>1</v>
      </c>
      <c r="D150" s="87" t="s">
        <v>9</v>
      </c>
      <c r="E150" s="88" t="s">
        <v>562</v>
      </c>
      <c r="F150" s="87" t="s">
        <v>563</v>
      </c>
      <c r="G150" s="88" t="s">
        <v>57</v>
      </c>
      <c r="H150" s="90">
        <v>0.5</v>
      </c>
      <c r="I150" s="88" t="s">
        <v>564</v>
      </c>
      <c r="J150" s="92">
        <v>38772</v>
      </c>
      <c r="K150" s="92">
        <v>40656</v>
      </c>
      <c r="L150" s="93">
        <v>0</v>
      </c>
      <c r="M150" s="172">
        <f>2886785280+115909520+305088445+1344546519+141503092</f>
        <v>4793832856</v>
      </c>
      <c r="N150" s="160">
        <f t="shared" si="33"/>
        <v>2396916428</v>
      </c>
      <c r="O150" s="217">
        <f>'[5]Valor Contr Prop9 Intersa'!$G$8</f>
        <v>5669.9874240665013</v>
      </c>
      <c r="P150" s="386">
        <f>+[5]Requisitos!$I$7</f>
        <v>1350.6493506493507</v>
      </c>
      <c r="Q150" s="97" t="str">
        <f>+IF(O150&lt;&gt;0,IF(O150&gt;P150,"CUMPLE","NO CUMPE"),"")</f>
        <v>CUMPLE</v>
      </c>
      <c r="R150" s="97" t="s">
        <v>565</v>
      </c>
      <c r="S150" s="98" t="s">
        <v>566</v>
      </c>
      <c r="T150" s="144"/>
    </row>
    <row r="151" spans="3:20" ht="64.5" customHeight="1" x14ac:dyDescent="0.2">
      <c r="C151" s="100">
        <v>2</v>
      </c>
      <c r="D151" s="101" t="s">
        <v>212</v>
      </c>
      <c r="E151" s="102" t="s">
        <v>567</v>
      </c>
      <c r="F151" s="101" t="s">
        <v>568</v>
      </c>
      <c r="G151" s="102" t="s">
        <v>57</v>
      </c>
      <c r="H151" s="104">
        <v>0.75</v>
      </c>
      <c r="I151" s="105" t="s">
        <v>564</v>
      </c>
      <c r="J151" s="106">
        <v>37308</v>
      </c>
      <c r="K151" s="106">
        <v>37986</v>
      </c>
      <c r="L151" s="107"/>
      <c r="M151" s="179">
        <v>1335742560</v>
      </c>
      <c r="N151" s="180">
        <f t="shared" si="33"/>
        <v>1001806920</v>
      </c>
      <c r="O151" s="205">
        <f>ROUND(IF(J151&lt;$I$4,0,IF(J151="",0,IF(OR(K151="---",K151=""),N151/LOOKUP(J151,[5]SMLM!$A$3:$A$36,[5]SMLM!$D$3:$D$36),N151/LOOKUP(J151,[5]SMLM!$A$3:$A$36,[5]SMLM!$D$3:$D$36)))),0)</f>
        <v>3242</v>
      </c>
      <c r="P151" s="388"/>
      <c r="Q151" s="109" t="str">
        <f>+IF(O151&lt;&gt;0,IF(O151&gt;P150,"CUMPLE","NO CUMPE"),"")</f>
        <v>CUMPLE</v>
      </c>
      <c r="R151" s="109" t="s">
        <v>569</v>
      </c>
      <c r="S151" s="110" t="s">
        <v>570</v>
      </c>
      <c r="T151" s="144"/>
    </row>
    <row r="152" spans="3:20" ht="68.25" customHeight="1" thickBot="1" x14ac:dyDescent="0.25">
      <c r="C152" s="112">
        <v>3</v>
      </c>
      <c r="D152" s="69" t="s">
        <v>212</v>
      </c>
      <c r="E152" s="113" t="s">
        <v>571</v>
      </c>
      <c r="F152" s="69" t="s">
        <v>572</v>
      </c>
      <c r="G152" s="113" t="s">
        <v>57</v>
      </c>
      <c r="H152" s="115">
        <v>1</v>
      </c>
      <c r="I152" s="116" t="s">
        <v>564</v>
      </c>
      <c r="J152" s="117">
        <v>36992</v>
      </c>
      <c r="K152" s="117">
        <v>37539</v>
      </c>
      <c r="L152" s="118"/>
      <c r="M152" s="175">
        <v>999929000</v>
      </c>
      <c r="N152" s="165">
        <f t="shared" si="33"/>
        <v>999929000</v>
      </c>
      <c r="O152" s="206">
        <f>ROUND(IF(J152&lt;$I$4,0,IF(J152="",0,IF(OR(K152="---",K152=""),N152/LOOKUP(J152,[5]SMLM!$A$3:$A$36,[5]SMLM!$D$3:$D$36),N152/LOOKUP(J152,[5]SMLM!$A$3:$A$36,[5]SMLM!$D$3:$D$36)))),0)</f>
        <v>3496</v>
      </c>
      <c r="P152" s="387"/>
      <c r="Q152" s="121" t="str">
        <f>+IF(O152&lt;&gt;0,IF(O152&gt;P150,"CUMPLE","NO CUMPE"),"")</f>
        <v>CUMPLE</v>
      </c>
      <c r="R152" s="121" t="s">
        <v>633</v>
      </c>
      <c r="S152" s="122" t="s">
        <v>573</v>
      </c>
      <c r="T152" s="149"/>
    </row>
    <row r="153" spans="3:20" x14ac:dyDescent="0.2">
      <c r="C153" s="83"/>
      <c r="D153" s="84"/>
      <c r="E153" s="85"/>
      <c r="F153" s="84"/>
      <c r="G153" s="85"/>
      <c r="H153" s="85"/>
      <c r="I153" s="85"/>
      <c r="J153" s="85"/>
      <c r="K153" s="85"/>
      <c r="L153" s="85"/>
      <c r="M153" s="85"/>
      <c r="N153" s="85"/>
      <c r="O153" s="219"/>
      <c r="P153" s="85"/>
      <c r="Q153" s="85"/>
      <c r="R153" s="85"/>
      <c r="S153" s="125"/>
    </row>
    <row r="154" spans="3:20" ht="12.75" thickBot="1" x14ac:dyDescent="0.25">
      <c r="C154" s="83"/>
      <c r="D154" s="84"/>
      <c r="E154" s="85"/>
      <c r="F154" s="84"/>
      <c r="G154" s="85"/>
      <c r="H154" s="85"/>
      <c r="I154" s="85"/>
      <c r="J154" s="85"/>
      <c r="K154" s="85"/>
      <c r="L154" s="85"/>
      <c r="M154" s="85"/>
      <c r="N154" s="85"/>
      <c r="O154" s="85"/>
      <c r="P154" s="85"/>
      <c r="Q154" s="85"/>
      <c r="R154" s="85"/>
      <c r="S154" s="125"/>
    </row>
    <row r="155" spans="3:20" x14ac:dyDescent="0.2">
      <c r="C155" s="83"/>
      <c r="D155" s="84"/>
      <c r="E155" s="85"/>
      <c r="F155" s="84"/>
      <c r="G155" s="85"/>
      <c r="H155" s="85"/>
      <c r="I155" s="85"/>
      <c r="J155" s="85"/>
      <c r="K155" s="379"/>
      <c r="L155" s="380"/>
      <c r="M155" s="380"/>
      <c r="N155" s="137" t="s">
        <v>59</v>
      </c>
      <c r="O155" s="137" t="s">
        <v>26</v>
      </c>
      <c r="P155" s="138" t="s">
        <v>60</v>
      </c>
      <c r="Q155" s="139"/>
      <c r="R155" s="85"/>
      <c r="S155" s="125"/>
    </row>
    <row r="156" spans="3:20" x14ac:dyDescent="0.2">
      <c r="C156" s="83"/>
      <c r="D156" s="84"/>
      <c r="E156" s="85"/>
      <c r="F156" s="84"/>
      <c r="G156" s="85"/>
      <c r="H156" s="85"/>
      <c r="I156" s="85"/>
      <c r="J156" s="85"/>
      <c r="K156" s="381" t="s">
        <v>168</v>
      </c>
      <c r="L156" s="382"/>
      <c r="M156" s="382"/>
      <c r="N156" s="141">
        <f>+SUMAGEN</f>
        <v>6541634245</v>
      </c>
      <c r="O156" s="142">
        <f>[4]Requisitos!$I$3</f>
        <v>10609.20247324035</v>
      </c>
      <c r="P156" s="143">
        <f>+SUM(O148:O148,O150:O152)</f>
        <v>52341.987424066501</v>
      </c>
      <c r="Q156" s="144" t="str">
        <f>+IF(P156&gt;[5]Requisitos!I134,"CUMPLE","NO CUMPLE")</f>
        <v>CUMPLE</v>
      </c>
      <c r="R156" s="85"/>
      <c r="S156" s="125"/>
    </row>
    <row r="157" spans="3:20" x14ac:dyDescent="0.2">
      <c r="C157" s="83"/>
      <c r="D157" s="84"/>
      <c r="E157" s="85"/>
      <c r="F157" s="84"/>
      <c r="G157" s="85"/>
      <c r="H157" s="85"/>
      <c r="I157" s="85"/>
      <c r="J157" s="85"/>
      <c r="K157" s="381" t="s">
        <v>104</v>
      </c>
      <c r="L157" s="382"/>
      <c r="M157" s="382"/>
      <c r="N157" s="141">
        <f>+LIDERGEN</f>
        <v>3336233464.9500003</v>
      </c>
      <c r="O157" s="142">
        <f>[4]Requisitos!$I$8</f>
        <v>5415.9634171266234</v>
      </c>
      <c r="P157" s="143">
        <f>+SUM(O148:O148)</f>
        <v>39934</v>
      </c>
      <c r="Q157" s="144" t="str">
        <f>+IF(P157&gt;[5]Requisitos!I136,"CUMPLE","NO CUMPLE")</f>
        <v>CUMPLE</v>
      </c>
      <c r="R157" s="85"/>
      <c r="S157" s="125"/>
    </row>
    <row r="158" spans="3:20" ht="12.75" thickBot="1" x14ac:dyDescent="0.25">
      <c r="C158" s="145"/>
      <c r="D158" s="146"/>
      <c r="E158" s="147"/>
      <c r="F158" s="146"/>
      <c r="G158" s="147"/>
      <c r="H158" s="147"/>
      <c r="I158" s="147"/>
      <c r="J158" s="147"/>
      <c r="K158" s="383"/>
      <c r="L158" s="384"/>
      <c r="M158" s="384"/>
      <c r="N158" s="148"/>
      <c r="O158" s="148"/>
      <c r="P158" s="148"/>
      <c r="Q158" s="149" t="str">
        <f>+IF(Q156="CUMPLE",IF(Q157="CUMPLE","HÁBIL","NO CUMPLE"),"NO CUMPLE")</f>
        <v>HÁBIL</v>
      </c>
      <c r="R158" s="147"/>
      <c r="S158" s="150"/>
    </row>
    <row r="159" spans="3:20" ht="12.75" thickTop="1" x14ac:dyDescent="0.2"/>
    <row r="160" spans="3:20" ht="12.75" thickBot="1" x14ac:dyDescent="0.25"/>
    <row r="161" spans="3:20" ht="12.75" thickBot="1" x14ac:dyDescent="0.25">
      <c r="C161" s="75" t="s">
        <v>13</v>
      </c>
      <c r="D161" s="76"/>
      <c r="E161" s="77">
        <v>10</v>
      </c>
      <c r="F161" s="76" t="str">
        <f>+VLOOKUP(E161,[5]Proponentes!$B$10:$D$43,2,FALSE())</f>
        <v>CONSORCIO INTERVENTORIA AEROPUERTO CALI</v>
      </c>
      <c r="G161" s="77"/>
      <c r="H161" s="77"/>
      <c r="I161" s="77"/>
      <c r="J161" s="77"/>
      <c r="K161" s="77"/>
      <c r="L161" s="77"/>
      <c r="M161" s="77"/>
      <c r="N161" s="77"/>
      <c r="O161" s="77"/>
      <c r="P161" s="77"/>
      <c r="Q161" s="77"/>
      <c r="R161" s="77"/>
      <c r="S161" s="208"/>
      <c r="T161" s="80"/>
    </row>
    <row r="162" spans="3:20" x14ac:dyDescent="0.2">
      <c r="C162" s="395" t="s">
        <v>28</v>
      </c>
      <c r="D162" s="390" t="s">
        <v>29</v>
      </c>
      <c r="E162" s="390" t="s">
        <v>37</v>
      </c>
      <c r="F162" s="390" t="s">
        <v>20</v>
      </c>
      <c r="G162" s="390" t="s">
        <v>21</v>
      </c>
      <c r="H162" s="390" t="s">
        <v>22</v>
      </c>
      <c r="I162" s="390" t="s">
        <v>14</v>
      </c>
      <c r="J162" s="390" t="s">
        <v>15</v>
      </c>
      <c r="K162" s="390" t="s">
        <v>16</v>
      </c>
      <c r="L162" s="390" t="s">
        <v>56</v>
      </c>
      <c r="M162" s="390" t="s">
        <v>17</v>
      </c>
      <c r="N162" s="392" t="s">
        <v>18</v>
      </c>
      <c r="O162" s="393"/>
      <c r="P162" s="393"/>
      <c r="Q162" s="393"/>
      <c r="R162" s="393"/>
      <c r="S162" s="394"/>
      <c r="T162" s="403" t="s">
        <v>727</v>
      </c>
    </row>
    <row r="163" spans="3:20" ht="48.75" thickBot="1" x14ac:dyDescent="0.25">
      <c r="C163" s="396"/>
      <c r="D163" s="391"/>
      <c r="E163" s="391"/>
      <c r="F163" s="391"/>
      <c r="G163" s="391"/>
      <c r="H163" s="391"/>
      <c r="I163" s="391"/>
      <c r="J163" s="391"/>
      <c r="K163" s="391"/>
      <c r="L163" s="391"/>
      <c r="M163" s="391"/>
      <c r="N163" s="209" t="s">
        <v>23</v>
      </c>
      <c r="O163" s="209" t="s">
        <v>55</v>
      </c>
      <c r="P163" s="209" t="s">
        <v>148</v>
      </c>
      <c r="Q163" s="209" t="s">
        <v>632</v>
      </c>
      <c r="R163" s="210" t="s">
        <v>72</v>
      </c>
      <c r="S163" s="211" t="s">
        <v>71</v>
      </c>
      <c r="T163" s="403"/>
    </row>
    <row r="164" spans="3:20" ht="12.75" thickBot="1" x14ac:dyDescent="0.25">
      <c r="C164" s="212" t="s">
        <v>24</v>
      </c>
      <c r="D164" s="213"/>
      <c r="E164" s="214"/>
      <c r="F164" s="213"/>
      <c r="G164" s="214"/>
      <c r="H164" s="214"/>
      <c r="I164" s="214"/>
      <c r="J164" s="214"/>
      <c r="K164" s="214"/>
      <c r="L164" s="214"/>
      <c r="M164" s="214"/>
      <c r="N164" s="214"/>
      <c r="O164" s="214"/>
      <c r="P164" s="214"/>
      <c r="Q164" s="214"/>
      <c r="R164" s="214"/>
      <c r="S164" s="215"/>
      <c r="T164" s="125"/>
    </row>
    <row r="165" spans="3:20" ht="94.5" customHeight="1" x14ac:dyDescent="0.2">
      <c r="C165" s="86">
        <v>1</v>
      </c>
      <c r="D165" s="87" t="s">
        <v>574</v>
      </c>
      <c r="E165" s="88" t="s">
        <v>575</v>
      </c>
      <c r="F165" s="87" t="s">
        <v>576</v>
      </c>
      <c r="G165" s="88" t="s">
        <v>57</v>
      </c>
      <c r="H165" s="90">
        <v>0.75</v>
      </c>
      <c r="I165" s="91" t="s">
        <v>577</v>
      </c>
      <c r="J165" s="92">
        <v>38374</v>
      </c>
      <c r="K165" s="92">
        <v>39512</v>
      </c>
      <c r="L165" s="93"/>
      <c r="M165" s="172">
        <v>4584728442</v>
      </c>
      <c r="N165" s="160">
        <f t="shared" ref="N165:N166" si="34">+M165*H165</f>
        <v>3438546331.5</v>
      </c>
      <c r="O165" s="96">
        <f>ROUND(IF(J165&lt;$I$4,0,IF(J165="",0,IF(OR(K165="---",K165=""),N165/LOOKUP(J165,[5]SMLM!$A$3:$A$36,[5]SMLM!$D$3:$D$36),N165/LOOKUP(J165,[5]SMLM!$A$3:$A$36,[5]SMLM!$D$3:$D$36)))),0)</f>
        <v>9013</v>
      </c>
      <c r="P165" s="94">
        <f>Requisitos!$I$9</f>
        <v>1350.6493506493507</v>
      </c>
      <c r="Q165" s="97" t="str">
        <f>+IF(O165&lt;&gt;0,IF(O165&gt;P165,"CUMPLE","NO CUMPE"),"")</f>
        <v>CUMPLE</v>
      </c>
      <c r="R165" s="97" t="s">
        <v>578</v>
      </c>
      <c r="S165" s="98" t="s">
        <v>579</v>
      </c>
      <c r="T165" s="144"/>
    </row>
    <row r="166" spans="3:20" ht="78.75" customHeight="1" thickBot="1" x14ac:dyDescent="0.25">
      <c r="C166" s="112">
        <v>2</v>
      </c>
      <c r="D166" s="69" t="s">
        <v>580</v>
      </c>
      <c r="E166" s="113" t="s">
        <v>581</v>
      </c>
      <c r="F166" s="69" t="s">
        <v>582</v>
      </c>
      <c r="G166" s="113" t="s">
        <v>57</v>
      </c>
      <c r="H166" s="115">
        <v>1</v>
      </c>
      <c r="I166" s="116" t="s">
        <v>577</v>
      </c>
      <c r="J166" s="117">
        <v>38337</v>
      </c>
      <c r="K166" s="117">
        <v>39401</v>
      </c>
      <c r="L166" s="118"/>
      <c r="M166" s="175">
        <v>2544987926</v>
      </c>
      <c r="N166" s="165">
        <f t="shared" si="34"/>
        <v>2544987926</v>
      </c>
      <c r="O166" s="156">
        <f>ROUND(IF(J166&lt;$I$4,0,IF(J166="",0,IF(OR(K166="---",K166=""),N166/LOOKUP(J166,[5]SMLM!$A$3:$A$36,[5]SMLM!$D$3:$D$36),N166/LOOKUP(J166,[5]SMLM!$A$3:$A$36,[5]SMLM!$D$3:$D$36)))),0)</f>
        <v>7109</v>
      </c>
      <c r="P166" s="119">
        <f>Requisitos!$I$9</f>
        <v>1350.6493506493507</v>
      </c>
      <c r="Q166" s="121" t="str">
        <f>+IF(O166&lt;&gt;0,IF(O166&gt;P166,"CUMPLE","NO CUMPE"),"")</f>
        <v>CUMPLE</v>
      </c>
      <c r="R166" s="121" t="s">
        <v>635</v>
      </c>
      <c r="S166" s="122" t="s">
        <v>583</v>
      </c>
      <c r="T166" s="144"/>
    </row>
    <row r="167" spans="3:20" ht="12.75" thickBot="1" x14ac:dyDescent="0.25">
      <c r="C167" s="83" t="s">
        <v>25</v>
      </c>
      <c r="D167" s="84"/>
      <c r="E167" s="85"/>
      <c r="F167" s="84"/>
      <c r="G167" s="85"/>
      <c r="H167" s="85"/>
      <c r="I167" s="85"/>
      <c r="J167" s="85"/>
      <c r="K167" s="85"/>
      <c r="L167" s="85"/>
      <c r="M167" s="85"/>
      <c r="N167" s="124"/>
      <c r="O167" s="162"/>
      <c r="P167" s="85"/>
      <c r="Q167" s="85"/>
      <c r="R167" s="85"/>
      <c r="S167" s="125"/>
      <c r="T167" s="125"/>
    </row>
    <row r="168" spans="3:20" ht="119.25" customHeight="1" x14ac:dyDescent="0.2">
      <c r="C168" s="86">
        <v>1</v>
      </c>
      <c r="D168" s="87" t="s">
        <v>580</v>
      </c>
      <c r="E168" s="88" t="s">
        <v>584</v>
      </c>
      <c r="F168" s="87" t="s">
        <v>585</v>
      </c>
      <c r="G168" s="88" t="s">
        <v>57</v>
      </c>
      <c r="H168" s="90">
        <v>1</v>
      </c>
      <c r="I168" s="88" t="s">
        <v>586</v>
      </c>
      <c r="J168" s="92">
        <v>38658</v>
      </c>
      <c r="K168" s="92">
        <v>39813</v>
      </c>
      <c r="L168" s="93">
        <v>0</v>
      </c>
      <c r="M168" s="172">
        <v>2919339933</v>
      </c>
      <c r="N168" s="160">
        <f t="shared" ref="N168:N169" si="35">+M168*H168</f>
        <v>2919339933</v>
      </c>
      <c r="O168" s="178">
        <f>ROUND(IF(J168&lt;$I$4,0,IF(J168="",0,IF(OR(K168="---",K168=""),N168/LOOKUP(J168,[5]SMLM!$A$3:$A$36,[5]SMLM!$D$3:$D$36),N168/LOOKUP(J168,[5]SMLM!$A$3:$A$36,[5]SMLM!$D$3:$D$36)))),0)</f>
        <v>7652</v>
      </c>
      <c r="P168" s="386">
        <f>+[5]Requisitos!$I$7</f>
        <v>1350.6493506493507</v>
      </c>
      <c r="Q168" s="97" t="str">
        <f t="shared" ref="Q168" si="36">+IF(O168&lt;&gt;0,IF(O168&gt;P168,"CUMPLE","NO CUMPE"),"")</f>
        <v>CUMPLE</v>
      </c>
      <c r="R168" s="97" t="s">
        <v>636</v>
      </c>
      <c r="S168" s="98" t="s">
        <v>587</v>
      </c>
      <c r="T168" s="144"/>
    </row>
    <row r="169" spans="3:20" ht="91.5" customHeight="1" thickBot="1" x14ac:dyDescent="0.25">
      <c r="C169" s="112">
        <v>2</v>
      </c>
      <c r="D169" s="69" t="s">
        <v>588</v>
      </c>
      <c r="E169" s="113" t="s">
        <v>589</v>
      </c>
      <c r="F169" s="69" t="s">
        <v>590</v>
      </c>
      <c r="G169" s="113" t="s">
        <v>57</v>
      </c>
      <c r="H169" s="115">
        <v>1</v>
      </c>
      <c r="I169" s="116" t="s">
        <v>586</v>
      </c>
      <c r="J169" s="117">
        <v>38321</v>
      </c>
      <c r="K169" s="117">
        <v>39901</v>
      </c>
      <c r="L169" s="118"/>
      <c r="M169" s="175">
        <v>1676200327</v>
      </c>
      <c r="N169" s="165">
        <f t="shared" si="35"/>
        <v>1676200327</v>
      </c>
      <c r="O169" s="206">
        <f>ROUND(IF(J169&lt;$I$4,0,IF(J169="",0,IF(OR(K169="---",K169=""),N169/LOOKUP(J169,[5]SMLM!$A$3:$A$36,[5]SMLM!$D$3:$D$36),N169/LOOKUP(J169,[5]SMLM!$A$3:$A$36,[5]SMLM!$D$3:$D$36)))),0)</f>
        <v>4682</v>
      </c>
      <c r="P169" s="387"/>
      <c r="Q169" s="121" t="str">
        <f>+IF(O169&lt;&gt;0,IF(O169&gt;P168,"CUMPLE","NO CUMPE"),"")</f>
        <v>CUMPLE</v>
      </c>
      <c r="R169" s="121" t="s">
        <v>637</v>
      </c>
      <c r="S169" s="122" t="s">
        <v>591</v>
      </c>
      <c r="T169" s="149"/>
    </row>
    <row r="170" spans="3:20" x14ac:dyDescent="0.2">
      <c r="C170" s="220"/>
      <c r="D170" s="221"/>
      <c r="E170" s="222"/>
      <c r="F170" s="221"/>
      <c r="G170" s="222"/>
      <c r="H170" s="222"/>
      <c r="I170" s="222"/>
      <c r="J170" s="222"/>
      <c r="K170" s="222"/>
      <c r="L170" s="222"/>
      <c r="M170" s="222"/>
      <c r="N170" s="222"/>
      <c r="O170" s="222"/>
      <c r="P170" s="222"/>
      <c r="Q170" s="222"/>
      <c r="R170" s="222"/>
      <c r="S170" s="223"/>
    </row>
    <row r="171" spans="3:20" ht="12.75" thickBot="1" x14ac:dyDescent="0.25">
      <c r="C171" s="220"/>
      <c r="D171" s="221"/>
      <c r="E171" s="222"/>
      <c r="F171" s="221"/>
      <c r="G171" s="222"/>
      <c r="H171" s="222"/>
      <c r="I171" s="222"/>
      <c r="J171" s="222"/>
      <c r="K171" s="222"/>
      <c r="L171" s="222"/>
      <c r="M171" s="222"/>
      <c r="N171" s="222"/>
      <c r="O171" s="222"/>
      <c r="P171" s="222"/>
      <c r="Q171" s="222"/>
      <c r="R171" s="222"/>
      <c r="S171" s="223"/>
    </row>
    <row r="172" spans="3:20" x14ac:dyDescent="0.2">
      <c r="C172" s="220"/>
      <c r="D172" s="221"/>
      <c r="E172" s="222"/>
      <c r="F172" s="221"/>
      <c r="G172" s="222"/>
      <c r="H172" s="222"/>
      <c r="I172" s="222"/>
      <c r="J172" s="222"/>
      <c r="K172" s="401"/>
      <c r="L172" s="402"/>
      <c r="M172" s="402"/>
      <c r="N172" s="277" t="s">
        <v>59</v>
      </c>
      <c r="O172" s="277" t="s">
        <v>26</v>
      </c>
      <c r="P172" s="278" t="s">
        <v>60</v>
      </c>
      <c r="Q172" s="224"/>
      <c r="R172" s="222"/>
      <c r="S172" s="223"/>
    </row>
    <row r="173" spans="3:20" x14ac:dyDescent="0.2">
      <c r="C173" s="220"/>
      <c r="D173" s="221"/>
      <c r="E173" s="222"/>
      <c r="F173" s="221"/>
      <c r="G173" s="222"/>
      <c r="H173" s="222"/>
      <c r="I173" s="222"/>
      <c r="J173" s="222"/>
      <c r="K173" s="397" t="s">
        <v>168</v>
      </c>
      <c r="L173" s="398"/>
      <c r="M173" s="398"/>
      <c r="N173" s="225">
        <f>+SUMAGEN</f>
        <v>6541634245</v>
      </c>
      <c r="O173" s="142">
        <f>[4]Requisitos!$I$3</f>
        <v>10609.20247324035</v>
      </c>
      <c r="P173" s="226">
        <f>+SUM(O165:O166,O168:O169)</f>
        <v>28456</v>
      </c>
      <c r="Q173" s="227" t="str">
        <f>+IF(P173&gt;[5]Requisitos!I151,"CUMPLE","NO CUMPLE")</f>
        <v>CUMPLE</v>
      </c>
      <c r="R173" s="222"/>
      <c r="S173" s="223"/>
    </row>
    <row r="174" spans="3:20" x14ac:dyDescent="0.2">
      <c r="C174" s="220"/>
      <c r="D174" s="221"/>
      <c r="E174" s="222"/>
      <c r="F174" s="221"/>
      <c r="G174" s="222"/>
      <c r="H174" s="222"/>
      <c r="I174" s="222"/>
      <c r="J174" s="222"/>
      <c r="K174" s="397" t="s">
        <v>104</v>
      </c>
      <c r="L174" s="398"/>
      <c r="M174" s="398"/>
      <c r="N174" s="225">
        <f>+LIDERGEN</f>
        <v>3336233464.9500003</v>
      </c>
      <c r="O174" s="142">
        <f>[4]Requisitos!$I$8</f>
        <v>5415.9634171266234</v>
      </c>
      <c r="P174" s="226">
        <f>+SUM(O165:O166)</f>
        <v>16122</v>
      </c>
      <c r="Q174" s="227" t="str">
        <f>+IF(P174&gt;[5]Requisitos!I153,"CUMPLE","NO CUMPLE")</f>
        <v>CUMPLE</v>
      </c>
      <c r="R174" s="222"/>
      <c r="S174" s="223"/>
    </row>
    <row r="175" spans="3:20" ht="12.75" thickBot="1" x14ac:dyDescent="0.25">
      <c r="C175" s="228"/>
      <c r="D175" s="229"/>
      <c r="E175" s="230"/>
      <c r="F175" s="229"/>
      <c r="G175" s="230"/>
      <c r="H175" s="230"/>
      <c r="I175" s="230"/>
      <c r="J175" s="230"/>
      <c r="K175" s="399"/>
      <c r="L175" s="400"/>
      <c r="M175" s="400"/>
      <c r="N175" s="231"/>
      <c r="O175" s="231"/>
      <c r="P175" s="231"/>
      <c r="Q175" s="232" t="str">
        <f>+IF(Q173="CUMPLE",IF(Q174="CUMPLE","HÁBIL","NO CUMPLE"),"NO CUMPLE")</f>
        <v>HÁBIL</v>
      </c>
      <c r="R175" s="230"/>
      <c r="S175" s="233"/>
    </row>
    <row r="176" spans="3:20" ht="12.75" thickTop="1" x14ac:dyDescent="0.2"/>
    <row r="177" spans="3:20" ht="12.75" thickBot="1" x14ac:dyDescent="0.25"/>
    <row r="178" spans="3:20" ht="12.75" thickBot="1" x14ac:dyDescent="0.25">
      <c r="C178" s="75" t="s">
        <v>13</v>
      </c>
      <c r="D178" s="76"/>
      <c r="E178" s="77">
        <v>11</v>
      </c>
      <c r="F178" s="77" t="s">
        <v>120</v>
      </c>
      <c r="G178" s="77"/>
      <c r="H178" s="77"/>
      <c r="I178" s="77"/>
      <c r="J178" s="77"/>
      <c r="K178" s="77"/>
      <c r="L178" s="77"/>
      <c r="M178" s="77"/>
      <c r="N178" s="77"/>
      <c r="O178" s="77"/>
      <c r="P178" s="77"/>
      <c r="Q178" s="77"/>
      <c r="R178" s="77"/>
      <c r="S178" s="208"/>
      <c r="T178" s="80"/>
    </row>
    <row r="179" spans="3:20" x14ac:dyDescent="0.2">
      <c r="C179" s="395" t="s">
        <v>28</v>
      </c>
      <c r="D179" s="390" t="s">
        <v>29</v>
      </c>
      <c r="E179" s="390" t="s">
        <v>37</v>
      </c>
      <c r="F179" s="390" t="s">
        <v>20</v>
      </c>
      <c r="G179" s="390" t="s">
        <v>21</v>
      </c>
      <c r="H179" s="390" t="s">
        <v>22</v>
      </c>
      <c r="I179" s="390" t="s">
        <v>14</v>
      </c>
      <c r="J179" s="390" t="s">
        <v>15</v>
      </c>
      <c r="K179" s="390" t="s">
        <v>16</v>
      </c>
      <c r="L179" s="390" t="s">
        <v>56</v>
      </c>
      <c r="M179" s="390" t="s">
        <v>17</v>
      </c>
      <c r="N179" s="392" t="s">
        <v>18</v>
      </c>
      <c r="O179" s="393"/>
      <c r="P179" s="393"/>
      <c r="Q179" s="393"/>
      <c r="R179" s="393"/>
      <c r="S179" s="394"/>
      <c r="T179" s="403" t="s">
        <v>727</v>
      </c>
    </row>
    <row r="180" spans="3:20" ht="48.75" thickBot="1" x14ac:dyDescent="0.25">
      <c r="C180" s="396"/>
      <c r="D180" s="391"/>
      <c r="E180" s="391"/>
      <c r="F180" s="391"/>
      <c r="G180" s="391"/>
      <c r="H180" s="391"/>
      <c r="I180" s="391"/>
      <c r="J180" s="391"/>
      <c r="K180" s="391"/>
      <c r="L180" s="391"/>
      <c r="M180" s="391"/>
      <c r="N180" s="209" t="s">
        <v>23</v>
      </c>
      <c r="O180" s="209" t="s">
        <v>55</v>
      </c>
      <c r="P180" s="209" t="s">
        <v>148</v>
      </c>
      <c r="Q180" s="209" t="s">
        <v>413</v>
      </c>
      <c r="R180" s="210" t="s">
        <v>72</v>
      </c>
      <c r="S180" s="211" t="s">
        <v>71</v>
      </c>
      <c r="T180" s="403"/>
    </row>
    <row r="181" spans="3:20" ht="12.75" thickBot="1" x14ac:dyDescent="0.25">
      <c r="C181" s="212" t="s">
        <v>24</v>
      </c>
      <c r="D181" s="213"/>
      <c r="E181" s="214"/>
      <c r="F181" s="213"/>
      <c r="G181" s="214"/>
      <c r="H181" s="214"/>
      <c r="I181" s="214"/>
      <c r="J181" s="214"/>
      <c r="K181" s="214"/>
      <c r="L181" s="214"/>
      <c r="M181" s="214"/>
      <c r="N181" s="214"/>
      <c r="O181" s="214"/>
      <c r="P181" s="214"/>
      <c r="Q181" s="214"/>
      <c r="R181" s="214"/>
      <c r="S181" s="215"/>
      <c r="T181" s="125"/>
    </row>
    <row r="182" spans="3:20" ht="213.75" customHeight="1" thickBot="1" x14ac:dyDescent="0.25">
      <c r="C182" s="86">
        <v>1</v>
      </c>
      <c r="D182" s="87" t="s">
        <v>592</v>
      </c>
      <c r="E182" s="88" t="s">
        <v>593</v>
      </c>
      <c r="F182" s="87" t="s">
        <v>594</v>
      </c>
      <c r="G182" s="88" t="s">
        <v>209</v>
      </c>
      <c r="H182" s="90">
        <v>1</v>
      </c>
      <c r="I182" s="91" t="s">
        <v>595</v>
      </c>
      <c r="J182" s="92">
        <v>39896</v>
      </c>
      <c r="K182" s="92">
        <v>41176</v>
      </c>
      <c r="L182" s="93"/>
      <c r="M182" s="172">
        <v>7091572045.6000004</v>
      </c>
      <c r="N182" s="165">
        <f t="shared" ref="N182:N183" si="37">+M182*H182</f>
        <v>7091572045.6000004</v>
      </c>
      <c r="O182" s="96">
        <f>ROUND(IF(J182&lt;$I$4,0,IF(J182="",0,IF(OR(K182="---",K182=""),N182/LOOKUP(J182,[5]SMLM!$A$3:$A$36,[5]SMLM!$D$3:$D$36),N182/LOOKUP(J182,[5]SMLM!$A$3:$A$36,[5]SMLM!$D$3:$D$36)))),0)</f>
        <v>14272</v>
      </c>
      <c r="P182" s="94">
        <f>Requisitos!$I$9</f>
        <v>1350.6493506493507</v>
      </c>
      <c r="Q182" s="97" t="s">
        <v>234</v>
      </c>
      <c r="R182" s="97" t="s">
        <v>542</v>
      </c>
      <c r="S182" s="98" t="s">
        <v>747</v>
      </c>
      <c r="T182" s="99" t="s">
        <v>750</v>
      </c>
    </row>
    <row r="183" spans="3:20" ht="75.75" customHeight="1" thickBot="1" x14ac:dyDescent="0.25">
      <c r="C183" s="112">
        <v>2</v>
      </c>
      <c r="D183" s="69" t="s">
        <v>592</v>
      </c>
      <c r="E183" s="113" t="s">
        <v>593</v>
      </c>
      <c r="F183" s="69" t="s">
        <v>596</v>
      </c>
      <c r="G183" s="113" t="s">
        <v>209</v>
      </c>
      <c r="H183" s="115">
        <v>1</v>
      </c>
      <c r="I183" s="116" t="s">
        <v>595</v>
      </c>
      <c r="J183" s="117">
        <v>40158</v>
      </c>
      <c r="K183" s="117">
        <v>41152</v>
      </c>
      <c r="L183" s="118"/>
      <c r="M183" s="175">
        <v>5073897563.3999996</v>
      </c>
      <c r="N183" s="165">
        <f t="shared" si="37"/>
        <v>5073897563.3999996</v>
      </c>
      <c r="O183" s="156">
        <f>ROUND(IF(J183&lt;$I$4,0,IF(J183="",0,IF(OR(K183="---",K183=""),N183/LOOKUP(J183,[5]SMLM!$A$3:$A$36,[5]SMLM!$D$3:$D$36),N183/LOOKUP(J183,[5]SMLM!$A$3:$A$36,[5]SMLM!$D$3:$D$36)))),0)</f>
        <v>10211</v>
      </c>
      <c r="P183" s="119">
        <f>Requisitos!$I$9</f>
        <v>1350.6493506493507</v>
      </c>
      <c r="Q183" s="121" t="str">
        <f>+IF(O183&lt;&gt;0,IF(O183&gt;P183,"CUMPLE","NO CUMPE"),"")</f>
        <v>CUMPLE</v>
      </c>
      <c r="R183" s="121" t="s">
        <v>638</v>
      </c>
      <c r="S183" s="122" t="s">
        <v>597</v>
      </c>
      <c r="T183" s="144"/>
    </row>
    <row r="184" spans="3:20" ht="12.75" thickBot="1" x14ac:dyDescent="0.25">
      <c r="C184" s="83" t="s">
        <v>25</v>
      </c>
      <c r="D184" s="84"/>
      <c r="E184" s="85"/>
      <c r="F184" s="84"/>
      <c r="G184" s="85"/>
      <c r="H184" s="85"/>
      <c r="I184" s="85"/>
      <c r="J184" s="85"/>
      <c r="K184" s="85"/>
      <c r="L184" s="85"/>
      <c r="M184" s="85"/>
      <c r="N184" s="124"/>
      <c r="O184" s="85"/>
      <c r="P184" s="85"/>
      <c r="Q184" s="85"/>
      <c r="R184" s="85"/>
      <c r="S184" s="125"/>
      <c r="T184" s="125"/>
    </row>
    <row r="185" spans="3:20" ht="91.5" customHeight="1" thickBot="1" x14ac:dyDescent="0.25">
      <c r="C185" s="86">
        <v>1</v>
      </c>
      <c r="D185" s="87" t="s">
        <v>598</v>
      </c>
      <c r="E185" s="88" t="s">
        <v>599</v>
      </c>
      <c r="F185" s="87" t="s">
        <v>600</v>
      </c>
      <c r="G185" s="88" t="s">
        <v>57</v>
      </c>
      <c r="H185" s="234">
        <v>0.245</v>
      </c>
      <c r="I185" s="88" t="s">
        <v>601</v>
      </c>
      <c r="J185" s="92">
        <v>40182</v>
      </c>
      <c r="K185" s="92" t="s">
        <v>602</v>
      </c>
      <c r="L185" s="93"/>
      <c r="M185" s="172">
        <v>8260211616</v>
      </c>
      <c r="N185" s="160">
        <f t="shared" ref="N185:N186" si="38">+M185*H185</f>
        <v>2023751845.9200001</v>
      </c>
      <c r="O185" s="178">
        <f>ROUND(IF(J185&lt;$I$4,0,IF(J185="",0,IF(OR(K185="---",K185=""),N185/LOOKUP(J185,[5]SMLM!$A$3:$A$36,[5]SMLM!$D$3:$D$36),N185/LOOKUP(J185,[5]SMLM!$A$3:$A$36,[5]SMLM!$D$3:$D$36)))),0)</f>
        <v>3930</v>
      </c>
      <c r="P185" s="386">
        <f>+[5]Requisitos!$I$7</f>
        <v>1350.6493506493507</v>
      </c>
      <c r="Q185" s="97" t="str">
        <f t="shared" ref="Q185" si="39">+IF(O185&lt;&gt;0,IF(O185&gt;P185,"CUMPLE","NO CUMPE"),"")</f>
        <v>CUMPLE</v>
      </c>
      <c r="R185" s="97" t="s">
        <v>603</v>
      </c>
      <c r="S185" s="98" t="s">
        <v>604</v>
      </c>
      <c r="T185" s="144"/>
    </row>
    <row r="186" spans="3:20" ht="190.5" customHeight="1" thickBot="1" x14ac:dyDescent="0.25">
      <c r="C186" s="112">
        <v>2</v>
      </c>
      <c r="D186" s="69" t="s">
        <v>605</v>
      </c>
      <c r="E186" s="113" t="s">
        <v>606</v>
      </c>
      <c r="F186" s="69" t="s">
        <v>607</v>
      </c>
      <c r="G186" s="113" t="s">
        <v>209</v>
      </c>
      <c r="H186" s="235">
        <v>0.33329999999999999</v>
      </c>
      <c r="I186" s="116" t="s">
        <v>608</v>
      </c>
      <c r="J186" s="117">
        <v>38488</v>
      </c>
      <c r="K186" s="117">
        <v>40212</v>
      </c>
      <c r="L186" s="118"/>
      <c r="M186" s="175">
        <v>19348758441.900002</v>
      </c>
      <c r="N186" s="165">
        <f t="shared" si="38"/>
        <v>6448941188.6852703</v>
      </c>
      <c r="O186" s="206">
        <f>ROUND(IF(J186&lt;$I$4,0,IF(J186="",0,IF(OR(K186="---",K186=""),N186/LOOKUP(J186,[5]SMLM!$A$3:$A$36,[5]SMLM!$D$3:$D$36),N186/LOOKUP(J186,[5]SMLM!$A$3:$A$36,[5]SMLM!$D$3:$D$36)))),0)</f>
        <v>16904</v>
      </c>
      <c r="P186" s="387"/>
      <c r="Q186" s="121" t="s">
        <v>234</v>
      </c>
      <c r="R186" s="121" t="s">
        <v>542</v>
      </c>
      <c r="S186" s="123" t="s">
        <v>748</v>
      </c>
      <c r="T186" s="99" t="s">
        <v>750</v>
      </c>
    </row>
    <row r="187" spans="3:20" x14ac:dyDescent="0.2">
      <c r="C187" s="220"/>
      <c r="D187" s="221"/>
      <c r="E187" s="222"/>
      <c r="F187" s="221"/>
      <c r="G187" s="222"/>
      <c r="H187" s="222"/>
      <c r="I187" s="222"/>
      <c r="J187" s="222"/>
      <c r="K187" s="222"/>
      <c r="L187" s="222"/>
      <c r="M187" s="222"/>
      <c r="N187" s="222"/>
      <c r="O187" s="236"/>
      <c r="P187" s="222"/>
      <c r="Q187" s="222"/>
      <c r="R187" s="222"/>
      <c r="S187" s="223"/>
    </row>
    <row r="188" spans="3:20" ht="12.75" thickBot="1" x14ac:dyDescent="0.25">
      <c r="C188" s="220"/>
      <c r="D188" s="221"/>
      <c r="E188" s="222"/>
      <c r="F188" s="221"/>
      <c r="G188" s="222"/>
      <c r="H188" s="222"/>
      <c r="I188" s="222"/>
      <c r="J188" s="222"/>
      <c r="K188" s="222"/>
      <c r="L188" s="222"/>
      <c r="M188" s="222"/>
      <c r="N188" s="222"/>
      <c r="O188" s="222"/>
      <c r="P188" s="222"/>
      <c r="Q188" s="222"/>
      <c r="R188" s="222"/>
      <c r="S188" s="223"/>
    </row>
    <row r="189" spans="3:20" x14ac:dyDescent="0.2">
      <c r="C189" s="220"/>
      <c r="D189" s="221"/>
      <c r="E189" s="222"/>
      <c r="F189" s="221"/>
      <c r="G189" s="222"/>
      <c r="H189" s="222"/>
      <c r="I189" s="222"/>
      <c r="J189" s="222"/>
      <c r="K189" s="401"/>
      <c r="L189" s="402"/>
      <c r="M189" s="402"/>
      <c r="N189" s="277" t="s">
        <v>59</v>
      </c>
      <c r="O189" s="277" t="s">
        <v>26</v>
      </c>
      <c r="P189" s="278" t="s">
        <v>60</v>
      </c>
      <c r="Q189" s="224"/>
      <c r="R189" s="222"/>
      <c r="S189" s="223"/>
    </row>
    <row r="190" spans="3:20" x14ac:dyDescent="0.2">
      <c r="C190" s="220"/>
      <c r="D190" s="221"/>
      <c r="E190" s="222"/>
      <c r="F190" s="221"/>
      <c r="G190" s="222"/>
      <c r="H190" s="222"/>
      <c r="I190" s="222"/>
      <c r="J190" s="222"/>
      <c r="K190" s="397" t="s">
        <v>168</v>
      </c>
      <c r="L190" s="398"/>
      <c r="M190" s="398"/>
      <c r="N190" s="225">
        <f>+SUMAGEN</f>
        <v>6541634245</v>
      </c>
      <c r="O190" s="142">
        <f>[4]Requisitos!$I$3</f>
        <v>10609.20247324035</v>
      </c>
      <c r="P190" s="226">
        <f>+SUM(O182:O183,O185:O186)</f>
        <v>45317</v>
      </c>
      <c r="Q190" s="227" t="str">
        <f>+IF(P190&gt;[5]Requisitos!I168,"CUMPLE","NO CUMPLE")</f>
        <v>CUMPLE</v>
      </c>
      <c r="R190" s="222"/>
      <c r="S190" s="223"/>
    </row>
    <row r="191" spans="3:20" x14ac:dyDescent="0.2">
      <c r="C191" s="220"/>
      <c r="D191" s="221"/>
      <c r="E191" s="222"/>
      <c r="F191" s="221"/>
      <c r="G191" s="222"/>
      <c r="H191" s="222"/>
      <c r="I191" s="222"/>
      <c r="J191" s="222"/>
      <c r="K191" s="397" t="s">
        <v>104</v>
      </c>
      <c r="L191" s="398"/>
      <c r="M191" s="398"/>
      <c r="N191" s="225">
        <f>+LIDERGEN</f>
        <v>3336233464.9500003</v>
      </c>
      <c r="O191" s="142">
        <f>[4]Requisitos!$I$8</f>
        <v>5415.9634171266234</v>
      </c>
      <c r="P191" s="226">
        <f>+SUM(O182:O183)</f>
        <v>24483</v>
      </c>
      <c r="Q191" s="227" t="str">
        <f>+IF(P191&gt;[5]Requisitos!I170,"CUMPLE","NO CUMPLE")</f>
        <v>CUMPLE</v>
      </c>
      <c r="R191" s="222"/>
      <c r="S191" s="223"/>
    </row>
    <row r="192" spans="3:20" ht="12.75" thickBot="1" x14ac:dyDescent="0.25">
      <c r="C192" s="228"/>
      <c r="D192" s="229"/>
      <c r="E192" s="230"/>
      <c r="F192" s="229"/>
      <c r="G192" s="230"/>
      <c r="H192" s="230"/>
      <c r="I192" s="230"/>
      <c r="J192" s="230"/>
      <c r="K192" s="399"/>
      <c r="L192" s="400"/>
      <c r="M192" s="400"/>
      <c r="N192" s="231"/>
      <c r="O192" s="231"/>
      <c r="P192" s="231"/>
      <c r="Q192" s="232" t="s">
        <v>295</v>
      </c>
      <c r="R192" s="230"/>
      <c r="S192" s="233"/>
    </row>
    <row r="193" spans="3:20" ht="12.75" thickTop="1" x14ac:dyDescent="0.2"/>
    <row r="194" spans="3:20" ht="12.75" thickBot="1" x14ac:dyDescent="0.25"/>
    <row r="195" spans="3:20" ht="12.75" thickBot="1" x14ac:dyDescent="0.25">
      <c r="C195" s="75" t="s">
        <v>13</v>
      </c>
      <c r="D195" s="76"/>
      <c r="E195" s="77">
        <v>12</v>
      </c>
      <c r="F195" s="77" t="s">
        <v>121</v>
      </c>
      <c r="G195" s="77"/>
      <c r="H195" s="77"/>
      <c r="I195" s="77"/>
      <c r="J195" s="77"/>
      <c r="K195" s="77"/>
      <c r="L195" s="77"/>
      <c r="M195" s="77"/>
      <c r="N195" s="77"/>
      <c r="O195" s="77"/>
      <c r="P195" s="77"/>
      <c r="Q195" s="77"/>
      <c r="R195" s="77"/>
      <c r="S195" s="208"/>
      <c r="T195" s="80"/>
    </row>
    <row r="196" spans="3:20" x14ac:dyDescent="0.2">
      <c r="C196" s="395" t="s">
        <v>28</v>
      </c>
      <c r="D196" s="390" t="s">
        <v>29</v>
      </c>
      <c r="E196" s="390" t="s">
        <v>37</v>
      </c>
      <c r="F196" s="390" t="s">
        <v>20</v>
      </c>
      <c r="G196" s="390" t="s">
        <v>21</v>
      </c>
      <c r="H196" s="390" t="s">
        <v>22</v>
      </c>
      <c r="I196" s="390" t="s">
        <v>14</v>
      </c>
      <c r="J196" s="390" t="s">
        <v>15</v>
      </c>
      <c r="K196" s="390" t="s">
        <v>16</v>
      </c>
      <c r="L196" s="390" t="s">
        <v>56</v>
      </c>
      <c r="M196" s="390" t="s">
        <v>17</v>
      </c>
      <c r="N196" s="392" t="s">
        <v>18</v>
      </c>
      <c r="O196" s="393"/>
      <c r="P196" s="393"/>
      <c r="Q196" s="393"/>
      <c r="R196" s="393"/>
      <c r="S196" s="394"/>
      <c r="T196" s="403" t="s">
        <v>727</v>
      </c>
    </row>
    <row r="197" spans="3:20" ht="48.75" thickBot="1" x14ac:dyDescent="0.25">
      <c r="C197" s="396"/>
      <c r="D197" s="391"/>
      <c r="E197" s="391"/>
      <c r="F197" s="391"/>
      <c r="G197" s="391"/>
      <c r="H197" s="391"/>
      <c r="I197" s="391"/>
      <c r="J197" s="391"/>
      <c r="K197" s="391"/>
      <c r="L197" s="391"/>
      <c r="M197" s="391"/>
      <c r="N197" s="209" t="s">
        <v>23</v>
      </c>
      <c r="O197" s="209" t="s">
        <v>55</v>
      </c>
      <c r="P197" s="209" t="s">
        <v>148</v>
      </c>
      <c r="Q197" s="209" t="s">
        <v>149</v>
      </c>
      <c r="R197" s="210" t="s">
        <v>72</v>
      </c>
      <c r="S197" s="211" t="s">
        <v>71</v>
      </c>
      <c r="T197" s="403"/>
    </row>
    <row r="198" spans="3:20" ht="12.75" thickBot="1" x14ac:dyDescent="0.25">
      <c r="C198" s="212" t="s">
        <v>24</v>
      </c>
      <c r="D198" s="213"/>
      <c r="E198" s="214"/>
      <c r="F198" s="213"/>
      <c r="G198" s="214"/>
      <c r="H198" s="214"/>
      <c r="I198" s="214"/>
      <c r="J198" s="214"/>
      <c r="K198" s="214"/>
      <c r="L198" s="214"/>
      <c r="M198" s="214"/>
      <c r="N198" s="214"/>
      <c r="O198" s="214"/>
      <c r="P198" s="214"/>
      <c r="Q198" s="214"/>
      <c r="R198" s="214"/>
      <c r="S198" s="215"/>
      <c r="T198" s="125"/>
    </row>
    <row r="199" spans="3:20" ht="85.5" customHeight="1" thickBot="1" x14ac:dyDescent="0.25">
      <c r="C199" s="126">
        <v>1</v>
      </c>
      <c r="D199" s="127" t="s">
        <v>609</v>
      </c>
      <c r="E199" s="128" t="s">
        <v>610</v>
      </c>
      <c r="F199" s="127" t="s">
        <v>611</v>
      </c>
      <c r="G199" s="128" t="s">
        <v>57</v>
      </c>
      <c r="H199" s="129">
        <v>1</v>
      </c>
      <c r="I199" s="196" t="s">
        <v>612</v>
      </c>
      <c r="J199" s="130">
        <v>39473</v>
      </c>
      <c r="K199" s="130" t="s">
        <v>602</v>
      </c>
      <c r="L199" s="131"/>
      <c r="M199" s="194">
        <v>15239096240</v>
      </c>
      <c r="N199" s="95">
        <f t="shared" ref="N199" si="40">+M199*H199</f>
        <v>15239096240</v>
      </c>
      <c r="O199" s="120">
        <f>ROUND(IF(J199&lt;$I$4,0,IF(J199="",0,IF(OR(K199="---",K199=""),N199/LOOKUP(J199,[5]SMLM!$A$3:$A$36,[5]SMLM!$D$3:$D$36),N199/LOOKUP(J199,[5]SMLM!$A$3:$A$36,[5]SMLM!$D$3:$D$36)))),0)</f>
        <v>33021</v>
      </c>
      <c r="P199" s="133">
        <f>Requisitos!$I$9</f>
        <v>1350.6493506493507</v>
      </c>
      <c r="Q199" s="134" t="str">
        <f>+IF(O199&lt;&gt;0,IF(O199&gt;P199,"CUMPLE","NO CUMPE"),"")</f>
        <v>CUMPLE</v>
      </c>
      <c r="R199" s="134" t="s">
        <v>603</v>
      </c>
      <c r="S199" s="135" t="s">
        <v>613</v>
      </c>
      <c r="T199" s="144"/>
    </row>
    <row r="200" spans="3:20" ht="12.75" thickBot="1" x14ac:dyDescent="0.25">
      <c r="C200" s="83" t="s">
        <v>25</v>
      </c>
      <c r="D200" s="84"/>
      <c r="E200" s="85"/>
      <c r="F200" s="84"/>
      <c r="G200" s="85"/>
      <c r="H200" s="85"/>
      <c r="I200" s="85"/>
      <c r="J200" s="85"/>
      <c r="K200" s="85"/>
      <c r="L200" s="85"/>
      <c r="M200" s="85"/>
      <c r="N200" s="124"/>
      <c r="O200" s="85"/>
      <c r="P200" s="85"/>
      <c r="Q200" s="85"/>
      <c r="R200" s="85"/>
      <c r="S200" s="125"/>
      <c r="T200" s="125"/>
    </row>
    <row r="201" spans="3:20" ht="279" customHeight="1" thickBot="1" x14ac:dyDescent="0.25">
      <c r="C201" s="86">
        <v>1</v>
      </c>
      <c r="D201" s="87" t="s">
        <v>614</v>
      </c>
      <c r="E201" s="88" t="s">
        <v>615</v>
      </c>
      <c r="F201" s="87" t="s">
        <v>616</v>
      </c>
      <c r="G201" s="88" t="s">
        <v>57</v>
      </c>
      <c r="H201" s="234">
        <v>0.5</v>
      </c>
      <c r="I201" s="88" t="s">
        <v>617</v>
      </c>
      <c r="J201" s="92">
        <v>40331</v>
      </c>
      <c r="K201" s="92">
        <v>41215</v>
      </c>
      <c r="L201" s="93"/>
      <c r="M201" s="172">
        <v>4264498373</v>
      </c>
      <c r="N201" s="180">
        <f t="shared" ref="N201:N203" si="41">+M201*H201</f>
        <v>2132249186.5</v>
      </c>
      <c r="O201" s="178">
        <f>ROUND(IF(J201&lt;$I$4,0,IF(J201="",0,IF(OR(K201="---",K201=""),N201/LOOKUP(J201,[5]SMLM!$A$3:$A$36,[5]SMLM!$D$3:$D$36),N201/LOOKUP(J201,[5]SMLM!$A$3:$A$36,[5]SMLM!$D$3:$D$36)))),0)</f>
        <v>4140</v>
      </c>
      <c r="P201" s="386">
        <f>+[5]Requisitos!$I$7</f>
        <v>1350.6493506493507</v>
      </c>
      <c r="Q201" s="97" t="s">
        <v>234</v>
      </c>
      <c r="R201" s="97" t="s">
        <v>725</v>
      </c>
      <c r="S201" s="98" t="s">
        <v>726</v>
      </c>
      <c r="T201" s="144"/>
    </row>
    <row r="202" spans="3:20" ht="270" customHeight="1" thickBot="1" x14ac:dyDescent="0.25">
      <c r="C202" s="100">
        <v>2</v>
      </c>
      <c r="D202" s="101" t="s">
        <v>614</v>
      </c>
      <c r="E202" s="102" t="s">
        <v>618</v>
      </c>
      <c r="F202" s="101" t="s">
        <v>619</v>
      </c>
      <c r="G202" s="102" t="s">
        <v>57</v>
      </c>
      <c r="H202" s="237">
        <v>1</v>
      </c>
      <c r="I202" s="102" t="s">
        <v>617</v>
      </c>
      <c r="J202" s="106">
        <v>39021</v>
      </c>
      <c r="K202" s="106">
        <v>40208</v>
      </c>
      <c r="L202" s="107"/>
      <c r="M202" s="179">
        <v>5107772400</v>
      </c>
      <c r="N202" s="180">
        <f t="shared" si="41"/>
        <v>5107772400</v>
      </c>
      <c r="O202" s="205">
        <f>ROUND(IF(J202&lt;$I$4,0,IF(J202="",0,IF(OR(K202="---",K202=""),N202/LOOKUP(J202,[5]SMLM!$A$3:$A$36,[5]SMLM!$D$3:$D$36),N202/LOOKUP(J202,[5]SMLM!$A$3:$A$36,[5]SMLM!$D$3:$D$36)))),0)</f>
        <v>12519</v>
      </c>
      <c r="P202" s="388"/>
      <c r="Q202" s="109" t="str">
        <f>+IF(O202&lt;&gt;0,IF(O202&gt;P201,"CUMPLE","NO CUMPE"),"")</f>
        <v>CUMPLE</v>
      </c>
      <c r="R202" s="97" t="s">
        <v>725</v>
      </c>
      <c r="S202" s="110" t="s">
        <v>620</v>
      </c>
      <c r="T202" s="144"/>
    </row>
    <row r="203" spans="3:20" ht="262.5" customHeight="1" thickBot="1" x14ac:dyDescent="0.25">
      <c r="C203" s="112">
        <v>3</v>
      </c>
      <c r="D203" s="69" t="s">
        <v>574</v>
      </c>
      <c r="E203" s="113" t="s">
        <v>621</v>
      </c>
      <c r="F203" s="69" t="s">
        <v>622</v>
      </c>
      <c r="G203" s="113" t="s">
        <v>57</v>
      </c>
      <c r="H203" s="235">
        <v>0.4</v>
      </c>
      <c r="I203" s="113" t="s">
        <v>617</v>
      </c>
      <c r="J203" s="117">
        <v>41075</v>
      </c>
      <c r="K203" s="117" t="s">
        <v>602</v>
      </c>
      <c r="L203" s="118"/>
      <c r="M203" s="175">
        <v>16200575700</v>
      </c>
      <c r="N203" s="165">
        <f t="shared" si="41"/>
        <v>6480230280</v>
      </c>
      <c r="O203" s="206">
        <f>ROUND(IF(J203&lt;$I$4,0,IF(J203="",0,IF(OR(K203="---",K203=""),N203/LOOKUP(J203,[5]SMLM!$A$3:$A$36,[5]SMLM!$D$3:$D$36),N203/LOOKUP(J203,[5]SMLM!$A$3:$A$36,[5]SMLM!$D$3:$D$36)))),0)</f>
        <v>11435</v>
      </c>
      <c r="P203" s="387"/>
      <c r="Q203" s="121" t="str">
        <f t="shared" ref="Q203" si="42">+IF(O203&lt;&gt;0,IF(O203&gt;P203,"CUMPLE","NO CUMPE"),"")</f>
        <v>CUMPLE</v>
      </c>
      <c r="R203" s="134" t="s">
        <v>725</v>
      </c>
      <c r="S203" s="122" t="s">
        <v>634</v>
      </c>
      <c r="T203" s="149"/>
    </row>
    <row r="204" spans="3:20" x14ac:dyDescent="0.2">
      <c r="C204" s="220"/>
      <c r="D204" s="221"/>
      <c r="E204" s="222"/>
      <c r="F204" s="221"/>
      <c r="G204" s="222"/>
      <c r="H204" s="222"/>
      <c r="I204" s="222"/>
      <c r="J204" s="222"/>
      <c r="K204" s="222"/>
      <c r="L204" s="222"/>
      <c r="M204" s="222"/>
      <c r="N204" s="222"/>
      <c r="O204" s="236"/>
      <c r="P204" s="222"/>
      <c r="Q204" s="222"/>
      <c r="R204" s="222"/>
      <c r="S204" s="223"/>
    </row>
    <row r="205" spans="3:20" ht="12.75" thickBot="1" x14ac:dyDescent="0.25">
      <c r="C205" s="220"/>
      <c r="D205" s="221"/>
      <c r="E205" s="222"/>
      <c r="F205" s="221"/>
      <c r="G205" s="222"/>
      <c r="H205" s="222"/>
      <c r="I205" s="222"/>
      <c r="J205" s="222"/>
      <c r="K205" s="222"/>
      <c r="L205" s="222"/>
      <c r="M205" s="222"/>
      <c r="N205" s="222"/>
      <c r="O205" s="222"/>
      <c r="P205" s="222"/>
      <c r="Q205" s="222"/>
      <c r="R205" s="222"/>
      <c r="S205" s="223"/>
    </row>
    <row r="206" spans="3:20" x14ac:dyDescent="0.2">
      <c r="C206" s="220"/>
      <c r="D206" s="221"/>
      <c r="E206" s="222"/>
      <c r="F206" s="221"/>
      <c r="G206" s="222"/>
      <c r="H206" s="222"/>
      <c r="I206" s="222"/>
      <c r="J206" s="222"/>
      <c r="K206" s="401"/>
      <c r="L206" s="402"/>
      <c r="M206" s="402"/>
      <c r="N206" s="277" t="s">
        <v>59</v>
      </c>
      <c r="O206" s="277" t="s">
        <v>26</v>
      </c>
      <c r="P206" s="278" t="s">
        <v>60</v>
      </c>
      <c r="Q206" s="224"/>
      <c r="R206" s="222"/>
      <c r="S206" s="223"/>
    </row>
    <row r="207" spans="3:20" x14ac:dyDescent="0.2">
      <c r="C207" s="220"/>
      <c r="D207" s="221"/>
      <c r="E207" s="222"/>
      <c r="F207" s="221"/>
      <c r="G207" s="222"/>
      <c r="H207" s="222"/>
      <c r="I207" s="222"/>
      <c r="J207" s="222"/>
      <c r="K207" s="397" t="s">
        <v>168</v>
      </c>
      <c r="L207" s="398"/>
      <c r="M207" s="398"/>
      <c r="N207" s="225">
        <f>+SUMAGEN</f>
        <v>6541634245</v>
      </c>
      <c r="O207" s="142">
        <f>[4]Requisitos!$I$3</f>
        <v>10609.20247324035</v>
      </c>
      <c r="P207" s="226">
        <f>+SUM(O199:O199,O201:O203)</f>
        <v>61115</v>
      </c>
      <c r="Q207" s="227" t="str">
        <f>+IF(P207&gt;[5]Requisitos!I185,"CUMPLE","NO CUMPLE")</f>
        <v>CUMPLE</v>
      </c>
      <c r="R207" s="222"/>
      <c r="S207" s="223"/>
    </row>
    <row r="208" spans="3:20" x14ac:dyDescent="0.2">
      <c r="C208" s="220"/>
      <c r="D208" s="221"/>
      <c r="E208" s="222"/>
      <c r="F208" s="221"/>
      <c r="G208" s="222"/>
      <c r="H208" s="222"/>
      <c r="I208" s="222"/>
      <c r="J208" s="222"/>
      <c r="K208" s="397" t="s">
        <v>104</v>
      </c>
      <c r="L208" s="398"/>
      <c r="M208" s="398"/>
      <c r="N208" s="225">
        <f>+LIDERGEN</f>
        <v>3336233464.9500003</v>
      </c>
      <c r="O208" s="142">
        <f>[4]Requisitos!$I$8</f>
        <v>5415.9634171266234</v>
      </c>
      <c r="P208" s="226">
        <f>+SUM(O199:O199)</f>
        <v>33021</v>
      </c>
      <c r="Q208" s="227" t="str">
        <f>+IF(P208&gt;[5]Requisitos!I187,"CUMPLE","NO CUMPLE")</f>
        <v>CUMPLE</v>
      </c>
      <c r="R208" s="222"/>
      <c r="S208" s="223"/>
    </row>
    <row r="209" spans="3:20" ht="12.75" thickBot="1" x14ac:dyDescent="0.25">
      <c r="C209" s="228"/>
      <c r="D209" s="229"/>
      <c r="E209" s="230"/>
      <c r="F209" s="229"/>
      <c r="G209" s="230"/>
      <c r="H209" s="230"/>
      <c r="I209" s="230"/>
      <c r="J209" s="230"/>
      <c r="K209" s="399"/>
      <c r="L209" s="400"/>
      <c r="M209" s="400"/>
      <c r="N209" s="231"/>
      <c r="O209" s="231"/>
      <c r="P209" s="231"/>
      <c r="Q209" s="232" t="str">
        <f>+IF(Q207="CUMPLE",IF(Q208="CUMPLE","HÁBIL","NO CUMPLE"),"NO CUMPLE")</f>
        <v>HÁBIL</v>
      </c>
      <c r="R209" s="230"/>
      <c r="S209" s="233"/>
    </row>
    <row r="210" spans="3:20" ht="12.75" thickTop="1" x14ac:dyDescent="0.2"/>
    <row r="211" spans="3:20" ht="12.75" thickBot="1" x14ac:dyDescent="0.25"/>
    <row r="212" spans="3:20" ht="12.75" thickBot="1" x14ac:dyDescent="0.25">
      <c r="C212" s="75" t="s">
        <v>13</v>
      </c>
      <c r="D212" s="76"/>
      <c r="E212" s="238">
        <v>13</v>
      </c>
      <c r="F212" s="76" t="str">
        <f>+VLOOKUP(E212,[6]Proponentes!$B$10:$D$77,2,FALSE())</f>
        <v>CONSORCIO INTERVENTORIA PALMIRA</v>
      </c>
      <c r="G212" s="78"/>
      <c r="H212" s="78"/>
      <c r="I212" s="78"/>
      <c r="J212" s="78"/>
      <c r="K212" s="78"/>
      <c r="L212" s="78"/>
      <c r="M212" s="78"/>
      <c r="N212" s="78"/>
      <c r="O212" s="78"/>
      <c r="P212" s="78"/>
      <c r="Q212" s="78"/>
      <c r="R212" s="78"/>
      <c r="S212" s="79"/>
      <c r="T212" s="80"/>
    </row>
    <row r="213" spans="3:20" ht="15" customHeight="1" x14ac:dyDescent="0.2">
      <c r="C213" s="373" t="s">
        <v>28</v>
      </c>
      <c r="D213" s="375" t="s">
        <v>29</v>
      </c>
      <c r="E213" s="375" t="s">
        <v>37</v>
      </c>
      <c r="F213" s="375" t="s">
        <v>20</v>
      </c>
      <c r="G213" s="375" t="s">
        <v>21</v>
      </c>
      <c r="H213" s="375" t="s">
        <v>22</v>
      </c>
      <c r="I213" s="375" t="s">
        <v>14</v>
      </c>
      <c r="J213" s="375" t="s">
        <v>15</v>
      </c>
      <c r="K213" s="375" t="s">
        <v>16</v>
      </c>
      <c r="L213" s="239"/>
      <c r="M213" s="375" t="s">
        <v>17</v>
      </c>
      <c r="N213" s="377" t="s">
        <v>18</v>
      </c>
      <c r="O213" s="378"/>
      <c r="P213" s="378"/>
      <c r="Q213" s="378"/>
      <c r="R213" s="378"/>
      <c r="S213" s="385"/>
      <c r="T213" s="403" t="s">
        <v>727</v>
      </c>
    </row>
    <row r="214" spans="3:20" ht="48.75" thickBot="1" x14ac:dyDescent="0.25">
      <c r="C214" s="374"/>
      <c r="D214" s="376"/>
      <c r="E214" s="376"/>
      <c r="F214" s="376"/>
      <c r="G214" s="376"/>
      <c r="H214" s="376"/>
      <c r="I214" s="376"/>
      <c r="J214" s="376"/>
      <c r="K214" s="376"/>
      <c r="L214" s="240"/>
      <c r="M214" s="376"/>
      <c r="N214" s="81" t="s">
        <v>23</v>
      </c>
      <c r="O214" s="81" t="s">
        <v>55</v>
      </c>
      <c r="P214" s="81" t="s">
        <v>306</v>
      </c>
      <c r="Q214" s="81" t="s">
        <v>149</v>
      </c>
      <c r="R214" s="82" t="s">
        <v>72</v>
      </c>
      <c r="S214" s="151" t="s">
        <v>71</v>
      </c>
      <c r="T214" s="403"/>
    </row>
    <row r="215" spans="3:20" ht="12.75" thickBot="1" x14ac:dyDescent="0.25">
      <c r="C215" s="167" t="s">
        <v>24</v>
      </c>
      <c r="D215" s="168"/>
      <c r="E215" s="169"/>
      <c r="F215" s="168"/>
      <c r="G215" s="169"/>
      <c r="H215" s="169"/>
      <c r="I215" s="169"/>
      <c r="J215" s="169"/>
      <c r="K215" s="169"/>
      <c r="L215" s="169"/>
      <c r="M215" s="169"/>
      <c r="N215" s="169"/>
      <c r="O215" s="169"/>
      <c r="P215" s="169"/>
      <c r="Q215" s="169"/>
      <c r="R215" s="169"/>
      <c r="S215" s="170"/>
      <c r="T215" s="125"/>
    </row>
    <row r="216" spans="3:20" ht="188.25" customHeight="1" thickBot="1" x14ac:dyDescent="0.25">
      <c r="C216" s="126">
        <v>1</v>
      </c>
      <c r="D216" s="241" t="s">
        <v>307</v>
      </c>
      <c r="E216" s="128" t="s">
        <v>308</v>
      </c>
      <c r="F216" s="242" t="s">
        <v>384</v>
      </c>
      <c r="G216" s="128" t="s">
        <v>57</v>
      </c>
      <c r="H216" s="129">
        <v>0.5</v>
      </c>
      <c r="I216" s="196" t="s">
        <v>296</v>
      </c>
      <c r="J216" s="243">
        <v>41074</v>
      </c>
      <c r="K216" s="130">
        <v>41523</v>
      </c>
      <c r="L216" s="130"/>
      <c r="M216" s="194">
        <v>8945764395</v>
      </c>
      <c r="N216" s="95">
        <f>+M216*H216</f>
        <v>4472882197.5</v>
      </c>
      <c r="O216" s="120">
        <f>ROUND(IF(J216&lt;$I$4,0,IF(J216="",0,IF(OR(K216="---",K216=""),N216/LOOKUP(J216,[6]SMLM!$A$3:$A$36,[6]SMLM!$D$3:$D$36),N216/LOOKUP(J216,[6]SMLM!$A$3:$A$36,[6]SMLM!$D$3:$D$36)))),0)</f>
        <v>7893</v>
      </c>
      <c r="P216" s="133">
        <f>Requisitos!$I$9</f>
        <v>1350.6493506493507</v>
      </c>
      <c r="Q216" s="134" t="str">
        <f>+IF(O216&lt;&gt;0,IF(O216&gt;P216,"CUMPLE","NO CUMPE"),"")</f>
        <v>CUMPLE</v>
      </c>
      <c r="R216" s="134" t="s">
        <v>538</v>
      </c>
      <c r="S216" s="135" t="s">
        <v>309</v>
      </c>
      <c r="T216" s="144"/>
    </row>
    <row r="217" spans="3:20" ht="12.75" thickBot="1" x14ac:dyDescent="0.25">
      <c r="C217" s="83" t="s">
        <v>25</v>
      </c>
      <c r="D217" s="84"/>
      <c r="E217" s="85"/>
      <c r="F217" s="244"/>
      <c r="G217" s="85"/>
      <c r="H217" s="85"/>
      <c r="I217" s="85"/>
      <c r="J217" s="85"/>
      <c r="K217" s="85"/>
      <c r="L217" s="85"/>
      <c r="M217" s="85"/>
      <c r="N217" s="124"/>
      <c r="O217" s="162"/>
      <c r="P217" s="85"/>
      <c r="Q217" s="85"/>
      <c r="R217" s="85"/>
      <c r="S217" s="125"/>
      <c r="T217" s="125"/>
    </row>
    <row r="218" spans="3:20" ht="70.5" customHeight="1" x14ac:dyDescent="0.2">
      <c r="C218" s="86">
        <v>1</v>
      </c>
      <c r="D218" s="88" t="s">
        <v>275</v>
      </c>
      <c r="E218" s="88" t="s">
        <v>243</v>
      </c>
      <c r="F218" s="245" t="s">
        <v>385</v>
      </c>
      <c r="G218" s="88" t="s">
        <v>209</v>
      </c>
      <c r="H218" s="90">
        <v>1</v>
      </c>
      <c r="I218" s="88" t="s">
        <v>310</v>
      </c>
      <c r="J218" s="92">
        <v>38645</v>
      </c>
      <c r="K218" s="92">
        <v>40288</v>
      </c>
      <c r="L218" s="92"/>
      <c r="M218" s="172">
        <v>2460848593.612752</v>
      </c>
      <c r="N218" s="160">
        <f>+M218*H218</f>
        <v>2460848593.612752</v>
      </c>
      <c r="O218" s="178">
        <f>ROUND(IF(J218&lt;$I$4,0,IF(J218="",0,IF(OR(K218="---",K218=""),N218/LOOKUP(J218,[6]SMLM!$A$3:$A$36,[6]SMLM!$D$3:$D$36),N218/LOOKUP(J218,[6]SMLM!$A$3:$A$36,[6]SMLM!$D$3:$D$36)))),0)</f>
        <v>6450</v>
      </c>
      <c r="P218" s="386">
        <f>+[6]Requisitos!$I$7</f>
        <v>1350.6493506493507</v>
      </c>
      <c r="Q218" s="97" t="str">
        <f>+IF(O218&lt;&gt;0,IF(O218&gt;P218,"CUMPLE","NO CUMPE"),"")</f>
        <v>CUMPLE</v>
      </c>
      <c r="R218" s="97" t="s">
        <v>539</v>
      </c>
      <c r="S218" s="98" t="s">
        <v>311</v>
      </c>
      <c r="T218" s="144"/>
    </row>
    <row r="219" spans="3:20" ht="99" customHeight="1" thickBot="1" x14ac:dyDescent="0.25">
      <c r="C219" s="112">
        <v>2</v>
      </c>
      <c r="D219" s="113" t="s">
        <v>312</v>
      </c>
      <c r="E219" s="113" t="s">
        <v>313</v>
      </c>
      <c r="F219" s="246" t="s">
        <v>396</v>
      </c>
      <c r="G219" s="113" t="s">
        <v>57</v>
      </c>
      <c r="H219" s="115">
        <v>1</v>
      </c>
      <c r="I219" s="116" t="s">
        <v>310</v>
      </c>
      <c r="J219" s="117">
        <v>38908</v>
      </c>
      <c r="K219" s="117">
        <v>39512</v>
      </c>
      <c r="L219" s="117"/>
      <c r="M219" s="175">
        <v>1947066033</v>
      </c>
      <c r="N219" s="165">
        <f>+M219*H219</f>
        <v>1947066033</v>
      </c>
      <c r="O219" s="206">
        <f>ROUND(IF(J219&lt;$I$4,0,IF(J219="",0,IF(OR(K219="---",K219=""),N219/LOOKUP(J219,[6]SMLM!$A$3:$A$36,[6]SMLM!$D$3:$D$36),N219/LOOKUP(J219,[6]SMLM!$A$3:$A$36,[6]SMLM!$D$3:$D$36)))),0)</f>
        <v>4772</v>
      </c>
      <c r="P219" s="387"/>
      <c r="Q219" s="121" t="str">
        <f>+IF(O219&lt;&gt;0,IF(O219&gt;P218,"CUMPLE","NO CUMPE"),"")</f>
        <v>CUMPLE</v>
      </c>
      <c r="R219" s="121" t="s">
        <v>540</v>
      </c>
      <c r="S219" s="122" t="s">
        <v>314</v>
      </c>
      <c r="T219" s="149"/>
    </row>
    <row r="220" spans="3:20" x14ac:dyDescent="0.2">
      <c r="C220" s="83"/>
      <c r="D220" s="84"/>
      <c r="E220" s="85"/>
      <c r="F220" s="84"/>
      <c r="G220" s="85"/>
      <c r="H220" s="85"/>
      <c r="I220" s="85"/>
      <c r="J220" s="85"/>
      <c r="K220" s="85"/>
      <c r="L220" s="85"/>
      <c r="M220" s="85"/>
      <c r="N220" s="85"/>
      <c r="O220" s="85"/>
      <c r="P220" s="85"/>
      <c r="Q220" s="85"/>
      <c r="R220" s="85"/>
      <c r="S220" s="125"/>
    </row>
    <row r="221" spans="3:20" ht="12.75" thickBot="1" x14ac:dyDescent="0.25">
      <c r="C221" s="83"/>
      <c r="D221" s="84"/>
      <c r="E221" s="85"/>
      <c r="F221" s="84"/>
      <c r="G221" s="85"/>
      <c r="H221" s="85"/>
      <c r="I221" s="85"/>
      <c r="J221" s="85"/>
      <c r="K221" s="85"/>
      <c r="L221" s="85"/>
      <c r="M221" s="85"/>
      <c r="N221" s="124"/>
      <c r="O221" s="124"/>
      <c r="P221" s="124"/>
      <c r="Q221" s="85"/>
      <c r="R221" s="85"/>
      <c r="S221" s="125"/>
    </row>
    <row r="222" spans="3:20" x14ac:dyDescent="0.2">
      <c r="C222" s="83"/>
      <c r="D222" s="84"/>
      <c r="E222" s="85"/>
      <c r="F222" s="84"/>
      <c r="G222" s="85"/>
      <c r="H222" s="85"/>
      <c r="I222" s="85"/>
      <c r="J222" s="85"/>
      <c r="K222" s="379"/>
      <c r="L222" s="380"/>
      <c r="M222" s="380"/>
      <c r="N222" s="137" t="s">
        <v>59</v>
      </c>
      <c r="O222" s="137" t="s">
        <v>26</v>
      </c>
      <c r="P222" s="137" t="s">
        <v>60</v>
      </c>
      <c r="Q222" s="139"/>
      <c r="R222" s="85"/>
      <c r="S222" s="125"/>
    </row>
    <row r="223" spans="3:20" x14ac:dyDescent="0.2">
      <c r="C223" s="83"/>
      <c r="D223" s="84"/>
      <c r="E223" s="85"/>
      <c r="F223" s="84"/>
      <c r="G223" s="85"/>
      <c r="H223" s="85"/>
      <c r="I223" s="85"/>
      <c r="J223" s="85"/>
      <c r="K223" s="381" t="s">
        <v>168</v>
      </c>
      <c r="L223" s="382"/>
      <c r="M223" s="382"/>
      <c r="N223" s="141">
        <f>+SUMAGEN</f>
        <v>6541634245</v>
      </c>
      <c r="O223" s="142">
        <f>[4]Requisitos!$I$3</f>
        <v>10609.20247324035</v>
      </c>
      <c r="P223" s="143">
        <f>+SUM(O216:O216,O218:O219)</f>
        <v>19115</v>
      </c>
      <c r="Q223" s="247" t="str">
        <f>+IF(P223&gt;[6]Requisitos!I193,"CUMPLE","NO CUMPLE")</f>
        <v>CUMPLE</v>
      </c>
      <c r="R223" s="85"/>
      <c r="S223" s="125"/>
    </row>
    <row r="224" spans="3:20" x14ac:dyDescent="0.2">
      <c r="C224" s="83"/>
      <c r="D224" s="84"/>
      <c r="E224" s="85"/>
      <c r="F224" s="84"/>
      <c r="G224" s="85"/>
      <c r="H224" s="85"/>
      <c r="I224" s="85"/>
      <c r="J224" s="85"/>
      <c r="K224" s="381" t="s">
        <v>104</v>
      </c>
      <c r="L224" s="382"/>
      <c r="M224" s="382"/>
      <c r="N224" s="141">
        <f>+LIDERGEN</f>
        <v>3336233464.9500003</v>
      </c>
      <c r="O224" s="142">
        <f>[4]Requisitos!$I$8</f>
        <v>5415.9634171266234</v>
      </c>
      <c r="P224" s="143">
        <f>+SUM(O216:O216)</f>
        <v>7893</v>
      </c>
      <c r="Q224" s="247" t="str">
        <f>+IF(P224&gt;[6]Requisitos!I195,"CUMPLE","NO CUMPLE")</f>
        <v>CUMPLE</v>
      </c>
      <c r="R224" s="85"/>
      <c r="S224" s="125"/>
    </row>
    <row r="225" spans="3:20" ht="12.75" thickBot="1" x14ac:dyDescent="0.25">
      <c r="C225" s="145"/>
      <c r="D225" s="146"/>
      <c r="E225" s="147"/>
      <c r="F225" s="146"/>
      <c r="G225" s="147"/>
      <c r="H225" s="147"/>
      <c r="I225" s="147"/>
      <c r="J225" s="147"/>
      <c r="K225" s="383"/>
      <c r="L225" s="384"/>
      <c r="M225" s="384"/>
      <c r="N225" s="148"/>
      <c r="O225" s="148"/>
      <c r="P225" s="148"/>
      <c r="Q225" s="248" t="str">
        <f>+IF(Q223="CUMPLE",IF(Q224="CUMPLE","HÁBIL","NO CUMPLE"),"NO CUMPLE")</f>
        <v>HÁBIL</v>
      </c>
      <c r="R225" s="147"/>
      <c r="S225" s="150"/>
    </row>
    <row r="226" spans="3:20" ht="13.5" thickTop="1" thickBot="1" x14ac:dyDescent="0.25"/>
    <row r="227" spans="3:20" ht="12.75" thickBot="1" x14ac:dyDescent="0.25">
      <c r="C227" s="75" t="s">
        <v>13</v>
      </c>
      <c r="D227" s="76"/>
      <c r="E227" s="238">
        <v>14</v>
      </c>
      <c r="F227" s="76" t="str">
        <f>+VLOOKUP(E227,[6]Proponentes!$B$10:$D$77,2,FALSE())</f>
        <v>CONSORCIO INTERVENTORIA AEROPUERTO PALMIRA 2014</v>
      </c>
      <c r="G227" s="78"/>
      <c r="H227" s="78"/>
      <c r="I227" s="78"/>
      <c r="J227" s="78"/>
      <c r="K227" s="78"/>
      <c r="L227" s="78"/>
      <c r="M227" s="78"/>
      <c r="N227" s="78"/>
      <c r="O227" s="78"/>
      <c r="P227" s="78"/>
      <c r="Q227" s="78"/>
      <c r="R227" s="78"/>
      <c r="S227" s="79"/>
      <c r="T227" s="80"/>
    </row>
    <row r="228" spans="3:20" ht="15" customHeight="1" x14ac:dyDescent="0.2">
      <c r="C228" s="373" t="s">
        <v>28</v>
      </c>
      <c r="D228" s="375" t="s">
        <v>29</v>
      </c>
      <c r="E228" s="375" t="s">
        <v>37</v>
      </c>
      <c r="F228" s="375" t="s">
        <v>20</v>
      </c>
      <c r="G228" s="375" t="s">
        <v>21</v>
      </c>
      <c r="H228" s="375" t="s">
        <v>22</v>
      </c>
      <c r="I228" s="375" t="s">
        <v>14</v>
      </c>
      <c r="J228" s="375" t="s">
        <v>15</v>
      </c>
      <c r="K228" s="375" t="s">
        <v>16</v>
      </c>
      <c r="L228" s="239"/>
      <c r="M228" s="375" t="s">
        <v>17</v>
      </c>
      <c r="N228" s="377" t="s">
        <v>18</v>
      </c>
      <c r="O228" s="378"/>
      <c r="P228" s="378"/>
      <c r="Q228" s="378"/>
      <c r="R228" s="378"/>
      <c r="S228" s="385"/>
      <c r="T228" s="403" t="s">
        <v>727</v>
      </c>
    </row>
    <row r="229" spans="3:20" ht="48.75" thickBot="1" x14ac:dyDescent="0.25">
      <c r="C229" s="374"/>
      <c r="D229" s="376"/>
      <c r="E229" s="376"/>
      <c r="F229" s="376"/>
      <c r="G229" s="376"/>
      <c r="H229" s="376"/>
      <c r="I229" s="376"/>
      <c r="J229" s="376"/>
      <c r="K229" s="376"/>
      <c r="L229" s="240"/>
      <c r="M229" s="376"/>
      <c r="N229" s="81" t="s">
        <v>23</v>
      </c>
      <c r="O229" s="81" t="s">
        <v>55</v>
      </c>
      <c r="P229" s="81" t="s">
        <v>306</v>
      </c>
      <c r="Q229" s="81" t="s">
        <v>149</v>
      </c>
      <c r="R229" s="82" t="s">
        <v>72</v>
      </c>
      <c r="S229" s="151" t="s">
        <v>71</v>
      </c>
      <c r="T229" s="403"/>
    </row>
    <row r="230" spans="3:20" ht="12.75" thickBot="1" x14ac:dyDescent="0.25">
      <c r="C230" s="167" t="s">
        <v>24</v>
      </c>
      <c r="D230" s="168"/>
      <c r="E230" s="169"/>
      <c r="F230" s="168"/>
      <c r="G230" s="169"/>
      <c r="H230" s="169"/>
      <c r="I230" s="169"/>
      <c r="J230" s="169"/>
      <c r="K230" s="169"/>
      <c r="L230" s="169"/>
      <c r="M230" s="169"/>
      <c r="N230" s="169"/>
      <c r="O230" s="169"/>
      <c r="P230" s="169"/>
      <c r="Q230" s="169"/>
      <c r="R230" s="169"/>
      <c r="S230" s="170"/>
      <c r="T230" s="125"/>
    </row>
    <row r="231" spans="3:20" ht="167.25" customHeight="1" thickBot="1" x14ac:dyDescent="0.25">
      <c r="C231" s="126">
        <v>1</v>
      </c>
      <c r="D231" s="241" t="s">
        <v>307</v>
      </c>
      <c r="E231" s="128" t="s">
        <v>308</v>
      </c>
      <c r="F231" s="242" t="s">
        <v>397</v>
      </c>
      <c r="G231" s="128" t="s">
        <v>57</v>
      </c>
      <c r="H231" s="129">
        <v>0.5</v>
      </c>
      <c r="I231" s="196" t="s">
        <v>298</v>
      </c>
      <c r="J231" s="243">
        <v>41074</v>
      </c>
      <c r="K231" s="130">
        <v>41523</v>
      </c>
      <c r="L231" s="130"/>
      <c r="M231" s="194">
        <v>8945764395</v>
      </c>
      <c r="N231" s="95">
        <f>+M231*H231</f>
        <v>4472882197.5</v>
      </c>
      <c r="O231" s="120">
        <f>ROUND(IF(J231&lt;$I$4,0,IF(J231="",0,IF(OR(K231="---",K231=""),N231/LOOKUP(J231,[6]SMLM!$A$3:$A$36,[6]SMLM!$D$3:$D$36),N231/LOOKUP(J231,[6]SMLM!$A$3:$A$36,[6]SMLM!$D$3:$D$36)))),0)</f>
        <v>7893</v>
      </c>
      <c r="P231" s="133">
        <f>Requisitos!$I$9</f>
        <v>1350.6493506493507</v>
      </c>
      <c r="Q231" s="134" t="str">
        <f>+IF(O231&lt;&gt;0,IF(O231&gt;P231,"CUMPLE","NO CUMPE"),"")</f>
        <v>CUMPLE</v>
      </c>
      <c r="R231" s="134" t="s">
        <v>541</v>
      </c>
      <c r="S231" s="135" t="s">
        <v>315</v>
      </c>
      <c r="T231" s="144"/>
    </row>
    <row r="232" spans="3:20" ht="12.75" thickBot="1" x14ac:dyDescent="0.25">
      <c r="C232" s="83" t="s">
        <v>25</v>
      </c>
      <c r="D232" s="84"/>
      <c r="E232" s="85"/>
      <c r="F232" s="244"/>
      <c r="G232" s="85"/>
      <c r="H232" s="85"/>
      <c r="I232" s="85"/>
      <c r="J232" s="85"/>
      <c r="K232" s="85"/>
      <c r="L232" s="85"/>
      <c r="M232" s="85"/>
      <c r="N232" s="124"/>
      <c r="O232" s="85"/>
      <c r="P232" s="85"/>
      <c r="Q232" s="85"/>
      <c r="R232" s="85"/>
      <c r="S232" s="125"/>
      <c r="T232" s="125"/>
    </row>
    <row r="233" spans="3:20" ht="105.75" customHeight="1" thickBot="1" x14ac:dyDescent="0.25">
      <c r="C233" s="86">
        <v>1</v>
      </c>
      <c r="D233" s="88" t="s">
        <v>158</v>
      </c>
      <c r="E233" s="88" t="s">
        <v>316</v>
      </c>
      <c r="F233" s="245" t="s">
        <v>388</v>
      </c>
      <c r="G233" s="88" t="s">
        <v>57</v>
      </c>
      <c r="H233" s="90">
        <v>1</v>
      </c>
      <c r="I233" s="88" t="s">
        <v>299</v>
      </c>
      <c r="J233" s="92">
        <v>35177</v>
      </c>
      <c r="K233" s="92">
        <v>35563</v>
      </c>
      <c r="L233" s="92"/>
      <c r="M233" s="172">
        <v>384734738</v>
      </c>
      <c r="N233" s="180">
        <f>+M233*H233</f>
        <v>384734738</v>
      </c>
      <c r="O233" s="120">
        <f>ROUND(IF(J233&lt;$I$4,0,IF(J233="",0,IF(OR(K233="---",K233=""),N233/LOOKUP(J233,[6]SMLM!$A$3:$A$36,[6]SMLM!$D$3:$D$36),N233/LOOKUP(J233,[6]SMLM!$A$3:$A$36,[6]SMLM!$D$3:$D$36)))),0)</f>
        <v>2707</v>
      </c>
      <c r="P233" s="386">
        <f>+[6]Requisitos!$I$7</f>
        <v>1350.6493506493507</v>
      </c>
      <c r="Q233" s="97" t="s">
        <v>234</v>
      </c>
      <c r="R233" s="97" t="s">
        <v>542</v>
      </c>
      <c r="S233" s="99" t="s">
        <v>705</v>
      </c>
      <c r="T233" s="99" t="s">
        <v>732</v>
      </c>
    </row>
    <row r="234" spans="3:20" ht="73.5" customHeight="1" x14ac:dyDescent="0.2">
      <c r="C234" s="100">
        <v>2</v>
      </c>
      <c r="D234" s="102" t="s">
        <v>317</v>
      </c>
      <c r="E234" s="102" t="s">
        <v>318</v>
      </c>
      <c r="F234" s="249" t="s">
        <v>398</v>
      </c>
      <c r="G234" s="102" t="s">
        <v>57</v>
      </c>
      <c r="H234" s="104">
        <v>0.25</v>
      </c>
      <c r="I234" s="102" t="s">
        <v>299</v>
      </c>
      <c r="J234" s="106">
        <v>39534</v>
      </c>
      <c r="K234" s="106">
        <v>40628</v>
      </c>
      <c r="L234" s="106"/>
      <c r="M234" s="179">
        <v>3753633746</v>
      </c>
      <c r="N234" s="180">
        <f>+M234*H234</f>
        <v>938408436.5</v>
      </c>
      <c r="O234" s="205">
        <f>ROUND(IF(J234&lt;$I$4,0,IF(J234="",0,IF(OR(K234="---",K234=""),N234/LOOKUP(J234,[6]SMLM!$A$3:$A$36,[6]SMLM!$D$3:$D$36),N234/LOOKUP(J234,[6]SMLM!$A$3:$A$36,[6]SMLM!$D$3:$D$36)))),0)</f>
        <v>2033</v>
      </c>
      <c r="P234" s="388"/>
      <c r="Q234" s="109" t="str">
        <f>+IF(O234&lt;&gt;0,IF(O234&gt;P233,"CUMPLE","NO CUMPE"),"")</f>
        <v>CUMPLE</v>
      </c>
      <c r="R234" s="109" t="s">
        <v>543</v>
      </c>
      <c r="S234" s="110" t="s">
        <v>319</v>
      </c>
      <c r="T234" s="144"/>
    </row>
    <row r="235" spans="3:20" ht="64.5" customHeight="1" thickBot="1" x14ac:dyDescent="0.25">
      <c r="C235" s="112">
        <v>3</v>
      </c>
      <c r="D235" s="113" t="s">
        <v>320</v>
      </c>
      <c r="E235" s="113" t="s">
        <v>321</v>
      </c>
      <c r="F235" s="246" t="s">
        <v>390</v>
      </c>
      <c r="G235" s="113" t="s">
        <v>57</v>
      </c>
      <c r="H235" s="250">
        <v>0.125</v>
      </c>
      <c r="I235" s="116" t="s">
        <v>300</v>
      </c>
      <c r="J235" s="117">
        <v>38374</v>
      </c>
      <c r="K235" s="117">
        <v>39512</v>
      </c>
      <c r="L235" s="117"/>
      <c r="M235" s="175">
        <v>4584728442</v>
      </c>
      <c r="N235" s="165">
        <f>+M235*H235</f>
        <v>573091055.25</v>
      </c>
      <c r="O235" s="206">
        <f>ROUND(IF(J235&lt;$I$4,0,IF(J235="",0,IF(OR(K235="---",K235=""),N235/LOOKUP(J235,[6]SMLM!$A$3:$A$36,[6]SMLM!$D$3:$D$36),N235/LOOKUP(J235,[6]SMLM!$A$3:$A$36,[6]SMLM!$D$3:$D$36)))),0)</f>
        <v>1502</v>
      </c>
      <c r="P235" s="387"/>
      <c r="Q235" s="121" t="str">
        <f>+IF(O235&lt;&gt;0,IF(O235&gt;P233,"CUMPLE","NO CUMPE"),"")</f>
        <v>CUMPLE</v>
      </c>
      <c r="R235" s="121" t="s">
        <v>544</v>
      </c>
      <c r="S235" s="122" t="s">
        <v>322</v>
      </c>
      <c r="T235" s="149"/>
    </row>
    <row r="236" spans="3:20" x14ac:dyDescent="0.2">
      <c r="C236" s="83"/>
      <c r="D236" s="84"/>
      <c r="E236" s="85"/>
      <c r="F236" s="84"/>
      <c r="G236" s="85"/>
      <c r="H236" s="85"/>
      <c r="I236" s="85"/>
      <c r="J236" s="85"/>
      <c r="K236" s="85"/>
      <c r="L236" s="85"/>
      <c r="M236" s="85"/>
      <c r="N236" s="85"/>
      <c r="O236" s="251"/>
      <c r="P236" s="85"/>
      <c r="Q236" s="85"/>
      <c r="R236" s="85"/>
      <c r="S236" s="125"/>
    </row>
    <row r="237" spans="3:20" ht="12.75" thickBot="1" x14ac:dyDescent="0.25">
      <c r="C237" s="83"/>
      <c r="D237" s="84"/>
      <c r="E237" s="85"/>
      <c r="F237" s="84"/>
      <c r="G237" s="85"/>
      <c r="H237" s="85"/>
      <c r="I237" s="85"/>
      <c r="J237" s="85"/>
      <c r="K237" s="85"/>
      <c r="L237" s="85"/>
      <c r="M237" s="85"/>
      <c r="N237" s="85"/>
      <c r="O237" s="85"/>
      <c r="P237" s="85"/>
      <c r="Q237" s="85"/>
      <c r="R237" s="85"/>
      <c r="S237" s="125"/>
    </row>
    <row r="238" spans="3:20" x14ac:dyDescent="0.2">
      <c r="C238" s="83"/>
      <c r="D238" s="84"/>
      <c r="E238" s="85"/>
      <c r="F238" s="84"/>
      <c r="G238" s="85"/>
      <c r="H238" s="85"/>
      <c r="I238" s="85"/>
      <c r="J238" s="85"/>
      <c r="K238" s="379"/>
      <c r="L238" s="380"/>
      <c r="M238" s="380"/>
      <c r="N238" s="137" t="s">
        <v>59</v>
      </c>
      <c r="O238" s="137" t="s">
        <v>26</v>
      </c>
      <c r="P238" s="137" t="s">
        <v>60</v>
      </c>
      <c r="Q238" s="139"/>
      <c r="R238" s="85"/>
      <c r="S238" s="125"/>
    </row>
    <row r="239" spans="3:20" x14ac:dyDescent="0.2">
      <c r="C239" s="83"/>
      <c r="D239" s="84"/>
      <c r="E239" s="85"/>
      <c r="F239" s="84"/>
      <c r="G239" s="85"/>
      <c r="H239" s="85"/>
      <c r="I239" s="85"/>
      <c r="J239" s="85"/>
      <c r="K239" s="381" t="s">
        <v>168</v>
      </c>
      <c r="L239" s="382"/>
      <c r="M239" s="382"/>
      <c r="N239" s="141">
        <f>+SUMAGEN</f>
        <v>6541634245</v>
      </c>
      <c r="O239" s="142">
        <f>[4]Requisitos!$I$3</f>
        <v>10609.20247324035</v>
      </c>
      <c r="P239" s="143">
        <f>+SUM(O231:O231,O233:O235)</f>
        <v>14135</v>
      </c>
      <c r="Q239" s="247" t="str">
        <f>+IF(P239&gt;[6]Requisitos!I208,"CUMPLE","NO CUMPLE")</f>
        <v>CUMPLE</v>
      </c>
      <c r="R239" s="85"/>
      <c r="S239" s="125"/>
    </row>
    <row r="240" spans="3:20" x14ac:dyDescent="0.2">
      <c r="C240" s="83"/>
      <c r="D240" s="84"/>
      <c r="E240" s="85"/>
      <c r="F240" s="84"/>
      <c r="G240" s="85"/>
      <c r="H240" s="85"/>
      <c r="I240" s="85"/>
      <c r="J240" s="85"/>
      <c r="K240" s="381" t="s">
        <v>104</v>
      </c>
      <c r="L240" s="382"/>
      <c r="M240" s="382"/>
      <c r="N240" s="141">
        <f>+LIDERGEN</f>
        <v>3336233464.9500003</v>
      </c>
      <c r="O240" s="142">
        <f>[4]Requisitos!$I$8</f>
        <v>5415.9634171266234</v>
      </c>
      <c r="P240" s="143">
        <f>+SUM(O231:O231)</f>
        <v>7893</v>
      </c>
      <c r="Q240" s="247" t="str">
        <f>+IF(P240&gt;[6]Requisitos!I210,"CUMPLE","NO CUMPLE")</f>
        <v>CUMPLE</v>
      </c>
      <c r="R240" s="85"/>
      <c r="S240" s="125"/>
    </row>
    <row r="241" spans="3:20" ht="12.75" thickBot="1" x14ac:dyDescent="0.25">
      <c r="C241" s="145"/>
      <c r="D241" s="146"/>
      <c r="E241" s="147"/>
      <c r="F241" s="146"/>
      <c r="G241" s="147"/>
      <c r="H241" s="147"/>
      <c r="I241" s="147"/>
      <c r="J241" s="147"/>
      <c r="K241" s="383"/>
      <c r="L241" s="384"/>
      <c r="M241" s="384"/>
      <c r="N241" s="148"/>
      <c r="O241" s="148"/>
      <c r="P241" s="148"/>
      <c r="Q241" s="248" t="str">
        <f>+IF(Q239="CUMPLE",IF(Q240="CUMPLE","HÁBIL","NO CUMPLE"),"NO CUMPLE")</f>
        <v>HÁBIL</v>
      </c>
      <c r="R241" s="147"/>
      <c r="S241" s="150"/>
    </row>
    <row r="242" spans="3:20" ht="13.5" thickTop="1" thickBot="1" x14ac:dyDescent="0.25"/>
    <row r="243" spans="3:20" ht="12.75" thickBot="1" x14ac:dyDescent="0.25">
      <c r="C243" s="75" t="s">
        <v>13</v>
      </c>
      <c r="D243" s="76"/>
      <c r="E243" s="238">
        <v>15</v>
      </c>
      <c r="F243" s="76" t="str">
        <f>+VLOOKUP(E243,[6]Proponentes!$B$10:$D$77,2,FALSE())</f>
        <v>CONSORCIO AEROPUERTO DEL VALLE</v>
      </c>
      <c r="G243" s="78"/>
      <c r="H243" s="78"/>
      <c r="I243" s="78"/>
      <c r="J243" s="78"/>
      <c r="K243" s="78"/>
      <c r="L243" s="78"/>
      <c r="M243" s="78"/>
      <c r="N243" s="78"/>
      <c r="O243" s="78"/>
      <c r="P243" s="78"/>
      <c r="Q243" s="78"/>
      <c r="R243" s="78"/>
      <c r="S243" s="79"/>
      <c r="T243" s="80"/>
    </row>
    <row r="244" spans="3:20" x14ac:dyDescent="0.2">
      <c r="C244" s="373" t="s">
        <v>28</v>
      </c>
      <c r="D244" s="375" t="s">
        <v>29</v>
      </c>
      <c r="E244" s="375" t="s">
        <v>37</v>
      </c>
      <c r="F244" s="375" t="s">
        <v>20</v>
      </c>
      <c r="G244" s="375" t="s">
        <v>21</v>
      </c>
      <c r="H244" s="375" t="s">
        <v>22</v>
      </c>
      <c r="I244" s="375" t="s">
        <v>14</v>
      </c>
      <c r="J244" s="375" t="s">
        <v>15</v>
      </c>
      <c r="K244" s="375" t="s">
        <v>16</v>
      </c>
      <c r="L244" s="239"/>
      <c r="M244" s="375" t="s">
        <v>17</v>
      </c>
      <c r="N244" s="377" t="s">
        <v>18</v>
      </c>
      <c r="O244" s="378"/>
      <c r="P244" s="378"/>
      <c r="Q244" s="378"/>
      <c r="R244" s="378"/>
      <c r="S244" s="385"/>
      <c r="T244" s="403" t="s">
        <v>727</v>
      </c>
    </row>
    <row r="245" spans="3:20" ht="48.75" thickBot="1" x14ac:dyDescent="0.25">
      <c r="C245" s="374"/>
      <c r="D245" s="376"/>
      <c r="E245" s="376"/>
      <c r="F245" s="376"/>
      <c r="G245" s="376"/>
      <c r="H245" s="376"/>
      <c r="I245" s="376"/>
      <c r="J245" s="376"/>
      <c r="K245" s="376"/>
      <c r="L245" s="240"/>
      <c r="M245" s="376"/>
      <c r="N245" s="81" t="s">
        <v>23</v>
      </c>
      <c r="O245" s="81" t="s">
        <v>55</v>
      </c>
      <c r="P245" s="81" t="s">
        <v>306</v>
      </c>
      <c r="Q245" s="81" t="s">
        <v>149</v>
      </c>
      <c r="R245" s="82" t="s">
        <v>72</v>
      </c>
      <c r="S245" s="151" t="s">
        <v>71</v>
      </c>
      <c r="T245" s="403"/>
    </row>
    <row r="246" spans="3:20" ht="12.75" thickBot="1" x14ac:dyDescent="0.25">
      <c r="C246" s="167" t="s">
        <v>24</v>
      </c>
      <c r="D246" s="168"/>
      <c r="E246" s="169"/>
      <c r="F246" s="168"/>
      <c r="G246" s="169"/>
      <c r="H246" s="169"/>
      <c r="I246" s="169"/>
      <c r="J246" s="169"/>
      <c r="K246" s="169"/>
      <c r="L246" s="169"/>
      <c r="M246" s="169"/>
      <c r="N246" s="169"/>
      <c r="O246" s="169"/>
      <c r="P246" s="169"/>
      <c r="Q246" s="169"/>
      <c r="R246" s="169"/>
      <c r="S246" s="170"/>
      <c r="T246" s="125"/>
    </row>
    <row r="247" spans="3:20" ht="110.25" customHeight="1" x14ac:dyDescent="0.2">
      <c r="C247" s="86">
        <v>1</v>
      </c>
      <c r="D247" s="252" t="s">
        <v>323</v>
      </c>
      <c r="E247" s="88" t="s">
        <v>324</v>
      </c>
      <c r="F247" s="253" t="s">
        <v>399</v>
      </c>
      <c r="G247" s="88" t="s">
        <v>57</v>
      </c>
      <c r="H247" s="90">
        <v>1</v>
      </c>
      <c r="I247" s="91" t="s">
        <v>325</v>
      </c>
      <c r="J247" s="254">
        <v>39934</v>
      </c>
      <c r="K247" s="92">
        <v>40724</v>
      </c>
      <c r="L247" s="92"/>
      <c r="M247" s="172">
        <v>9389034669</v>
      </c>
      <c r="N247" s="160">
        <f>+M247*H247</f>
        <v>9389034669</v>
      </c>
      <c r="O247" s="96">
        <f>ROUND(IF(J247&lt;$I$4,0,IF(J247="",0,IF(OR(K247="---",K247=""),N247/LOOKUP(J247,[6]SMLM!$A$3:$A$36,[6]SMLM!$D$3:$D$36),N247/LOOKUP(J247,[6]SMLM!$A$3:$A$36,[6]SMLM!$D$3:$D$36)))),0)</f>
        <v>18895</v>
      </c>
      <c r="P247" s="386">
        <v>1350.6493506493507</v>
      </c>
      <c r="Q247" s="97" t="str">
        <f>+IF(O247&lt;&gt;0,IF(O247&gt;P247,"CUMPLE","NO CUMPE"),"")</f>
        <v>CUMPLE</v>
      </c>
      <c r="R247" s="97" t="s">
        <v>545</v>
      </c>
      <c r="S247" s="98" t="s">
        <v>326</v>
      </c>
      <c r="T247" s="144"/>
    </row>
    <row r="248" spans="3:20" ht="91.5" customHeight="1" thickBot="1" x14ac:dyDescent="0.25">
      <c r="C248" s="112">
        <v>2</v>
      </c>
      <c r="D248" s="255" t="s">
        <v>327</v>
      </c>
      <c r="E248" s="113" t="s">
        <v>328</v>
      </c>
      <c r="F248" s="256" t="s">
        <v>400</v>
      </c>
      <c r="G248" s="113" t="s">
        <v>57</v>
      </c>
      <c r="H248" s="115">
        <v>0.5</v>
      </c>
      <c r="I248" s="116" t="s">
        <v>325</v>
      </c>
      <c r="J248" s="257">
        <v>37411</v>
      </c>
      <c r="K248" s="117">
        <v>38776</v>
      </c>
      <c r="L248" s="117"/>
      <c r="M248" s="175">
        <v>3791186167</v>
      </c>
      <c r="N248" s="165">
        <f>+M248*H248</f>
        <v>1895593083.5</v>
      </c>
      <c r="O248" s="156">
        <f>ROUND(IF(J248&lt;$I$4,0,IF(J248="",0,IF(OR(K248="---",K248=""),N248/LOOKUP(J248,[6]SMLM!$A$3:$A$36,[6]SMLM!$D$3:$D$36),N248/LOOKUP(J248,[6]SMLM!$A$3:$A$36,[6]SMLM!$D$3:$D$36)))),0)</f>
        <v>6135</v>
      </c>
      <c r="P248" s="389"/>
      <c r="Q248" s="121" t="str">
        <f>+IF(O248&lt;&gt;0,IF(O248&gt;P247,"CUMPLE","NO CUMPE"),"")</f>
        <v>CUMPLE</v>
      </c>
      <c r="R248" s="121" t="s">
        <v>546</v>
      </c>
      <c r="S248" s="122" t="s">
        <v>329</v>
      </c>
      <c r="T248" s="144"/>
    </row>
    <row r="249" spans="3:20" ht="12.75" thickBot="1" x14ac:dyDescent="0.25">
      <c r="C249" s="83" t="s">
        <v>25</v>
      </c>
      <c r="D249" s="84"/>
      <c r="E249" s="85"/>
      <c r="F249" s="244"/>
      <c r="G249" s="85"/>
      <c r="H249" s="85"/>
      <c r="I249" s="85"/>
      <c r="J249" s="85"/>
      <c r="K249" s="85"/>
      <c r="L249" s="85"/>
      <c r="M249" s="85"/>
      <c r="N249" s="124"/>
      <c r="O249" s="85"/>
      <c r="P249" s="85"/>
      <c r="Q249" s="85"/>
      <c r="R249" s="85"/>
      <c r="S249" s="125"/>
      <c r="T249" s="125"/>
    </row>
    <row r="250" spans="3:20" ht="90" customHeight="1" thickBot="1" x14ac:dyDescent="0.25">
      <c r="C250" s="86">
        <v>1</v>
      </c>
      <c r="D250" s="88" t="s">
        <v>330</v>
      </c>
      <c r="E250" s="88" t="s">
        <v>331</v>
      </c>
      <c r="F250" s="245" t="s">
        <v>401</v>
      </c>
      <c r="G250" s="88" t="s">
        <v>57</v>
      </c>
      <c r="H250" s="90">
        <v>0.5</v>
      </c>
      <c r="I250" s="88" t="s">
        <v>332</v>
      </c>
      <c r="J250" s="92">
        <v>39694</v>
      </c>
      <c r="K250" s="92">
        <v>40283</v>
      </c>
      <c r="L250" s="92"/>
      <c r="M250" s="172">
        <v>3136622318</v>
      </c>
      <c r="N250" s="160">
        <f>+M250*H250</f>
        <v>1568311159</v>
      </c>
      <c r="O250" s="178">
        <f>ROUND(IF(J250&lt;$I$4,0,IF(J250="",0,IF(OR(K250="---",K250=""),N250/LOOKUP(J250,[6]SMLM!$A$3:$A$36,[6]SMLM!$D$3:$D$36),N250/LOOKUP(J250,[6]SMLM!$A$3:$A$36,[6]SMLM!$D$3:$D$36)))),0)</f>
        <v>3398</v>
      </c>
      <c r="P250" s="386">
        <f>+[6]Requisitos!$I$7</f>
        <v>1350.6493506493507</v>
      </c>
      <c r="Q250" s="97" t="str">
        <f>+IF(O250&lt;&gt;0,IF(O250&gt;P250,"CUMPLE","NO CUMPE"),"")</f>
        <v>CUMPLE</v>
      </c>
      <c r="R250" s="97" t="s">
        <v>547</v>
      </c>
      <c r="S250" s="98" t="s">
        <v>333</v>
      </c>
      <c r="T250" s="144"/>
    </row>
    <row r="251" spans="3:20" ht="202.5" customHeight="1" thickBot="1" x14ac:dyDescent="0.25">
      <c r="C251" s="112">
        <v>2</v>
      </c>
      <c r="D251" s="113" t="s">
        <v>334</v>
      </c>
      <c r="E251" s="113" t="s">
        <v>335</v>
      </c>
      <c r="F251" s="246" t="s">
        <v>395</v>
      </c>
      <c r="G251" s="113" t="s">
        <v>57</v>
      </c>
      <c r="H251" s="250">
        <v>0.83499999999999996</v>
      </c>
      <c r="I251" s="116" t="s">
        <v>332</v>
      </c>
      <c r="J251" s="117">
        <v>38337</v>
      </c>
      <c r="K251" s="117">
        <v>41440</v>
      </c>
      <c r="L251" s="117"/>
      <c r="M251" s="175">
        <v>9865877743</v>
      </c>
      <c r="N251" s="95">
        <f>+M251*H251</f>
        <v>8238007915.4049997</v>
      </c>
      <c r="O251" s="195">
        <f>ROUND(IF(J251&lt;$I$4,0,IF(J251="",0,IF(OR(K251="---",K251=""),N251/LOOKUP(J251,[6]SMLM!$A$3:$A$36,[6]SMLM!$D$3:$D$36),N251/LOOKUP(J251,[6]SMLM!$A$3:$A$36,[6]SMLM!$D$3:$D$36)))),0)</f>
        <v>23011</v>
      </c>
      <c r="P251" s="387"/>
      <c r="Q251" s="134" t="str">
        <f>+IF(O251&lt;&gt;0,IF(O251&gt;P251,"CUMPLE","NO CUMPE"),"")</f>
        <v>CUMPLE</v>
      </c>
      <c r="R251" s="258" t="s">
        <v>336</v>
      </c>
      <c r="S251" s="122" t="s">
        <v>713</v>
      </c>
      <c r="T251" s="149"/>
    </row>
    <row r="252" spans="3:20" x14ac:dyDescent="0.2">
      <c r="C252" s="83"/>
      <c r="D252" s="84"/>
      <c r="E252" s="85"/>
      <c r="F252" s="84"/>
      <c r="G252" s="85"/>
      <c r="H252" s="85"/>
      <c r="I252" s="85"/>
      <c r="J252" s="85"/>
      <c r="K252" s="85"/>
      <c r="L252" s="85"/>
      <c r="M252" s="85"/>
      <c r="N252" s="85"/>
      <c r="O252" s="251"/>
      <c r="P252" s="85"/>
      <c r="Q252" s="85"/>
      <c r="R252" s="85"/>
      <c r="S252" s="125"/>
    </row>
    <row r="253" spans="3:20" ht="12.75" thickBot="1" x14ac:dyDescent="0.25">
      <c r="C253" s="83"/>
      <c r="D253" s="84"/>
      <c r="E253" s="85"/>
      <c r="F253" s="84"/>
      <c r="G253" s="85"/>
      <c r="H253" s="85"/>
      <c r="I253" s="85"/>
      <c r="J253" s="85"/>
      <c r="K253" s="85"/>
      <c r="L253" s="85"/>
      <c r="M253" s="85"/>
      <c r="N253" s="85"/>
      <c r="O253" s="85"/>
      <c r="P253" s="85"/>
      <c r="Q253" s="85"/>
      <c r="R253" s="85"/>
      <c r="S253" s="125"/>
    </row>
    <row r="254" spans="3:20" x14ac:dyDescent="0.2">
      <c r="C254" s="83"/>
      <c r="D254" s="84"/>
      <c r="E254" s="85"/>
      <c r="F254" s="84"/>
      <c r="G254" s="85"/>
      <c r="H254" s="85"/>
      <c r="I254" s="85"/>
      <c r="J254" s="85"/>
      <c r="K254" s="379"/>
      <c r="L254" s="380"/>
      <c r="M254" s="380"/>
      <c r="N254" s="137" t="s">
        <v>59</v>
      </c>
      <c r="O254" s="137" t="s">
        <v>26</v>
      </c>
      <c r="P254" s="137" t="s">
        <v>60</v>
      </c>
      <c r="Q254" s="139"/>
      <c r="R254" s="85"/>
      <c r="S254" s="125"/>
    </row>
    <row r="255" spans="3:20" x14ac:dyDescent="0.2">
      <c r="C255" s="83"/>
      <c r="D255" s="84"/>
      <c r="E255" s="85"/>
      <c r="F255" s="84"/>
      <c r="G255" s="85"/>
      <c r="H255" s="85"/>
      <c r="I255" s="85"/>
      <c r="J255" s="85"/>
      <c r="K255" s="381" t="s">
        <v>168</v>
      </c>
      <c r="L255" s="382"/>
      <c r="M255" s="382"/>
      <c r="N255" s="141">
        <f>+SUMAGEN</f>
        <v>6541634245</v>
      </c>
      <c r="O255" s="142">
        <f>[4]Requisitos!$I$3</f>
        <v>10609.20247324035</v>
      </c>
      <c r="P255" s="143">
        <f>+SUM(O247:O248,O250:O251)</f>
        <v>51439</v>
      </c>
      <c r="Q255" s="247" t="str">
        <f>+IF(P255&gt;[6]Requisitos!I224,"CUMPLE","NO CUMPLE")</f>
        <v>CUMPLE</v>
      </c>
      <c r="R255" s="85"/>
      <c r="S255" s="125"/>
    </row>
    <row r="256" spans="3:20" x14ac:dyDescent="0.2">
      <c r="C256" s="83"/>
      <c r="D256" s="84"/>
      <c r="E256" s="85"/>
      <c r="F256" s="84"/>
      <c r="G256" s="85"/>
      <c r="H256" s="85"/>
      <c r="I256" s="85"/>
      <c r="J256" s="85"/>
      <c r="K256" s="381" t="s">
        <v>104</v>
      </c>
      <c r="L256" s="382"/>
      <c r="M256" s="382"/>
      <c r="N256" s="141">
        <f>+LIDERGEN</f>
        <v>3336233464.9500003</v>
      </c>
      <c r="O256" s="142">
        <f>[4]Requisitos!$I$8</f>
        <v>5415.9634171266234</v>
      </c>
      <c r="P256" s="143">
        <f>+SUM(O247:O248)</f>
        <v>25030</v>
      </c>
      <c r="Q256" s="247" t="str">
        <f>+IF(P256&gt;[6]Requisitos!I226,"CUMPLE","NO CUMPLE")</f>
        <v>CUMPLE</v>
      </c>
      <c r="R256" s="85"/>
      <c r="S256" s="125"/>
    </row>
    <row r="257" spans="3:20" ht="12.75" thickBot="1" x14ac:dyDescent="0.25">
      <c r="C257" s="145"/>
      <c r="D257" s="146"/>
      <c r="E257" s="147"/>
      <c r="F257" s="146"/>
      <c r="G257" s="147"/>
      <c r="H257" s="147"/>
      <c r="I257" s="147"/>
      <c r="J257" s="147"/>
      <c r="K257" s="383"/>
      <c r="L257" s="384"/>
      <c r="M257" s="384"/>
      <c r="N257" s="148"/>
      <c r="O257" s="148"/>
      <c r="P257" s="148"/>
      <c r="Q257" s="248" t="str">
        <f>+IF(Q255="CUMPLE",IF(Q256="CUMPLE","HÁBIL","NO CUMPLE"),"NO CUMPLE")</f>
        <v>HÁBIL</v>
      </c>
      <c r="R257" s="147"/>
      <c r="S257" s="150"/>
    </row>
    <row r="258" spans="3:20" ht="13.5" thickTop="1" thickBot="1" x14ac:dyDescent="0.25"/>
    <row r="259" spans="3:20" ht="12.75" thickBot="1" x14ac:dyDescent="0.25">
      <c r="C259" s="75" t="s">
        <v>13</v>
      </c>
      <c r="D259" s="76"/>
      <c r="E259" s="238">
        <v>16</v>
      </c>
      <c r="F259" s="76" t="str">
        <f>+VLOOKUP(E259,[6]Proponentes!$B$10:$D$77,2,FALSE())</f>
        <v>CONSORCIO CONCESIONES 04</v>
      </c>
      <c r="G259" s="78"/>
      <c r="H259" s="78"/>
      <c r="I259" s="78"/>
      <c r="J259" s="78"/>
      <c r="K259" s="78"/>
      <c r="L259" s="78"/>
      <c r="M259" s="78"/>
      <c r="N259" s="78"/>
      <c r="O259" s="78"/>
      <c r="P259" s="78"/>
      <c r="Q259" s="78"/>
      <c r="R259" s="78"/>
      <c r="S259" s="79"/>
      <c r="T259" s="80"/>
    </row>
    <row r="260" spans="3:20" x14ac:dyDescent="0.2">
      <c r="C260" s="373" t="s">
        <v>28</v>
      </c>
      <c r="D260" s="375" t="s">
        <v>29</v>
      </c>
      <c r="E260" s="375" t="s">
        <v>37</v>
      </c>
      <c r="F260" s="375" t="s">
        <v>20</v>
      </c>
      <c r="G260" s="375" t="s">
        <v>21</v>
      </c>
      <c r="H260" s="375" t="s">
        <v>22</v>
      </c>
      <c r="I260" s="375" t="s">
        <v>14</v>
      </c>
      <c r="J260" s="375" t="s">
        <v>15</v>
      </c>
      <c r="K260" s="375" t="s">
        <v>16</v>
      </c>
      <c r="L260" s="239"/>
      <c r="M260" s="375" t="s">
        <v>17</v>
      </c>
      <c r="N260" s="377" t="s">
        <v>18</v>
      </c>
      <c r="O260" s="378"/>
      <c r="P260" s="378"/>
      <c r="Q260" s="378"/>
      <c r="R260" s="378"/>
      <c r="S260" s="385"/>
      <c r="T260" s="403" t="s">
        <v>727</v>
      </c>
    </row>
    <row r="261" spans="3:20" ht="48.75" thickBot="1" x14ac:dyDescent="0.25">
      <c r="C261" s="374"/>
      <c r="D261" s="376"/>
      <c r="E261" s="376"/>
      <c r="F261" s="376"/>
      <c r="G261" s="376"/>
      <c r="H261" s="376"/>
      <c r="I261" s="376"/>
      <c r="J261" s="376"/>
      <c r="K261" s="376"/>
      <c r="L261" s="240"/>
      <c r="M261" s="376"/>
      <c r="N261" s="81" t="s">
        <v>23</v>
      </c>
      <c r="O261" s="81" t="s">
        <v>55</v>
      </c>
      <c r="P261" s="81" t="s">
        <v>306</v>
      </c>
      <c r="Q261" s="81" t="s">
        <v>149</v>
      </c>
      <c r="R261" s="82" t="s">
        <v>72</v>
      </c>
      <c r="S261" s="151" t="s">
        <v>71</v>
      </c>
      <c r="T261" s="403"/>
    </row>
    <row r="262" spans="3:20" ht="12.75" thickBot="1" x14ac:dyDescent="0.25">
      <c r="C262" s="167" t="s">
        <v>24</v>
      </c>
      <c r="D262" s="168"/>
      <c r="E262" s="169"/>
      <c r="F262" s="168"/>
      <c r="G262" s="169"/>
      <c r="H262" s="169"/>
      <c r="I262" s="169"/>
      <c r="J262" s="169"/>
      <c r="K262" s="169"/>
      <c r="L262" s="169"/>
      <c r="M262" s="169"/>
      <c r="N262" s="169"/>
      <c r="O262" s="169"/>
      <c r="P262" s="169"/>
      <c r="Q262" s="169"/>
      <c r="R262" s="169"/>
      <c r="S262" s="170"/>
      <c r="T262" s="125"/>
    </row>
    <row r="263" spans="3:20" ht="78" customHeight="1" thickBot="1" x14ac:dyDescent="0.25">
      <c r="C263" s="126">
        <v>1</v>
      </c>
      <c r="D263" s="241" t="s">
        <v>337</v>
      </c>
      <c r="E263" s="128" t="s">
        <v>338</v>
      </c>
      <c r="F263" s="259" t="s">
        <v>339</v>
      </c>
      <c r="G263" s="128" t="s">
        <v>57</v>
      </c>
      <c r="H263" s="129">
        <v>1</v>
      </c>
      <c r="I263" s="196" t="s">
        <v>303</v>
      </c>
      <c r="J263" s="243">
        <v>39147</v>
      </c>
      <c r="K263" s="130">
        <v>40016</v>
      </c>
      <c r="L263" s="130"/>
      <c r="M263" s="194">
        <v>4719365872.2399998</v>
      </c>
      <c r="N263" s="95">
        <f>+M263*H263</f>
        <v>4719365872.2399998</v>
      </c>
      <c r="O263" s="120">
        <f>ROUND(IF(J263&lt;$I$4,0,IF(J263="",0,IF(OR(K263="---",K263=""),N263/LOOKUP(J263,[6]SMLM!$A$3:$A$36,[6]SMLM!$D$3:$D$36),N263/LOOKUP(J263,[6]SMLM!$A$3:$A$36,[6]SMLM!$D$3:$D$36)))),0)</f>
        <v>10882</v>
      </c>
      <c r="P263" s="133">
        <f>Requisitos!$I$9</f>
        <v>1350.6493506493507</v>
      </c>
      <c r="Q263" s="134" t="str">
        <f>+IF(O263&lt;&gt;0,IF(O263&gt;P263,"CUMPLE","NO CUMPE"),"")</f>
        <v>CUMPLE</v>
      </c>
      <c r="R263" s="134" t="s">
        <v>548</v>
      </c>
      <c r="S263" s="123" t="s">
        <v>340</v>
      </c>
      <c r="T263" s="144"/>
    </row>
    <row r="264" spans="3:20" ht="12.75" thickBot="1" x14ac:dyDescent="0.25">
      <c r="C264" s="83" t="s">
        <v>25</v>
      </c>
      <c r="D264" s="84"/>
      <c r="E264" s="85"/>
      <c r="F264" s="84"/>
      <c r="G264" s="85"/>
      <c r="H264" s="85"/>
      <c r="I264" s="85"/>
      <c r="J264" s="85"/>
      <c r="K264" s="85"/>
      <c r="L264" s="85"/>
      <c r="M264" s="85"/>
      <c r="N264" s="124"/>
      <c r="O264" s="85"/>
      <c r="P264" s="85"/>
      <c r="Q264" s="85"/>
      <c r="R264" s="85"/>
      <c r="S264" s="125"/>
      <c r="T264" s="125"/>
    </row>
    <row r="265" spans="3:20" ht="66.75" customHeight="1" thickBot="1" x14ac:dyDescent="0.25">
      <c r="C265" s="86">
        <v>1</v>
      </c>
      <c r="D265" s="88" t="s">
        <v>341</v>
      </c>
      <c r="E265" s="88" t="s">
        <v>342</v>
      </c>
      <c r="F265" s="260" t="s">
        <v>343</v>
      </c>
      <c r="G265" s="88" t="s">
        <v>57</v>
      </c>
      <c r="H265" s="90" t="s">
        <v>344</v>
      </c>
      <c r="I265" s="88" t="s">
        <v>345</v>
      </c>
      <c r="J265" s="92">
        <v>39615</v>
      </c>
      <c r="K265" s="92">
        <v>41502</v>
      </c>
      <c r="L265" s="92"/>
      <c r="M265" s="172">
        <f>28736581560*0.2</f>
        <v>5747316312</v>
      </c>
      <c r="N265" s="160">
        <f>+M265*0.95</f>
        <v>5459950496.3999996</v>
      </c>
      <c r="O265" s="96">
        <f>ROUND(IF(J265&lt;$I$4,0,IF(J265="",0,IF(OR(K265="---",K265=""),N265/LOOKUP(J265,[6]SMLM!$A$3:$A$36,[6]SMLM!$D$3:$D$36),N265/LOOKUP(J265,[6]SMLM!$A$3:$A$36,[6]SMLM!$D$3:$D$36)))),0)</f>
        <v>11831</v>
      </c>
      <c r="P265" s="386">
        <f>+[6]Requisitos!$I$7</f>
        <v>1350.6493506493507</v>
      </c>
      <c r="Q265" s="134" t="str">
        <f>+IF(O265&lt;&gt;0,IF(O265&gt;P265,"CUMPLE","NO CUMPE"),"")</f>
        <v>CUMPLE</v>
      </c>
      <c r="R265" s="261" t="s">
        <v>336</v>
      </c>
      <c r="S265" s="123" t="s">
        <v>714</v>
      </c>
      <c r="T265" s="262"/>
    </row>
    <row r="266" spans="3:20" ht="138" customHeight="1" thickBot="1" x14ac:dyDescent="0.25">
      <c r="C266" s="112">
        <v>2</v>
      </c>
      <c r="D266" s="113" t="s">
        <v>346</v>
      </c>
      <c r="E266" s="113" t="s">
        <v>243</v>
      </c>
      <c r="F266" s="263" t="s">
        <v>347</v>
      </c>
      <c r="G266" s="113" t="s">
        <v>348</v>
      </c>
      <c r="H266" s="250" t="s">
        <v>349</v>
      </c>
      <c r="I266" s="116" t="s">
        <v>704</v>
      </c>
      <c r="J266" s="117">
        <v>39934</v>
      </c>
      <c r="K266" s="117">
        <v>41090</v>
      </c>
      <c r="L266" s="117"/>
      <c r="M266" s="175">
        <f>1104000*[6]EURODOLAR!B1503*'[6]IQY Serie historica'!B6556</f>
        <v>3230635487.04</v>
      </c>
      <c r="N266" s="165"/>
      <c r="O266" s="156">
        <f>ROUND(IF(J266&lt;$I$4,0,IF(J266="",0,IF(OR(K266="---",K266=""),N266/LOOKUP(J266,[6]SMLM!$A$3:$A$36,[6]SMLM!$D$3:$D$36),N266/LOOKUP(J266,[6]SMLM!$A$3:$A$36,[6]SMLM!$D$3:$D$36)))),0)</f>
        <v>0</v>
      </c>
      <c r="P266" s="387"/>
      <c r="Q266" s="121" t="s">
        <v>234</v>
      </c>
      <c r="R266" s="121" t="s">
        <v>549</v>
      </c>
      <c r="S266" s="123" t="s">
        <v>717</v>
      </c>
      <c r="T266" s="123" t="s">
        <v>736</v>
      </c>
    </row>
    <row r="267" spans="3:20" x14ac:dyDescent="0.2">
      <c r="C267" s="83"/>
      <c r="D267" s="84"/>
      <c r="E267" s="85"/>
      <c r="F267" s="84"/>
      <c r="G267" s="85"/>
      <c r="H267" s="85"/>
      <c r="I267" s="85"/>
      <c r="J267" s="85"/>
      <c r="K267" s="85"/>
      <c r="L267" s="85"/>
      <c r="M267" s="85"/>
      <c r="N267" s="85"/>
      <c r="O267" s="162"/>
      <c r="P267" s="85"/>
      <c r="Q267" s="85"/>
      <c r="R267" s="85"/>
      <c r="S267" s="125"/>
    </row>
    <row r="268" spans="3:20" ht="12.75" thickBot="1" x14ac:dyDescent="0.25">
      <c r="C268" s="83"/>
      <c r="D268" s="84"/>
      <c r="E268" s="85"/>
      <c r="F268" s="84"/>
      <c r="G268" s="85"/>
      <c r="H268" s="85"/>
      <c r="I268" s="85"/>
      <c r="J268" s="85"/>
      <c r="K268" s="85"/>
      <c r="L268" s="85"/>
      <c r="M268" s="85"/>
      <c r="N268" s="85"/>
      <c r="O268" s="85"/>
      <c r="P268" s="85"/>
      <c r="Q268" s="85"/>
      <c r="R268" s="85"/>
      <c r="S268" s="125"/>
    </row>
    <row r="269" spans="3:20" x14ac:dyDescent="0.2">
      <c r="C269" s="83"/>
      <c r="D269" s="84"/>
      <c r="E269" s="85"/>
      <c r="F269" s="84"/>
      <c r="G269" s="85"/>
      <c r="H269" s="85"/>
      <c r="I269" s="85"/>
      <c r="J269" s="85"/>
      <c r="K269" s="379"/>
      <c r="L269" s="380"/>
      <c r="M269" s="380"/>
      <c r="N269" s="137" t="s">
        <v>59</v>
      </c>
      <c r="O269" s="137" t="s">
        <v>26</v>
      </c>
      <c r="P269" s="137" t="s">
        <v>60</v>
      </c>
      <c r="Q269" s="139"/>
      <c r="R269" s="85"/>
      <c r="S269" s="125"/>
    </row>
    <row r="270" spans="3:20" x14ac:dyDescent="0.2">
      <c r="C270" s="83"/>
      <c r="D270" s="84"/>
      <c r="E270" s="85"/>
      <c r="F270" s="84"/>
      <c r="G270" s="85"/>
      <c r="H270" s="85"/>
      <c r="I270" s="85"/>
      <c r="J270" s="85"/>
      <c r="K270" s="381" t="s">
        <v>168</v>
      </c>
      <c r="L270" s="382"/>
      <c r="M270" s="382"/>
      <c r="N270" s="141">
        <f>+SUMAGEN</f>
        <v>6541634245</v>
      </c>
      <c r="O270" s="142">
        <f>[4]Requisitos!$I$3</f>
        <v>10609.20247324035</v>
      </c>
      <c r="P270" s="143">
        <f>+SUM(O263:O263,O265:O266)</f>
        <v>22713</v>
      </c>
      <c r="Q270" s="247" t="str">
        <f>+IF(P270&gt;[6]Requisitos!I240,"CUMPLE","NO CUMPLE")</f>
        <v>CUMPLE</v>
      </c>
      <c r="R270" s="85"/>
      <c r="S270" s="125"/>
    </row>
    <row r="271" spans="3:20" x14ac:dyDescent="0.2">
      <c r="C271" s="83"/>
      <c r="D271" s="84"/>
      <c r="E271" s="85"/>
      <c r="F271" s="84"/>
      <c r="G271" s="85"/>
      <c r="H271" s="85"/>
      <c r="I271" s="85"/>
      <c r="J271" s="85"/>
      <c r="K271" s="381" t="s">
        <v>104</v>
      </c>
      <c r="L271" s="382"/>
      <c r="M271" s="382"/>
      <c r="N271" s="141">
        <f>+LIDERGEN</f>
        <v>3336233464.9500003</v>
      </c>
      <c r="O271" s="142">
        <f>[4]Requisitos!$I$8</f>
        <v>5415.9634171266234</v>
      </c>
      <c r="P271" s="143">
        <f>+SUM(O263:O263)</f>
        <v>10882</v>
      </c>
      <c r="Q271" s="247" t="str">
        <f>+IF(P271&gt;[6]Requisitos!I242,"CUMPLE","NO CUMPLE")</f>
        <v>CUMPLE</v>
      </c>
      <c r="R271" s="85"/>
      <c r="S271" s="125"/>
    </row>
    <row r="272" spans="3:20" ht="12.75" thickBot="1" x14ac:dyDescent="0.25">
      <c r="C272" s="145"/>
      <c r="D272" s="146"/>
      <c r="E272" s="147"/>
      <c r="F272" s="146"/>
      <c r="G272" s="147"/>
      <c r="H272" s="147"/>
      <c r="I272" s="147"/>
      <c r="J272" s="147"/>
      <c r="K272" s="383"/>
      <c r="L272" s="384"/>
      <c r="M272" s="384"/>
      <c r="N272" s="148"/>
      <c r="O272" s="148"/>
      <c r="P272" s="148"/>
      <c r="Q272" s="248" t="s">
        <v>295</v>
      </c>
      <c r="R272" s="147"/>
      <c r="S272" s="150"/>
    </row>
    <row r="273" spans="3:20" ht="13.5" thickTop="1" thickBot="1" x14ac:dyDescent="0.25"/>
    <row r="274" spans="3:20" ht="12.75" thickBot="1" x14ac:dyDescent="0.25">
      <c r="C274" s="75" t="s">
        <v>13</v>
      </c>
      <c r="D274" s="76"/>
      <c r="E274" s="77">
        <v>17</v>
      </c>
      <c r="F274" s="76" t="str">
        <f>+VLOOKUP(E274,[7]Proponentes!$B$10:$D$81,2,FALSE())</f>
        <v>CONSORCIO INTERVENTORES AEROPORTUARIOS</v>
      </c>
      <c r="G274" s="77"/>
      <c r="H274" s="78"/>
      <c r="I274" s="78"/>
      <c r="J274" s="78"/>
      <c r="K274" s="78"/>
      <c r="L274" s="78"/>
      <c r="M274" s="78"/>
      <c r="N274" s="78"/>
      <c r="O274" s="78"/>
      <c r="P274" s="78"/>
      <c r="Q274" s="78"/>
      <c r="R274" s="78"/>
      <c r="S274" s="79"/>
      <c r="T274" s="80"/>
    </row>
    <row r="275" spans="3:20" x14ac:dyDescent="0.2">
      <c r="C275" s="373" t="s">
        <v>28</v>
      </c>
      <c r="D275" s="375" t="s">
        <v>29</v>
      </c>
      <c r="E275" s="375" t="s">
        <v>37</v>
      </c>
      <c r="F275" s="375" t="s">
        <v>20</v>
      </c>
      <c r="G275" s="375" t="s">
        <v>21</v>
      </c>
      <c r="H275" s="375" t="s">
        <v>22</v>
      </c>
      <c r="I275" s="375" t="s">
        <v>14</v>
      </c>
      <c r="J275" s="375" t="s">
        <v>15</v>
      </c>
      <c r="K275" s="375" t="s">
        <v>16</v>
      </c>
      <c r="L275" s="375" t="s">
        <v>56</v>
      </c>
      <c r="M275" s="375" t="s">
        <v>17</v>
      </c>
      <c r="N275" s="377" t="s">
        <v>18</v>
      </c>
      <c r="O275" s="378"/>
      <c r="P275" s="378"/>
      <c r="Q275" s="378"/>
      <c r="R275" s="378"/>
      <c r="S275" s="385"/>
      <c r="T275" s="403" t="s">
        <v>727</v>
      </c>
    </row>
    <row r="276" spans="3:20" ht="48.75" thickBot="1" x14ac:dyDescent="0.25">
      <c r="C276" s="374"/>
      <c r="D276" s="376"/>
      <c r="E276" s="376"/>
      <c r="F276" s="376"/>
      <c r="G276" s="376"/>
      <c r="H276" s="376"/>
      <c r="I276" s="376"/>
      <c r="J276" s="376"/>
      <c r="K276" s="376"/>
      <c r="L276" s="376"/>
      <c r="M276" s="376"/>
      <c r="N276" s="81" t="s">
        <v>23</v>
      </c>
      <c r="O276" s="81" t="s">
        <v>55</v>
      </c>
      <c r="P276" s="81" t="s">
        <v>148</v>
      </c>
      <c r="Q276" s="81" t="s">
        <v>413</v>
      </c>
      <c r="R276" s="82" t="s">
        <v>72</v>
      </c>
      <c r="S276" s="151" t="s">
        <v>71</v>
      </c>
      <c r="T276" s="403"/>
    </row>
    <row r="277" spans="3:20" ht="12.75" thickBot="1" x14ac:dyDescent="0.25">
      <c r="C277" s="167" t="s">
        <v>24</v>
      </c>
      <c r="D277" s="168"/>
      <c r="E277" s="169"/>
      <c r="F277" s="168"/>
      <c r="G277" s="169"/>
      <c r="H277" s="169"/>
      <c r="I277" s="169"/>
      <c r="J277" s="169"/>
      <c r="K277" s="169"/>
      <c r="L277" s="169"/>
      <c r="M277" s="169"/>
      <c r="N277" s="169"/>
      <c r="O277" s="169"/>
      <c r="P277" s="169"/>
      <c r="Q277" s="169"/>
      <c r="R277" s="169"/>
      <c r="S277" s="170"/>
      <c r="T277" s="125"/>
    </row>
    <row r="278" spans="3:20" ht="111" customHeight="1" thickBot="1" x14ac:dyDescent="0.25">
      <c r="C278" s="126">
        <v>1</v>
      </c>
      <c r="D278" s="127" t="s">
        <v>414</v>
      </c>
      <c r="E278" s="128" t="s">
        <v>415</v>
      </c>
      <c r="F278" s="127" t="s">
        <v>416</v>
      </c>
      <c r="G278" s="128" t="s">
        <v>57</v>
      </c>
      <c r="H278" s="129">
        <v>0.45</v>
      </c>
      <c r="I278" s="196" t="s">
        <v>417</v>
      </c>
      <c r="J278" s="130">
        <v>39866</v>
      </c>
      <c r="K278" s="130">
        <v>41213</v>
      </c>
      <c r="L278" s="131">
        <v>15</v>
      </c>
      <c r="M278" s="194">
        <v>8837910214</v>
      </c>
      <c r="N278" s="160">
        <f>8291206645*H278</f>
        <v>3731042990.25</v>
      </c>
      <c r="O278" s="120">
        <f>ROUND(IF(J278&lt;$I$4,0,IF(J278="",0,IF(OR(K278="---",K278=""),N278/LOOKUP(J278,[7]SMLM!$A$3:$A$36,[7]SMLM!$D$3:$D$36),N278/LOOKUP(J278,[7]SMLM!$A$3:$A$36,[7]SMLM!$D$3:$D$36)))),0)</f>
        <v>7509</v>
      </c>
      <c r="P278" s="133">
        <f>Requisitos!$I$9</f>
        <v>1350.6493506493507</v>
      </c>
      <c r="Q278" s="134" t="str">
        <f>+IF(O278&lt;&gt;0,IF(O278&gt;P278,"CUMPLE","NO CUMPE"),"")</f>
        <v>CUMPLE</v>
      </c>
      <c r="R278" s="134" t="s">
        <v>550</v>
      </c>
      <c r="S278" s="135" t="s">
        <v>708</v>
      </c>
      <c r="T278" s="144"/>
    </row>
    <row r="279" spans="3:20" ht="12.75" thickBot="1" x14ac:dyDescent="0.25">
      <c r="C279" s="83" t="s">
        <v>25</v>
      </c>
      <c r="D279" s="84"/>
      <c r="E279" s="85"/>
      <c r="F279" s="84"/>
      <c r="G279" s="85"/>
      <c r="H279" s="85"/>
      <c r="I279" s="85"/>
      <c r="J279" s="85"/>
      <c r="K279" s="85"/>
      <c r="L279" s="85"/>
      <c r="M279" s="85"/>
      <c r="N279" s="124"/>
      <c r="O279" s="85"/>
      <c r="P279" s="85"/>
      <c r="Q279" s="85"/>
      <c r="R279" s="85"/>
      <c r="S279" s="125"/>
      <c r="T279" s="125"/>
    </row>
    <row r="280" spans="3:20" ht="75.75" customHeight="1" thickBot="1" x14ac:dyDescent="0.25">
      <c r="C280" s="86">
        <v>1</v>
      </c>
      <c r="D280" s="87" t="s">
        <v>414</v>
      </c>
      <c r="E280" s="88" t="s">
        <v>415</v>
      </c>
      <c r="F280" s="87" t="s">
        <v>416</v>
      </c>
      <c r="G280" s="88" t="s">
        <v>57</v>
      </c>
      <c r="H280" s="90">
        <v>0.55000000000000004</v>
      </c>
      <c r="I280" s="88" t="s">
        <v>418</v>
      </c>
      <c r="J280" s="92">
        <v>39866</v>
      </c>
      <c r="K280" s="92">
        <v>41213</v>
      </c>
      <c r="L280" s="93">
        <v>15</v>
      </c>
      <c r="M280" s="172">
        <v>8458105601</v>
      </c>
      <c r="N280" s="160">
        <f>8291206645*H280</f>
        <v>4560163654.75</v>
      </c>
      <c r="O280" s="178">
        <f>ROUND(IF(J280&lt;$I$4,0,IF(J280="",0,IF(OR(K280="---",K280=""),N280/LOOKUP(J280,[7]SMLM!$A$3:$A$36,[7]SMLM!$D$3:$D$36),N280/LOOKUP(J280,[7]SMLM!$A$3:$A$36,[7]SMLM!$D$3:$D$36)))),0)</f>
        <v>9177</v>
      </c>
      <c r="P280" s="94">
        <f>+[7]Requisitos!$I$7</f>
        <v>1350.6493506493507</v>
      </c>
      <c r="Q280" s="97" t="str">
        <f>+IF(O280&lt;&gt;0,IF(O280&gt;P280,"CUMPLE","NO CUMPE"),"")</f>
        <v>CUMPLE</v>
      </c>
      <c r="R280" s="97" t="s">
        <v>551</v>
      </c>
      <c r="S280" s="98" t="s">
        <v>419</v>
      </c>
      <c r="T280" s="144"/>
    </row>
    <row r="281" spans="3:20" ht="128.25" customHeight="1" thickBot="1" x14ac:dyDescent="0.25">
      <c r="C281" s="112">
        <v>2</v>
      </c>
      <c r="D281" s="69" t="s">
        <v>420</v>
      </c>
      <c r="E281" s="113" t="s">
        <v>243</v>
      </c>
      <c r="F281" s="69" t="s">
        <v>421</v>
      </c>
      <c r="G281" s="113" t="s">
        <v>209</v>
      </c>
      <c r="H281" s="115">
        <v>0.5</v>
      </c>
      <c r="I281" s="116" t="s">
        <v>740</v>
      </c>
      <c r="J281" s="117">
        <v>39722</v>
      </c>
      <c r="K281" s="117">
        <v>41211</v>
      </c>
      <c r="L281" s="118"/>
      <c r="M281" s="165">
        <v>8423985805.0525761</v>
      </c>
      <c r="N281" s="95">
        <f>8291206645*H281</f>
        <v>4145603322.5</v>
      </c>
      <c r="O281" s="206">
        <f>ROUND(IF(J281&lt;$I$4,0,IF(J281="",0,IF(OR(K281="---",K281=""),N281/LOOKUP(J281,[7]SMLM!$A$3:$A$36,[7]SMLM!$D$3:$D$36),N281/LOOKUP(J281,[7]SMLM!$A$3:$A$36,[7]SMLM!$D$3:$D$36)))),0)</f>
        <v>8983</v>
      </c>
      <c r="P281" s="119">
        <f>+[7]Requisitos!$I$7</f>
        <v>1350.6493506493507</v>
      </c>
      <c r="Q281" s="134" t="str">
        <f>+IF(O281&lt;&gt;0,IF(O281&gt;P281,"CUMPLE","NO CUMPE"),"")</f>
        <v>CUMPLE</v>
      </c>
      <c r="R281" s="121" t="s">
        <v>552</v>
      </c>
      <c r="S281" s="122" t="s">
        <v>709</v>
      </c>
      <c r="T281" s="149"/>
    </row>
    <row r="282" spans="3:20" x14ac:dyDescent="0.2">
      <c r="C282" s="83"/>
      <c r="D282" s="84"/>
      <c r="E282" s="85"/>
      <c r="F282" s="84"/>
      <c r="G282" s="85"/>
      <c r="H282" s="85"/>
      <c r="I282" s="85"/>
      <c r="J282" s="85"/>
      <c r="K282" s="85"/>
      <c r="L282" s="85"/>
      <c r="M282" s="85"/>
      <c r="N282" s="85"/>
      <c r="O282" s="207"/>
      <c r="P282" s="85"/>
      <c r="Q282" s="85"/>
      <c r="R282" s="85"/>
      <c r="S282" s="125"/>
    </row>
    <row r="283" spans="3:20" ht="12.75" thickBot="1" x14ac:dyDescent="0.25">
      <c r="C283" s="83"/>
      <c r="D283" s="84"/>
      <c r="E283" s="85"/>
      <c r="F283" s="84"/>
      <c r="G283" s="85"/>
      <c r="H283" s="85"/>
      <c r="I283" s="85"/>
      <c r="J283" s="85"/>
      <c r="K283" s="85"/>
      <c r="L283" s="85"/>
      <c r="M283" s="85"/>
      <c r="N283" s="85"/>
      <c r="O283" s="85"/>
      <c r="P283" s="85"/>
      <c r="Q283" s="85"/>
      <c r="R283" s="85"/>
      <c r="S283" s="125"/>
    </row>
    <row r="284" spans="3:20" x14ac:dyDescent="0.2">
      <c r="C284" s="83"/>
      <c r="D284" s="84"/>
      <c r="E284" s="85"/>
      <c r="F284" s="84"/>
      <c r="G284" s="85"/>
      <c r="H284" s="85"/>
      <c r="I284" s="85"/>
      <c r="J284" s="85"/>
      <c r="K284" s="379"/>
      <c r="L284" s="380"/>
      <c r="M284" s="380"/>
      <c r="N284" s="137" t="s">
        <v>59</v>
      </c>
      <c r="O284" s="137" t="s">
        <v>26</v>
      </c>
      <c r="P284" s="138" t="s">
        <v>60</v>
      </c>
      <c r="Q284" s="139"/>
      <c r="R284" s="85"/>
      <c r="S284" s="125"/>
    </row>
    <row r="285" spans="3:20" x14ac:dyDescent="0.2">
      <c r="C285" s="83"/>
      <c r="D285" s="84"/>
      <c r="E285" s="85"/>
      <c r="F285" s="84"/>
      <c r="G285" s="85"/>
      <c r="H285" s="85"/>
      <c r="I285" s="85"/>
      <c r="J285" s="85"/>
      <c r="K285" s="381" t="s">
        <v>168</v>
      </c>
      <c r="L285" s="382"/>
      <c r="M285" s="382"/>
      <c r="N285" s="141">
        <f>+SUMAGEN</f>
        <v>6541634245</v>
      </c>
      <c r="O285" s="142">
        <f>[4]Requisitos!$I$3</f>
        <v>10609.20247324035</v>
      </c>
      <c r="P285" s="143">
        <f>+SUM(O278:O278,O280:O281)</f>
        <v>25669</v>
      </c>
      <c r="Q285" s="144" t="str">
        <f>+IF(P285&gt;Requisitos!$I$6,"CUMPLE","NO CUMPLE")</f>
        <v>CUMPLE</v>
      </c>
      <c r="R285" s="85"/>
      <c r="S285" s="125"/>
    </row>
    <row r="286" spans="3:20" x14ac:dyDescent="0.2">
      <c r="C286" s="83"/>
      <c r="D286" s="84"/>
      <c r="E286" s="85"/>
      <c r="F286" s="84"/>
      <c r="G286" s="85"/>
      <c r="H286" s="85"/>
      <c r="I286" s="85"/>
      <c r="J286" s="85"/>
      <c r="K286" s="381" t="s">
        <v>104</v>
      </c>
      <c r="L286" s="382"/>
      <c r="M286" s="382"/>
      <c r="N286" s="141">
        <f>+LIDERGEN</f>
        <v>3336233464.9500003</v>
      </c>
      <c r="O286" s="142">
        <f>[4]Requisitos!$I$8</f>
        <v>5415.9634171266234</v>
      </c>
      <c r="P286" s="143">
        <f>+SUM(O278:O278)</f>
        <v>7509</v>
      </c>
      <c r="Q286" s="144" t="str">
        <f>+IF(P286&gt;[7]Requisitos!I257,"CUMPLE","NO CUMPLE")</f>
        <v>CUMPLE</v>
      </c>
      <c r="R286" s="85"/>
      <c r="S286" s="125"/>
    </row>
    <row r="287" spans="3:20" ht="12.75" thickBot="1" x14ac:dyDescent="0.25">
      <c r="C287" s="145"/>
      <c r="D287" s="146"/>
      <c r="E287" s="147"/>
      <c r="F287" s="146"/>
      <c r="G287" s="147"/>
      <c r="H287" s="147"/>
      <c r="I287" s="147"/>
      <c r="J287" s="147"/>
      <c r="K287" s="383"/>
      <c r="L287" s="384"/>
      <c r="M287" s="384"/>
      <c r="N287" s="148"/>
      <c r="O287" s="148"/>
      <c r="P287" s="148"/>
      <c r="Q287" s="149" t="str">
        <f>+IF(Q285="CUMPLE",IF(Q286="CUMPLE","HÁBIL","NO CUMPLE"),"NO CUMPLE")</f>
        <v>HÁBIL</v>
      </c>
      <c r="R287" s="147"/>
      <c r="S287" s="150"/>
    </row>
    <row r="288" spans="3:20" ht="13.5" thickTop="1" thickBot="1" x14ac:dyDescent="0.25"/>
    <row r="289" spans="3:20" ht="12.75" thickBot="1" x14ac:dyDescent="0.25">
      <c r="C289" s="75" t="s">
        <v>13</v>
      </c>
      <c r="D289" s="76"/>
      <c r="E289" s="77">
        <v>18</v>
      </c>
      <c r="F289" s="76" t="str">
        <f>+VLOOKUP(E289,[7]Proponentes!$B$10:$D$81,2,FALSE())</f>
        <v>CONSORCIO ECOPIDDO</v>
      </c>
      <c r="G289" s="77"/>
      <c r="H289" s="78"/>
      <c r="I289" s="78"/>
      <c r="J289" s="78"/>
      <c r="K289" s="78"/>
      <c r="L289" s="78"/>
      <c r="M289" s="78"/>
      <c r="N289" s="78"/>
      <c r="O289" s="78"/>
      <c r="P289" s="78"/>
      <c r="Q289" s="78"/>
      <c r="R289" s="78"/>
      <c r="S289" s="79"/>
      <c r="T289" s="80"/>
    </row>
    <row r="290" spans="3:20" x14ac:dyDescent="0.2">
      <c r="C290" s="373" t="s">
        <v>28</v>
      </c>
      <c r="D290" s="375" t="s">
        <v>29</v>
      </c>
      <c r="E290" s="375" t="s">
        <v>37</v>
      </c>
      <c r="F290" s="375" t="s">
        <v>20</v>
      </c>
      <c r="G290" s="375" t="s">
        <v>21</v>
      </c>
      <c r="H290" s="375" t="s">
        <v>22</v>
      </c>
      <c r="I290" s="375" t="s">
        <v>14</v>
      </c>
      <c r="J290" s="375" t="s">
        <v>15</v>
      </c>
      <c r="K290" s="375" t="s">
        <v>16</v>
      </c>
      <c r="L290" s="375" t="s">
        <v>56</v>
      </c>
      <c r="M290" s="375" t="s">
        <v>17</v>
      </c>
      <c r="N290" s="377" t="s">
        <v>18</v>
      </c>
      <c r="O290" s="378"/>
      <c r="P290" s="378"/>
      <c r="Q290" s="378"/>
      <c r="R290" s="378"/>
      <c r="S290" s="385"/>
      <c r="T290" s="403" t="s">
        <v>727</v>
      </c>
    </row>
    <row r="291" spans="3:20" ht="48.75" thickBot="1" x14ac:dyDescent="0.25">
      <c r="C291" s="374"/>
      <c r="D291" s="376"/>
      <c r="E291" s="376"/>
      <c r="F291" s="376"/>
      <c r="G291" s="376"/>
      <c r="H291" s="376"/>
      <c r="I291" s="376"/>
      <c r="J291" s="376"/>
      <c r="K291" s="376"/>
      <c r="L291" s="376"/>
      <c r="M291" s="376"/>
      <c r="N291" s="81" t="s">
        <v>23</v>
      </c>
      <c r="O291" s="81" t="s">
        <v>55</v>
      </c>
      <c r="P291" s="81" t="s">
        <v>148</v>
      </c>
      <c r="Q291" s="81" t="s">
        <v>413</v>
      </c>
      <c r="R291" s="82" t="s">
        <v>72</v>
      </c>
      <c r="S291" s="151" t="s">
        <v>71</v>
      </c>
      <c r="T291" s="403"/>
    </row>
    <row r="292" spans="3:20" ht="12.75" thickBot="1" x14ac:dyDescent="0.25">
      <c r="C292" s="167" t="s">
        <v>24</v>
      </c>
      <c r="D292" s="168"/>
      <c r="E292" s="169"/>
      <c r="F292" s="168"/>
      <c r="G292" s="169"/>
      <c r="H292" s="169"/>
      <c r="I292" s="169"/>
      <c r="J292" s="169"/>
      <c r="K292" s="169"/>
      <c r="L292" s="169"/>
      <c r="M292" s="169"/>
      <c r="N292" s="169"/>
      <c r="O292" s="169"/>
      <c r="P292" s="169"/>
      <c r="Q292" s="169"/>
      <c r="R292" s="169"/>
      <c r="S292" s="170"/>
      <c r="T292" s="125"/>
    </row>
    <row r="293" spans="3:20" ht="103.5" customHeight="1" thickBot="1" x14ac:dyDescent="0.25">
      <c r="C293" s="86">
        <v>1</v>
      </c>
      <c r="D293" s="87" t="s">
        <v>9</v>
      </c>
      <c r="E293" s="88" t="s">
        <v>422</v>
      </c>
      <c r="F293" s="87" t="s">
        <v>423</v>
      </c>
      <c r="G293" s="88" t="s">
        <v>57</v>
      </c>
      <c r="H293" s="90">
        <v>0.5</v>
      </c>
      <c r="I293" s="91" t="s">
        <v>424</v>
      </c>
      <c r="J293" s="92">
        <v>41059</v>
      </c>
      <c r="K293" s="92" t="s">
        <v>249</v>
      </c>
      <c r="L293" s="93">
        <v>15</v>
      </c>
      <c r="M293" s="172">
        <v>4122865101</v>
      </c>
      <c r="N293" s="160">
        <f>+M293*H293</f>
        <v>2061432550.5</v>
      </c>
      <c r="O293" s="96">
        <f>ROUND(IF(J293&lt;$I$4,0,IF(J293="",0,IF(OR(K293="---",K293=""),N293/LOOKUP(J293,[7]SMLM!$A$3:$A$36,[7]SMLM!$D$3:$D$36),N293/LOOKUP(J293,[7]SMLM!$A$3:$A$36,[7]SMLM!$D$3:$D$36)))),0)</f>
        <v>3638</v>
      </c>
      <c r="P293" s="94">
        <f>Requisitos!$I$9</f>
        <v>1350.6493506493507</v>
      </c>
      <c r="Q293" s="97" t="str">
        <f>+IF(O293&lt;&gt;0,IF(O293&gt;P293,"CUMPLE","NO CUMPLE"),"")</f>
        <v>CUMPLE</v>
      </c>
      <c r="R293" s="134" t="s">
        <v>249</v>
      </c>
      <c r="S293" s="98" t="s">
        <v>426</v>
      </c>
      <c r="T293" s="144"/>
    </row>
    <row r="294" spans="3:20" ht="60" customHeight="1" x14ac:dyDescent="0.2">
      <c r="C294" s="100">
        <v>2</v>
      </c>
      <c r="D294" s="101" t="s">
        <v>427</v>
      </c>
      <c r="E294" s="102" t="s">
        <v>243</v>
      </c>
      <c r="F294" s="101" t="s">
        <v>428</v>
      </c>
      <c r="G294" s="102" t="s">
        <v>362</v>
      </c>
      <c r="H294" s="104">
        <v>1</v>
      </c>
      <c r="I294" s="105" t="s">
        <v>424</v>
      </c>
      <c r="J294" s="106">
        <v>40652</v>
      </c>
      <c r="K294" s="106">
        <v>40957</v>
      </c>
      <c r="L294" s="107">
        <v>15</v>
      </c>
      <c r="M294" s="179">
        <v>2241158621.0466552</v>
      </c>
      <c r="N294" s="180">
        <f>+M294*H294</f>
        <v>2241158621.0466552</v>
      </c>
      <c r="O294" s="181">
        <f>ROUND(IF(J294&lt;$I$4,0,IF(J294="",0,IF(OR(K294="---",K294=""),N294/LOOKUP(J294,[7]SMLM!$A$3:$A$36,[7]SMLM!$D$3:$D$36),N294/LOOKUP(J294,[7]SMLM!$A$3:$A$36,[7]SMLM!$D$3:$D$36)))),0)</f>
        <v>4184</v>
      </c>
      <c r="P294" s="108">
        <f>Requisitos!$I$9</f>
        <v>1350.6493506493507</v>
      </c>
      <c r="Q294" s="109" t="str">
        <f>+IF(O294&lt;&gt;0,IF(O294&gt;P294,"CUMPLE","NO CUMPLE"),"")</f>
        <v>CUMPLE</v>
      </c>
      <c r="R294" s="264" t="s">
        <v>553</v>
      </c>
      <c r="S294" s="110" t="s">
        <v>429</v>
      </c>
      <c r="T294" s="144"/>
    </row>
    <row r="295" spans="3:20" ht="72.75" customHeight="1" thickBot="1" x14ac:dyDescent="0.25">
      <c r="C295" s="112">
        <v>3</v>
      </c>
      <c r="D295" s="69" t="s">
        <v>430</v>
      </c>
      <c r="E295" s="102" t="s">
        <v>243</v>
      </c>
      <c r="F295" s="69" t="s">
        <v>431</v>
      </c>
      <c r="G295" s="113" t="s">
        <v>362</v>
      </c>
      <c r="H295" s="115">
        <v>1</v>
      </c>
      <c r="I295" s="116" t="s">
        <v>424</v>
      </c>
      <c r="J295" s="117">
        <v>39513</v>
      </c>
      <c r="K295" s="117">
        <v>40084</v>
      </c>
      <c r="L295" s="118">
        <v>15</v>
      </c>
      <c r="M295" s="175">
        <v>1069915082.4712452</v>
      </c>
      <c r="N295" s="165">
        <f>+M295*H295</f>
        <v>1069915082.4712452</v>
      </c>
      <c r="O295" s="156">
        <f>ROUND(IF(J295&lt;$I$4,0,IF(J295="",0,IF(OR(K295="---",K295=""),N295/LOOKUP(J295,[7]SMLM!$A$3:$A$36,[7]SMLM!$D$3:$D$36),N295/LOOKUP(J295,[7]SMLM!$A$3:$A$36,[7]SMLM!$D$3:$D$36)))),0)</f>
        <v>2318</v>
      </c>
      <c r="P295" s="119">
        <f>Requisitos!$I$9</f>
        <v>1350.6493506493507</v>
      </c>
      <c r="Q295" s="121" t="str">
        <f>+IF(O295&lt;&gt;0,IF(O295&gt;P295,"CUMPLE","NO CUMPLE"),"")</f>
        <v>CUMPLE</v>
      </c>
      <c r="R295" s="121" t="s">
        <v>554</v>
      </c>
      <c r="S295" s="122" t="s">
        <v>432</v>
      </c>
      <c r="T295" s="144"/>
    </row>
    <row r="296" spans="3:20" ht="12.75" thickBot="1" x14ac:dyDescent="0.25">
      <c r="C296" s="83" t="s">
        <v>25</v>
      </c>
      <c r="D296" s="84"/>
      <c r="E296" s="85"/>
      <c r="F296" s="84"/>
      <c r="G296" s="85"/>
      <c r="H296" s="85"/>
      <c r="I296" s="85"/>
      <c r="J296" s="85"/>
      <c r="K296" s="85"/>
      <c r="L296" s="85"/>
      <c r="M296" s="85"/>
      <c r="N296" s="124"/>
      <c r="O296" s="162"/>
      <c r="P296" s="265"/>
      <c r="Q296" s="266"/>
      <c r="R296" s="85"/>
      <c r="S296" s="125"/>
      <c r="T296" s="125"/>
    </row>
    <row r="297" spans="3:20" ht="67.5" customHeight="1" thickBot="1" x14ac:dyDescent="0.25">
      <c r="C297" s="126">
        <v>1</v>
      </c>
      <c r="D297" s="127" t="s">
        <v>212</v>
      </c>
      <c r="E297" s="128" t="s">
        <v>433</v>
      </c>
      <c r="F297" s="127" t="s">
        <v>434</v>
      </c>
      <c r="G297" s="128" t="s">
        <v>57</v>
      </c>
      <c r="H297" s="129">
        <v>0.15</v>
      </c>
      <c r="I297" s="128" t="s">
        <v>435</v>
      </c>
      <c r="J297" s="130">
        <v>40487</v>
      </c>
      <c r="K297" s="130" t="s">
        <v>249</v>
      </c>
      <c r="L297" s="131">
        <v>15</v>
      </c>
      <c r="M297" s="194">
        <v>14712333043</v>
      </c>
      <c r="N297" s="165">
        <f>+M297*H297</f>
        <v>2206849956.4499998</v>
      </c>
      <c r="O297" s="195">
        <f>ROUND(IF(J297&lt;$I$4,0,IF(J297="",0,IF(OR(K297="---",K297=""),N297/LOOKUP(J297,[7]SMLM!$A$3:$A$36,[7]SMLM!$D$3:$D$36),N297/LOOKUP(J297,[7]SMLM!$A$3:$A$36,[7]SMLM!$D$3:$D$36)))),0)</f>
        <v>4285</v>
      </c>
      <c r="P297" s="133">
        <f>+[7]Requisitos!$I$7</f>
        <v>1350.6493506493507</v>
      </c>
      <c r="Q297" s="134" t="str">
        <f>+IF(O297&lt;&gt;0,IF(O297&gt;P297,"CUMPLE","NO CUMPE"),"")</f>
        <v>CUMPLE</v>
      </c>
      <c r="R297" s="134" t="s">
        <v>249</v>
      </c>
      <c r="S297" s="135" t="s">
        <v>436</v>
      </c>
      <c r="T297" s="149"/>
    </row>
    <row r="298" spans="3:20" x14ac:dyDescent="0.2">
      <c r="C298" s="83"/>
      <c r="D298" s="84"/>
      <c r="E298" s="85"/>
      <c r="F298" s="84"/>
      <c r="G298" s="85"/>
      <c r="H298" s="85"/>
      <c r="I298" s="85"/>
      <c r="J298" s="85"/>
      <c r="K298" s="85"/>
      <c r="L298" s="85"/>
      <c r="M298" s="85"/>
      <c r="N298" s="85"/>
      <c r="O298" s="162"/>
      <c r="P298" s="85"/>
      <c r="Q298" s="85"/>
      <c r="R298" s="85"/>
      <c r="S298" s="125"/>
    </row>
    <row r="299" spans="3:20" ht="12.75" thickBot="1" x14ac:dyDescent="0.25">
      <c r="C299" s="83"/>
      <c r="D299" s="84"/>
      <c r="E299" s="85"/>
      <c r="F299" s="84"/>
      <c r="G299" s="85"/>
      <c r="H299" s="85"/>
      <c r="I299" s="85"/>
      <c r="J299" s="85"/>
      <c r="K299" s="85"/>
      <c r="L299" s="85"/>
      <c r="M299" s="85"/>
      <c r="N299" s="85"/>
      <c r="O299" s="85"/>
      <c r="P299" s="85"/>
      <c r="Q299" s="85"/>
      <c r="R299" s="85"/>
      <c r="S299" s="125"/>
    </row>
    <row r="300" spans="3:20" x14ac:dyDescent="0.2">
      <c r="C300" s="83"/>
      <c r="D300" s="84"/>
      <c r="E300" s="85"/>
      <c r="F300" s="84"/>
      <c r="G300" s="85"/>
      <c r="H300" s="85"/>
      <c r="I300" s="85"/>
      <c r="J300" s="85"/>
      <c r="K300" s="379"/>
      <c r="L300" s="380"/>
      <c r="M300" s="380"/>
      <c r="N300" s="137" t="s">
        <v>59</v>
      </c>
      <c r="O300" s="137" t="s">
        <v>26</v>
      </c>
      <c r="P300" s="138" t="s">
        <v>60</v>
      </c>
      <c r="Q300" s="139"/>
      <c r="R300" s="85"/>
      <c r="S300" s="125"/>
    </row>
    <row r="301" spans="3:20" x14ac:dyDescent="0.2">
      <c r="C301" s="83"/>
      <c r="D301" s="84"/>
      <c r="E301" s="85"/>
      <c r="F301" s="84"/>
      <c r="G301" s="85"/>
      <c r="H301" s="85"/>
      <c r="I301" s="85"/>
      <c r="J301" s="85"/>
      <c r="K301" s="381" t="s">
        <v>168</v>
      </c>
      <c r="L301" s="382"/>
      <c r="M301" s="382"/>
      <c r="N301" s="141">
        <f>+SUMAGEN</f>
        <v>6541634245</v>
      </c>
      <c r="O301" s="142">
        <f>[4]Requisitos!$I$3</f>
        <v>10609.20247324035</v>
      </c>
      <c r="P301" s="143">
        <f>+SUM(O293:O295)+O297</f>
        <v>14425</v>
      </c>
      <c r="Q301" s="144" t="str">
        <f>+IF(P301&gt;[7]Requisitos!I270,"CUMPLE","NO CUMPLE")</f>
        <v>CUMPLE</v>
      </c>
      <c r="R301" s="85"/>
      <c r="S301" s="125"/>
    </row>
    <row r="302" spans="3:20" x14ac:dyDescent="0.2">
      <c r="C302" s="83"/>
      <c r="D302" s="84"/>
      <c r="E302" s="85"/>
      <c r="F302" s="84"/>
      <c r="G302" s="85"/>
      <c r="H302" s="85"/>
      <c r="I302" s="85"/>
      <c r="J302" s="85"/>
      <c r="K302" s="381" t="s">
        <v>104</v>
      </c>
      <c r="L302" s="382"/>
      <c r="M302" s="382"/>
      <c r="N302" s="141">
        <f>+LIDERGEN</f>
        <v>3336233464.9500003</v>
      </c>
      <c r="O302" s="142">
        <f>[4]Requisitos!$I$8</f>
        <v>5415.9634171266234</v>
      </c>
      <c r="P302" s="143">
        <f>SUM(O293:O295)</f>
        <v>10140</v>
      </c>
      <c r="Q302" s="144" t="str">
        <f>+IF(P302&gt;[7]Requisitos!I272,"CUMPLE","NO CUMPLE")</f>
        <v>CUMPLE</v>
      </c>
      <c r="R302" s="85"/>
      <c r="S302" s="125"/>
    </row>
    <row r="303" spans="3:20" ht="12.75" thickBot="1" x14ac:dyDescent="0.25">
      <c r="C303" s="145"/>
      <c r="D303" s="146"/>
      <c r="E303" s="147"/>
      <c r="F303" s="146"/>
      <c r="G303" s="147"/>
      <c r="H303" s="147"/>
      <c r="I303" s="147"/>
      <c r="J303" s="147"/>
      <c r="K303" s="383"/>
      <c r="L303" s="384"/>
      <c r="M303" s="384"/>
      <c r="N303" s="148"/>
      <c r="O303" s="148"/>
      <c r="P303" s="148"/>
      <c r="Q303" s="149" t="str">
        <f>+IF(Q301="CUMPLE",IF(Q302="CUMPLE","HÁBIL","NO CUMPLE"),"NO CUMPLE")</f>
        <v>HÁBIL</v>
      </c>
      <c r="R303" s="147"/>
      <c r="S303" s="150"/>
    </row>
    <row r="304" spans="3:20" ht="13.5" thickTop="1" thickBot="1" x14ac:dyDescent="0.25"/>
    <row r="305" spans="3:20" ht="12.75" thickBot="1" x14ac:dyDescent="0.25">
      <c r="C305" s="75" t="s">
        <v>13</v>
      </c>
      <c r="D305" s="76"/>
      <c r="E305" s="77">
        <v>19</v>
      </c>
      <c r="F305" s="76" t="str">
        <f>+VLOOKUP(E305,[7]Proponentes!$B$10:$D$81,2,FALSE())</f>
        <v>CONSORCIO INCOPLAN INTEGRAL SEG CALI</v>
      </c>
      <c r="G305" s="78"/>
      <c r="H305" s="78"/>
      <c r="I305" s="78"/>
      <c r="J305" s="78"/>
      <c r="K305" s="78"/>
      <c r="L305" s="78"/>
      <c r="M305" s="78"/>
      <c r="N305" s="78"/>
      <c r="O305" s="78"/>
      <c r="P305" s="267"/>
      <c r="Q305" s="78"/>
      <c r="R305" s="78"/>
      <c r="S305" s="79"/>
      <c r="T305" s="80"/>
    </row>
    <row r="306" spans="3:20" x14ac:dyDescent="0.2">
      <c r="C306" s="373" t="s">
        <v>28</v>
      </c>
      <c r="D306" s="375" t="s">
        <v>29</v>
      </c>
      <c r="E306" s="375" t="s">
        <v>37</v>
      </c>
      <c r="F306" s="375" t="s">
        <v>20</v>
      </c>
      <c r="G306" s="375" t="s">
        <v>21</v>
      </c>
      <c r="H306" s="375" t="s">
        <v>22</v>
      </c>
      <c r="I306" s="375" t="s">
        <v>14</v>
      </c>
      <c r="J306" s="375" t="s">
        <v>15</v>
      </c>
      <c r="K306" s="375" t="s">
        <v>16</v>
      </c>
      <c r="L306" s="375" t="s">
        <v>56</v>
      </c>
      <c r="M306" s="375" t="s">
        <v>17</v>
      </c>
      <c r="N306" s="377" t="s">
        <v>18</v>
      </c>
      <c r="O306" s="378"/>
      <c r="P306" s="378"/>
      <c r="Q306" s="378"/>
      <c r="R306" s="378"/>
      <c r="S306" s="385"/>
      <c r="T306" s="403" t="s">
        <v>727</v>
      </c>
    </row>
    <row r="307" spans="3:20" ht="48.75" thickBot="1" x14ac:dyDescent="0.25">
      <c r="C307" s="374"/>
      <c r="D307" s="376"/>
      <c r="E307" s="376"/>
      <c r="F307" s="376"/>
      <c r="G307" s="376"/>
      <c r="H307" s="376"/>
      <c r="I307" s="376"/>
      <c r="J307" s="376"/>
      <c r="K307" s="376"/>
      <c r="L307" s="376"/>
      <c r="M307" s="376"/>
      <c r="N307" s="81" t="s">
        <v>23</v>
      </c>
      <c r="O307" s="81" t="s">
        <v>55</v>
      </c>
      <c r="P307" s="81" t="s">
        <v>148</v>
      </c>
      <c r="Q307" s="81" t="s">
        <v>413</v>
      </c>
      <c r="R307" s="82" t="s">
        <v>72</v>
      </c>
      <c r="S307" s="151" t="s">
        <v>71</v>
      </c>
      <c r="T307" s="403"/>
    </row>
    <row r="308" spans="3:20" ht="12.75" thickBot="1" x14ac:dyDescent="0.25">
      <c r="C308" s="167" t="s">
        <v>24</v>
      </c>
      <c r="D308" s="168"/>
      <c r="E308" s="169"/>
      <c r="F308" s="168"/>
      <c r="G308" s="169"/>
      <c r="H308" s="169"/>
      <c r="I308" s="169"/>
      <c r="J308" s="169"/>
      <c r="K308" s="169"/>
      <c r="L308" s="169"/>
      <c r="M308" s="169"/>
      <c r="N308" s="169"/>
      <c r="O308" s="169"/>
      <c r="P308" s="268"/>
      <c r="Q308" s="169"/>
      <c r="R308" s="169"/>
      <c r="S308" s="170"/>
      <c r="T308" s="125"/>
    </row>
    <row r="309" spans="3:20" ht="88.5" customHeight="1" thickBot="1" x14ac:dyDescent="0.25">
      <c r="C309" s="86">
        <v>1</v>
      </c>
      <c r="D309" s="87" t="s">
        <v>437</v>
      </c>
      <c r="E309" s="88" t="s">
        <v>438</v>
      </c>
      <c r="F309" s="87" t="s">
        <v>439</v>
      </c>
      <c r="G309" s="88" t="s">
        <v>57</v>
      </c>
      <c r="H309" s="90">
        <v>0.6</v>
      </c>
      <c r="I309" s="91" t="s">
        <v>440</v>
      </c>
      <c r="J309" s="92">
        <v>39970</v>
      </c>
      <c r="K309" s="92" t="s">
        <v>249</v>
      </c>
      <c r="L309" s="93">
        <v>15</v>
      </c>
      <c r="M309" s="172">
        <v>14668936600</v>
      </c>
      <c r="N309" s="165">
        <f>+M309*H309</f>
        <v>8801361960</v>
      </c>
      <c r="O309" s="96">
        <f>ROUND(IF(J309&lt;$I$4,0,IF(J309="",0,IF(OR(K309="---",K309=""),N309/LOOKUP(J309,[7]SMLM!$A$3:$A$36,[7]SMLM!$D$3:$D$36),N309/LOOKUP(J309,[7]SMLM!$A$3:$A$36,[7]SMLM!$D$3:$D$36)))),0)</f>
        <v>17713</v>
      </c>
      <c r="P309" s="94">
        <f>Requisitos!$I$9</f>
        <v>1350.6493506493507</v>
      </c>
      <c r="Q309" s="97" t="str">
        <f>+IF(O309&lt;&gt;0,IF(O309&gt;P309,"CUMPLE","NO CUMPE"),"")</f>
        <v>CUMPLE</v>
      </c>
      <c r="R309" s="92" t="s">
        <v>249</v>
      </c>
      <c r="S309" s="98" t="s">
        <v>441</v>
      </c>
      <c r="T309" s="144"/>
    </row>
    <row r="310" spans="3:20" ht="321.75" customHeight="1" thickBot="1" x14ac:dyDescent="0.25">
      <c r="C310" s="112">
        <v>2</v>
      </c>
      <c r="D310" s="69" t="s">
        <v>9</v>
      </c>
      <c r="E310" s="113" t="s">
        <v>442</v>
      </c>
      <c r="F310" s="69" t="s">
        <v>443</v>
      </c>
      <c r="G310" s="113" t="s">
        <v>57</v>
      </c>
      <c r="H310" s="115">
        <v>0.45</v>
      </c>
      <c r="I310" s="116" t="s">
        <v>440</v>
      </c>
      <c r="J310" s="117">
        <v>40954</v>
      </c>
      <c r="K310" s="117" t="s">
        <v>249</v>
      </c>
      <c r="L310" s="118">
        <v>15</v>
      </c>
      <c r="M310" s="175">
        <v>3756935517</v>
      </c>
      <c r="N310" s="165">
        <f>+M310*H310</f>
        <v>1690620982.6500001</v>
      </c>
      <c r="O310" s="156">
        <f>ROUND(IF(J310&lt;$I$4,0,IF(J310="",0,IF(OR(K310="---",K310=""),N310/LOOKUP(J310,[7]SMLM!$A$3:$A$36,[7]SMLM!$D$3:$D$36),N310/LOOKUP(J310,[7]SMLM!$A$3:$A$36,[7]SMLM!$D$3:$D$36)))),0)</f>
        <v>2983</v>
      </c>
      <c r="P310" s="119">
        <f>Requisitos!$I$9</f>
        <v>1350.6493506493507</v>
      </c>
      <c r="Q310" s="121" t="str">
        <f>+IF(O310&lt;&gt;0,IF(O310&gt;P310,"CUMPLE","NO CUMPE"),"")</f>
        <v>CUMPLE</v>
      </c>
      <c r="R310" s="92" t="s">
        <v>249</v>
      </c>
      <c r="S310" s="122" t="s">
        <v>444</v>
      </c>
      <c r="T310" s="144"/>
    </row>
    <row r="311" spans="3:20" ht="12.75" thickBot="1" x14ac:dyDescent="0.25">
      <c r="C311" s="83" t="s">
        <v>25</v>
      </c>
      <c r="D311" s="84"/>
      <c r="E311" s="85"/>
      <c r="F311" s="84"/>
      <c r="G311" s="85"/>
      <c r="H311" s="85"/>
      <c r="I311" s="85"/>
      <c r="J311" s="85"/>
      <c r="K311" s="85"/>
      <c r="L311" s="85"/>
      <c r="M311" s="85"/>
      <c r="N311" s="124"/>
      <c r="O311" s="162"/>
      <c r="P311" s="177"/>
      <c r="Q311" s="266"/>
      <c r="R311" s="85"/>
      <c r="S311" s="125"/>
      <c r="T311" s="125"/>
    </row>
    <row r="312" spans="3:20" ht="71.25" customHeight="1" thickBot="1" x14ac:dyDescent="0.25">
      <c r="C312" s="86">
        <v>1</v>
      </c>
      <c r="D312" s="87" t="s">
        <v>445</v>
      </c>
      <c r="E312" s="88" t="s">
        <v>243</v>
      </c>
      <c r="F312" s="87" t="s">
        <v>446</v>
      </c>
      <c r="G312" s="88" t="s">
        <v>209</v>
      </c>
      <c r="H312" s="90">
        <v>0.5</v>
      </c>
      <c r="I312" s="88" t="s">
        <v>447</v>
      </c>
      <c r="J312" s="92">
        <v>38693</v>
      </c>
      <c r="K312" s="92">
        <v>40907</v>
      </c>
      <c r="L312" s="93">
        <v>15</v>
      </c>
      <c r="M312" s="172">
        <v>4867092280.7460384</v>
      </c>
      <c r="N312" s="165">
        <f>+M312*H312</f>
        <v>2433546140.3730192</v>
      </c>
      <c r="O312" s="96">
        <f>ROUND(IF(J312&lt;$I$4,0,IF(J312="",0,IF(OR(K312="---",K312=""),N312/LOOKUP(J312,[7]SMLM!$A$3:$A$36,[7]SMLM!$D$3:$D$36),N312/LOOKUP(J312,[7]SMLM!$A$3:$A$36,[7]SMLM!$D$3:$D$36)))),0)</f>
        <v>6379</v>
      </c>
      <c r="P312" s="94">
        <f>+[7]Requisitos!$I$7</f>
        <v>1350.6493506493507</v>
      </c>
      <c r="Q312" s="97" t="str">
        <f>+IF(O312&lt;&gt;0,IF(O312&gt;P312,"CUMPLE","NO CUMPE"),"")</f>
        <v>CUMPLE</v>
      </c>
      <c r="R312" s="269" t="s">
        <v>555</v>
      </c>
      <c r="S312" s="98" t="s">
        <v>448</v>
      </c>
      <c r="T312" s="144"/>
    </row>
    <row r="313" spans="3:20" ht="96" customHeight="1" thickBot="1" x14ac:dyDescent="0.25">
      <c r="C313" s="112">
        <v>2</v>
      </c>
      <c r="D313" s="69" t="s">
        <v>212</v>
      </c>
      <c r="E313" s="113" t="s">
        <v>449</v>
      </c>
      <c r="F313" s="69" t="s">
        <v>450</v>
      </c>
      <c r="G313" s="113" t="s">
        <v>57</v>
      </c>
      <c r="H313" s="115">
        <v>0.65</v>
      </c>
      <c r="I313" s="113" t="s">
        <v>451</v>
      </c>
      <c r="J313" s="117">
        <v>40063</v>
      </c>
      <c r="K313" s="117" t="s">
        <v>249</v>
      </c>
      <c r="L313" s="118">
        <v>15</v>
      </c>
      <c r="M313" s="175">
        <v>9096186104</v>
      </c>
      <c r="N313" s="165">
        <f>+M313*H313</f>
        <v>5912520967.6000004</v>
      </c>
      <c r="O313" s="206">
        <f>ROUND(IF(J313&lt;$I$4,0,IF(J313="",0,IF(OR(K313="---",K313=""),N313/LOOKUP(J313,[7]SMLM!$A$3:$A$36,[7]SMLM!$D$3:$D$36),N313/LOOKUP(J313,[7]SMLM!$A$3:$A$36,[7]SMLM!$D$3:$D$36)))),0)</f>
        <v>11899</v>
      </c>
      <c r="P313" s="119">
        <f>+[7]Requisitos!$I$7</f>
        <v>1350.6493506493507</v>
      </c>
      <c r="Q313" s="121" t="str">
        <f>+IF(O313&lt;&gt;0,IF(O313&gt;P313,"CUMPLE","NO CUMPE"),"")</f>
        <v>CUMPLE</v>
      </c>
      <c r="R313" s="121" t="s">
        <v>249</v>
      </c>
      <c r="S313" s="122" t="s">
        <v>452</v>
      </c>
      <c r="T313" s="149"/>
    </row>
    <row r="314" spans="3:20" x14ac:dyDescent="0.2">
      <c r="C314" s="83"/>
      <c r="D314" s="84"/>
      <c r="E314" s="85"/>
      <c r="F314" s="84"/>
      <c r="G314" s="85"/>
      <c r="H314" s="85"/>
      <c r="I314" s="85"/>
      <c r="J314" s="85"/>
      <c r="K314" s="85"/>
      <c r="L314" s="85"/>
      <c r="M314" s="85"/>
      <c r="N314" s="85"/>
      <c r="O314" s="162"/>
      <c r="P314" s="270"/>
      <c r="Q314" s="85"/>
      <c r="R314" s="85"/>
      <c r="S314" s="125"/>
    </row>
    <row r="315" spans="3:20" ht="12.75" thickBot="1" x14ac:dyDescent="0.25">
      <c r="C315" s="83"/>
      <c r="D315" s="84"/>
      <c r="E315" s="85"/>
      <c r="F315" s="84"/>
      <c r="G315" s="85"/>
      <c r="H315" s="85"/>
      <c r="I315" s="85"/>
      <c r="J315" s="85"/>
      <c r="K315" s="85"/>
      <c r="L315" s="85"/>
      <c r="M315" s="85"/>
      <c r="N315" s="85"/>
      <c r="O315" s="85"/>
      <c r="P315" s="270"/>
      <c r="Q315" s="85"/>
      <c r="R315" s="85"/>
      <c r="S315" s="125"/>
    </row>
    <row r="316" spans="3:20" x14ac:dyDescent="0.2">
      <c r="C316" s="83"/>
      <c r="D316" s="84"/>
      <c r="E316" s="85"/>
      <c r="F316" s="84"/>
      <c r="G316" s="85"/>
      <c r="H316" s="85"/>
      <c r="I316" s="85"/>
      <c r="J316" s="85"/>
      <c r="K316" s="379"/>
      <c r="L316" s="380"/>
      <c r="M316" s="380"/>
      <c r="N316" s="137" t="s">
        <v>59</v>
      </c>
      <c r="O316" s="137" t="s">
        <v>26</v>
      </c>
      <c r="P316" s="137" t="s">
        <v>60</v>
      </c>
      <c r="Q316" s="139"/>
      <c r="R316" s="85"/>
      <c r="S316" s="125"/>
    </row>
    <row r="317" spans="3:20" x14ac:dyDescent="0.2">
      <c r="C317" s="83"/>
      <c r="D317" s="84"/>
      <c r="E317" s="85"/>
      <c r="F317" s="84"/>
      <c r="G317" s="85"/>
      <c r="H317" s="85"/>
      <c r="I317" s="85"/>
      <c r="J317" s="85"/>
      <c r="K317" s="381" t="s">
        <v>168</v>
      </c>
      <c r="L317" s="382"/>
      <c r="M317" s="382"/>
      <c r="N317" s="141">
        <f>+SUMAGEN</f>
        <v>6541634245</v>
      </c>
      <c r="O317" s="142">
        <f>[4]Requisitos!$I$3</f>
        <v>10609.20247324035</v>
      </c>
      <c r="P317" s="143">
        <f>+O311+O312+O313</f>
        <v>18278</v>
      </c>
      <c r="Q317" s="144" t="str">
        <f>+IF(P317&gt;[7]Requisitos!I286,"CUMPLE","NO CUMPLE")</f>
        <v>CUMPLE</v>
      </c>
      <c r="R317" s="85"/>
      <c r="S317" s="125"/>
    </row>
    <row r="318" spans="3:20" x14ac:dyDescent="0.2">
      <c r="C318" s="83"/>
      <c r="D318" s="84"/>
      <c r="E318" s="85"/>
      <c r="F318" s="84"/>
      <c r="G318" s="85"/>
      <c r="H318" s="85"/>
      <c r="I318" s="85"/>
      <c r="J318" s="85"/>
      <c r="K318" s="381" t="s">
        <v>104</v>
      </c>
      <c r="L318" s="382"/>
      <c r="M318" s="382"/>
      <c r="N318" s="141">
        <f>+LIDERGEN</f>
        <v>3336233464.9500003</v>
      </c>
      <c r="O318" s="142">
        <f>[4]Requisitos!$I$8</f>
        <v>5415.9634171266234</v>
      </c>
      <c r="P318" s="143">
        <f>SUM(O309:O310)</f>
        <v>20696</v>
      </c>
      <c r="Q318" s="144" t="str">
        <f>+IF(P318&gt;[7]Requisitos!I288,"CUMPLE","NO CUMPLE")</f>
        <v>CUMPLE</v>
      </c>
      <c r="R318" s="85"/>
      <c r="S318" s="125"/>
    </row>
    <row r="319" spans="3:20" ht="12.75" thickBot="1" x14ac:dyDescent="0.25">
      <c r="C319" s="145"/>
      <c r="D319" s="146"/>
      <c r="E319" s="147"/>
      <c r="F319" s="146"/>
      <c r="G319" s="147"/>
      <c r="H319" s="147"/>
      <c r="I319" s="147"/>
      <c r="J319" s="147"/>
      <c r="K319" s="383"/>
      <c r="L319" s="384"/>
      <c r="M319" s="384"/>
      <c r="N319" s="148"/>
      <c r="O319" s="148"/>
      <c r="P319" s="271"/>
      <c r="Q319" s="149" t="str">
        <f>+IF(Q317="CUMPLE",IF(Q318="CUMPLE","HÁBIL","NO CUMPLE"),"NO CUMPLE")</f>
        <v>HÁBIL</v>
      </c>
      <c r="R319" s="147"/>
      <c r="S319" s="150"/>
    </row>
    <row r="320" spans="3:20" ht="13.5" thickTop="1" thickBot="1" x14ac:dyDescent="0.25"/>
    <row r="321" spans="3:20" ht="12.75" thickBot="1" x14ac:dyDescent="0.25">
      <c r="C321" s="75" t="s">
        <v>13</v>
      </c>
      <c r="D321" s="76"/>
      <c r="E321" s="77">
        <v>20</v>
      </c>
      <c r="F321" s="76" t="str">
        <f>+VLOOKUP(E321,[7]Proponentes!$B$10:$D$81,2,FALSE())</f>
        <v>CONSORCIO INTERVENTORIA AEROPUERTO 2014</v>
      </c>
      <c r="G321" s="78"/>
      <c r="H321" s="78"/>
      <c r="I321" s="78"/>
      <c r="J321" s="78"/>
      <c r="K321" s="78"/>
      <c r="L321" s="78"/>
      <c r="M321" s="78"/>
      <c r="N321" s="78"/>
      <c r="O321" s="78"/>
      <c r="P321" s="267"/>
      <c r="Q321" s="78"/>
      <c r="R321" s="78"/>
      <c r="S321" s="79"/>
      <c r="T321" s="80"/>
    </row>
    <row r="322" spans="3:20" x14ac:dyDescent="0.2">
      <c r="C322" s="373" t="s">
        <v>28</v>
      </c>
      <c r="D322" s="375" t="s">
        <v>29</v>
      </c>
      <c r="E322" s="375" t="s">
        <v>37</v>
      </c>
      <c r="F322" s="375" t="s">
        <v>20</v>
      </c>
      <c r="G322" s="375" t="s">
        <v>21</v>
      </c>
      <c r="H322" s="375" t="s">
        <v>22</v>
      </c>
      <c r="I322" s="375" t="s">
        <v>14</v>
      </c>
      <c r="J322" s="375" t="s">
        <v>15</v>
      </c>
      <c r="K322" s="375" t="s">
        <v>16</v>
      </c>
      <c r="L322" s="375" t="s">
        <v>56</v>
      </c>
      <c r="M322" s="375" t="s">
        <v>17</v>
      </c>
      <c r="N322" s="377" t="s">
        <v>18</v>
      </c>
      <c r="O322" s="378"/>
      <c r="P322" s="378"/>
      <c r="Q322" s="378"/>
      <c r="R322" s="378"/>
      <c r="S322" s="385"/>
      <c r="T322" s="403" t="s">
        <v>727</v>
      </c>
    </row>
    <row r="323" spans="3:20" ht="48.75" thickBot="1" x14ac:dyDescent="0.25">
      <c r="C323" s="374"/>
      <c r="D323" s="376"/>
      <c r="E323" s="376"/>
      <c r="F323" s="376"/>
      <c r="G323" s="376"/>
      <c r="H323" s="376"/>
      <c r="I323" s="376"/>
      <c r="J323" s="376"/>
      <c r="K323" s="376"/>
      <c r="L323" s="376"/>
      <c r="M323" s="376"/>
      <c r="N323" s="81" t="s">
        <v>23</v>
      </c>
      <c r="O323" s="81" t="s">
        <v>55</v>
      </c>
      <c r="P323" s="81" t="s">
        <v>148</v>
      </c>
      <c r="Q323" s="81" t="s">
        <v>413</v>
      </c>
      <c r="R323" s="82" t="s">
        <v>72</v>
      </c>
      <c r="S323" s="151" t="s">
        <v>71</v>
      </c>
      <c r="T323" s="403"/>
    </row>
    <row r="324" spans="3:20" ht="12.75" thickBot="1" x14ac:dyDescent="0.25">
      <c r="C324" s="167" t="s">
        <v>24</v>
      </c>
      <c r="D324" s="168"/>
      <c r="E324" s="169"/>
      <c r="F324" s="168"/>
      <c r="G324" s="169"/>
      <c r="H324" s="169"/>
      <c r="I324" s="169"/>
      <c r="J324" s="169"/>
      <c r="K324" s="169"/>
      <c r="L324" s="169"/>
      <c r="M324" s="169"/>
      <c r="N324" s="169"/>
      <c r="O324" s="169"/>
      <c r="P324" s="268"/>
      <c r="Q324" s="169"/>
      <c r="R324" s="169"/>
      <c r="S324" s="170"/>
      <c r="T324" s="125"/>
    </row>
    <row r="325" spans="3:20" ht="70.5" customHeight="1" thickBot="1" x14ac:dyDescent="0.25">
      <c r="C325" s="86">
        <v>1</v>
      </c>
      <c r="D325" s="87" t="s">
        <v>453</v>
      </c>
      <c r="E325" s="88" t="s">
        <v>454</v>
      </c>
      <c r="F325" s="87" t="s">
        <v>455</v>
      </c>
      <c r="G325" s="88" t="s">
        <v>57</v>
      </c>
      <c r="H325" s="90">
        <v>0.9</v>
      </c>
      <c r="I325" s="91" t="s">
        <v>456</v>
      </c>
      <c r="J325" s="92">
        <v>35730</v>
      </c>
      <c r="K325" s="92">
        <v>36459</v>
      </c>
      <c r="L325" s="93">
        <v>15</v>
      </c>
      <c r="M325" s="172">
        <v>1344071533</v>
      </c>
      <c r="N325" s="165">
        <f>+M325*H325</f>
        <v>1209664379.7</v>
      </c>
      <c r="O325" s="96">
        <f>ROUND(IF(J325&lt;$I$4,0,IF(J325="",0,IF(OR(K325="---",K325=""),N325/LOOKUP(J325,[7]SMLM!$A$3:$A$36,[7]SMLM!$D$3:$D$36),N325/LOOKUP(J325,[7]SMLM!$A$3:$A$36,[7]SMLM!$D$3:$D$36)))),0)</f>
        <v>7033</v>
      </c>
      <c r="P325" s="94">
        <f>Requisitos!$I$9</f>
        <v>1350.6493506493507</v>
      </c>
      <c r="Q325" s="97" t="str">
        <f>+IF(O325&lt;&gt;0,IF(O325&gt;P325,"CUMPLE","NO CUMPE"),"")</f>
        <v>CUMPLE</v>
      </c>
      <c r="R325" s="272" t="s">
        <v>556</v>
      </c>
      <c r="S325" s="98" t="s">
        <v>457</v>
      </c>
      <c r="T325" s="273"/>
    </row>
    <row r="326" spans="3:20" ht="317.25" customHeight="1" thickBot="1" x14ac:dyDescent="0.25">
      <c r="C326" s="112">
        <v>2</v>
      </c>
      <c r="D326" s="69" t="s">
        <v>458</v>
      </c>
      <c r="E326" s="113" t="s">
        <v>459</v>
      </c>
      <c r="F326" s="69" t="s">
        <v>460</v>
      </c>
      <c r="G326" s="113" t="s">
        <v>57</v>
      </c>
      <c r="H326" s="115">
        <v>0.5</v>
      </c>
      <c r="I326" s="116" t="s">
        <v>461</v>
      </c>
      <c r="J326" s="117">
        <v>38772</v>
      </c>
      <c r="K326" s="117">
        <v>40656</v>
      </c>
      <c r="L326" s="118">
        <v>15</v>
      </c>
      <c r="M326" s="175">
        <v>4890079863</v>
      </c>
      <c r="N326" s="165">
        <f>+M326*H326</f>
        <v>2445039931.5</v>
      </c>
      <c r="O326" s="156">
        <f>ROUND(IF(J326&lt;$I$4,0,IF(J326="",0,IF(OR(K326="---",K326=""),N326/LOOKUP(J326,[7]SMLM!$A$3:$A$36,[7]SMLM!$D$3:$D$36),N326/LOOKUP(J326,[7]SMLM!$A$3:$A$36,[7]SMLM!$D$3:$D$36)))),0)</f>
        <v>5993</v>
      </c>
      <c r="P326" s="119">
        <f>Requisitos!$I$9</f>
        <v>1350.6493506493507</v>
      </c>
      <c r="Q326" s="121" t="str">
        <f>+IF(O326&lt;&gt;0,IF(O326&gt;P326,"CUMPLE","NO CUMPE"),"")</f>
        <v>CUMPLE</v>
      </c>
      <c r="R326" s="274" t="s">
        <v>557</v>
      </c>
      <c r="S326" s="122" t="s">
        <v>462</v>
      </c>
      <c r="T326" s="273"/>
    </row>
    <row r="327" spans="3:20" ht="12.75" thickBot="1" x14ac:dyDescent="0.25">
      <c r="C327" s="83" t="s">
        <v>25</v>
      </c>
      <c r="D327" s="84"/>
      <c r="E327" s="85"/>
      <c r="F327" s="84"/>
      <c r="G327" s="85"/>
      <c r="H327" s="85"/>
      <c r="I327" s="85"/>
      <c r="J327" s="85"/>
      <c r="K327" s="85"/>
      <c r="L327" s="85"/>
      <c r="M327" s="85"/>
      <c r="N327" s="124"/>
      <c r="O327" s="162"/>
      <c r="P327" s="177"/>
      <c r="Q327" s="275" t="str">
        <f>+IF(O327&lt;&gt;0,IF(O327&gt;P327,"CUMPLE","NO CUMPE"),"")</f>
        <v/>
      </c>
      <c r="R327" s="85"/>
      <c r="S327" s="125"/>
      <c r="T327" s="125"/>
    </row>
    <row r="328" spans="3:20" ht="102.75" customHeight="1" thickBot="1" x14ac:dyDescent="0.25">
      <c r="C328" s="86">
        <v>1</v>
      </c>
      <c r="D328" s="87" t="s">
        <v>463</v>
      </c>
      <c r="E328" s="113" t="s">
        <v>243</v>
      </c>
      <c r="F328" s="87" t="s">
        <v>558</v>
      </c>
      <c r="G328" s="88" t="s">
        <v>464</v>
      </c>
      <c r="H328" s="90">
        <v>0.7</v>
      </c>
      <c r="I328" s="88" t="s">
        <v>517</v>
      </c>
      <c r="J328" s="92">
        <v>39923</v>
      </c>
      <c r="K328" s="92">
        <v>40143</v>
      </c>
      <c r="L328" s="93">
        <v>15</v>
      </c>
      <c r="M328" s="172">
        <v>4263398950.7199998</v>
      </c>
      <c r="N328" s="165">
        <f>+M328*H328</f>
        <v>2984379265.5039997</v>
      </c>
      <c r="O328" s="178">
        <f>ROUND(IF(J328&lt;$I$4,0,IF(J328="",0,IF(OR(K328="---",K328=""),N328/LOOKUP(J328,[7]SMLM!$A$3:$A$36,[7]SMLM!$D$3:$D$36),N328/LOOKUP(J328,[7]SMLM!$A$3:$A$36,[7]SMLM!$D$3:$D$36)))),0)</f>
        <v>6006</v>
      </c>
      <c r="P328" s="94">
        <f>+[7]Requisitos!$I$7</f>
        <v>1350.6493506493507</v>
      </c>
      <c r="Q328" s="121" t="str">
        <f>+IF(O328&lt;&gt;0,IF(O328&gt;P328,"CUMPLE","NO CUMPE"),"")</f>
        <v>CUMPLE</v>
      </c>
      <c r="R328" s="134" t="s">
        <v>722</v>
      </c>
      <c r="S328" s="98" t="s">
        <v>721</v>
      </c>
      <c r="T328" s="111" t="s">
        <v>737</v>
      </c>
    </row>
    <row r="329" spans="3:20" ht="125.25" customHeight="1" thickBot="1" x14ac:dyDescent="0.25">
      <c r="C329" s="112">
        <v>2</v>
      </c>
      <c r="D329" s="69" t="s">
        <v>465</v>
      </c>
      <c r="E329" s="113" t="s">
        <v>243</v>
      </c>
      <c r="F329" s="69" t="s">
        <v>466</v>
      </c>
      <c r="G329" s="113" t="s">
        <v>209</v>
      </c>
      <c r="H329" s="115">
        <v>1</v>
      </c>
      <c r="I329" s="113" t="s">
        <v>467</v>
      </c>
      <c r="J329" s="117">
        <v>36557</v>
      </c>
      <c r="K329" s="117">
        <v>37529</v>
      </c>
      <c r="L329" s="118">
        <v>15</v>
      </c>
      <c r="M329" s="175">
        <v>3895322513.2546201</v>
      </c>
      <c r="N329" s="165">
        <f>+M329*H329</f>
        <v>3895322513.2546201</v>
      </c>
      <c r="O329" s="206">
        <f>ROUND(IF(J329&lt;$I$4,0,IF(J329="",0,IF(OR(K329="---",K329=""),N329/LOOKUP(J329,[7]SMLM!$A$3:$A$36,[7]SMLM!$D$3:$D$36),N329/LOOKUP(J329,[7]SMLM!$A$3:$A$36,[7]SMLM!$D$3:$D$36)))),0)</f>
        <v>14976</v>
      </c>
      <c r="P329" s="119">
        <f>+[7]Requisitos!$I$7</f>
        <v>1350.6493506493507</v>
      </c>
      <c r="Q329" s="121" t="str">
        <f>+IF(O329&lt;&gt;0,IF(O329&gt;P329,"CUMPLE","NO CUMPE"),"")</f>
        <v>CUMPLE</v>
      </c>
      <c r="R329" s="134" t="s">
        <v>720</v>
      </c>
      <c r="S329" s="122" t="s">
        <v>719</v>
      </c>
      <c r="T329" s="276"/>
    </row>
    <row r="330" spans="3:20" x14ac:dyDescent="0.2">
      <c r="C330" s="83"/>
      <c r="D330" s="84"/>
      <c r="E330" s="85"/>
      <c r="F330" s="84"/>
      <c r="G330" s="85"/>
      <c r="H330" s="85"/>
      <c r="I330" s="85"/>
      <c r="J330" s="85"/>
      <c r="K330" s="85"/>
      <c r="L330" s="85"/>
      <c r="M330" s="85"/>
      <c r="N330" s="85"/>
      <c r="O330" s="162"/>
      <c r="P330" s="270"/>
      <c r="Q330" s="85"/>
      <c r="R330" s="85"/>
      <c r="S330" s="125"/>
    </row>
    <row r="331" spans="3:20" ht="12.75" thickBot="1" x14ac:dyDescent="0.25">
      <c r="C331" s="83"/>
      <c r="D331" s="84"/>
      <c r="E331" s="85"/>
      <c r="F331" s="84"/>
      <c r="G331" s="85"/>
      <c r="H331" s="85"/>
      <c r="I331" s="85"/>
      <c r="J331" s="85"/>
      <c r="K331" s="85"/>
      <c r="L331" s="85"/>
      <c r="M331" s="85"/>
      <c r="N331" s="85"/>
      <c r="O331" s="85"/>
      <c r="P331" s="270"/>
      <c r="Q331" s="85"/>
      <c r="R331" s="85"/>
      <c r="S331" s="125"/>
    </row>
    <row r="332" spans="3:20" x14ac:dyDescent="0.2">
      <c r="C332" s="83"/>
      <c r="D332" s="84"/>
      <c r="E332" s="85"/>
      <c r="F332" s="84"/>
      <c r="G332" s="85"/>
      <c r="H332" s="85"/>
      <c r="I332" s="85"/>
      <c r="J332" s="85"/>
      <c r="K332" s="379"/>
      <c r="L332" s="380"/>
      <c r="M332" s="380"/>
      <c r="N332" s="137" t="s">
        <v>59</v>
      </c>
      <c r="O332" s="137" t="s">
        <v>26</v>
      </c>
      <c r="P332" s="137" t="s">
        <v>60</v>
      </c>
      <c r="Q332" s="139"/>
      <c r="R332" s="85"/>
      <c r="S332" s="125"/>
    </row>
    <row r="333" spans="3:20" x14ac:dyDescent="0.2">
      <c r="C333" s="83"/>
      <c r="D333" s="84"/>
      <c r="E333" s="85"/>
      <c r="F333" s="84"/>
      <c r="G333" s="85"/>
      <c r="H333" s="85"/>
      <c r="I333" s="85"/>
      <c r="J333" s="85"/>
      <c r="K333" s="381" t="s">
        <v>168</v>
      </c>
      <c r="L333" s="382"/>
      <c r="M333" s="382"/>
      <c r="N333" s="141">
        <f>+SUMAGEN</f>
        <v>6541634245</v>
      </c>
      <c r="O333" s="142">
        <f>[4]Requisitos!$I$3</f>
        <v>10609.20247324035</v>
      </c>
      <c r="P333" s="143">
        <f>+SUM(O325:O329)</f>
        <v>34008</v>
      </c>
      <c r="Q333" s="144" t="str">
        <f>+IF(P333&gt;[7]Requisitos!I302,"CUMPLE","NO CUMPLE")</f>
        <v>CUMPLE</v>
      </c>
      <c r="R333" s="85"/>
      <c r="S333" s="125"/>
    </row>
    <row r="334" spans="3:20" x14ac:dyDescent="0.2">
      <c r="C334" s="83"/>
      <c r="D334" s="84"/>
      <c r="E334" s="85"/>
      <c r="F334" s="84"/>
      <c r="G334" s="85"/>
      <c r="H334" s="85"/>
      <c r="I334" s="85"/>
      <c r="J334" s="85"/>
      <c r="K334" s="381" t="s">
        <v>104</v>
      </c>
      <c r="L334" s="382"/>
      <c r="M334" s="382"/>
      <c r="N334" s="141">
        <f>+LIDERGEN</f>
        <v>3336233464.9500003</v>
      </c>
      <c r="O334" s="142">
        <f>[4]Requisitos!$I$8</f>
        <v>5415.9634171266234</v>
      </c>
      <c r="P334" s="143">
        <f>+O325+O326</f>
        <v>13026</v>
      </c>
      <c r="Q334" s="144" t="str">
        <f>+IF(P334&gt;[7]Requisitos!I304,"CUMPLE","NO CUMPLE")</f>
        <v>CUMPLE</v>
      </c>
      <c r="R334" s="85"/>
      <c r="S334" s="125"/>
    </row>
    <row r="335" spans="3:20" ht="12.75" thickBot="1" x14ac:dyDescent="0.25">
      <c r="C335" s="145"/>
      <c r="D335" s="146"/>
      <c r="E335" s="147"/>
      <c r="F335" s="146"/>
      <c r="G335" s="147"/>
      <c r="H335" s="147"/>
      <c r="I335" s="147"/>
      <c r="J335" s="147"/>
      <c r="K335" s="383"/>
      <c r="L335" s="384"/>
      <c r="M335" s="384"/>
      <c r="N335" s="148"/>
      <c r="O335" s="148"/>
      <c r="P335" s="271"/>
      <c r="Q335" s="149" t="s">
        <v>294</v>
      </c>
      <c r="R335" s="147"/>
      <c r="S335" s="150"/>
    </row>
    <row r="336" spans="3:20" ht="12.75" thickTop="1" x14ac:dyDescent="0.2"/>
  </sheetData>
  <mergeCells count="347">
    <mergeCell ref="K317:M317"/>
    <mergeCell ref="K318:M318"/>
    <mergeCell ref="K319:M319"/>
    <mergeCell ref="K332:M332"/>
    <mergeCell ref="K333:M333"/>
    <mergeCell ref="K334:M334"/>
    <mergeCell ref="K335:M335"/>
    <mergeCell ref="C7:T7"/>
    <mergeCell ref="K284:M284"/>
    <mergeCell ref="K285:M285"/>
    <mergeCell ref="K286:M286"/>
    <mergeCell ref="K287:M287"/>
    <mergeCell ref="K300:M300"/>
    <mergeCell ref="K301:M301"/>
    <mergeCell ref="K302:M302"/>
    <mergeCell ref="K303:M303"/>
    <mergeCell ref="K316:M316"/>
    <mergeCell ref="K239:M239"/>
    <mergeCell ref="K240:M240"/>
    <mergeCell ref="K241:M241"/>
    <mergeCell ref="K254:M254"/>
    <mergeCell ref="K255:M255"/>
    <mergeCell ref="K256:M256"/>
    <mergeCell ref="K257:M257"/>
    <mergeCell ref="K206:M206"/>
    <mergeCell ref="K207:M207"/>
    <mergeCell ref="K208:M208"/>
    <mergeCell ref="K209:M209"/>
    <mergeCell ref="K222:M222"/>
    <mergeCell ref="K223:M223"/>
    <mergeCell ref="K224:M224"/>
    <mergeCell ref="K225:M225"/>
    <mergeCell ref="K238:M238"/>
    <mergeCell ref="M213:M214"/>
    <mergeCell ref="K228:K229"/>
    <mergeCell ref="T306:T307"/>
    <mergeCell ref="T322:T323"/>
    <mergeCell ref="S12:T12"/>
    <mergeCell ref="K86:M86"/>
    <mergeCell ref="K87:M87"/>
    <mergeCell ref="K88:M88"/>
    <mergeCell ref="K89:M89"/>
    <mergeCell ref="K104:M104"/>
    <mergeCell ref="K105:M105"/>
    <mergeCell ref="K106:M106"/>
    <mergeCell ref="K107:M107"/>
    <mergeCell ref="K120:M120"/>
    <mergeCell ref="K121:M121"/>
    <mergeCell ref="K122:M122"/>
    <mergeCell ref="K123:M123"/>
    <mergeCell ref="K138:M138"/>
    <mergeCell ref="K139:M139"/>
    <mergeCell ref="K140:M140"/>
    <mergeCell ref="K141:M141"/>
    <mergeCell ref="K155:M155"/>
    <mergeCell ref="K156:M156"/>
    <mergeCell ref="K157:M157"/>
    <mergeCell ref="K158:M158"/>
    <mergeCell ref="K172:M172"/>
    <mergeCell ref="T162:T163"/>
    <mergeCell ref="T179:T180"/>
    <mergeCell ref="T196:T197"/>
    <mergeCell ref="T213:T214"/>
    <mergeCell ref="T228:T229"/>
    <mergeCell ref="T244:T245"/>
    <mergeCell ref="T260:T261"/>
    <mergeCell ref="T275:T276"/>
    <mergeCell ref="T290:T291"/>
    <mergeCell ref="T10:T11"/>
    <mergeCell ref="T27:T28"/>
    <mergeCell ref="T44:T45"/>
    <mergeCell ref="T60:T61"/>
    <mergeCell ref="T76:T77"/>
    <mergeCell ref="T93:T94"/>
    <mergeCell ref="T111:T112"/>
    <mergeCell ref="T127:T128"/>
    <mergeCell ref="T145:T146"/>
    <mergeCell ref="P201:P203"/>
    <mergeCell ref="P185:P186"/>
    <mergeCell ref="C196:C197"/>
    <mergeCell ref="D196:D197"/>
    <mergeCell ref="E196:E197"/>
    <mergeCell ref="F196:F197"/>
    <mergeCell ref="G196:G197"/>
    <mergeCell ref="H196:H197"/>
    <mergeCell ref="I196:I197"/>
    <mergeCell ref="J196:J197"/>
    <mergeCell ref="K196:K197"/>
    <mergeCell ref="L196:L197"/>
    <mergeCell ref="M196:M197"/>
    <mergeCell ref="N196:S196"/>
    <mergeCell ref="K189:M189"/>
    <mergeCell ref="K191:M191"/>
    <mergeCell ref="K190:M190"/>
    <mergeCell ref="K192:M192"/>
    <mergeCell ref="P168:P169"/>
    <mergeCell ref="C179:C180"/>
    <mergeCell ref="D179:D180"/>
    <mergeCell ref="E179:E180"/>
    <mergeCell ref="F179:F180"/>
    <mergeCell ref="G179:G180"/>
    <mergeCell ref="H179:H180"/>
    <mergeCell ref="I179:I180"/>
    <mergeCell ref="J179:J180"/>
    <mergeCell ref="K179:K180"/>
    <mergeCell ref="L179:L180"/>
    <mergeCell ref="M179:M180"/>
    <mergeCell ref="N179:S179"/>
    <mergeCell ref="K173:M173"/>
    <mergeCell ref="K174:M174"/>
    <mergeCell ref="K175:M175"/>
    <mergeCell ref="L145:L146"/>
    <mergeCell ref="M145:M146"/>
    <mergeCell ref="N145:S145"/>
    <mergeCell ref="P150:P152"/>
    <mergeCell ref="C162:C163"/>
    <mergeCell ref="D162:D163"/>
    <mergeCell ref="E162:E163"/>
    <mergeCell ref="F162:F163"/>
    <mergeCell ref="G162:G163"/>
    <mergeCell ref="H162:H163"/>
    <mergeCell ref="I162:I163"/>
    <mergeCell ref="J162:J163"/>
    <mergeCell ref="K162:K163"/>
    <mergeCell ref="L162:L163"/>
    <mergeCell ref="M162:M163"/>
    <mergeCell ref="N162:S162"/>
    <mergeCell ref="C145:C146"/>
    <mergeCell ref="D145:D146"/>
    <mergeCell ref="E145:E146"/>
    <mergeCell ref="F145:F146"/>
    <mergeCell ref="G145:G146"/>
    <mergeCell ref="H145:H146"/>
    <mergeCell ref="I145:I146"/>
    <mergeCell ref="J145:J146"/>
    <mergeCell ref="K145:K146"/>
    <mergeCell ref="L322:L323"/>
    <mergeCell ref="M322:M323"/>
    <mergeCell ref="N322:S322"/>
    <mergeCell ref="C322:C323"/>
    <mergeCell ref="D322:D323"/>
    <mergeCell ref="E322:E323"/>
    <mergeCell ref="F322:F323"/>
    <mergeCell ref="G322:G323"/>
    <mergeCell ref="H322:H323"/>
    <mergeCell ref="I322:I323"/>
    <mergeCell ref="J322:J323"/>
    <mergeCell ref="K322:K323"/>
    <mergeCell ref="L290:L291"/>
    <mergeCell ref="M290:M291"/>
    <mergeCell ref="N290:S290"/>
    <mergeCell ref="C306:C307"/>
    <mergeCell ref="D306:D307"/>
    <mergeCell ref="E306:E307"/>
    <mergeCell ref="F306:F307"/>
    <mergeCell ref="G306:G307"/>
    <mergeCell ref="H306:H307"/>
    <mergeCell ref="I306:I307"/>
    <mergeCell ref="J306:J307"/>
    <mergeCell ref="K306:K307"/>
    <mergeCell ref="L306:L307"/>
    <mergeCell ref="M306:M307"/>
    <mergeCell ref="N306:S306"/>
    <mergeCell ref="C290:C291"/>
    <mergeCell ref="D290:D291"/>
    <mergeCell ref="E290:E291"/>
    <mergeCell ref="F290:F291"/>
    <mergeCell ref="G290:G291"/>
    <mergeCell ref="H290:H291"/>
    <mergeCell ref="I290:I291"/>
    <mergeCell ref="J290:J291"/>
    <mergeCell ref="K290:K291"/>
    <mergeCell ref="P265:P266"/>
    <mergeCell ref="C275:C276"/>
    <mergeCell ref="D275:D276"/>
    <mergeCell ref="E275:E276"/>
    <mergeCell ref="F275:F276"/>
    <mergeCell ref="G275:G276"/>
    <mergeCell ref="H275:H276"/>
    <mergeCell ref="I275:I276"/>
    <mergeCell ref="J275:J276"/>
    <mergeCell ref="K275:K276"/>
    <mergeCell ref="L275:L276"/>
    <mergeCell ref="M275:M276"/>
    <mergeCell ref="N275:S275"/>
    <mergeCell ref="K271:M271"/>
    <mergeCell ref="K272:M272"/>
    <mergeCell ref="K269:M269"/>
    <mergeCell ref="K270:M270"/>
    <mergeCell ref="P247:P248"/>
    <mergeCell ref="P250:P251"/>
    <mergeCell ref="C260:C261"/>
    <mergeCell ref="D260:D261"/>
    <mergeCell ref="E260:E261"/>
    <mergeCell ref="F260:F261"/>
    <mergeCell ref="G260:G261"/>
    <mergeCell ref="H260:H261"/>
    <mergeCell ref="I260:I261"/>
    <mergeCell ref="J260:J261"/>
    <mergeCell ref="K260:K261"/>
    <mergeCell ref="M260:M261"/>
    <mergeCell ref="N260:S260"/>
    <mergeCell ref="N213:S213"/>
    <mergeCell ref="P218:P219"/>
    <mergeCell ref="M228:M229"/>
    <mergeCell ref="N228:S228"/>
    <mergeCell ref="P233:P235"/>
    <mergeCell ref="C244:C245"/>
    <mergeCell ref="D244:D245"/>
    <mergeCell ref="E244:E245"/>
    <mergeCell ref="F244:F245"/>
    <mergeCell ref="G244:G245"/>
    <mergeCell ref="H244:H245"/>
    <mergeCell ref="I244:I245"/>
    <mergeCell ref="J244:J245"/>
    <mergeCell ref="K244:K245"/>
    <mergeCell ref="M244:M245"/>
    <mergeCell ref="N244:S244"/>
    <mergeCell ref="C228:C229"/>
    <mergeCell ref="D228:D229"/>
    <mergeCell ref="E228:E229"/>
    <mergeCell ref="F228:F229"/>
    <mergeCell ref="G228:G229"/>
    <mergeCell ref="H228:H229"/>
    <mergeCell ref="I228:I229"/>
    <mergeCell ref="J228:J229"/>
    <mergeCell ref="C213:C214"/>
    <mergeCell ref="D213:D214"/>
    <mergeCell ref="E213:E214"/>
    <mergeCell ref="F213:F214"/>
    <mergeCell ref="G213:G214"/>
    <mergeCell ref="H213:H214"/>
    <mergeCell ref="I213:I214"/>
    <mergeCell ref="J213:J214"/>
    <mergeCell ref="K213:K214"/>
    <mergeCell ref="M111:M112"/>
    <mergeCell ref="N111:S111"/>
    <mergeCell ref="C127:C128"/>
    <mergeCell ref="D127:D128"/>
    <mergeCell ref="E127:E128"/>
    <mergeCell ref="F127:F128"/>
    <mergeCell ref="G127:G128"/>
    <mergeCell ref="H127:H128"/>
    <mergeCell ref="I127:I128"/>
    <mergeCell ref="J127:J128"/>
    <mergeCell ref="K127:K128"/>
    <mergeCell ref="L127:L128"/>
    <mergeCell ref="M127:M128"/>
    <mergeCell ref="N127:S127"/>
    <mergeCell ref="H111:H112"/>
    <mergeCell ref="I111:I112"/>
    <mergeCell ref="J111:J112"/>
    <mergeCell ref="K111:K112"/>
    <mergeCell ref="L111:L112"/>
    <mergeCell ref="C111:C112"/>
    <mergeCell ref="D111:D112"/>
    <mergeCell ref="E111:E112"/>
    <mergeCell ref="F111:F112"/>
    <mergeCell ref="G111:G112"/>
    <mergeCell ref="L76:L77"/>
    <mergeCell ref="M76:M77"/>
    <mergeCell ref="N76:S76"/>
    <mergeCell ref="C93:C94"/>
    <mergeCell ref="D93:D94"/>
    <mergeCell ref="E93:E94"/>
    <mergeCell ref="F93:F94"/>
    <mergeCell ref="G93:G94"/>
    <mergeCell ref="H93:H94"/>
    <mergeCell ref="I93:I94"/>
    <mergeCell ref="J93:J94"/>
    <mergeCell ref="K93:K94"/>
    <mergeCell ref="L93:L94"/>
    <mergeCell ref="M93:M94"/>
    <mergeCell ref="N93:S93"/>
    <mergeCell ref="C76:C77"/>
    <mergeCell ref="D76:D77"/>
    <mergeCell ref="E76:E77"/>
    <mergeCell ref="F76:F77"/>
    <mergeCell ref="G76:G77"/>
    <mergeCell ref="H76:H77"/>
    <mergeCell ref="I76:I77"/>
    <mergeCell ref="J76:J77"/>
    <mergeCell ref="K76:K77"/>
    <mergeCell ref="K69:M69"/>
    <mergeCell ref="K70:M70"/>
    <mergeCell ref="K71:M71"/>
    <mergeCell ref="H60:H61"/>
    <mergeCell ref="I60:I61"/>
    <mergeCell ref="J60:J61"/>
    <mergeCell ref="K60:K61"/>
    <mergeCell ref="L60:L61"/>
    <mergeCell ref="K72:M72"/>
    <mergeCell ref="L44:L45"/>
    <mergeCell ref="M44:M45"/>
    <mergeCell ref="C60:C61"/>
    <mergeCell ref="D60:D61"/>
    <mergeCell ref="E60:E61"/>
    <mergeCell ref="F60:F61"/>
    <mergeCell ref="G60:G61"/>
    <mergeCell ref="N44:S44"/>
    <mergeCell ref="K53:M53"/>
    <mergeCell ref="K54:M54"/>
    <mergeCell ref="K55:M55"/>
    <mergeCell ref="K56:M56"/>
    <mergeCell ref="M60:M61"/>
    <mergeCell ref="N60:S60"/>
    <mergeCell ref="C44:C45"/>
    <mergeCell ref="D44:D45"/>
    <mergeCell ref="E44:E45"/>
    <mergeCell ref="F44:F45"/>
    <mergeCell ref="G44:G45"/>
    <mergeCell ref="H44:H45"/>
    <mergeCell ref="I44:I45"/>
    <mergeCell ref="J44:J45"/>
    <mergeCell ref="K44:K45"/>
    <mergeCell ref="K37:M37"/>
    <mergeCell ref="K38:M38"/>
    <mergeCell ref="K39:M39"/>
    <mergeCell ref="H27:H28"/>
    <mergeCell ref="I27:I28"/>
    <mergeCell ref="J27:J28"/>
    <mergeCell ref="K27:K28"/>
    <mergeCell ref="L27:L28"/>
    <mergeCell ref="K40:M40"/>
    <mergeCell ref="C27:C28"/>
    <mergeCell ref="D27:D28"/>
    <mergeCell ref="E27:E28"/>
    <mergeCell ref="F27:F28"/>
    <mergeCell ref="G27:G28"/>
    <mergeCell ref="N10:S10"/>
    <mergeCell ref="C10:C11"/>
    <mergeCell ref="D10:D11"/>
    <mergeCell ref="E10:E11"/>
    <mergeCell ref="F10:F11"/>
    <mergeCell ref="G10:G11"/>
    <mergeCell ref="H10:H11"/>
    <mergeCell ref="K20:M20"/>
    <mergeCell ref="K21:M21"/>
    <mergeCell ref="K22:M22"/>
    <mergeCell ref="K23:M23"/>
    <mergeCell ref="I10:I11"/>
    <mergeCell ref="J10:J11"/>
    <mergeCell ref="K10:K11"/>
    <mergeCell ref="L10:L11"/>
    <mergeCell ref="M10:M11"/>
    <mergeCell ref="M27:M28"/>
    <mergeCell ref="N27:S27"/>
  </mergeCells>
  <conditionalFormatting sqref="Q13">
    <cfRule type="cellIs" dxfId="1520" priority="974" stopIfTrue="1" operator="greaterThan">
      <formula>0</formula>
    </cfRule>
  </conditionalFormatting>
  <conditionalFormatting sqref="C17:K17 Q13 C13:M13">
    <cfRule type="cellIs" dxfId="1519" priority="973" stopIfTrue="1" operator="greaterThan">
      <formula>0</formula>
    </cfRule>
  </conditionalFormatting>
  <conditionalFormatting sqref="M17">
    <cfRule type="cellIs" dxfId="1518" priority="972" stopIfTrue="1" operator="greaterThan">
      <formula>0</formula>
    </cfRule>
  </conditionalFormatting>
  <conditionalFormatting sqref="N17">
    <cfRule type="cellIs" dxfId="1517" priority="970" stopIfTrue="1" operator="greaterThan">
      <formula>0</formula>
    </cfRule>
  </conditionalFormatting>
  <conditionalFormatting sqref="N17">
    <cfRule type="cellIs" dxfId="1516" priority="969" stopIfTrue="1" operator="greaterThan">
      <formula>0</formula>
    </cfRule>
  </conditionalFormatting>
  <conditionalFormatting sqref="N17">
    <cfRule type="cellIs" dxfId="1515" priority="968" stopIfTrue="1" operator="greaterThan">
      <formula>0</formula>
    </cfRule>
  </conditionalFormatting>
  <conditionalFormatting sqref="L17">
    <cfRule type="cellIs" dxfId="1514" priority="966" stopIfTrue="1" operator="greaterThan">
      <formula>0</formula>
    </cfRule>
  </conditionalFormatting>
  <conditionalFormatting sqref="P17">
    <cfRule type="cellIs" dxfId="1513" priority="965" stopIfTrue="1" operator="greaterThan">
      <formula>0</formula>
    </cfRule>
  </conditionalFormatting>
  <conditionalFormatting sqref="P17">
    <cfRule type="cellIs" dxfId="1512" priority="964" stopIfTrue="1" operator="greaterThan">
      <formula>0</formula>
    </cfRule>
  </conditionalFormatting>
  <conditionalFormatting sqref="Q17">
    <cfRule type="cellIs" dxfId="1511" priority="962" stopIfTrue="1" operator="greaterThan">
      <formula>0</formula>
    </cfRule>
  </conditionalFormatting>
  <conditionalFormatting sqref="Q17">
    <cfRule type="cellIs" dxfId="1510" priority="963" stopIfTrue="1" operator="greaterThan">
      <formula>0</formula>
    </cfRule>
  </conditionalFormatting>
  <conditionalFormatting sqref="R17">
    <cfRule type="cellIs" dxfId="1509" priority="958" stopIfTrue="1" operator="greaterThan">
      <formula>0</formula>
    </cfRule>
  </conditionalFormatting>
  <conditionalFormatting sqref="R13">
    <cfRule type="cellIs" dxfId="1508" priority="961" stopIfTrue="1" operator="greaterThan">
      <formula>0</formula>
    </cfRule>
  </conditionalFormatting>
  <conditionalFormatting sqref="R13">
    <cfRule type="cellIs" dxfId="1507" priority="960" stopIfTrue="1" operator="greaterThan">
      <formula>0</formula>
    </cfRule>
  </conditionalFormatting>
  <conditionalFormatting sqref="R17">
    <cfRule type="cellIs" dxfId="1506" priority="959" stopIfTrue="1" operator="greaterThan">
      <formula>0</formula>
    </cfRule>
  </conditionalFormatting>
  <conditionalFormatting sqref="N13">
    <cfRule type="cellIs" dxfId="1505" priority="957" stopIfTrue="1" operator="greaterThan">
      <formula>0</formula>
    </cfRule>
  </conditionalFormatting>
  <conditionalFormatting sqref="N13">
    <cfRule type="cellIs" dxfId="1504" priority="956" stopIfTrue="1" operator="greaterThan">
      <formula>0</formula>
    </cfRule>
  </conditionalFormatting>
  <conditionalFormatting sqref="N13">
    <cfRule type="cellIs" dxfId="1503" priority="955" stopIfTrue="1" operator="greaterThan">
      <formula>0</formula>
    </cfRule>
  </conditionalFormatting>
  <conditionalFormatting sqref="Q14">
    <cfRule type="cellIs" dxfId="1502" priority="954" stopIfTrue="1" operator="greaterThan">
      <formula>0</formula>
    </cfRule>
  </conditionalFormatting>
  <conditionalFormatting sqref="Q14 C14:M14">
    <cfRule type="cellIs" dxfId="1501" priority="953" stopIfTrue="1" operator="greaterThan">
      <formula>0</formula>
    </cfRule>
  </conditionalFormatting>
  <conditionalFormatting sqref="N51">
    <cfRule type="cellIs" dxfId="1500" priority="893" stopIfTrue="1" operator="greaterThan">
      <formula>0</formula>
    </cfRule>
  </conditionalFormatting>
  <conditionalFormatting sqref="R51">
    <cfRule type="cellIs" dxfId="1499" priority="885" stopIfTrue="1" operator="greaterThan">
      <formula>0</formula>
    </cfRule>
  </conditionalFormatting>
  <conditionalFormatting sqref="N14">
    <cfRule type="cellIs" dxfId="1498" priority="949" stopIfTrue="1" operator="greaterThan">
      <formula>0</formula>
    </cfRule>
  </conditionalFormatting>
  <conditionalFormatting sqref="N14">
    <cfRule type="cellIs" dxfId="1497" priority="948" stopIfTrue="1" operator="greaterThan">
      <formula>0</formula>
    </cfRule>
  </conditionalFormatting>
  <conditionalFormatting sqref="N14">
    <cfRule type="cellIs" dxfId="1496" priority="947" stopIfTrue="1" operator="greaterThan">
      <formula>0</formula>
    </cfRule>
  </conditionalFormatting>
  <conditionalFormatting sqref="Q30">
    <cfRule type="cellIs" dxfId="1495" priority="946" stopIfTrue="1" operator="greaterThan">
      <formula>0</formula>
    </cfRule>
  </conditionalFormatting>
  <conditionalFormatting sqref="C33:K33 Q30 C30:M30">
    <cfRule type="cellIs" dxfId="1494" priority="945" stopIfTrue="1" operator="greaterThan">
      <formula>0</formula>
    </cfRule>
  </conditionalFormatting>
  <conditionalFormatting sqref="M33">
    <cfRule type="cellIs" dxfId="1493" priority="944" stopIfTrue="1" operator="greaterThan">
      <formula>0</formula>
    </cfRule>
  </conditionalFormatting>
  <conditionalFormatting sqref="N33">
    <cfRule type="cellIs" dxfId="1492" priority="942" stopIfTrue="1" operator="greaterThan">
      <formula>0</formula>
    </cfRule>
  </conditionalFormatting>
  <conditionalFormatting sqref="N33">
    <cfRule type="cellIs" dxfId="1491" priority="941" stopIfTrue="1" operator="greaterThan">
      <formula>0</formula>
    </cfRule>
  </conditionalFormatting>
  <conditionalFormatting sqref="N33">
    <cfRule type="cellIs" dxfId="1490" priority="940" stopIfTrue="1" operator="greaterThan">
      <formula>0</formula>
    </cfRule>
  </conditionalFormatting>
  <conditionalFormatting sqref="L33">
    <cfRule type="cellIs" dxfId="1489" priority="938" stopIfTrue="1" operator="greaterThan">
      <formula>0</formula>
    </cfRule>
  </conditionalFormatting>
  <conditionalFormatting sqref="P33">
    <cfRule type="cellIs" dxfId="1488" priority="937" stopIfTrue="1" operator="greaterThan">
      <formula>0</formula>
    </cfRule>
  </conditionalFormatting>
  <conditionalFormatting sqref="P33">
    <cfRule type="cellIs" dxfId="1487" priority="936" stopIfTrue="1" operator="greaterThan">
      <formula>0</formula>
    </cfRule>
  </conditionalFormatting>
  <conditionalFormatting sqref="Q33">
    <cfRule type="cellIs" dxfId="1486" priority="934" stopIfTrue="1" operator="greaterThan">
      <formula>0</formula>
    </cfRule>
  </conditionalFormatting>
  <conditionalFormatting sqref="Q33">
    <cfRule type="cellIs" dxfId="1485" priority="935" stopIfTrue="1" operator="greaterThan">
      <formula>0</formula>
    </cfRule>
  </conditionalFormatting>
  <conditionalFormatting sqref="R33">
    <cfRule type="cellIs" dxfId="1484" priority="930" stopIfTrue="1" operator="greaterThan">
      <formula>0</formula>
    </cfRule>
  </conditionalFormatting>
  <conditionalFormatting sqref="R30">
    <cfRule type="cellIs" dxfId="1483" priority="933" stopIfTrue="1" operator="greaterThan">
      <formula>0</formula>
    </cfRule>
  </conditionalFormatting>
  <conditionalFormatting sqref="R30">
    <cfRule type="cellIs" dxfId="1482" priority="932" stopIfTrue="1" operator="greaterThan">
      <formula>0</formula>
    </cfRule>
  </conditionalFormatting>
  <conditionalFormatting sqref="R33">
    <cfRule type="cellIs" dxfId="1481" priority="931" stopIfTrue="1" operator="greaterThan">
      <formula>0</formula>
    </cfRule>
  </conditionalFormatting>
  <conditionalFormatting sqref="N30">
    <cfRule type="cellIs" dxfId="1480" priority="929" stopIfTrue="1" operator="greaterThan">
      <formula>0</formula>
    </cfRule>
  </conditionalFormatting>
  <conditionalFormatting sqref="N30">
    <cfRule type="cellIs" dxfId="1479" priority="928" stopIfTrue="1" operator="greaterThan">
      <formula>0</formula>
    </cfRule>
  </conditionalFormatting>
  <conditionalFormatting sqref="N30">
    <cfRule type="cellIs" dxfId="1478" priority="927" stopIfTrue="1" operator="greaterThan">
      <formula>0</formula>
    </cfRule>
  </conditionalFormatting>
  <conditionalFormatting sqref="Q47">
    <cfRule type="cellIs" dxfId="1477" priority="926" stopIfTrue="1" operator="greaterThan">
      <formula>0</formula>
    </cfRule>
  </conditionalFormatting>
  <conditionalFormatting sqref="C50:K50 Q47 C47:M47">
    <cfRule type="cellIs" dxfId="1476" priority="925" stopIfTrue="1" operator="greaterThan">
      <formula>0</formula>
    </cfRule>
  </conditionalFormatting>
  <conditionalFormatting sqref="M50">
    <cfRule type="cellIs" dxfId="1475" priority="924" stopIfTrue="1" operator="greaterThan">
      <formula>0</formula>
    </cfRule>
  </conditionalFormatting>
  <conditionalFormatting sqref="N50">
    <cfRule type="cellIs" dxfId="1474" priority="922" stopIfTrue="1" operator="greaterThan">
      <formula>0</formula>
    </cfRule>
  </conditionalFormatting>
  <conditionalFormatting sqref="N50">
    <cfRule type="cellIs" dxfId="1473" priority="921" stopIfTrue="1" operator="greaterThan">
      <formula>0</formula>
    </cfRule>
  </conditionalFormatting>
  <conditionalFormatting sqref="N50">
    <cfRule type="cellIs" dxfId="1472" priority="920" stopIfTrue="1" operator="greaterThan">
      <formula>0</formula>
    </cfRule>
  </conditionalFormatting>
  <conditionalFormatting sqref="L50">
    <cfRule type="cellIs" dxfId="1471" priority="918" stopIfTrue="1" operator="greaterThan">
      <formula>0</formula>
    </cfRule>
  </conditionalFormatting>
  <conditionalFormatting sqref="P50">
    <cfRule type="cellIs" dxfId="1470" priority="917" stopIfTrue="1" operator="greaterThan">
      <formula>0</formula>
    </cfRule>
  </conditionalFormatting>
  <conditionalFormatting sqref="P50">
    <cfRule type="cellIs" dxfId="1469" priority="916" stopIfTrue="1" operator="greaterThan">
      <formula>0</formula>
    </cfRule>
  </conditionalFormatting>
  <conditionalFormatting sqref="Q50">
    <cfRule type="cellIs" dxfId="1468" priority="914" stopIfTrue="1" operator="greaterThan">
      <formula>0</formula>
    </cfRule>
  </conditionalFormatting>
  <conditionalFormatting sqref="Q50">
    <cfRule type="cellIs" dxfId="1467" priority="915" stopIfTrue="1" operator="greaterThan">
      <formula>0</formula>
    </cfRule>
  </conditionalFormatting>
  <conditionalFormatting sqref="R50">
    <cfRule type="cellIs" dxfId="1466" priority="910" stopIfTrue="1" operator="greaterThan">
      <formula>0</formula>
    </cfRule>
  </conditionalFormatting>
  <conditionalFormatting sqref="R47">
    <cfRule type="cellIs" dxfId="1465" priority="913" stopIfTrue="1" operator="greaterThan">
      <formula>0</formula>
    </cfRule>
  </conditionalFormatting>
  <conditionalFormatting sqref="R47">
    <cfRule type="cellIs" dxfId="1464" priority="912" stopIfTrue="1" operator="greaterThan">
      <formula>0</formula>
    </cfRule>
  </conditionalFormatting>
  <conditionalFormatting sqref="R50">
    <cfRule type="cellIs" dxfId="1463" priority="911" stopIfTrue="1" operator="greaterThan">
      <formula>0</formula>
    </cfRule>
  </conditionalFormatting>
  <conditionalFormatting sqref="N47">
    <cfRule type="cellIs" dxfId="1462" priority="909" stopIfTrue="1" operator="greaterThan">
      <formula>0</formula>
    </cfRule>
  </conditionalFormatting>
  <conditionalFormatting sqref="N47">
    <cfRule type="cellIs" dxfId="1461" priority="908" stopIfTrue="1" operator="greaterThan">
      <formula>0</formula>
    </cfRule>
  </conditionalFormatting>
  <conditionalFormatting sqref="N47">
    <cfRule type="cellIs" dxfId="1460" priority="907" stopIfTrue="1" operator="greaterThan">
      <formula>0</formula>
    </cfRule>
  </conditionalFormatting>
  <conditionalFormatting sqref="Q48">
    <cfRule type="cellIs" dxfId="1459" priority="906" stopIfTrue="1" operator="greaterThan">
      <formula>0</formula>
    </cfRule>
  </conditionalFormatting>
  <conditionalFormatting sqref="Q48 C48 E48:M48">
    <cfRule type="cellIs" dxfId="1458" priority="905" stopIfTrue="1" operator="greaterThan">
      <formula>0</formula>
    </cfRule>
  </conditionalFormatting>
  <conditionalFormatting sqref="R48">
    <cfRule type="cellIs" dxfId="1457" priority="903" stopIfTrue="1" operator="greaterThan">
      <formula>0</formula>
    </cfRule>
  </conditionalFormatting>
  <conditionalFormatting sqref="R48">
    <cfRule type="cellIs" dxfId="1456" priority="902" stopIfTrue="1" operator="greaterThan">
      <formula>0</formula>
    </cfRule>
  </conditionalFormatting>
  <conditionalFormatting sqref="N48">
    <cfRule type="cellIs" dxfId="1455" priority="901" stopIfTrue="1" operator="greaterThan">
      <formula>0</formula>
    </cfRule>
  </conditionalFormatting>
  <conditionalFormatting sqref="N48">
    <cfRule type="cellIs" dxfId="1454" priority="900" stopIfTrue="1" operator="greaterThan">
      <formula>0</formula>
    </cfRule>
  </conditionalFormatting>
  <conditionalFormatting sqref="N48">
    <cfRule type="cellIs" dxfId="1453" priority="899" stopIfTrue="1" operator="greaterThan">
      <formula>0</formula>
    </cfRule>
  </conditionalFormatting>
  <conditionalFormatting sqref="D48">
    <cfRule type="cellIs" dxfId="1452" priority="898" stopIfTrue="1" operator="greaterThan">
      <formula>0</formula>
    </cfRule>
  </conditionalFormatting>
  <conditionalFormatting sqref="C51:K51">
    <cfRule type="cellIs" dxfId="1451" priority="897" stopIfTrue="1" operator="greaterThan">
      <formula>0</formula>
    </cfRule>
  </conditionalFormatting>
  <conditionalFormatting sqref="M51">
    <cfRule type="cellIs" dxfId="1450" priority="896" stopIfTrue="1" operator="greaterThan">
      <formula>0</formula>
    </cfRule>
  </conditionalFormatting>
  <conditionalFormatting sqref="N51">
    <cfRule type="cellIs" dxfId="1449" priority="895" stopIfTrue="1" operator="greaterThan">
      <formula>0</formula>
    </cfRule>
  </conditionalFormatting>
  <conditionalFormatting sqref="N51">
    <cfRule type="cellIs" dxfId="1448" priority="894" stopIfTrue="1" operator="greaterThan">
      <formula>0</formula>
    </cfRule>
  </conditionalFormatting>
  <conditionalFormatting sqref="R51">
    <cfRule type="cellIs" dxfId="1447" priority="886" stopIfTrue="1" operator="greaterThan">
      <formula>0</formula>
    </cfRule>
  </conditionalFormatting>
  <conditionalFormatting sqref="L51">
    <cfRule type="cellIs" dxfId="1446" priority="891" stopIfTrue="1" operator="greaterThan">
      <formula>0</formula>
    </cfRule>
  </conditionalFormatting>
  <conditionalFormatting sqref="P51">
    <cfRule type="cellIs" dxfId="1445" priority="890" stopIfTrue="1" operator="greaterThan">
      <formula>0</formula>
    </cfRule>
  </conditionalFormatting>
  <conditionalFormatting sqref="P51">
    <cfRule type="cellIs" dxfId="1444" priority="889" stopIfTrue="1" operator="greaterThan">
      <formula>0</formula>
    </cfRule>
  </conditionalFormatting>
  <conditionalFormatting sqref="Q51">
    <cfRule type="cellIs" dxfId="1443" priority="887" stopIfTrue="1" operator="greaterThan">
      <formula>0</formula>
    </cfRule>
  </conditionalFormatting>
  <conditionalFormatting sqref="Q51">
    <cfRule type="cellIs" dxfId="1442" priority="888" stopIfTrue="1" operator="greaterThan">
      <formula>0</formula>
    </cfRule>
  </conditionalFormatting>
  <conditionalFormatting sqref="Q63">
    <cfRule type="cellIs" dxfId="1441" priority="884" stopIfTrue="1" operator="greaterThan">
      <formula>0</formula>
    </cfRule>
  </conditionalFormatting>
  <conditionalFormatting sqref="C66:K66 Q63 C63:M63">
    <cfRule type="cellIs" dxfId="1440" priority="883" stopIfTrue="1" operator="greaterThan">
      <formula>0</formula>
    </cfRule>
  </conditionalFormatting>
  <conditionalFormatting sqref="M66">
    <cfRule type="cellIs" dxfId="1439" priority="882" stopIfTrue="1" operator="greaterThan">
      <formula>0</formula>
    </cfRule>
  </conditionalFormatting>
  <conditionalFormatting sqref="N66">
    <cfRule type="cellIs" dxfId="1438" priority="880" stopIfTrue="1" operator="greaterThan">
      <formula>0</formula>
    </cfRule>
  </conditionalFormatting>
  <conditionalFormatting sqref="N66">
    <cfRule type="cellIs" dxfId="1437" priority="879" stopIfTrue="1" operator="greaterThan">
      <formula>0</formula>
    </cfRule>
  </conditionalFormatting>
  <conditionalFormatting sqref="N66">
    <cfRule type="cellIs" dxfId="1436" priority="878" stopIfTrue="1" operator="greaterThan">
      <formula>0</formula>
    </cfRule>
  </conditionalFormatting>
  <conditionalFormatting sqref="L66">
    <cfRule type="cellIs" dxfId="1435" priority="876" stopIfTrue="1" operator="greaterThan">
      <formula>0</formula>
    </cfRule>
  </conditionalFormatting>
  <conditionalFormatting sqref="P66">
    <cfRule type="cellIs" dxfId="1434" priority="875" stopIfTrue="1" operator="greaterThan">
      <formula>0</formula>
    </cfRule>
  </conditionalFormatting>
  <conditionalFormatting sqref="P66">
    <cfRule type="cellIs" dxfId="1433" priority="874" stopIfTrue="1" operator="greaterThan">
      <formula>0</formula>
    </cfRule>
  </conditionalFormatting>
  <conditionalFormatting sqref="Q66">
    <cfRule type="cellIs" dxfId="1432" priority="872" stopIfTrue="1" operator="greaterThan">
      <formula>0</formula>
    </cfRule>
  </conditionalFormatting>
  <conditionalFormatting sqref="Q66">
    <cfRule type="cellIs" dxfId="1431" priority="873" stopIfTrue="1" operator="greaterThan">
      <formula>0</formula>
    </cfRule>
  </conditionalFormatting>
  <conditionalFormatting sqref="R66">
    <cfRule type="cellIs" dxfId="1430" priority="868" stopIfTrue="1" operator="greaterThan">
      <formula>0</formula>
    </cfRule>
  </conditionalFormatting>
  <conditionalFormatting sqref="R63">
    <cfRule type="cellIs" dxfId="1429" priority="871" stopIfTrue="1" operator="greaterThan">
      <formula>0</formula>
    </cfRule>
  </conditionalFormatting>
  <conditionalFormatting sqref="R63">
    <cfRule type="cellIs" dxfId="1428" priority="870" stopIfTrue="1" operator="greaterThan">
      <formula>0</formula>
    </cfRule>
  </conditionalFormatting>
  <conditionalFormatting sqref="R66">
    <cfRule type="cellIs" dxfId="1427" priority="869" stopIfTrue="1" operator="greaterThan">
      <formula>0</formula>
    </cfRule>
  </conditionalFormatting>
  <conditionalFormatting sqref="N63">
    <cfRule type="cellIs" dxfId="1426" priority="867" stopIfTrue="1" operator="greaterThan">
      <formula>0</formula>
    </cfRule>
  </conditionalFormatting>
  <conditionalFormatting sqref="N63">
    <cfRule type="cellIs" dxfId="1425" priority="866" stopIfTrue="1" operator="greaterThan">
      <formula>0</formula>
    </cfRule>
  </conditionalFormatting>
  <conditionalFormatting sqref="N63">
    <cfRule type="cellIs" dxfId="1424" priority="865" stopIfTrue="1" operator="greaterThan">
      <formula>0</formula>
    </cfRule>
  </conditionalFormatting>
  <conditionalFormatting sqref="Q79">
    <cfRule type="cellIs" dxfId="1423" priority="864" stopIfTrue="1" operator="greaterThan">
      <formula>0</formula>
    </cfRule>
  </conditionalFormatting>
  <conditionalFormatting sqref="C82:K82 Q79 C79:M79">
    <cfRule type="cellIs" dxfId="1422" priority="863" stopIfTrue="1" operator="greaterThan">
      <formula>0</formula>
    </cfRule>
  </conditionalFormatting>
  <conditionalFormatting sqref="M82">
    <cfRule type="cellIs" dxfId="1421" priority="862" stopIfTrue="1" operator="greaterThan">
      <formula>0</formula>
    </cfRule>
  </conditionalFormatting>
  <conditionalFormatting sqref="O79">
    <cfRule type="cellIs" dxfId="1420" priority="861" stopIfTrue="1" operator="greaterThan">
      <formula>0</formula>
    </cfRule>
  </conditionalFormatting>
  <conditionalFormatting sqref="N82">
    <cfRule type="cellIs" dxfId="1419" priority="860" stopIfTrue="1" operator="greaterThan">
      <formula>0</formula>
    </cfRule>
  </conditionalFormatting>
  <conditionalFormatting sqref="N82">
    <cfRule type="cellIs" dxfId="1418" priority="859" stopIfTrue="1" operator="greaterThan">
      <formula>0</formula>
    </cfRule>
  </conditionalFormatting>
  <conditionalFormatting sqref="N82">
    <cfRule type="cellIs" dxfId="1417" priority="858" stopIfTrue="1" operator="greaterThan">
      <formula>0</formula>
    </cfRule>
  </conditionalFormatting>
  <conditionalFormatting sqref="O82">
    <cfRule type="cellIs" dxfId="1416" priority="857" stopIfTrue="1" operator="greaterThan">
      <formula>0</formula>
    </cfRule>
  </conditionalFormatting>
  <conditionalFormatting sqref="L82">
    <cfRule type="cellIs" dxfId="1415" priority="856" stopIfTrue="1" operator="greaterThan">
      <formula>0</formula>
    </cfRule>
  </conditionalFormatting>
  <conditionalFormatting sqref="P82">
    <cfRule type="cellIs" dxfId="1414" priority="855" stopIfTrue="1" operator="greaterThan">
      <formula>0</formula>
    </cfRule>
  </conditionalFormatting>
  <conditionalFormatting sqref="P82">
    <cfRule type="cellIs" dxfId="1413" priority="854" stopIfTrue="1" operator="greaterThan">
      <formula>0</formula>
    </cfRule>
  </conditionalFormatting>
  <conditionalFormatting sqref="Q82">
    <cfRule type="cellIs" dxfId="1412" priority="852" stopIfTrue="1" operator="greaterThan">
      <formula>0</formula>
    </cfRule>
  </conditionalFormatting>
  <conditionalFormatting sqref="Q82">
    <cfRule type="cellIs" dxfId="1411" priority="853" stopIfTrue="1" operator="greaterThan">
      <formula>0</formula>
    </cfRule>
  </conditionalFormatting>
  <conditionalFormatting sqref="R82">
    <cfRule type="cellIs" dxfId="1410" priority="848" stopIfTrue="1" operator="greaterThan">
      <formula>0</formula>
    </cfRule>
  </conditionalFormatting>
  <conditionalFormatting sqref="R101">
    <cfRule type="cellIs" dxfId="1409" priority="795" stopIfTrue="1" operator="greaterThan">
      <formula>0</formula>
    </cfRule>
  </conditionalFormatting>
  <conditionalFormatting sqref="R101">
    <cfRule type="cellIs" dxfId="1408" priority="794" stopIfTrue="1" operator="greaterThan">
      <formula>0</formula>
    </cfRule>
  </conditionalFormatting>
  <conditionalFormatting sqref="R82">
    <cfRule type="cellIs" dxfId="1407" priority="849" stopIfTrue="1" operator="greaterThan">
      <formula>0</formula>
    </cfRule>
  </conditionalFormatting>
  <conditionalFormatting sqref="N97 N99">
    <cfRule type="cellIs" dxfId="1406" priority="786" stopIfTrue="1" operator="greaterThan">
      <formula>0</formula>
    </cfRule>
  </conditionalFormatting>
  <conditionalFormatting sqref="N98">
    <cfRule type="cellIs" dxfId="1405" priority="779" stopIfTrue="1" operator="greaterThan">
      <formula>0</formula>
    </cfRule>
  </conditionalFormatting>
  <conditionalFormatting sqref="N98">
    <cfRule type="cellIs" dxfId="1404" priority="778" stopIfTrue="1" operator="greaterThan">
      <formula>0</formula>
    </cfRule>
  </conditionalFormatting>
  <conditionalFormatting sqref="R83">
    <cfRule type="cellIs" dxfId="1403" priority="832" stopIfTrue="1" operator="greaterThan">
      <formula>0</formula>
    </cfRule>
  </conditionalFormatting>
  <conditionalFormatting sqref="C83:K83">
    <cfRule type="cellIs" dxfId="1402" priority="844" stopIfTrue="1" operator="greaterThan">
      <formula>0</formula>
    </cfRule>
  </conditionalFormatting>
  <conditionalFormatting sqref="M83">
    <cfRule type="cellIs" dxfId="1401" priority="843" stopIfTrue="1" operator="greaterThan">
      <formula>0</formula>
    </cfRule>
  </conditionalFormatting>
  <conditionalFormatting sqref="N83">
    <cfRule type="cellIs" dxfId="1400" priority="842" stopIfTrue="1" operator="greaterThan">
      <formula>0</formula>
    </cfRule>
  </conditionalFormatting>
  <conditionalFormatting sqref="N83">
    <cfRule type="cellIs" dxfId="1399" priority="841" stopIfTrue="1" operator="greaterThan">
      <formula>0</formula>
    </cfRule>
  </conditionalFormatting>
  <conditionalFormatting sqref="N83">
    <cfRule type="cellIs" dxfId="1398" priority="840" stopIfTrue="1" operator="greaterThan">
      <formula>0</formula>
    </cfRule>
  </conditionalFormatting>
  <conditionalFormatting sqref="O83">
    <cfRule type="cellIs" dxfId="1397" priority="839" stopIfTrue="1" operator="greaterThan">
      <formula>0</formula>
    </cfRule>
  </conditionalFormatting>
  <conditionalFormatting sqref="L83">
    <cfRule type="cellIs" dxfId="1396" priority="838" stopIfTrue="1" operator="greaterThan">
      <formula>0</formula>
    </cfRule>
  </conditionalFormatting>
  <conditionalFormatting sqref="Q83">
    <cfRule type="cellIs" dxfId="1395" priority="834" stopIfTrue="1" operator="greaterThan">
      <formula>0</formula>
    </cfRule>
  </conditionalFormatting>
  <conditionalFormatting sqref="Q83">
    <cfRule type="cellIs" dxfId="1394" priority="835" stopIfTrue="1" operator="greaterThan">
      <formula>0</formula>
    </cfRule>
  </conditionalFormatting>
  <conditionalFormatting sqref="R83">
    <cfRule type="cellIs" dxfId="1393" priority="833" stopIfTrue="1" operator="greaterThan">
      <formula>0</formula>
    </cfRule>
  </conditionalFormatting>
  <conditionalFormatting sqref="N117">
    <cfRule type="cellIs" dxfId="1392" priority="753" stopIfTrue="1" operator="greaterThan">
      <formula>0</formula>
    </cfRule>
  </conditionalFormatting>
  <conditionalFormatting sqref="Q101">
    <cfRule type="cellIs" dxfId="1391" priority="799" stopIfTrue="1" operator="greaterThan">
      <formula>0</formula>
    </cfRule>
  </conditionalFormatting>
  <conditionalFormatting sqref="C80:E80 G80:H80 L80">
    <cfRule type="cellIs" dxfId="1390" priority="830" stopIfTrue="1" operator="greaterThan">
      <formula>0</formula>
    </cfRule>
  </conditionalFormatting>
  <conditionalFormatting sqref="O80">
    <cfRule type="cellIs" dxfId="1389" priority="829" stopIfTrue="1" operator="greaterThan">
      <formula>0</formula>
    </cfRule>
  </conditionalFormatting>
  <conditionalFormatting sqref="F80">
    <cfRule type="cellIs" dxfId="1388" priority="825" stopIfTrue="1" operator="greaterThan">
      <formula>0</formula>
    </cfRule>
  </conditionalFormatting>
  <conditionalFormatting sqref="F80">
    <cfRule type="cellIs" dxfId="1387" priority="826" stopIfTrue="1" operator="notEqual">
      <formula>""</formula>
    </cfRule>
  </conditionalFormatting>
  <conditionalFormatting sqref="I80">
    <cfRule type="cellIs" dxfId="1386" priority="824" stopIfTrue="1" operator="greaterThan">
      <formula>0</formula>
    </cfRule>
  </conditionalFormatting>
  <conditionalFormatting sqref="J80:K80">
    <cfRule type="cellIs" dxfId="1385" priority="823" stopIfTrue="1" operator="notEqual">
      <formula>""</formula>
    </cfRule>
  </conditionalFormatting>
  <conditionalFormatting sqref="J80:K80">
    <cfRule type="cellIs" dxfId="1384" priority="822" stopIfTrue="1" operator="greaterThan">
      <formula>0</formula>
    </cfRule>
  </conditionalFormatting>
  <conditionalFormatting sqref="C97:M97 Q97 Q99 C99:M99">
    <cfRule type="cellIs" dxfId="1383" priority="792" stopIfTrue="1" operator="greaterThan">
      <formula>0</formula>
    </cfRule>
  </conditionalFormatting>
  <conditionalFormatting sqref="N117">
    <cfRule type="cellIs" dxfId="1382" priority="755" stopIfTrue="1" operator="greaterThan">
      <formula>0</formula>
    </cfRule>
  </conditionalFormatting>
  <conditionalFormatting sqref="N117">
    <cfRule type="cellIs" dxfId="1381" priority="754" stopIfTrue="1" operator="greaterThan">
      <formula>0</formula>
    </cfRule>
  </conditionalFormatting>
  <conditionalFormatting sqref="N96">
    <cfRule type="cellIs" dxfId="1380" priority="770" stopIfTrue="1" operator="greaterThan">
      <formula>0</formula>
    </cfRule>
  </conditionalFormatting>
  <conditionalFormatting sqref="N96">
    <cfRule type="cellIs" dxfId="1379" priority="769" stopIfTrue="1" operator="greaterThan">
      <formula>0</formula>
    </cfRule>
  </conditionalFormatting>
  <conditionalFormatting sqref="P81">
    <cfRule type="cellIs" dxfId="1378" priority="814" stopIfTrue="1" operator="greaterThan">
      <formula>0</formula>
    </cfRule>
  </conditionalFormatting>
  <conditionalFormatting sqref="P81">
    <cfRule type="cellIs" dxfId="1377" priority="813" stopIfTrue="1" operator="greaterThan">
      <formula>0</formula>
    </cfRule>
  </conditionalFormatting>
  <conditionalFormatting sqref="P83">
    <cfRule type="cellIs" dxfId="1376" priority="812" stopIfTrue="1" operator="greaterThan">
      <formula>0</formula>
    </cfRule>
  </conditionalFormatting>
  <conditionalFormatting sqref="P83">
    <cfRule type="cellIs" dxfId="1375" priority="811" stopIfTrue="1" operator="greaterThan">
      <formula>0</formula>
    </cfRule>
  </conditionalFormatting>
  <conditionalFormatting sqref="Q96">
    <cfRule type="cellIs" dxfId="1374" priority="810" stopIfTrue="1" operator="greaterThan">
      <formula>0</formula>
    </cfRule>
  </conditionalFormatting>
  <conditionalFormatting sqref="C101:K101 C96:M96 Q96">
    <cfRule type="cellIs" dxfId="1373" priority="809" stopIfTrue="1" operator="greaterThan">
      <formula>0</formula>
    </cfRule>
  </conditionalFormatting>
  <conditionalFormatting sqref="M101">
    <cfRule type="cellIs" dxfId="1372" priority="808" stopIfTrue="1" operator="greaterThan">
      <formula>0</formula>
    </cfRule>
  </conditionalFormatting>
  <conditionalFormatting sqref="O96">
    <cfRule type="cellIs" dxfId="1371" priority="807" stopIfTrue="1" operator="greaterThan">
      <formula>0</formula>
    </cfRule>
  </conditionalFormatting>
  <conditionalFormatting sqref="N101">
    <cfRule type="cellIs" dxfId="1370" priority="806" stopIfTrue="1" operator="greaterThan">
      <formula>0</formula>
    </cfRule>
  </conditionalFormatting>
  <conditionalFormatting sqref="N101">
    <cfRule type="cellIs" dxfId="1369" priority="805" stopIfTrue="1" operator="greaterThan">
      <formula>0</formula>
    </cfRule>
  </conditionalFormatting>
  <conditionalFormatting sqref="N101">
    <cfRule type="cellIs" dxfId="1368" priority="804" stopIfTrue="1" operator="greaterThan">
      <formula>0</formula>
    </cfRule>
  </conditionalFormatting>
  <conditionalFormatting sqref="O101">
    <cfRule type="cellIs" dxfId="1367" priority="803" stopIfTrue="1" operator="greaterThan">
      <formula>0</formula>
    </cfRule>
  </conditionalFormatting>
  <conditionalFormatting sqref="L101">
    <cfRule type="cellIs" dxfId="1366" priority="802" stopIfTrue="1" operator="greaterThan">
      <formula>0</formula>
    </cfRule>
  </conditionalFormatting>
  <conditionalFormatting sqref="P101">
    <cfRule type="cellIs" dxfId="1365" priority="801" stopIfTrue="1" operator="greaterThan">
      <formula>0</formula>
    </cfRule>
  </conditionalFormatting>
  <conditionalFormatting sqref="P101">
    <cfRule type="cellIs" dxfId="1364" priority="800" stopIfTrue="1" operator="greaterThan">
      <formula>0</formula>
    </cfRule>
  </conditionalFormatting>
  <conditionalFormatting sqref="Q101">
    <cfRule type="cellIs" dxfId="1363" priority="798" stopIfTrue="1" operator="greaterThan">
      <formula>0</formula>
    </cfRule>
  </conditionalFormatting>
  <conditionalFormatting sqref="R97">
    <cfRule type="cellIs" dxfId="1362" priority="774" stopIfTrue="1" operator="greaterThan">
      <formula>0</formula>
    </cfRule>
  </conditionalFormatting>
  <conditionalFormatting sqref="N97 N99">
    <cfRule type="cellIs" dxfId="1361" priority="787" stopIfTrue="1" operator="greaterThan">
      <formula>0</formula>
    </cfRule>
  </conditionalFormatting>
  <conditionalFormatting sqref="R96">
    <cfRule type="cellIs" dxfId="1360" priority="797" stopIfTrue="1" operator="greaterThan">
      <formula>0</formula>
    </cfRule>
  </conditionalFormatting>
  <conditionalFormatting sqref="R96">
    <cfRule type="cellIs" dxfId="1359" priority="796" stopIfTrue="1" operator="greaterThan">
      <formula>0</formula>
    </cfRule>
  </conditionalFormatting>
  <conditionalFormatting sqref="N97 N99">
    <cfRule type="cellIs" dxfId="1358" priority="788" stopIfTrue="1" operator="greaterThan">
      <formula>0</formula>
    </cfRule>
  </conditionalFormatting>
  <conditionalFormatting sqref="Q97 Q99">
    <cfRule type="cellIs" dxfId="1357" priority="793" stopIfTrue="1" operator="greaterThan">
      <formula>0</formula>
    </cfRule>
  </conditionalFormatting>
  <conditionalFormatting sqref="O97 O99">
    <cfRule type="cellIs" dxfId="1356" priority="791" stopIfTrue="1" operator="greaterThan">
      <formula>0</formula>
    </cfRule>
  </conditionalFormatting>
  <conditionalFormatting sqref="R99">
    <cfRule type="cellIs" dxfId="1355" priority="790" stopIfTrue="1" operator="greaterThan">
      <formula>0</formula>
    </cfRule>
  </conditionalFormatting>
  <conditionalFormatting sqref="R99">
    <cfRule type="cellIs" dxfId="1354" priority="789" stopIfTrue="1" operator="greaterThan">
      <formula>0</formula>
    </cfRule>
  </conditionalFormatting>
  <conditionalFormatting sqref="N98">
    <cfRule type="cellIs" dxfId="1353" priority="780" stopIfTrue="1" operator="greaterThan">
      <formula>0</formula>
    </cfRule>
  </conditionalFormatting>
  <conditionalFormatting sqref="Q98">
    <cfRule type="cellIs" dxfId="1352" priority="783" stopIfTrue="1" operator="greaterThan">
      <formula>0</formula>
    </cfRule>
  </conditionalFormatting>
  <conditionalFormatting sqref="C98 Q98 E98:M98">
    <cfRule type="cellIs" dxfId="1351" priority="782" stopIfTrue="1" operator="greaterThan">
      <formula>0</formula>
    </cfRule>
  </conditionalFormatting>
  <conditionalFormatting sqref="O98">
    <cfRule type="cellIs" dxfId="1350" priority="781" stopIfTrue="1" operator="greaterThan">
      <formula>0</formula>
    </cfRule>
  </conditionalFormatting>
  <conditionalFormatting sqref="D98">
    <cfRule type="cellIs" dxfId="1349" priority="775" stopIfTrue="1" operator="greaterThan">
      <formula>0</formula>
    </cfRule>
  </conditionalFormatting>
  <conditionalFormatting sqref="R97">
    <cfRule type="cellIs" dxfId="1348" priority="773" stopIfTrue="1" operator="greaterThan">
      <formula>0</formula>
    </cfRule>
  </conditionalFormatting>
  <conditionalFormatting sqref="R98">
    <cfRule type="cellIs" dxfId="1347" priority="772" stopIfTrue="1" operator="greaterThan">
      <formula>0</formula>
    </cfRule>
  </conditionalFormatting>
  <conditionalFormatting sqref="R98">
    <cfRule type="cellIs" dxfId="1346" priority="771" stopIfTrue="1" operator="greaterThan">
      <formula>0</formula>
    </cfRule>
  </conditionalFormatting>
  <conditionalFormatting sqref="P117">
    <cfRule type="cellIs" dxfId="1345" priority="750" stopIfTrue="1" operator="greaterThan">
      <formula>0</formula>
    </cfRule>
  </conditionalFormatting>
  <conditionalFormatting sqref="P117">
    <cfRule type="cellIs" dxfId="1344" priority="749" stopIfTrue="1" operator="greaterThan">
      <formula>0</formula>
    </cfRule>
  </conditionalFormatting>
  <conditionalFormatting sqref="N96">
    <cfRule type="cellIs" dxfId="1343" priority="768" stopIfTrue="1" operator="greaterThan">
      <formula>0</formula>
    </cfRule>
  </conditionalFormatting>
  <conditionalFormatting sqref="N133">
    <cfRule type="cellIs" dxfId="1342" priority="723" stopIfTrue="1" operator="greaterThan">
      <formula>0</formula>
    </cfRule>
  </conditionalFormatting>
  <conditionalFormatting sqref="N133">
    <cfRule type="cellIs" dxfId="1341" priority="722" stopIfTrue="1" operator="greaterThan">
      <formula>0</formula>
    </cfRule>
  </conditionalFormatting>
  <conditionalFormatting sqref="P99">
    <cfRule type="cellIs" dxfId="1340" priority="761" stopIfTrue="1" operator="greaterThan">
      <formula>0</formula>
    </cfRule>
  </conditionalFormatting>
  <conditionalFormatting sqref="P99">
    <cfRule type="cellIs" dxfId="1339" priority="760" stopIfTrue="1" operator="greaterThan">
      <formula>0</formula>
    </cfRule>
  </conditionalFormatting>
  <conditionalFormatting sqref="Q114">
    <cfRule type="cellIs" dxfId="1338" priority="759" stopIfTrue="1" operator="greaterThan">
      <formula>0</formula>
    </cfRule>
  </conditionalFormatting>
  <conditionalFormatting sqref="C117:K117 C114:M114 Q114">
    <cfRule type="cellIs" dxfId="1337" priority="758" stopIfTrue="1" operator="greaterThan">
      <formula>0</formula>
    </cfRule>
  </conditionalFormatting>
  <conditionalFormatting sqref="M117">
    <cfRule type="cellIs" dxfId="1336" priority="757" stopIfTrue="1" operator="greaterThan">
      <formula>0</formula>
    </cfRule>
  </conditionalFormatting>
  <conditionalFormatting sqref="O114">
    <cfRule type="cellIs" dxfId="1335" priority="756" stopIfTrue="1" operator="greaterThan">
      <formula>0</formula>
    </cfRule>
  </conditionalFormatting>
  <conditionalFormatting sqref="Q117">
    <cfRule type="cellIs" dxfId="1334" priority="748" stopIfTrue="1" operator="greaterThan">
      <formula>0</formula>
    </cfRule>
  </conditionalFormatting>
  <conditionalFormatting sqref="Q117">
    <cfRule type="cellIs" dxfId="1333" priority="747" stopIfTrue="1" operator="greaterThan">
      <formula>0</formula>
    </cfRule>
  </conditionalFormatting>
  <conditionalFormatting sqref="N114">
    <cfRule type="cellIs" dxfId="1332" priority="746" stopIfTrue="1" operator="greaterThan">
      <formula>0</formula>
    </cfRule>
  </conditionalFormatting>
  <conditionalFormatting sqref="O117">
    <cfRule type="cellIs" dxfId="1331" priority="752" stopIfTrue="1" operator="greaterThan">
      <formula>0</formula>
    </cfRule>
  </conditionalFormatting>
  <conditionalFormatting sqref="L117">
    <cfRule type="cellIs" dxfId="1330" priority="751" stopIfTrue="1" operator="greaterThan">
      <formula>0</formula>
    </cfRule>
  </conditionalFormatting>
  <conditionalFormatting sqref="N114">
    <cfRule type="cellIs" dxfId="1329" priority="745" stopIfTrue="1" operator="greaterThan">
      <formula>0</formula>
    </cfRule>
  </conditionalFormatting>
  <conditionalFormatting sqref="N114">
    <cfRule type="cellIs" dxfId="1328" priority="744" stopIfTrue="1" operator="greaterThan">
      <formula>0</formula>
    </cfRule>
  </conditionalFormatting>
  <conditionalFormatting sqref="Q115">
    <cfRule type="cellIs" dxfId="1327" priority="743" stopIfTrue="1" operator="greaterThan">
      <formula>0</formula>
    </cfRule>
  </conditionalFormatting>
  <conditionalFormatting sqref="Q115 C115:M115">
    <cfRule type="cellIs" dxfId="1326" priority="742" stopIfTrue="1" operator="greaterThan">
      <formula>0</formula>
    </cfRule>
  </conditionalFormatting>
  <conditionalFormatting sqref="O115">
    <cfRule type="cellIs" dxfId="1325" priority="741" stopIfTrue="1" operator="greaterThan">
      <formula>0</formula>
    </cfRule>
  </conditionalFormatting>
  <conditionalFormatting sqref="R115">
    <cfRule type="cellIs" dxfId="1324" priority="740" stopIfTrue="1" operator="greaterThan">
      <formula>0</formula>
    </cfRule>
  </conditionalFormatting>
  <conditionalFormatting sqref="R115">
    <cfRule type="cellIs" dxfId="1323" priority="739" stopIfTrue="1" operator="greaterThan">
      <formula>0</formula>
    </cfRule>
  </conditionalFormatting>
  <conditionalFormatting sqref="N115">
    <cfRule type="cellIs" dxfId="1322" priority="738" stopIfTrue="1" operator="greaterThan">
      <formula>0</formula>
    </cfRule>
  </conditionalFormatting>
  <conditionalFormatting sqref="N115">
    <cfRule type="cellIs" dxfId="1321" priority="737" stopIfTrue="1" operator="greaterThan">
      <formula>0</formula>
    </cfRule>
  </conditionalFormatting>
  <conditionalFormatting sqref="N115">
    <cfRule type="cellIs" dxfId="1320" priority="736" stopIfTrue="1" operator="greaterThan">
      <formula>0</formula>
    </cfRule>
  </conditionalFormatting>
  <conditionalFormatting sqref="R114">
    <cfRule type="cellIs" dxfId="1319" priority="732" stopIfTrue="1" operator="greaterThan">
      <formula>0</formula>
    </cfRule>
  </conditionalFormatting>
  <conditionalFormatting sqref="R114">
    <cfRule type="cellIs" dxfId="1318" priority="733" stopIfTrue="1" operator="greaterThan">
      <formula>0</formula>
    </cfRule>
  </conditionalFormatting>
  <conditionalFormatting sqref="R117">
    <cfRule type="cellIs" dxfId="1317" priority="730" stopIfTrue="1" operator="greaterThan">
      <formula>0</formula>
    </cfRule>
  </conditionalFormatting>
  <conditionalFormatting sqref="R117">
    <cfRule type="cellIs" dxfId="1316" priority="731" stopIfTrue="1" operator="greaterThan">
      <formula>0</formula>
    </cfRule>
  </conditionalFormatting>
  <conditionalFormatting sqref="P115">
    <cfRule type="cellIs" dxfId="1315" priority="729" stopIfTrue="1" operator="greaterThan">
      <formula>0</formula>
    </cfRule>
  </conditionalFormatting>
  <conditionalFormatting sqref="P115">
    <cfRule type="cellIs" dxfId="1314" priority="728" stopIfTrue="1" operator="greaterThan">
      <formula>0</formula>
    </cfRule>
  </conditionalFormatting>
  <conditionalFormatting sqref="Q130">
    <cfRule type="cellIs" dxfId="1313" priority="727" stopIfTrue="1" operator="greaterThan">
      <formula>0</formula>
    </cfRule>
  </conditionalFormatting>
  <conditionalFormatting sqref="C133 C130 Q130 E130:M130 E133:K133">
    <cfRule type="cellIs" dxfId="1312" priority="726" stopIfTrue="1" operator="greaterThan">
      <formula>0</formula>
    </cfRule>
  </conditionalFormatting>
  <conditionalFormatting sqref="M133">
    <cfRule type="cellIs" dxfId="1311" priority="725" stopIfTrue="1" operator="greaterThan">
      <formula>0</formula>
    </cfRule>
  </conditionalFormatting>
  <conditionalFormatting sqref="O130">
    <cfRule type="cellIs" dxfId="1310" priority="724" stopIfTrue="1" operator="greaterThan">
      <formula>0</formula>
    </cfRule>
  </conditionalFormatting>
  <conditionalFormatting sqref="N133">
    <cfRule type="cellIs" dxfId="1309" priority="721" stopIfTrue="1" operator="greaterThan">
      <formula>0</formula>
    </cfRule>
  </conditionalFormatting>
  <conditionalFormatting sqref="O133">
    <cfRule type="cellIs" dxfId="1308" priority="720" stopIfTrue="1" operator="greaterThan">
      <formula>0</formula>
    </cfRule>
  </conditionalFormatting>
  <conditionalFormatting sqref="L133">
    <cfRule type="cellIs" dxfId="1307" priority="719" stopIfTrue="1" operator="greaterThan">
      <formula>0</formula>
    </cfRule>
  </conditionalFormatting>
  <conditionalFormatting sqref="P133">
    <cfRule type="cellIs" dxfId="1306" priority="718" stopIfTrue="1" operator="greaterThan">
      <formula>0</formula>
    </cfRule>
  </conditionalFormatting>
  <conditionalFormatting sqref="P133">
    <cfRule type="cellIs" dxfId="1305" priority="717" stopIfTrue="1" operator="greaterThan">
      <formula>0</formula>
    </cfRule>
  </conditionalFormatting>
  <conditionalFormatting sqref="Q133">
    <cfRule type="cellIs" dxfId="1304" priority="715" stopIfTrue="1" operator="greaterThan">
      <formula>0</formula>
    </cfRule>
  </conditionalFormatting>
  <conditionalFormatting sqref="Q133">
    <cfRule type="cellIs" dxfId="1303" priority="716" stopIfTrue="1" operator="greaterThan">
      <formula>0</formula>
    </cfRule>
  </conditionalFormatting>
  <conditionalFormatting sqref="N130">
    <cfRule type="cellIs" dxfId="1302" priority="714" stopIfTrue="1" operator="greaterThan">
      <formula>0</formula>
    </cfRule>
  </conditionalFormatting>
  <conditionalFormatting sqref="N130">
    <cfRule type="cellIs" dxfId="1301" priority="713" stopIfTrue="1" operator="greaterThan">
      <formula>0</formula>
    </cfRule>
  </conditionalFormatting>
  <conditionalFormatting sqref="N130">
    <cfRule type="cellIs" dxfId="1300" priority="712" stopIfTrue="1" operator="greaterThan">
      <formula>0</formula>
    </cfRule>
  </conditionalFormatting>
  <conditionalFormatting sqref="Q131">
    <cfRule type="cellIs" dxfId="1299" priority="711" stopIfTrue="1" operator="greaterThan">
      <formula>0</formula>
    </cfRule>
  </conditionalFormatting>
  <conditionalFormatting sqref="Q131 C131:M131">
    <cfRule type="cellIs" dxfId="1298" priority="710" stopIfTrue="1" operator="greaterThan">
      <formula>0</formula>
    </cfRule>
  </conditionalFormatting>
  <conditionalFormatting sqref="O131">
    <cfRule type="cellIs" dxfId="1297" priority="709" stopIfTrue="1" operator="greaterThan">
      <formula>0</formula>
    </cfRule>
  </conditionalFormatting>
  <conditionalFormatting sqref="R131">
    <cfRule type="cellIs" dxfId="1296" priority="708" stopIfTrue="1" operator="greaterThan">
      <formula>0</formula>
    </cfRule>
  </conditionalFormatting>
  <conditionalFormatting sqref="R131">
    <cfRule type="cellIs" dxfId="1295" priority="707" stopIfTrue="1" operator="greaterThan">
      <formula>0</formula>
    </cfRule>
  </conditionalFormatting>
  <conditionalFormatting sqref="N131">
    <cfRule type="cellIs" dxfId="1294" priority="706" stopIfTrue="1" operator="greaterThan">
      <formula>0</formula>
    </cfRule>
  </conditionalFormatting>
  <conditionalFormatting sqref="N131">
    <cfRule type="cellIs" dxfId="1293" priority="705" stopIfTrue="1" operator="greaterThan">
      <formula>0</formula>
    </cfRule>
  </conditionalFormatting>
  <conditionalFormatting sqref="N131">
    <cfRule type="cellIs" dxfId="1292" priority="704" stopIfTrue="1" operator="greaterThan">
      <formula>0</formula>
    </cfRule>
  </conditionalFormatting>
  <conditionalFormatting sqref="R130">
    <cfRule type="cellIs" dxfId="1291" priority="700" stopIfTrue="1" operator="greaterThan">
      <formula>0</formula>
    </cfRule>
  </conditionalFormatting>
  <conditionalFormatting sqref="R130">
    <cfRule type="cellIs" dxfId="1290" priority="701" stopIfTrue="1" operator="greaterThan">
      <formula>0</formula>
    </cfRule>
  </conditionalFormatting>
  <conditionalFormatting sqref="R133">
    <cfRule type="cellIs" dxfId="1289" priority="698" stopIfTrue="1" operator="greaterThan">
      <formula>0</formula>
    </cfRule>
  </conditionalFormatting>
  <conditionalFormatting sqref="R133">
    <cfRule type="cellIs" dxfId="1288" priority="699" stopIfTrue="1" operator="greaterThan">
      <formula>0</formula>
    </cfRule>
  </conditionalFormatting>
  <conditionalFormatting sqref="D130">
    <cfRule type="cellIs" dxfId="1287" priority="697" stopIfTrue="1" operator="greaterThan">
      <formula>0</formula>
    </cfRule>
  </conditionalFormatting>
  <conditionalFormatting sqref="D133">
    <cfRule type="cellIs" dxfId="1286" priority="696" stopIfTrue="1" operator="greaterThan">
      <formula>0</formula>
    </cfRule>
  </conditionalFormatting>
  <conditionalFormatting sqref="P131">
    <cfRule type="cellIs" dxfId="1285" priority="695" stopIfTrue="1" operator="greaterThan">
      <formula>0</formula>
    </cfRule>
  </conditionalFormatting>
  <conditionalFormatting sqref="P131">
    <cfRule type="cellIs" dxfId="1284" priority="694" stopIfTrue="1" operator="greaterThan">
      <formula>0</formula>
    </cfRule>
  </conditionalFormatting>
  <conditionalFormatting sqref="R216">
    <cfRule type="cellIs" dxfId="1283" priority="639" stopIfTrue="1" operator="greaterThan">
      <formula>0</formula>
    </cfRule>
  </conditionalFormatting>
  <conditionalFormatting sqref="R216">
    <cfRule type="cellIs" dxfId="1282" priority="638" stopIfTrue="1" operator="greaterThan">
      <formula>0</formula>
    </cfRule>
  </conditionalFormatting>
  <conditionalFormatting sqref="P250">
    <cfRule type="cellIs" dxfId="1281" priority="605" stopIfTrue="1" operator="greaterThan">
      <formula>0</formula>
    </cfRule>
  </conditionalFormatting>
  <conditionalFormatting sqref="P250">
    <cfRule type="cellIs" dxfId="1280" priority="604" stopIfTrue="1" operator="greaterThan">
      <formula>0</formula>
    </cfRule>
  </conditionalFormatting>
  <conditionalFormatting sqref="N247">
    <cfRule type="cellIs" dxfId="1279" priority="601" stopIfTrue="1" operator="greaterThan">
      <formula>0</formula>
    </cfRule>
  </conditionalFormatting>
  <conditionalFormatting sqref="O248">
    <cfRule type="cellIs" dxfId="1278" priority="598" stopIfTrue="1" operator="greaterThan">
      <formula>0</formula>
    </cfRule>
  </conditionalFormatting>
  <conditionalFormatting sqref="R248">
    <cfRule type="cellIs" dxfId="1277" priority="597" stopIfTrue="1" operator="greaterThan">
      <formula>0</formula>
    </cfRule>
  </conditionalFormatting>
  <conditionalFormatting sqref="R248">
    <cfRule type="cellIs" dxfId="1276" priority="596" stopIfTrue="1" operator="greaterThan">
      <formula>0</formula>
    </cfRule>
  </conditionalFormatting>
  <conditionalFormatting sqref="N248">
    <cfRule type="cellIs" dxfId="1275" priority="594" stopIfTrue="1" operator="greaterThan">
      <formula>0</formula>
    </cfRule>
  </conditionalFormatting>
  <conditionalFormatting sqref="N248">
    <cfRule type="cellIs" dxfId="1274" priority="595" stopIfTrue="1" operator="greaterThan">
      <formula>0</formula>
    </cfRule>
  </conditionalFormatting>
  <conditionalFormatting sqref="G250">
    <cfRule type="cellIs" dxfId="1273" priority="590" stopIfTrue="1" operator="greaterThan">
      <formula>0</formula>
    </cfRule>
  </conditionalFormatting>
  <conditionalFormatting sqref="N248">
    <cfRule type="cellIs" dxfId="1272" priority="593" stopIfTrue="1" operator="greaterThan">
      <formula>0</formula>
    </cfRule>
  </conditionalFormatting>
  <conditionalFormatting sqref="Q325">
    <cfRule type="cellIs" dxfId="1271" priority="425" stopIfTrue="1" operator="greaterThan">
      <formula>0</formula>
    </cfRule>
  </conditionalFormatting>
  <conditionalFormatting sqref="Q325">
    <cfRule type="cellIs" dxfId="1270" priority="424" stopIfTrue="1" operator="greaterThan">
      <formula>0</formula>
    </cfRule>
  </conditionalFormatting>
  <conditionalFormatting sqref="P327">
    <cfRule type="cellIs" dxfId="1269" priority="423" stopIfTrue="1" operator="greaterThan">
      <formula>0</formula>
    </cfRule>
  </conditionalFormatting>
  <conditionalFormatting sqref="R325">
    <cfRule type="cellIs" dxfId="1268" priority="441" stopIfTrue="1" operator="greaterThan">
      <formula>0</formula>
    </cfRule>
  </conditionalFormatting>
  <conditionalFormatting sqref="N247">
    <cfRule type="cellIs" dxfId="1267" priority="602" stopIfTrue="1" operator="greaterThan">
      <formula>0</formula>
    </cfRule>
  </conditionalFormatting>
  <conditionalFormatting sqref="Q248">
    <cfRule type="cellIs" dxfId="1266" priority="600" stopIfTrue="1" operator="greaterThan">
      <formula>0</formula>
    </cfRule>
  </conditionalFormatting>
  <conditionalFormatting sqref="Q248">
    <cfRule type="cellIs" dxfId="1265" priority="599" stopIfTrue="1" operator="greaterThan">
      <formula>0</formula>
    </cfRule>
  </conditionalFormatting>
  <conditionalFormatting sqref="G251">
    <cfRule type="cellIs" dxfId="1264" priority="589" stopIfTrue="1" operator="greaterThan">
      <formula>0</formula>
    </cfRule>
  </conditionalFormatting>
  <conditionalFormatting sqref="R247">
    <cfRule type="cellIs" dxfId="1263" priority="592" stopIfTrue="1" operator="greaterThan">
      <formula>0</formula>
    </cfRule>
  </conditionalFormatting>
  <conditionalFormatting sqref="R247">
    <cfRule type="cellIs" dxfId="1262" priority="591" stopIfTrue="1" operator="greaterThan">
      <formula>0</formula>
    </cfRule>
  </conditionalFormatting>
  <conditionalFormatting sqref="R251">
    <cfRule type="cellIs" dxfId="1261" priority="588" stopIfTrue="1" operator="greaterThan">
      <formula>0</formula>
    </cfRule>
  </conditionalFormatting>
  <conditionalFormatting sqref="R251">
    <cfRule type="cellIs" dxfId="1260" priority="587" stopIfTrue="1" operator="greaterThan">
      <formula>0</formula>
    </cfRule>
  </conditionalFormatting>
  <conditionalFormatting sqref="R250">
    <cfRule type="cellIs" dxfId="1259" priority="586" stopIfTrue="1" operator="greaterThan">
      <formula>0</formula>
    </cfRule>
  </conditionalFormatting>
  <conditionalFormatting sqref="R266">
    <cfRule type="cellIs" dxfId="1258" priority="566" stopIfTrue="1" operator="greaterThan">
      <formula>0</formula>
    </cfRule>
  </conditionalFormatting>
  <conditionalFormatting sqref="Q216">
    <cfRule type="cellIs" dxfId="1257" priority="651" stopIfTrue="1" operator="greaterThan">
      <formula>0</formula>
    </cfRule>
  </conditionalFormatting>
  <conditionalFormatting sqref="C218:E219 M219 Q216 C216:E216 G216:M216 G218:L219">
    <cfRule type="cellIs" dxfId="1256" priority="650" stopIfTrue="1" operator="greaterThan">
      <formula>0</formula>
    </cfRule>
  </conditionalFormatting>
  <conditionalFormatting sqref="M218">
    <cfRule type="cellIs" dxfId="1255" priority="649" stopIfTrue="1" operator="greaterThan">
      <formula>0</formula>
    </cfRule>
  </conditionalFormatting>
  <conditionalFormatting sqref="O216">
    <cfRule type="cellIs" dxfId="1254" priority="648" stopIfTrue="1" operator="greaterThan">
      <formula>0</formula>
    </cfRule>
  </conditionalFormatting>
  <conditionalFormatting sqref="N218:N219">
    <cfRule type="cellIs" dxfId="1253" priority="647" stopIfTrue="1" operator="greaterThan">
      <formula>0</formula>
    </cfRule>
  </conditionalFormatting>
  <conditionalFormatting sqref="N218:N219">
    <cfRule type="cellIs" dxfId="1252" priority="646" stopIfTrue="1" operator="greaterThan">
      <formula>0</formula>
    </cfRule>
  </conditionalFormatting>
  <conditionalFormatting sqref="N218:N219">
    <cfRule type="cellIs" dxfId="1251" priority="645" stopIfTrue="1" operator="greaterThan">
      <formula>0</formula>
    </cfRule>
  </conditionalFormatting>
  <conditionalFormatting sqref="O218:O219">
    <cfRule type="cellIs" dxfId="1250" priority="644" stopIfTrue="1" operator="greaterThan">
      <formula>0</formula>
    </cfRule>
  </conditionalFormatting>
  <conditionalFormatting sqref="P218">
    <cfRule type="cellIs" dxfId="1249" priority="643" stopIfTrue="1" operator="greaterThan">
      <formula>0</formula>
    </cfRule>
  </conditionalFormatting>
  <conditionalFormatting sqref="P218">
    <cfRule type="cellIs" dxfId="1248" priority="642" stopIfTrue="1" operator="greaterThan">
      <formula>0</formula>
    </cfRule>
  </conditionalFormatting>
  <conditionalFormatting sqref="Q218:Q219">
    <cfRule type="cellIs" dxfId="1247" priority="640" stopIfTrue="1" operator="greaterThan">
      <formula>0</formula>
    </cfRule>
  </conditionalFormatting>
  <conditionalFormatting sqref="Q218:Q219">
    <cfRule type="cellIs" dxfId="1246" priority="641" stopIfTrue="1" operator="greaterThan">
      <formula>0</formula>
    </cfRule>
  </conditionalFormatting>
  <conditionalFormatting sqref="R218:R219">
    <cfRule type="cellIs" dxfId="1245" priority="636" stopIfTrue="1" operator="greaterThan">
      <formula>0</formula>
    </cfRule>
  </conditionalFormatting>
  <conditionalFormatting sqref="N216">
    <cfRule type="cellIs" dxfId="1244" priority="633" stopIfTrue="1" operator="greaterThan">
      <formula>0</formula>
    </cfRule>
  </conditionalFormatting>
  <conditionalFormatting sqref="C231:E231 G231:M231">
    <cfRule type="cellIs" dxfId="1243" priority="632" stopIfTrue="1" operator="greaterThan">
      <formula>0</formula>
    </cfRule>
  </conditionalFormatting>
  <conditionalFormatting sqref="R218:R219">
    <cfRule type="cellIs" dxfId="1242" priority="637" stopIfTrue="1" operator="greaterThan">
      <formula>0</formula>
    </cfRule>
  </conditionalFormatting>
  <conditionalFormatting sqref="N216">
    <cfRule type="cellIs" dxfId="1241" priority="635" stopIfTrue="1" operator="greaterThan">
      <formula>0</formula>
    </cfRule>
  </conditionalFormatting>
  <conditionalFormatting sqref="N216">
    <cfRule type="cellIs" dxfId="1240" priority="634" stopIfTrue="1" operator="greaterThan">
      <formula>0</formula>
    </cfRule>
  </conditionalFormatting>
  <conditionalFormatting sqref="M250">
    <cfRule type="cellIs" dxfId="1239" priority="607" stopIfTrue="1" operator="greaterThan">
      <formula>0</formula>
    </cfRule>
  </conditionalFormatting>
  <conditionalFormatting sqref="Q231">
    <cfRule type="cellIs" dxfId="1238" priority="631" stopIfTrue="1" operator="greaterThan">
      <formula>0</formula>
    </cfRule>
  </conditionalFormatting>
  <conditionalFormatting sqref="C233:E235 M235 Q231 G233:L235">
    <cfRule type="cellIs" dxfId="1237" priority="630" stopIfTrue="1" operator="greaterThan">
      <formula>0</formula>
    </cfRule>
  </conditionalFormatting>
  <conditionalFormatting sqref="M233:M234">
    <cfRule type="cellIs" dxfId="1236" priority="629" stopIfTrue="1" operator="greaterThan">
      <formula>0</formula>
    </cfRule>
  </conditionalFormatting>
  <conditionalFormatting sqref="O231">
    <cfRule type="cellIs" dxfId="1235" priority="628" stopIfTrue="1" operator="greaterThan">
      <formula>0</formula>
    </cfRule>
  </conditionalFormatting>
  <conditionalFormatting sqref="N233:N235">
    <cfRule type="cellIs" dxfId="1234" priority="627" stopIfTrue="1" operator="greaterThan">
      <formula>0</formula>
    </cfRule>
  </conditionalFormatting>
  <conditionalFormatting sqref="N233:N235">
    <cfRule type="cellIs" dxfId="1233" priority="626" stopIfTrue="1" operator="greaterThan">
      <formula>0</formula>
    </cfRule>
  </conditionalFormatting>
  <conditionalFormatting sqref="N233:N235">
    <cfRule type="cellIs" dxfId="1232" priority="625" stopIfTrue="1" operator="greaterThan">
      <formula>0</formula>
    </cfRule>
  </conditionalFormatting>
  <conditionalFormatting sqref="O234:O235">
    <cfRule type="cellIs" dxfId="1231" priority="624" stopIfTrue="1" operator="greaterThan">
      <formula>0</formula>
    </cfRule>
  </conditionalFormatting>
  <conditionalFormatting sqref="P233:P234">
    <cfRule type="cellIs" dxfId="1230" priority="623" stopIfTrue="1" operator="greaterThan">
      <formula>0</formula>
    </cfRule>
  </conditionalFormatting>
  <conditionalFormatting sqref="P233:P234">
    <cfRule type="cellIs" dxfId="1229" priority="622" stopIfTrue="1" operator="greaterThan">
      <formula>0</formula>
    </cfRule>
  </conditionalFormatting>
  <conditionalFormatting sqref="Q233:Q235">
    <cfRule type="cellIs" dxfId="1228" priority="620" stopIfTrue="1" operator="greaterThan">
      <formula>0</formula>
    </cfRule>
  </conditionalFormatting>
  <conditionalFormatting sqref="Q233:Q235">
    <cfRule type="cellIs" dxfId="1227" priority="621" stopIfTrue="1" operator="greaterThan">
      <formula>0</formula>
    </cfRule>
  </conditionalFormatting>
  <conditionalFormatting sqref="R234:R235">
    <cfRule type="cellIs" dxfId="1226" priority="616" stopIfTrue="1" operator="greaterThan">
      <formula>0</formula>
    </cfRule>
  </conditionalFormatting>
  <conditionalFormatting sqref="R231">
    <cfRule type="cellIs" dxfId="1225" priority="619" stopIfTrue="1" operator="greaterThan">
      <formula>0</formula>
    </cfRule>
  </conditionalFormatting>
  <conditionalFormatting sqref="R231">
    <cfRule type="cellIs" dxfId="1224" priority="618" stopIfTrue="1" operator="greaterThan">
      <formula>0</formula>
    </cfRule>
  </conditionalFormatting>
  <conditionalFormatting sqref="R234:R235">
    <cfRule type="cellIs" dxfId="1223" priority="617" stopIfTrue="1" operator="greaterThan">
      <formula>0</formula>
    </cfRule>
  </conditionalFormatting>
  <conditionalFormatting sqref="N231">
    <cfRule type="cellIs" dxfId="1222" priority="615" stopIfTrue="1" operator="greaterThan">
      <formula>0</formula>
    </cfRule>
  </conditionalFormatting>
  <conditionalFormatting sqref="N231">
    <cfRule type="cellIs" dxfId="1221" priority="614" stopIfTrue="1" operator="greaterThan">
      <formula>0</formula>
    </cfRule>
  </conditionalFormatting>
  <conditionalFormatting sqref="N231">
    <cfRule type="cellIs" dxfId="1220" priority="613" stopIfTrue="1" operator="greaterThan">
      <formula>0</formula>
    </cfRule>
  </conditionalFormatting>
  <conditionalFormatting sqref="Q250:Q251 N250:N251">
    <cfRule type="cellIs" dxfId="1219" priority="612" stopIfTrue="1" operator="greaterThan">
      <formula>0</formula>
    </cfRule>
  </conditionalFormatting>
  <conditionalFormatting sqref="C250:E251 H250:L251 C247:E248 G247:M248 Q250:Q251 N250:N251">
    <cfRule type="cellIs" dxfId="1218" priority="611" stopIfTrue="1" operator="greaterThan">
      <formula>0</formula>
    </cfRule>
  </conditionalFormatting>
  <conditionalFormatting sqref="O250:O251">
    <cfRule type="cellIs" dxfId="1217" priority="610" stopIfTrue="1" operator="greaterThan">
      <formula>0</formula>
    </cfRule>
  </conditionalFormatting>
  <conditionalFormatting sqref="P247:Q247">
    <cfRule type="cellIs" dxfId="1216" priority="609" stopIfTrue="1" operator="greaterThan">
      <formula>0</formula>
    </cfRule>
  </conditionalFormatting>
  <conditionalFormatting sqref="M251 P247:Q247">
    <cfRule type="cellIs" dxfId="1215" priority="608" stopIfTrue="1" operator="greaterThan">
      <formula>0</formula>
    </cfRule>
  </conditionalFormatting>
  <conditionalFormatting sqref="O247">
    <cfRule type="cellIs" dxfId="1214" priority="606" stopIfTrue="1" operator="greaterThan">
      <formula>0</formula>
    </cfRule>
  </conditionalFormatting>
  <conditionalFormatting sqref="N247">
    <cfRule type="cellIs" dxfId="1213" priority="603" stopIfTrue="1" operator="greaterThan">
      <formula>0</formula>
    </cfRule>
  </conditionalFormatting>
  <conditionalFormatting sqref="J328:M328">
    <cfRule type="cellIs" dxfId="1212" priority="438" stopIfTrue="1" operator="greaterThan">
      <formula>0</formula>
    </cfRule>
  </conditionalFormatting>
  <conditionalFormatting sqref="Q326">
    <cfRule type="cellIs" dxfId="1211" priority="431" stopIfTrue="1" operator="greaterThan">
      <formula>0</formula>
    </cfRule>
  </conditionalFormatting>
  <conditionalFormatting sqref="C326:H326 Q326 J326:M326">
    <cfRule type="cellIs" dxfId="1210" priority="430" stopIfTrue="1" operator="greaterThan">
      <formula>0</formula>
    </cfRule>
  </conditionalFormatting>
  <conditionalFormatting sqref="R250">
    <cfRule type="cellIs" dxfId="1209" priority="585" stopIfTrue="1" operator="greaterThan">
      <formula>0</formula>
    </cfRule>
  </conditionalFormatting>
  <conditionalFormatting sqref="C263:M263">
    <cfRule type="cellIs" dxfId="1208" priority="584" stopIfTrue="1" operator="greaterThan">
      <formula>0</formula>
    </cfRule>
  </conditionalFormatting>
  <conditionalFormatting sqref="N265:N266 Q266">
    <cfRule type="cellIs" dxfId="1207" priority="583" stopIfTrue="1" operator="greaterThan">
      <formula>0</formula>
    </cfRule>
  </conditionalFormatting>
  <conditionalFormatting sqref="C265:L266 N265:N266 Q266">
    <cfRule type="cellIs" dxfId="1206" priority="582" stopIfTrue="1" operator="greaterThan">
      <formula>0</formula>
    </cfRule>
  </conditionalFormatting>
  <conditionalFormatting sqref="O294">
    <cfRule type="cellIs" dxfId="1205" priority="508" stopIfTrue="1" operator="greaterThan">
      <formula>0</formula>
    </cfRule>
  </conditionalFormatting>
  <conditionalFormatting sqref="Q263">
    <cfRule type="cellIs" dxfId="1204" priority="580" stopIfTrue="1" operator="greaterThan">
      <formula>0</formula>
    </cfRule>
  </conditionalFormatting>
  <conditionalFormatting sqref="M266 Q263">
    <cfRule type="cellIs" dxfId="1203" priority="579" stopIfTrue="1" operator="greaterThan">
      <formula>0</formula>
    </cfRule>
  </conditionalFormatting>
  <conditionalFormatting sqref="M265">
    <cfRule type="cellIs" dxfId="1202" priority="578" stopIfTrue="1" operator="greaterThan">
      <formula>0</formula>
    </cfRule>
  </conditionalFormatting>
  <conditionalFormatting sqref="O263">
    <cfRule type="cellIs" dxfId="1201" priority="577" stopIfTrue="1" operator="greaterThan">
      <formula>0</formula>
    </cfRule>
  </conditionalFormatting>
  <conditionalFormatting sqref="P265">
    <cfRule type="cellIs" dxfId="1200" priority="576" stopIfTrue="1" operator="greaterThan">
      <formula>0</formula>
    </cfRule>
  </conditionalFormatting>
  <conditionalFormatting sqref="P265">
    <cfRule type="cellIs" dxfId="1199" priority="575" stopIfTrue="1" operator="greaterThan">
      <formula>0</formula>
    </cfRule>
  </conditionalFormatting>
  <conditionalFormatting sqref="N263">
    <cfRule type="cellIs" dxfId="1198" priority="574" stopIfTrue="1" operator="greaterThan">
      <formula>0</formula>
    </cfRule>
  </conditionalFormatting>
  <conditionalFormatting sqref="N263">
    <cfRule type="cellIs" dxfId="1197" priority="573" stopIfTrue="1" operator="greaterThan">
      <formula>0</formula>
    </cfRule>
  </conditionalFormatting>
  <conditionalFormatting sqref="N263">
    <cfRule type="cellIs" dxfId="1196" priority="572" stopIfTrue="1" operator="greaterThan">
      <formula>0</formula>
    </cfRule>
  </conditionalFormatting>
  <conditionalFormatting sqref="R263">
    <cfRule type="cellIs" dxfId="1195" priority="571" stopIfTrue="1" operator="greaterThan">
      <formula>0</formula>
    </cfRule>
  </conditionalFormatting>
  <conditionalFormatting sqref="R263">
    <cfRule type="cellIs" dxfId="1194" priority="570" stopIfTrue="1" operator="greaterThan">
      <formula>0</formula>
    </cfRule>
  </conditionalFormatting>
  <conditionalFormatting sqref="R265">
    <cfRule type="cellIs" dxfId="1193" priority="569" stopIfTrue="1" operator="greaterThan">
      <formula>0</formula>
    </cfRule>
  </conditionalFormatting>
  <conditionalFormatting sqref="R265">
    <cfRule type="cellIs" dxfId="1192" priority="568" stopIfTrue="1" operator="greaterThan">
      <formula>0</formula>
    </cfRule>
  </conditionalFormatting>
  <conditionalFormatting sqref="R266">
    <cfRule type="cellIs" dxfId="1191" priority="567" stopIfTrue="1" operator="greaterThan">
      <formula>0</formula>
    </cfRule>
  </conditionalFormatting>
  <conditionalFormatting sqref="Q278">
    <cfRule type="cellIs" dxfId="1190" priority="565" stopIfTrue="1" operator="greaterThan">
      <formula>0</formula>
    </cfRule>
  </conditionalFormatting>
  <conditionalFormatting sqref="C278:M278 Q278 C281:K281 C280:I280">
    <cfRule type="cellIs" dxfId="1189" priority="564" stopIfTrue="1" operator="greaterThan">
      <formula>0</formula>
    </cfRule>
  </conditionalFormatting>
  <conditionalFormatting sqref="O278">
    <cfRule type="cellIs" dxfId="1188" priority="563" stopIfTrue="1" operator="greaterThan">
      <formula>0</formula>
    </cfRule>
  </conditionalFormatting>
  <conditionalFormatting sqref="O280:O281">
    <cfRule type="cellIs" dxfId="1187" priority="559" stopIfTrue="1" operator="greaterThan">
      <formula>0</formula>
    </cfRule>
  </conditionalFormatting>
  <conditionalFormatting sqref="L281">
    <cfRule type="cellIs" dxfId="1186" priority="558" stopIfTrue="1" operator="greaterThan">
      <formula>0</formula>
    </cfRule>
  </conditionalFormatting>
  <conditionalFormatting sqref="P280">
    <cfRule type="cellIs" dxfId="1185" priority="557" stopIfTrue="1" operator="greaterThan">
      <formula>0</formula>
    </cfRule>
  </conditionalFormatting>
  <conditionalFormatting sqref="P280">
    <cfRule type="cellIs" dxfId="1184" priority="556" stopIfTrue="1" operator="greaterThan">
      <formula>0</formula>
    </cfRule>
  </conditionalFormatting>
  <conditionalFormatting sqref="Q280">
    <cfRule type="cellIs" dxfId="1183" priority="554" stopIfTrue="1" operator="greaterThan">
      <formula>0</formula>
    </cfRule>
  </conditionalFormatting>
  <conditionalFormatting sqref="Q280">
    <cfRule type="cellIs" dxfId="1182" priority="555" stopIfTrue="1" operator="greaterThan">
      <formula>0</formula>
    </cfRule>
  </conditionalFormatting>
  <conditionalFormatting sqref="R280:R281">
    <cfRule type="cellIs" dxfId="1181" priority="550" stopIfTrue="1" operator="greaterThan">
      <formula>0</formula>
    </cfRule>
  </conditionalFormatting>
  <conditionalFormatting sqref="R278">
    <cfRule type="cellIs" dxfId="1180" priority="553" stopIfTrue="1" operator="greaterThan">
      <formula>0</formula>
    </cfRule>
  </conditionalFormatting>
  <conditionalFormatting sqref="R278">
    <cfRule type="cellIs" dxfId="1179" priority="552" stopIfTrue="1" operator="greaterThan">
      <formula>0</formula>
    </cfRule>
  </conditionalFormatting>
  <conditionalFormatting sqref="R280:R281">
    <cfRule type="cellIs" dxfId="1178" priority="551" stopIfTrue="1" operator="greaterThan">
      <formula>0</formula>
    </cfRule>
  </conditionalFormatting>
  <conditionalFormatting sqref="J280:M280">
    <cfRule type="cellIs" dxfId="1177" priority="549" stopIfTrue="1" operator="greaterThan">
      <formula>0</formula>
    </cfRule>
  </conditionalFormatting>
  <conditionalFormatting sqref="P281">
    <cfRule type="cellIs" dxfId="1176" priority="548" stopIfTrue="1" operator="greaterThan">
      <formula>0</formula>
    </cfRule>
  </conditionalFormatting>
  <conditionalFormatting sqref="P281">
    <cfRule type="cellIs" dxfId="1175" priority="547" stopIfTrue="1" operator="greaterThan">
      <formula>0</formula>
    </cfRule>
  </conditionalFormatting>
  <conditionalFormatting sqref="M281">
    <cfRule type="cellIs" dxfId="1174" priority="546" stopIfTrue="1" operator="greaterThan">
      <formula>0</formula>
    </cfRule>
  </conditionalFormatting>
  <conditionalFormatting sqref="M281">
    <cfRule type="cellIs" dxfId="1173" priority="545" stopIfTrue="1" operator="greaterThan">
      <formula>0</formula>
    </cfRule>
  </conditionalFormatting>
  <conditionalFormatting sqref="M281">
    <cfRule type="cellIs" dxfId="1172" priority="544" stopIfTrue="1" operator="greaterThan">
      <formula>0</formula>
    </cfRule>
  </conditionalFormatting>
  <conditionalFormatting sqref="N280">
    <cfRule type="cellIs" dxfId="1171" priority="540" stopIfTrue="1" operator="greaterThan">
      <formula>0</formula>
    </cfRule>
  </conditionalFormatting>
  <conditionalFormatting sqref="N280">
    <cfRule type="cellIs" dxfId="1170" priority="539" stopIfTrue="1" operator="greaterThan">
      <formula>0</formula>
    </cfRule>
  </conditionalFormatting>
  <conditionalFormatting sqref="N280">
    <cfRule type="cellIs" dxfId="1169" priority="538" stopIfTrue="1" operator="greaterThan">
      <formula>0</formula>
    </cfRule>
  </conditionalFormatting>
  <conditionalFormatting sqref="R297">
    <cfRule type="cellIs" dxfId="1168" priority="527" stopIfTrue="1" operator="greaterThan">
      <formula>0</formula>
    </cfRule>
  </conditionalFormatting>
  <conditionalFormatting sqref="C293:M293 C297:I297">
    <cfRule type="cellIs" dxfId="1167" priority="536" stopIfTrue="1" operator="greaterThan">
      <formula>0</formula>
    </cfRule>
  </conditionalFormatting>
  <conditionalFormatting sqref="O293">
    <cfRule type="cellIs" dxfId="1166" priority="535" stopIfTrue="1" operator="greaterThan">
      <formula>0</formula>
    </cfRule>
  </conditionalFormatting>
  <conditionalFormatting sqref="O297">
    <cfRule type="cellIs" dxfId="1165" priority="534" stopIfTrue="1" operator="greaterThan">
      <formula>0</formula>
    </cfRule>
  </conditionalFormatting>
  <conditionalFormatting sqref="P297">
    <cfRule type="cellIs" dxfId="1164" priority="533" stopIfTrue="1" operator="greaterThan">
      <formula>0</formula>
    </cfRule>
  </conditionalFormatting>
  <conditionalFormatting sqref="P297">
    <cfRule type="cellIs" dxfId="1163" priority="532" stopIfTrue="1" operator="greaterThan">
      <formula>0</formula>
    </cfRule>
  </conditionalFormatting>
  <conditionalFormatting sqref="Q297">
    <cfRule type="cellIs" dxfId="1162" priority="530" stopIfTrue="1" operator="greaterThan">
      <formula>0</formula>
    </cfRule>
  </conditionalFormatting>
  <conditionalFormatting sqref="Q297">
    <cfRule type="cellIs" dxfId="1161" priority="531" stopIfTrue="1" operator="greaterThan">
      <formula>0</formula>
    </cfRule>
  </conditionalFormatting>
  <conditionalFormatting sqref="R297">
    <cfRule type="cellIs" dxfId="1160" priority="526" stopIfTrue="1" operator="greaterThan">
      <formula>0</formula>
    </cfRule>
  </conditionalFormatting>
  <conditionalFormatting sqref="R294">
    <cfRule type="cellIs" dxfId="1159" priority="507" stopIfTrue="1" operator="greaterThan">
      <formula>0</formula>
    </cfRule>
  </conditionalFormatting>
  <conditionalFormatting sqref="J297:M297">
    <cfRule type="cellIs" dxfId="1158" priority="525" stopIfTrue="1" operator="greaterThan">
      <formula>0</formula>
    </cfRule>
  </conditionalFormatting>
  <conditionalFormatting sqref="Q327">
    <cfRule type="cellIs" dxfId="1157" priority="421" stopIfTrue="1" operator="greaterThan">
      <formula>0</formula>
    </cfRule>
  </conditionalFormatting>
  <conditionalFormatting sqref="Q327">
    <cfRule type="cellIs" dxfId="1156" priority="420" stopIfTrue="1" operator="greaterThan">
      <formula>0</formula>
    </cfRule>
  </conditionalFormatting>
  <conditionalFormatting sqref="P296">
    <cfRule type="cellIs" dxfId="1155" priority="500" stopIfTrue="1" operator="greaterThan">
      <formula>0</formula>
    </cfRule>
  </conditionalFormatting>
  <conditionalFormatting sqref="N293">
    <cfRule type="cellIs" dxfId="1154" priority="521" stopIfTrue="1" operator="greaterThan">
      <formula>0</formula>
    </cfRule>
  </conditionalFormatting>
  <conditionalFormatting sqref="N293">
    <cfRule type="cellIs" dxfId="1153" priority="520" stopIfTrue="1" operator="greaterThan">
      <formula>0</formula>
    </cfRule>
  </conditionalFormatting>
  <conditionalFormatting sqref="N293">
    <cfRule type="cellIs" dxfId="1152" priority="519" stopIfTrue="1" operator="greaterThan">
      <formula>0</formula>
    </cfRule>
  </conditionalFormatting>
  <conditionalFormatting sqref="N295">
    <cfRule type="cellIs" dxfId="1151" priority="513" stopIfTrue="1" operator="greaterThan">
      <formula>0</formula>
    </cfRule>
  </conditionalFormatting>
  <conditionalFormatting sqref="N295">
    <cfRule type="cellIs" dxfId="1150" priority="512" stopIfTrue="1" operator="greaterThan">
      <formula>0</formula>
    </cfRule>
  </conditionalFormatting>
  <conditionalFormatting sqref="N295">
    <cfRule type="cellIs" dxfId="1149" priority="511" stopIfTrue="1" operator="greaterThan">
      <formula>0</formula>
    </cfRule>
  </conditionalFormatting>
  <conditionalFormatting sqref="R325">
    <cfRule type="cellIs" dxfId="1148" priority="442" stopIfTrue="1" operator="greaterThan">
      <formula>0</formula>
    </cfRule>
  </conditionalFormatting>
  <conditionalFormatting sqref="C295:D295 F295:M295">
    <cfRule type="cellIs" dxfId="1147" priority="517" stopIfTrue="1" operator="greaterThan">
      <formula>0</formula>
    </cfRule>
  </conditionalFormatting>
  <conditionalFormatting sqref="O295">
    <cfRule type="cellIs" dxfId="1146" priority="516" stopIfTrue="1" operator="greaterThan">
      <formula>0</formula>
    </cfRule>
  </conditionalFormatting>
  <conditionalFormatting sqref="R295">
    <cfRule type="cellIs" dxfId="1145" priority="515" stopIfTrue="1" operator="greaterThan">
      <formula>0</formula>
    </cfRule>
  </conditionalFormatting>
  <conditionalFormatting sqref="R295">
    <cfRule type="cellIs" dxfId="1144" priority="514" stopIfTrue="1" operator="greaterThan">
      <formula>0</formula>
    </cfRule>
  </conditionalFormatting>
  <conditionalFormatting sqref="N294">
    <cfRule type="cellIs" dxfId="1143" priority="505" stopIfTrue="1" operator="greaterThan">
      <formula>0</formula>
    </cfRule>
  </conditionalFormatting>
  <conditionalFormatting sqref="N294">
    <cfRule type="cellIs" dxfId="1142" priority="504" stopIfTrue="1" operator="greaterThan">
      <formula>0</formula>
    </cfRule>
  </conditionalFormatting>
  <conditionalFormatting sqref="N294">
    <cfRule type="cellIs" dxfId="1141" priority="503" stopIfTrue="1" operator="greaterThan">
      <formula>0</formula>
    </cfRule>
  </conditionalFormatting>
  <conditionalFormatting sqref="Q296">
    <cfRule type="cellIs" dxfId="1140" priority="497" stopIfTrue="1" operator="greaterThan">
      <formula>0</formula>
    </cfRule>
  </conditionalFormatting>
  <conditionalFormatting sqref="C294:M294">
    <cfRule type="cellIs" dxfId="1139" priority="509" stopIfTrue="1" operator="greaterThan">
      <formula>0</formula>
    </cfRule>
  </conditionalFormatting>
  <conditionalFormatting sqref="R294">
    <cfRule type="cellIs" dxfId="1138" priority="506" stopIfTrue="1" operator="greaterThan">
      <formula>0</formula>
    </cfRule>
  </conditionalFormatting>
  <conditionalFormatting sqref="P296">
    <cfRule type="cellIs" dxfId="1137" priority="499" stopIfTrue="1" operator="greaterThan">
      <formula>0</formula>
    </cfRule>
  </conditionalFormatting>
  <conditionalFormatting sqref="Q296">
    <cfRule type="cellIs" dxfId="1136" priority="498" stopIfTrue="1" operator="greaterThan">
      <formula>0</formula>
    </cfRule>
  </conditionalFormatting>
  <conditionalFormatting sqref="C309:M309 C312:I312">
    <cfRule type="cellIs" dxfId="1135" priority="495" stopIfTrue="1" operator="greaterThan">
      <formula>0</formula>
    </cfRule>
  </conditionalFormatting>
  <conditionalFormatting sqref="O309">
    <cfRule type="cellIs" dxfId="1134" priority="494" stopIfTrue="1" operator="greaterThan">
      <formula>0</formula>
    </cfRule>
  </conditionalFormatting>
  <conditionalFormatting sqref="P312">
    <cfRule type="cellIs" dxfId="1133" priority="493" stopIfTrue="1" operator="greaterThan">
      <formula>0</formula>
    </cfRule>
  </conditionalFormatting>
  <conditionalFormatting sqref="P312">
    <cfRule type="cellIs" dxfId="1132" priority="492" stopIfTrue="1" operator="greaterThan">
      <formula>0</formula>
    </cfRule>
  </conditionalFormatting>
  <conditionalFormatting sqref="Q312">
    <cfRule type="cellIs" dxfId="1131" priority="490" stopIfTrue="1" operator="greaterThan">
      <formula>0</formula>
    </cfRule>
  </conditionalFormatting>
  <conditionalFormatting sqref="Q312">
    <cfRule type="cellIs" dxfId="1130" priority="491" stopIfTrue="1" operator="greaterThan">
      <formula>0</formula>
    </cfRule>
  </conditionalFormatting>
  <conditionalFormatting sqref="R312">
    <cfRule type="cellIs" dxfId="1129" priority="486" stopIfTrue="1" operator="greaterThan">
      <formula>0</formula>
    </cfRule>
  </conditionalFormatting>
  <conditionalFormatting sqref="R312">
    <cfRule type="cellIs" dxfId="1128" priority="487" stopIfTrue="1" operator="greaterThan">
      <formula>0</formula>
    </cfRule>
  </conditionalFormatting>
  <conditionalFormatting sqref="J312:M312">
    <cfRule type="cellIs" dxfId="1127" priority="485" stopIfTrue="1" operator="greaterThan">
      <formula>0</formula>
    </cfRule>
  </conditionalFormatting>
  <conditionalFormatting sqref="C310:H310 J310:M310">
    <cfRule type="cellIs" dxfId="1126" priority="477" stopIfTrue="1" operator="greaterThan">
      <formula>0</formula>
    </cfRule>
  </conditionalFormatting>
  <conditionalFormatting sqref="O310">
    <cfRule type="cellIs" dxfId="1125" priority="476" stopIfTrue="1" operator="greaterThan">
      <formula>0</formula>
    </cfRule>
  </conditionalFormatting>
  <conditionalFormatting sqref="Q309">
    <cfRule type="cellIs" dxfId="1124" priority="395" stopIfTrue="1" operator="greaterThan">
      <formula>0</formula>
    </cfRule>
  </conditionalFormatting>
  <conditionalFormatting sqref="Q309">
    <cfRule type="cellIs" dxfId="1123" priority="394" stopIfTrue="1" operator="greaterThan">
      <formula>0</formula>
    </cfRule>
  </conditionalFormatting>
  <conditionalFormatting sqref="P311">
    <cfRule type="cellIs" dxfId="1122" priority="468" stopIfTrue="1" operator="greaterThan">
      <formula>0</formula>
    </cfRule>
  </conditionalFormatting>
  <conditionalFormatting sqref="P311">
    <cfRule type="cellIs" dxfId="1121" priority="467" stopIfTrue="1" operator="greaterThan">
      <formula>0</formula>
    </cfRule>
  </conditionalFormatting>
  <conditionalFormatting sqref="Q311">
    <cfRule type="cellIs" dxfId="1120" priority="466" stopIfTrue="1" operator="greaterThan">
      <formula>0</formula>
    </cfRule>
  </conditionalFormatting>
  <conditionalFormatting sqref="Q311">
    <cfRule type="cellIs" dxfId="1119" priority="465" stopIfTrue="1" operator="greaterThan">
      <formula>0</formula>
    </cfRule>
  </conditionalFormatting>
  <conditionalFormatting sqref="I310">
    <cfRule type="cellIs" dxfId="1118" priority="464" stopIfTrue="1" operator="greaterThan">
      <formula>0</formula>
    </cfRule>
  </conditionalFormatting>
  <conditionalFormatting sqref="C313:I313">
    <cfRule type="cellIs" dxfId="1117" priority="463" stopIfTrue="1" operator="greaterThan">
      <formula>0</formula>
    </cfRule>
  </conditionalFormatting>
  <conditionalFormatting sqref="O313">
    <cfRule type="cellIs" dxfId="1116" priority="462" stopIfTrue="1" operator="greaterThan">
      <formula>0</formula>
    </cfRule>
  </conditionalFormatting>
  <conditionalFormatting sqref="P313">
    <cfRule type="cellIs" dxfId="1115" priority="461" stopIfTrue="1" operator="greaterThan">
      <formula>0</formula>
    </cfRule>
  </conditionalFormatting>
  <conditionalFormatting sqref="P313">
    <cfRule type="cellIs" dxfId="1114" priority="460" stopIfTrue="1" operator="greaterThan">
      <formula>0</formula>
    </cfRule>
  </conditionalFormatting>
  <conditionalFormatting sqref="Q313">
    <cfRule type="cellIs" dxfId="1113" priority="458" stopIfTrue="1" operator="greaterThan">
      <formula>0</formula>
    </cfRule>
  </conditionalFormatting>
  <conditionalFormatting sqref="Q313">
    <cfRule type="cellIs" dxfId="1112" priority="459" stopIfTrue="1" operator="greaterThan">
      <formula>0</formula>
    </cfRule>
  </conditionalFormatting>
  <conditionalFormatting sqref="R313">
    <cfRule type="cellIs" dxfId="1111" priority="456" stopIfTrue="1" operator="greaterThan">
      <formula>0</formula>
    </cfRule>
  </conditionalFormatting>
  <conditionalFormatting sqref="R313">
    <cfRule type="cellIs" dxfId="1110" priority="457" stopIfTrue="1" operator="greaterThan">
      <formula>0</formula>
    </cfRule>
  </conditionalFormatting>
  <conditionalFormatting sqref="J313:M313">
    <cfRule type="cellIs" dxfId="1109" priority="455" stopIfTrue="1" operator="greaterThan">
      <formula>0</formula>
    </cfRule>
  </conditionalFormatting>
  <conditionalFormatting sqref="O312">
    <cfRule type="cellIs" dxfId="1108" priority="451" stopIfTrue="1" operator="greaterThan">
      <formula>0</formula>
    </cfRule>
  </conditionalFormatting>
  <conditionalFormatting sqref="C325:M325 C328:D328 F328:I328">
    <cfRule type="cellIs" dxfId="1107" priority="449" stopIfTrue="1" operator="greaterThan">
      <formula>0</formula>
    </cfRule>
  </conditionalFormatting>
  <conditionalFormatting sqref="O325">
    <cfRule type="cellIs" dxfId="1106" priority="448" stopIfTrue="1" operator="greaterThan">
      <formula>0</formula>
    </cfRule>
  </conditionalFormatting>
  <conditionalFormatting sqref="O328">
    <cfRule type="cellIs" dxfId="1105" priority="447" stopIfTrue="1" operator="greaterThan">
      <formula>0</formula>
    </cfRule>
  </conditionalFormatting>
  <conditionalFormatting sqref="P328">
    <cfRule type="cellIs" dxfId="1104" priority="446" stopIfTrue="1" operator="greaterThan">
      <formula>0</formula>
    </cfRule>
  </conditionalFormatting>
  <conditionalFormatting sqref="P328">
    <cfRule type="cellIs" dxfId="1103" priority="445" stopIfTrue="1" operator="greaterThan">
      <formula>0</formula>
    </cfRule>
  </conditionalFormatting>
  <conditionalFormatting sqref="O326">
    <cfRule type="cellIs" dxfId="1102" priority="429" stopIfTrue="1" operator="greaterThan">
      <formula>0</formula>
    </cfRule>
  </conditionalFormatting>
  <conditionalFormatting sqref="P327">
    <cfRule type="cellIs" dxfId="1101" priority="422" stopIfTrue="1" operator="greaterThan">
      <formula>0</formula>
    </cfRule>
  </conditionalFormatting>
  <conditionalFormatting sqref="I326">
    <cfRule type="cellIs" dxfId="1100" priority="419" stopIfTrue="1" operator="greaterThan">
      <formula>0</formula>
    </cfRule>
  </conditionalFormatting>
  <conditionalFormatting sqref="C329:I329">
    <cfRule type="cellIs" dxfId="1099" priority="418" stopIfTrue="1" operator="greaterThan">
      <formula>0</formula>
    </cfRule>
  </conditionalFormatting>
  <conditionalFormatting sqref="O329">
    <cfRule type="cellIs" dxfId="1098" priority="417" stopIfTrue="1" operator="greaterThan">
      <formula>0</formula>
    </cfRule>
  </conditionalFormatting>
  <conditionalFormatting sqref="P329">
    <cfRule type="cellIs" dxfId="1097" priority="416" stopIfTrue="1" operator="greaterThan">
      <formula>0</formula>
    </cfRule>
  </conditionalFormatting>
  <conditionalFormatting sqref="P329">
    <cfRule type="cellIs" dxfId="1096" priority="415" stopIfTrue="1" operator="greaterThan">
      <formula>0</formula>
    </cfRule>
  </conditionalFormatting>
  <conditionalFormatting sqref="J329:M329">
    <cfRule type="cellIs" dxfId="1095" priority="410" stopIfTrue="1" operator="greaterThan">
      <formula>0</formula>
    </cfRule>
  </conditionalFormatting>
  <conditionalFormatting sqref="R326">
    <cfRule type="cellIs" dxfId="1094" priority="409" stopIfTrue="1" operator="greaterThan">
      <formula>0</formula>
    </cfRule>
  </conditionalFormatting>
  <conditionalFormatting sqref="R326">
    <cfRule type="cellIs" dxfId="1093" priority="408" stopIfTrue="1" operator="greaterThan">
      <formula>0</formula>
    </cfRule>
  </conditionalFormatting>
  <conditionalFormatting sqref="R233">
    <cfRule type="cellIs" dxfId="1092" priority="373" stopIfTrue="1" operator="greaterThan">
      <formula>0</formula>
    </cfRule>
  </conditionalFormatting>
  <conditionalFormatting sqref="R233">
    <cfRule type="cellIs" dxfId="1091" priority="372" stopIfTrue="1" operator="greaterThan">
      <formula>0</formula>
    </cfRule>
  </conditionalFormatting>
  <conditionalFormatting sqref="Q293">
    <cfRule type="cellIs" dxfId="1090" priority="400" stopIfTrue="1" operator="greaterThan">
      <formula>0</formula>
    </cfRule>
  </conditionalFormatting>
  <conditionalFormatting sqref="Q293">
    <cfRule type="cellIs" dxfId="1089" priority="401" stopIfTrue="1" operator="greaterThan">
      <formula>0</formula>
    </cfRule>
  </conditionalFormatting>
  <conditionalFormatting sqref="M80">
    <cfRule type="cellIs" dxfId="1088" priority="354" stopIfTrue="1" operator="greaterThan">
      <formula>0</formula>
    </cfRule>
  </conditionalFormatting>
  <conditionalFormatting sqref="Q310">
    <cfRule type="cellIs" dxfId="1087" priority="392" stopIfTrue="1" operator="greaterThan">
      <formula>0</formula>
    </cfRule>
  </conditionalFormatting>
  <conditionalFormatting sqref="Q310">
    <cfRule type="cellIs" dxfId="1086" priority="393" stopIfTrue="1" operator="greaterThan">
      <formula>0</formula>
    </cfRule>
  </conditionalFormatting>
  <conditionalFormatting sqref="N80">
    <cfRule type="cellIs" dxfId="1085" priority="391" stopIfTrue="1" operator="greaterThan">
      <formula>0</formula>
    </cfRule>
  </conditionalFormatting>
  <conditionalFormatting sqref="N80">
    <cfRule type="cellIs" dxfId="1084" priority="390" stopIfTrue="1" operator="greaterThan">
      <formula>0</formula>
    </cfRule>
  </conditionalFormatting>
  <conditionalFormatting sqref="N80">
    <cfRule type="cellIs" dxfId="1083" priority="389" stopIfTrue="1" operator="greaterThan">
      <formula>0</formula>
    </cfRule>
  </conditionalFormatting>
  <conditionalFormatting sqref="N79">
    <cfRule type="cellIs" dxfId="1082" priority="388" stopIfTrue="1" operator="greaterThan">
      <formula>0</formula>
    </cfRule>
  </conditionalFormatting>
  <conditionalFormatting sqref="N79">
    <cfRule type="cellIs" dxfId="1081" priority="387" stopIfTrue="1" operator="greaterThan">
      <formula>0</formula>
    </cfRule>
  </conditionalFormatting>
  <conditionalFormatting sqref="N79">
    <cfRule type="cellIs" dxfId="1080" priority="386" stopIfTrue="1" operator="greaterThan">
      <formula>0</formula>
    </cfRule>
  </conditionalFormatting>
  <conditionalFormatting sqref="P185:R185 Q186 Q182:Q183 N182:N183 N185:N186">
    <cfRule type="cellIs" dxfId="1079" priority="327" stopIfTrue="1" operator="greaterThan">
      <formula>0</formula>
    </cfRule>
  </conditionalFormatting>
  <conditionalFormatting sqref="P185:R185 Q186 Q182:Q183 C182:N183 C185:N186">
    <cfRule type="cellIs" dxfId="1078" priority="326" stopIfTrue="1" operator="greaterThan">
      <formula>0</formula>
    </cfRule>
  </conditionalFormatting>
  <conditionalFormatting sqref="Q64">
    <cfRule type="cellIs" dxfId="1077" priority="254" stopIfTrue="1" operator="greaterThan">
      <formula>0</formula>
    </cfRule>
  </conditionalFormatting>
  <conditionalFormatting sqref="Q64 C64 E64:H64 J64:M64">
    <cfRule type="cellIs" dxfId="1076" priority="253" stopIfTrue="1" operator="greaterThan">
      <formula>0</formula>
    </cfRule>
  </conditionalFormatting>
  <conditionalFormatting sqref="R14">
    <cfRule type="cellIs" dxfId="1075" priority="379" stopIfTrue="1" operator="greaterThan">
      <formula>0</formula>
    </cfRule>
  </conditionalFormatting>
  <conditionalFormatting sqref="R14">
    <cfRule type="cellIs" dxfId="1074" priority="378" stopIfTrue="1" operator="greaterThan">
      <formula>0</formula>
    </cfRule>
  </conditionalFormatting>
  <conditionalFormatting sqref="R79">
    <cfRule type="cellIs" dxfId="1073" priority="377" stopIfTrue="1" operator="greaterThan">
      <formula>0</formula>
    </cfRule>
  </conditionalFormatting>
  <conditionalFormatting sqref="R79">
    <cfRule type="cellIs" dxfId="1072" priority="376" stopIfTrue="1" operator="greaterThan">
      <formula>0</formula>
    </cfRule>
  </conditionalFormatting>
  <conditionalFormatting sqref="R80">
    <cfRule type="cellIs" dxfId="1071" priority="375" stopIfTrue="1" operator="greaterThan">
      <formula>0</formula>
    </cfRule>
  </conditionalFormatting>
  <conditionalFormatting sqref="R80">
    <cfRule type="cellIs" dxfId="1070" priority="374" stopIfTrue="1" operator="greaterThan">
      <formula>0</formula>
    </cfRule>
  </conditionalFormatting>
  <conditionalFormatting sqref="O165:O166 O168:O169">
    <cfRule type="cellIs" dxfId="1069" priority="328" stopIfTrue="1" operator="greaterThan">
      <formula>0</formula>
    </cfRule>
  </conditionalFormatting>
  <conditionalFormatting sqref="O265">
    <cfRule type="cellIs" dxfId="1068" priority="370" stopIfTrue="1" operator="greaterThan">
      <formula>0</formula>
    </cfRule>
  </conditionalFormatting>
  <conditionalFormatting sqref="O266">
    <cfRule type="cellIs" dxfId="1067" priority="369" stopIfTrue="1" operator="greaterThan">
      <formula>0</formula>
    </cfRule>
  </conditionalFormatting>
  <conditionalFormatting sqref="Q294">
    <cfRule type="cellIs" dxfId="1066" priority="361" stopIfTrue="1" operator="greaterThan">
      <formula>0</formula>
    </cfRule>
  </conditionalFormatting>
  <conditionalFormatting sqref="Q294">
    <cfRule type="cellIs" dxfId="1065" priority="362" stopIfTrue="1" operator="greaterThan">
      <formula>0</formula>
    </cfRule>
  </conditionalFormatting>
  <conditionalFormatting sqref="Q295">
    <cfRule type="cellIs" dxfId="1064" priority="359" stopIfTrue="1" operator="greaterThan">
      <formula>0</formula>
    </cfRule>
  </conditionalFormatting>
  <conditionalFormatting sqref="Q295">
    <cfRule type="cellIs" dxfId="1063" priority="360" stopIfTrue="1" operator="greaterThan">
      <formula>0</formula>
    </cfRule>
  </conditionalFormatting>
  <conditionalFormatting sqref="Q80">
    <cfRule type="cellIs" dxfId="1062" priority="353" stopIfTrue="1" operator="greaterThan">
      <formula>0</formula>
    </cfRule>
  </conditionalFormatting>
  <conditionalFormatting sqref="M80">
    <cfRule type="cellIs" dxfId="1061" priority="355" stopIfTrue="1" operator="notEqual">
      <formula>""</formula>
    </cfRule>
  </conditionalFormatting>
  <conditionalFormatting sqref="Q80">
    <cfRule type="cellIs" dxfId="1060" priority="352" stopIfTrue="1" operator="greaterThan">
      <formula>0</formula>
    </cfRule>
  </conditionalFormatting>
  <conditionalFormatting sqref="C150:K152 C148:M148 M151:M152">
    <cfRule type="cellIs" dxfId="1059" priority="350" stopIfTrue="1" operator="greaterThan">
      <formula>0</formula>
    </cfRule>
  </conditionalFormatting>
  <conditionalFormatting sqref="M150">
    <cfRule type="cellIs" dxfId="1058" priority="349" stopIfTrue="1" operator="greaterThan">
      <formula>0</formula>
    </cfRule>
  </conditionalFormatting>
  <conditionalFormatting sqref="O148">
    <cfRule type="cellIs" dxfId="1057" priority="348" stopIfTrue="1" operator="greaterThan">
      <formula>0</formula>
    </cfRule>
  </conditionalFormatting>
  <conditionalFormatting sqref="N150:N152">
    <cfRule type="cellIs" dxfId="1056" priority="347" stopIfTrue="1" operator="greaterThan">
      <formula>0</formula>
    </cfRule>
  </conditionalFormatting>
  <conditionalFormatting sqref="N150:N152">
    <cfRule type="cellIs" dxfId="1055" priority="346" stopIfTrue="1" operator="greaterThan">
      <formula>0</formula>
    </cfRule>
  </conditionalFormatting>
  <conditionalFormatting sqref="N150:N152">
    <cfRule type="cellIs" dxfId="1054" priority="345" stopIfTrue="1" operator="greaterThan">
      <formula>0</formula>
    </cfRule>
  </conditionalFormatting>
  <conditionalFormatting sqref="O151:O152">
    <cfRule type="cellIs" dxfId="1053" priority="344" stopIfTrue="1" operator="greaterThan">
      <formula>0</formula>
    </cfRule>
  </conditionalFormatting>
  <conditionalFormatting sqref="L150">
    <cfRule type="cellIs" dxfId="1052" priority="343" stopIfTrue="1" operator="greaterThan">
      <formula>0</formula>
    </cfRule>
  </conditionalFormatting>
  <conditionalFormatting sqref="L151:L152">
    <cfRule type="cellIs" dxfId="1051" priority="342" stopIfTrue="1" operator="greaterThan">
      <formula>0</formula>
    </cfRule>
  </conditionalFormatting>
  <conditionalFormatting sqref="P150">
    <cfRule type="cellIs" dxfId="1050" priority="341" stopIfTrue="1" operator="greaterThan">
      <formula>0</formula>
    </cfRule>
  </conditionalFormatting>
  <conditionalFormatting sqref="P150">
    <cfRule type="cellIs" dxfId="1049" priority="340" stopIfTrue="1" operator="greaterThan">
      <formula>0</formula>
    </cfRule>
  </conditionalFormatting>
  <conditionalFormatting sqref="Q150:Q152">
    <cfRule type="cellIs" dxfId="1048" priority="338" stopIfTrue="1" operator="greaterThan">
      <formula>0</formula>
    </cfRule>
  </conditionalFormatting>
  <conditionalFormatting sqref="Q150:Q152">
    <cfRule type="cellIs" dxfId="1047" priority="339" stopIfTrue="1" operator="greaterThan">
      <formula>0</formula>
    </cfRule>
  </conditionalFormatting>
  <conditionalFormatting sqref="R150:R152">
    <cfRule type="cellIs" dxfId="1046" priority="334" stopIfTrue="1" operator="greaterThan">
      <formula>0</formula>
    </cfRule>
  </conditionalFormatting>
  <conditionalFormatting sqref="R150:R152">
    <cfRule type="cellIs" dxfId="1045" priority="335" stopIfTrue="1" operator="greaterThan">
      <formula>0</formula>
    </cfRule>
  </conditionalFormatting>
  <conditionalFormatting sqref="N168:N169 Q165:R165 Q169 N165:N166 Q166 P168:Q168">
    <cfRule type="cellIs" dxfId="1044" priority="330" stopIfTrue="1" operator="greaterThan">
      <formula>0</formula>
    </cfRule>
  </conditionalFormatting>
  <conditionalFormatting sqref="C168:N169 Q169 Q165:R165 C165:N166 Q166 P168:Q168">
    <cfRule type="cellIs" dxfId="1043" priority="329" stopIfTrue="1" operator="greaterThan">
      <formula>0</formula>
    </cfRule>
  </conditionalFormatting>
  <conditionalFormatting sqref="O199 O201:O203">
    <cfRule type="cellIs" dxfId="1042" priority="322" stopIfTrue="1" operator="greaterThan">
      <formula>0</formula>
    </cfRule>
  </conditionalFormatting>
  <conditionalFormatting sqref="O182:O183 O185:O186">
    <cfRule type="cellIs" dxfId="1041" priority="325" stopIfTrue="1" operator="greaterThan">
      <formula>0</formula>
    </cfRule>
  </conditionalFormatting>
  <conditionalFormatting sqref="P201 Q199:R199 N199 N201:N203 Q201:R203">
    <cfRule type="cellIs" dxfId="1040" priority="324" stopIfTrue="1" operator="greaterThan">
      <formula>0</formula>
    </cfRule>
  </conditionalFormatting>
  <conditionalFormatting sqref="P201 Q199:R199 C199:N199 C201:N203 Q201:R203">
    <cfRule type="cellIs" dxfId="1039" priority="323" stopIfTrue="1" operator="greaterThan">
      <formula>0</formula>
    </cfRule>
  </conditionalFormatting>
  <conditionalFormatting sqref="O150">
    <cfRule type="cellIs" dxfId="1038" priority="321" stopIfTrue="1" operator="greaterThan">
      <formula>0</formula>
    </cfRule>
  </conditionalFormatting>
  <conditionalFormatting sqref="R148">
    <cfRule type="cellIs" dxfId="1037" priority="320" stopIfTrue="1" operator="greaterThan">
      <formula>0</formula>
    </cfRule>
  </conditionalFormatting>
  <conditionalFormatting sqref="R148">
    <cfRule type="cellIs" dxfId="1036" priority="319" stopIfTrue="1" operator="greaterThan">
      <formula>0</formula>
    </cfRule>
  </conditionalFormatting>
  <conditionalFormatting sqref="R166">
    <cfRule type="cellIs" dxfId="1035" priority="317" stopIfTrue="1" operator="greaterThan">
      <formula>0</formula>
    </cfRule>
  </conditionalFormatting>
  <conditionalFormatting sqref="R166">
    <cfRule type="cellIs" dxfId="1034" priority="318" stopIfTrue="1" operator="greaterThan">
      <formula>0</formula>
    </cfRule>
  </conditionalFormatting>
  <conditionalFormatting sqref="R168">
    <cfRule type="cellIs" dxfId="1033" priority="315" stopIfTrue="1" operator="greaterThan">
      <formula>0</formula>
    </cfRule>
  </conditionalFormatting>
  <conditionalFormatting sqref="R168">
    <cfRule type="cellIs" dxfId="1032" priority="316" stopIfTrue="1" operator="greaterThan">
      <formula>0</formula>
    </cfRule>
  </conditionalFormatting>
  <conditionalFormatting sqref="R169">
    <cfRule type="cellIs" dxfId="1031" priority="313" stopIfTrue="1" operator="greaterThan">
      <formula>0</formula>
    </cfRule>
  </conditionalFormatting>
  <conditionalFormatting sqref="R169">
    <cfRule type="cellIs" dxfId="1030" priority="314" stopIfTrue="1" operator="greaterThan">
      <formula>0</formula>
    </cfRule>
  </conditionalFormatting>
  <conditionalFormatting sqref="R182">
    <cfRule type="cellIs" dxfId="1029" priority="312" stopIfTrue="1" operator="greaterThan">
      <formula>0</formula>
    </cfRule>
  </conditionalFormatting>
  <conditionalFormatting sqref="R182">
    <cfRule type="cellIs" dxfId="1028" priority="311" stopIfTrue="1" operator="greaterThan">
      <formula>0</formula>
    </cfRule>
  </conditionalFormatting>
  <conditionalFormatting sqref="R183">
    <cfRule type="cellIs" dxfId="1027" priority="309" stopIfTrue="1" operator="greaterThan">
      <formula>0</formula>
    </cfRule>
  </conditionalFormatting>
  <conditionalFormatting sqref="R183">
    <cfRule type="cellIs" dxfId="1026" priority="310" stopIfTrue="1" operator="greaterThan">
      <formula>0</formula>
    </cfRule>
  </conditionalFormatting>
  <conditionalFormatting sqref="R186">
    <cfRule type="cellIs" dxfId="1025" priority="308" stopIfTrue="1" operator="greaterThan">
      <formula>0</formula>
    </cfRule>
  </conditionalFormatting>
  <conditionalFormatting sqref="R186">
    <cfRule type="cellIs" dxfId="1024" priority="307" stopIfTrue="1" operator="greaterThan">
      <formula>0</formula>
    </cfRule>
  </conditionalFormatting>
  <conditionalFormatting sqref="Q15">
    <cfRule type="cellIs" dxfId="1023" priority="296" stopIfTrue="1" operator="greaterThan">
      <formula>0</formula>
    </cfRule>
  </conditionalFormatting>
  <conditionalFormatting sqref="Q15 C15 E15:M15">
    <cfRule type="cellIs" dxfId="1022" priority="295" stopIfTrue="1" operator="greaterThan">
      <formula>0</formula>
    </cfRule>
  </conditionalFormatting>
  <conditionalFormatting sqref="N15">
    <cfRule type="cellIs" dxfId="1021" priority="293" stopIfTrue="1" operator="greaterThan">
      <formula>0</formula>
    </cfRule>
  </conditionalFormatting>
  <conditionalFormatting sqref="N15">
    <cfRule type="cellIs" dxfId="1020" priority="292" stopIfTrue="1" operator="greaterThan">
      <formula>0</formula>
    </cfRule>
  </conditionalFormatting>
  <conditionalFormatting sqref="N15">
    <cfRule type="cellIs" dxfId="1019" priority="291" stopIfTrue="1" operator="greaterThan">
      <formula>0</formula>
    </cfRule>
  </conditionalFormatting>
  <conditionalFormatting sqref="R15">
    <cfRule type="cellIs" dxfId="1018" priority="290" stopIfTrue="1" operator="greaterThan">
      <formula>0</formula>
    </cfRule>
  </conditionalFormatting>
  <conditionalFormatting sqref="R15">
    <cfRule type="cellIs" dxfId="1017" priority="289" stopIfTrue="1" operator="greaterThan">
      <formula>0</formula>
    </cfRule>
  </conditionalFormatting>
  <conditionalFormatting sqref="D15">
    <cfRule type="cellIs" dxfId="1016" priority="288" stopIfTrue="1" operator="greaterThan">
      <formula>0</formula>
    </cfRule>
  </conditionalFormatting>
  <conditionalFormatting sqref="Q31">
    <cfRule type="cellIs" dxfId="1015" priority="287" stopIfTrue="1" operator="greaterThan">
      <formula>0</formula>
    </cfRule>
  </conditionalFormatting>
  <conditionalFormatting sqref="Q31 C31:M31">
    <cfRule type="cellIs" dxfId="1014" priority="286" stopIfTrue="1" operator="greaterThan">
      <formula>0</formula>
    </cfRule>
  </conditionalFormatting>
  <conditionalFormatting sqref="N31">
    <cfRule type="cellIs" dxfId="1013" priority="282" stopIfTrue="1" operator="greaterThan">
      <formula>0</formula>
    </cfRule>
  </conditionalFormatting>
  <conditionalFormatting sqref="N31">
    <cfRule type="cellIs" dxfId="1012" priority="281" stopIfTrue="1" operator="greaterThan">
      <formula>0</formula>
    </cfRule>
  </conditionalFormatting>
  <conditionalFormatting sqref="N31">
    <cfRule type="cellIs" dxfId="1011" priority="280" stopIfTrue="1" operator="greaterThan">
      <formula>0</formula>
    </cfRule>
  </conditionalFormatting>
  <conditionalFormatting sqref="R31">
    <cfRule type="cellIs" dxfId="1010" priority="278" stopIfTrue="1" operator="greaterThan">
      <formula>0</formula>
    </cfRule>
  </conditionalFormatting>
  <conditionalFormatting sqref="R31">
    <cfRule type="cellIs" dxfId="1009" priority="279" stopIfTrue="1" operator="greaterThan">
      <formula>0</formula>
    </cfRule>
  </conditionalFormatting>
  <conditionalFormatting sqref="C34 G34:I34">
    <cfRule type="cellIs" dxfId="1008" priority="277" stopIfTrue="1" operator="greaterThan">
      <formula>0</formula>
    </cfRule>
  </conditionalFormatting>
  <conditionalFormatting sqref="D34">
    <cfRule type="cellIs" dxfId="1007" priority="261" stopIfTrue="1" operator="greaterThan">
      <formula>0</formula>
    </cfRule>
  </conditionalFormatting>
  <conditionalFormatting sqref="N34">
    <cfRule type="cellIs" dxfId="1006" priority="275" stopIfTrue="1" operator="greaterThan">
      <formula>0</formula>
    </cfRule>
  </conditionalFormatting>
  <conditionalFormatting sqref="N34">
    <cfRule type="cellIs" dxfId="1005" priority="274" stopIfTrue="1" operator="greaterThan">
      <formula>0</formula>
    </cfRule>
  </conditionalFormatting>
  <conditionalFormatting sqref="N34">
    <cfRule type="cellIs" dxfId="1004" priority="273" stopIfTrue="1" operator="greaterThan">
      <formula>0</formula>
    </cfRule>
  </conditionalFormatting>
  <conditionalFormatting sqref="L34">
    <cfRule type="cellIs" dxfId="1003" priority="271" stopIfTrue="1" operator="greaterThan">
      <formula>0</formula>
    </cfRule>
  </conditionalFormatting>
  <conditionalFormatting sqref="P34">
    <cfRule type="cellIs" dxfId="1002" priority="270" stopIfTrue="1" operator="greaterThan">
      <formula>0</formula>
    </cfRule>
  </conditionalFormatting>
  <conditionalFormatting sqref="P34">
    <cfRule type="cellIs" dxfId="1001" priority="269" stopIfTrue="1" operator="greaterThan">
      <formula>0</formula>
    </cfRule>
  </conditionalFormatting>
  <conditionalFormatting sqref="Q34">
    <cfRule type="cellIs" dxfId="1000" priority="267" stopIfTrue="1" operator="greaterThan">
      <formula>0</formula>
    </cfRule>
  </conditionalFormatting>
  <conditionalFormatting sqref="Q34">
    <cfRule type="cellIs" dxfId="999" priority="268" stopIfTrue="1" operator="greaterThan">
      <formula>0</formula>
    </cfRule>
  </conditionalFormatting>
  <conditionalFormatting sqref="E34:F34">
    <cfRule type="cellIs" dxfId="998" priority="263" stopIfTrue="1" operator="greaterThan">
      <formula>0</formula>
    </cfRule>
  </conditionalFormatting>
  <conditionalFormatting sqref="P295">
    <cfRule type="cellIs" dxfId="997" priority="173" stopIfTrue="1" operator="greaterThan">
      <formula>0</formula>
    </cfRule>
  </conditionalFormatting>
  <conditionalFormatting sqref="E34:F34">
    <cfRule type="cellIs" dxfId="996" priority="264" stopIfTrue="1" operator="notEqual">
      <formula>""</formula>
    </cfRule>
  </conditionalFormatting>
  <conditionalFormatting sqref="P295">
    <cfRule type="cellIs" dxfId="995" priority="172" stopIfTrue="1" operator="greaterThan">
      <formula>0</formula>
    </cfRule>
  </conditionalFormatting>
  <conditionalFormatting sqref="D34">
    <cfRule type="cellIs" dxfId="994" priority="262" stopIfTrue="1" operator="notEqual">
      <formula>""</formula>
    </cfRule>
  </conditionalFormatting>
  <conditionalFormatting sqref="J34:K34">
    <cfRule type="cellIs" dxfId="993" priority="260" stopIfTrue="1" operator="notEqual">
      <formula>""</formula>
    </cfRule>
  </conditionalFormatting>
  <conditionalFormatting sqref="J34:K34">
    <cfRule type="cellIs" dxfId="992" priority="259" stopIfTrue="1" operator="greaterThan">
      <formula>0</formula>
    </cfRule>
  </conditionalFormatting>
  <conditionalFormatting sqref="M34">
    <cfRule type="cellIs" dxfId="991" priority="258" stopIfTrue="1" operator="notEqual">
      <formula>""</formula>
    </cfRule>
  </conditionalFormatting>
  <conditionalFormatting sqref="M34">
    <cfRule type="cellIs" dxfId="990" priority="257" stopIfTrue="1" operator="greaterThan">
      <formula>0</formula>
    </cfRule>
  </conditionalFormatting>
  <conditionalFormatting sqref="R34">
    <cfRule type="cellIs" dxfId="989" priority="256" stopIfTrue="1" operator="greaterThan">
      <formula>0</formula>
    </cfRule>
  </conditionalFormatting>
  <conditionalFormatting sqref="R34">
    <cfRule type="cellIs" dxfId="988" priority="255" stopIfTrue="1" operator="greaterThan">
      <formula>0</formula>
    </cfRule>
  </conditionalFormatting>
  <conditionalFormatting sqref="R64">
    <cfRule type="cellIs" dxfId="987" priority="251" stopIfTrue="1" operator="greaterThan">
      <formula>0</formula>
    </cfRule>
  </conditionalFormatting>
  <conditionalFormatting sqref="R64">
    <cfRule type="cellIs" dxfId="986" priority="250" stopIfTrue="1" operator="greaterThan">
      <formula>0</formula>
    </cfRule>
  </conditionalFormatting>
  <conditionalFormatting sqref="N64">
    <cfRule type="cellIs" dxfId="985" priority="249" stopIfTrue="1" operator="greaterThan">
      <formula>0</formula>
    </cfRule>
  </conditionalFormatting>
  <conditionalFormatting sqref="N64">
    <cfRule type="cellIs" dxfId="984" priority="248" stopIfTrue="1" operator="greaterThan">
      <formula>0</formula>
    </cfRule>
  </conditionalFormatting>
  <conditionalFormatting sqref="N64">
    <cfRule type="cellIs" dxfId="983" priority="247" stopIfTrue="1" operator="greaterThan">
      <formula>0</formula>
    </cfRule>
  </conditionalFormatting>
  <conditionalFormatting sqref="D64">
    <cfRule type="cellIs" dxfId="982" priority="246" stopIfTrue="1" operator="notEqual">
      <formula>""</formula>
    </cfRule>
  </conditionalFormatting>
  <conditionalFormatting sqref="D64">
    <cfRule type="cellIs" dxfId="981" priority="245" stopIfTrue="1" operator="greaterThan">
      <formula>0</formula>
    </cfRule>
  </conditionalFormatting>
  <conditionalFormatting sqref="I64">
    <cfRule type="cellIs" dxfId="980" priority="244" stopIfTrue="1" operator="greaterThan">
      <formula>0</formula>
    </cfRule>
  </conditionalFormatting>
  <conditionalFormatting sqref="C67 E67:K67">
    <cfRule type="cellIs" dxfId="979" priority="243" stopIfTrue="1" operator="greaterThan">
      <formula>0</formula>
    </cfRule>
  </conditionalFormatting>
  <conditionalFormatting sqref="M67">
    <cfRule type="cellIs" dxfId="978" priority="242" stopIfTrue="1" operator="greaterThan">
      <formula>0</formula>
    </cfRule>
  </conditionalFormatting>
  <conditionalFormatting sqref="N67">
    <cfRule type="cellIs" dxfId="977" priority="241" stopIfTrue="1" operator="greaterThan">
      <formula>0</formula>
    </cfRule>
  </conditionalFormatting>
  <conditionalFormatting sqref="N67">
    <cfRule type="cellIs" dxfId="976" priority="240" stopIfTrue="1" operator="greaterThan">
      <formula>0</formula>
    </cfRule>
  </conditionalFormatting>
  <conditionalFormatting sqref="N67">
    <cfRule type="cellIs" dxfId="975" priority="239" stopIfTrue="1" operator="greaterThan">
      <formula>0</formula>
    </cfRule>
  </conditionalFormatting>
  <conditionalFormatting sqref="L67">
    <cfRule type="cellIs" dxfId="974" priority="237" stopIfTrue="1" operator="greaterThan">
      <formula>0</formula>
    </cfRule>
  </conditionalFormatting>
  <conditionalFormatting sqref="P67">
    <cfRule type="cellIs" dxfId="973" priority="236" stopIfTrue="1" operator="greaterThan">
      <formula>0</formula>
    </cfRule>
  </conditionalFormatting>
  <conditionalFormatting sqref="P67">
    <cfRule type="cellIs" dxfId="972" priority="235" stopIfTrue="1" operator="greaterThan">
      <formula>0</formula>
    </cfRule>
  </conditionalFormatting>
  <conditionalFormatting sqref="Q67">
    <cfRule type="cellIs" dxfId="971" priority="233" stopIfTrue="1" operator="greaterThan">
      <formula>0</formula>
    </cfRule>
  </conditionalFormatting>
  <conditionalFormatting sqref="Q67">
    <cfRule type="cellIs" dxfId="970" priority="234" stopIfTrue="1" operator="greaterThan">
      <formula>0</formula>
    </cfRule>
  </conditionalFormatting>
  <conditionalFormatting sqref="R67">
    <cfRule type="cellIs" dxfId="969" priority="231" stopIfTrue="1" operator="greaterThan">
      <formula>0</formula>
    </cfRule>
  </conditionalFormatting>
  <conditionalFormatting sqref="R67">
    <cfRule type="cellIs" dxfId="968" priority="232" stopIfTrue="1" operator="greaterThan">
      <formula>0</formula>
    </cfRule>
  </conditionalFormatting>
  <conditionalFormatting sqref="D67">
    <cfRule type="cellIs" dxfId="967" priority="230" stopIfTrue="1" operator="greaterThan">
      <formula>0</formula>
    </cfRule>
  </conditionalFormatting>
  <conditionalFormatting sqref="P13">
    <cfRule type="cellIs" dxfId="966" priority="229" stopIfTrue="1" operator="greaterThan">
      <formula>0</formula>
    </cfRule>
  </conditionalFormatting>
  <conditionalFormatting sqref="P13">
    <cfRule type="cellIs" dxfId="965" priority="228" stopIfTrue="1" operator="greaterThan">
      <formula>0</formula>
    </cfRule>
  </conditionalFormatting>
  <conditionalFormatting sqref="P14">
    <cfRule type="cellIs" dxfId="964" priority="227" stopIfTrue="1" operator="greaterThan">
      <formula>0</formula>
    </cfRule>
  </conditionalFormatting>
  <conditionalFormatting sqref="P14">
    <cfRule type="cellIs" dxfId="963" priority="226" stopIfTrue="1" operator="greaterThan">
      <formula>0</formula>
    </cfRule>
  </conditionalFormatting>
  <conditionalFormatting sqref="P15">
    <cfRule type="cellIs" dxfId="962" priority="225" stopIfTrue="1" operator="greaterThan">
      <formula>0</formula>
    </cfRule>
  </conditionalFormatting>
  <conditionalFormatting sqref="P15">
    <cfRule type="cellIs" dxfId="961" priority="224" stopIfTrue="1" operator="greaterThan">
      <formula>0</formula>
    </cfRule>
  </conditionalFormatting>
  <conditionalFormatting sqref="P30">
    <cfRule type="cellIs" dxfId="960" priority="223" stopIfTrue="1" operator="greaterThan">
      <formula>0</formula>
    </cfRule>
  </conditionalFormatting>
  <conditionalFormatting sqref="P30">
    <cfRule type="cellIs" dxfId="959" priority="222" stopIfTrue="1" operator="greaterThan">
      <formula>0</formula>
    </cfRule>
  </conditionalFormatting>
  <conditionalFormatting sqref="P31">
    <cfRule type="cellIs" dxfId="958" priority="221" stopIfTrue="1" operator="greaterThan">
      <formula>0</formula>
    </cfRule>
  </conditionalFormatting>
  <conditionalFormatting sqref="P31">
    <cfRule type="cellIs" dxfId="957" priority="220" stopIfTrue="1" operator="greaterThan">
      <formula>0</formula>
    </cfRule>
  </conditionalFormatting>
  <conditionalFormatting sqref="P47">
    <cfRule type="cellIs" dxfId="956" priority="219" stopIfTrue="1" operator="greaterThan">
      <formula>0</formula>
    </cfRule>
  </conditionalFormatting>
  <conditionalFormatting sqref="P47">
    <cfRule type="cellIs" dxfId="955" priority="218" stopIfTrue="1" operator="greaterThan">
      <formula>0</formula>
    </cfRule>
  </conditionalFormatting>
  <conditionalFormatting sqref="P48">
    <cfRule type="cellIs" dxfId="954" priority="217" stopIfTrue="1" operator="greaterThan">
      <formula>0</formula>
    </cfRule>
  </conditionalFormatting>
  <conditionalFormatting sqref="P48">
    <cfRule type="cellIs" dxfId="953" priority="216" stopIfTrue="1" operator="greaterThan">
      <formula>0</formula>
    </cfRule>
  </conditionalFormatting>
  <conditionalFormatting sqref="P63">
    <cfRule type="cellIs" dxfId="952" priority="215" stopIfTrue="1" operator="greaterThan">
      <formula>0</formula>
    </cfRule>
  </conditionalFormatting>
  <conditionalFormatting sqref="P63">
    <cfRule type="cellIs" dxfId="951" priority="214" stopIfTrue="1" operator="greaterThan">
      <formula>0</formula>
    </cfRule>
  </conditionalFormatting>
  <conditionalFormatting sqref="P64">
    <cfRule type="cellIs" dxfId="950" priority="213" stopIfTrue="1" operator="greaterThan">
      <formula>0</formula>
    </cfRule>
  </conditionalFormatting>
  <conditionalFormatting sqref="P64">
    <cfRule type="cellIs" dxfId="949" priority="212" stopIfTrue="1" operator="greaterThan">
      <formula>0</formula>
    </cfRule>
  </conditionalFormatting>
  <conditionalFormatting sqref="P79">
    <cfRule type="cellIs" dxfId="948" priority="211" stopIfTrue="1" operator="greaterThan">
      <formula>0</formula>
    </cfRule>
  </conditionalFormatting>
  <conditionalFormatting sqref="P79">
    <cfRule type="cellIs" dxfId="947" priority="210" stopIfTrue="1" operator="greaterThan">
      <formula>0</formula>
    </cfRule>
  </conditionalFormatting>
  <conditionalFormatting sqref="P80">
    <cfRule type="cellIs" dxfId="946" priority="209" stopIfTrue="1" operator="greaterThan">
      <formula>0</formula>
    </cfRule>
  </conditionalFormatting>
  <conditionalFormatting sqref="P80">
    <cfRule type="cellIs" dxfId="945" priority="208" stopIfTrue="1" operator="greaterThan">
      <formula>0</formula>
    </cfRule>
  </conditionalFormatting>
  <conditionalFormatting sqref="P96">
    <cfRule type="cellIs" dxfId="944" priority="207" stopIfTrue="1" operator="greaterThan">
      <formula>0</formula>
    </cfRule>
  </conditionalFormatting>
  <conditionalFormatting sqref="P96">
    <cfRule type="cellIs" dxfId="943" priority="206" stopIfTrue="1" operator="greaterThan">
      <formula>0</formula>
    </cfRule>
  </conditionalFormatting>
  <conditionalFormatting sqref="P97">
    <cfRule type="cellIs" dxfId="942" priority="205" stopIfTrue="1" operator="greaterThan">
      <formula>0</formula>
    </cfRule>
  </conditionalFormatting>
  <conditionalFormatting sqref="P97">
    <cfRule type="cellIs" dxfId="941" priority="204" stopIfTrue="1" operator="greaterThan">
      <formula>0</formula>
    </cfRule>
  </conditionalFormatting>
  <conditionalFormatting sqref="P98">
    <cfRule type="cellIs" dxfId="940" priority="203" stopIfTrue="1" operator="greaterThan">
      <formula>0</formula>
    </cfRule>
  </conditionalFormatting>
  <conditionalFormatting sqref="P98">
    <cfRule type="cellIs" dxfId="939" priority="202" stopIfTrue="1" operator="greaterThan">
      <formula>0</formula>
    </cfRule>
  </conditionalFormatting>
  <conditionalFormatting sqref="P114">
    <cfRule type="cellIs" dxfId="938" priority="201" stopIfTrue="1" operator="greaterThan">
      <formula>0</formula>
    </cfRule>
  </conditionalFormatting>
  <conditionalFormatting sqref="P114">
    <cfRule type="cellIs" dxfId="937" priority="200" stopIfTrue="1" operator="greaterThan">
      <formula>0</formula>
    </cfRule>
  </conditionalFormatting>
  <conditionalFormatting sqref="P130">
    <cfRule type="cellIs" dxfId="936" priority="199" stopIfTrue="1" operator="greaterThan">
      <formula>0</formula>
    </cfRule>
  </conditionalFormatting>
  <conditionalFormatting sqref="P130">
    <cfRule type="cellIs" dxfId="935" priority="198" stopIfTrue="1" operator="greaterThan">
      <formula>0</formula>
    </cfRule>
  </conditionalFormatting>
  <conditionalFormatting sqref="P148">
    <cfRule type="cellIs" dxfId="934" priority="197" stopIfTrue="1" operator="greaterThan">
      <formula>0</formula>
    </cfRule>
  </conditionalFormatting>
  <conditionalFormatting sqref="P148">
    <cfRule type="cellIs" dxfId="933" priority="196" stopIfTrue="1" operator="greaterThan">
      <formula>0</formula>
    </cfRule>
  </conditionalFormatting>
  <conditionalFormatting sqref="P165">
    <cfRule type="cellIs" dxfId="932" priority="195" stopIfTrue="1" operator="greaterThan">
      <formula>0</formula>
    </cfRule>
  </conditionalFormatting>
  <conditionalFormatting sqref="P165">
    <cfRule type="cellIs" dxfId="931" priority="194" stopIfTrue="1" operator="greaterThan">
      <formula>0</formula>
    </cfRule>
  </conditionalFormatting>
  <conditionalFormatting sqref="P166">
    <cfRule type="cellIs" dxfId="930" priority="193" stopIfTrue="1" operator="greaterThan">
      <formula>0</formula>
    </cfRule>
  </conditionalFormatting>
  <conditionalFormatting sqref="P166">
    <cfRule type="cellIs" dxfId="929" priority="192" stopIfTrue="1" operator="greaterThan">
      <formula>0</formula>
    </cfRule>
  </conditionalFormatting>
  <conditionalFormatting sqref="P182">
    <cfRule type="cellIs" dxfId="928" priority="191" stopIfTrue="1" operator="greaterThan">
      <formula>0</formula>
    </cfRule>
  </conditionalFormatting>
  <conditionalFormatting sqref="P182">
    <cfRule type="cellIs" dxfId="927" priority="190" stopIfTrue="1" operator="greaterThan">
      <formula>0</formula>
    </cfRule>
  </conditionalFormatting>
  <conditionalFormatting sqref="P183">
    <cfRule type="cellIs" dxfId="926" priority="189" stopIfTrue="1" operator="greaterThan">
      <formula>0</formula>
    </cfRule>
  </conditionalFormatting>
  <conditionalFormatting sqref="P183">
    <cfRule type="cellIs" dxfId="925" priority="188" stopIfTrue="1" operator="greaterThan">
      <formula>0</formula>
    </cfRule>
  </conditionalFormatting>
  <conditionalFormatting sqref="P199">
    <cfRule type="cellIs" dxfId="924" priority="187" stopIfTrue="1" operator="greaterThan">
      <formula>0</formula>
    </cfRule>
  </conditionalFormatting>
  <conditionalFormatting sqref="P199">
    <cfRule type="cellIs" dxfId="923" priority="186" stopIfTrue="1" operator="greaterThan">
      <formula>0</formula>
    </cfRule>
  </conditionalFormatting>
  <conditionalFormatting sqref="P216">
    <cfRule type="cellIs" dxfId="922" priority="185" stopIfTrue="1" operator="greaterThan">
      <formula>0</formula>
    </cfRule>
  </conditionalFormatting>
  <conditionalFormatting sqref="P216">
    <cfRule type="cellIs" dxfId="921" priority="184" stopIfTrue="1" operator="greaterThan">
      <formula>0</formula>
    </cfRule>
  </conditionalFormatting>
  <conditionalFormatting sqref="P231">
    <cfRule type="cellIs" dxfId="920" priority="183" stopIfTrue="1" operator="greaterThan">
      <formula>0</formula>
    </cfRule>
  </conditionalFormatting>
  <conditionalFormatting sqref="P231">
    <cfRule type="cellIs" dxfId="919" priority="182" stopIfTrue="1" operator="greaterThan">
      <formula>0</formula>
    </cfRule>
  </conditionalFormatting>
  <conditionalFormatting sqref="P263">
    <cfRule type="cellIs" dxfId="918" priority="181" stopIfTrue="1" operator="greaterThan">
      <formula>0</formula>
    </cfRule>
  </conditionalFormatting>
  <conditionalFormatting sqref="P263">
    <cfRule type="cellIs" dxfId="917" priority="180" stopIfTrue="1" operator="greaterThan">
      <formula>0</formula>
    </cfRule>
  </conditionalFormatting>
  <conditionalFormatting sqref="P278">
    <cfRule type="cellIs" dxfId="916" priority="179" stopIfTrue="1" operator="greaterThan">
      <formula>0</formula>
    </cfRule>
  </conditionalFormatting>
  <conditionalFormatting sqref="P278">
    <cfRule type="cellIs" dxfId="915" priority="178" stopIfTrue="1" operator="greaterThan">
      <formula>0</formula>
    </cfRule>
  </conditionalFormatting>
  <conditionalFormatting sqref="P293">
    <cfRule type="cellIs" dxfId="914" priority="177" stopIfTrue="1" operator="greaterThan">
      <formula>0</formula>
    </cfRule>
  </conditionalFormatting>
  <conditionalFormatting sqref="P293">
    <cfRule type="cellIs" dxfId="913" priority="176" stopIfTrue="1" operator="greaterThan">
      <formula>0</formula>
    </cfRule>
  </conditionalFormatting>
  <conditionalFormatting sqref="P294">
    <cfRule type="cellIs" dxfId="912" priority="175" stopIfTrue="1" operator="greaterThan">
      <formula>0</formula>
    </cfRule>
  </conditionalFormatting>
  <conditionalFormatting sqref="P294">
    <cfRule type="cellIs" dxfId="911" priority="174" stopIfTrue="1" operator="greaterThan">
      <formula>0</formula>
    </cfRule>
  </conditionalFormatting>
  <conditionalFormatting sqref="P309">
    <cfRule type="cellIs" dxfId="910" priority="171" stopIfTrue="1" operator="greaterThan">
      <formula>0</formula>
    </cfRule>
  </conditionalFormatting>
  <conditionalFormatting sqref="P309">
    <cfRule type="cellIs" dxfId="909" priority="170" stopIfTrue="1" operator="greaterThan">
      <formula>0</formula>
    </cfRule>
  </conditionalFormatting>
  <conditionalFormatting sqref="P310">
    <cfRule type="cellIs" dxfId="908" priority="169" stopIfTrue="1" operator="greaterThan">
      <formula>0</formula>
    </cfRule>
  </conditionalFormatting>
  <conditionalFormatting sqref="P310">
    <cfRule type="cellIs" dxfId="907" priority="168" stopIfTrue="1" operator="greaterThan">
      <formula>0</formula>
    </cfRule>
  </conditionalFormatting>
  <conditionalFormatting sqref="P325">
    <cfRule type="cellIs" dxfId="906" priority="167" stopIfTrue="1" operator="greaterThan">
      <formula>0</formula>
    </cfRule>
  </conditionalFormatting>
  <conditionalFormatting sqref="P325">
    <cfRule type="cellIs" dxfId="905" priority="166" stopIfTrue="1" operator="greaterThan">
      <formula>0</formula>
    </cfRule>
  </conditionalFormatting>
  <conditionalFormatting sqref="P326">
    <cfRule type="cellIs" dxfId="904" priority="165" stopIfTrue="1" operator="greaterThan">
      <formula>0</formula>
    </cfRule>
  </conditionalFormatting>
  <conditionalFormatting sqref="P326">
    <cfRule type="cellIs" dxfId="903" priority="164" stopIfTrue="1" operator="greaterThan">
      <formula>0</formula>
    </cfRule>
  </conditionalFormatting>
  <conditionalFormatting sqref="N134">
    <cfRule type="cellIs" dxfId="902" priority="161" stopIfTrue="1" operator="greaterThan">
      <formula>0</formula>
    </cfRule>
  </conditionalFormatting>
  <conditionalFormatting sqref="N134">
    <cfRule type="cellIs" dxfId="901" priority="160" stopIfTrue="1" operator="greaterThan">
      <formula>0</formula>
    </cfRule>
  </conditionalFormatting>
  <conditionalFormatting sqref="C134:C135 G134 I134">
    <cfRule type="cellIs" dxfId="900" priority="163" stopIfTrue="1" operator="greaterThan">
      <formula>0</formula>
    </cfRule>
  </conditionalFormatting>
  <conditionalFormatting sqref="N134">
    <cfRule type="cellIs" dxfId="899" priority="159" stopIfTrue="1" operator="greaterThan">
      <formula>0</formula>
    </cfRule>
  </conditionalFormatting>
  <conditionalFormatting sqref="O134">
    <cfRule type="cellIs" dxfId="898" priority="158" stopIfTrue="1" operator="greaterThan">
      <formula>0</formula>
    </cfRule>
  </conditionalFormatting>
  <conditionalFormatting sqref="L134">
    <cfRule type="cellIs" dxfId="897" priority="157" stopIfTrue="1" operator="greaterThan">
      <formula>0</formula>
    </cfRule>
  </conditionalFormatting>
  <conditionalFormatting sqref="P134">
    <cfRule type="cellIs" dxfId="896" priority="156" stopIfTrue="1" operator="greaterThan">
      <formula>0</formula>
    </cfRule>
  </conditionalFormatting>
  <conditionalFormatting sqref="P134">
    <cfRule type="cellIs" dxfId="895" priority="155" stopIfTrue="1" operator="greaterThan">
      <formula>0</formula>
    </cfRule>
  </conditionalFormatting>
  <conditionalFormatting sqref="Q134">
    <cfRule type="cellIs" dxfId="894" priority="153" stopIfTrue="1" operator="greaterThan">
      <formula>0</formula>
    </cfRule>
  </conditionalFormatting>
  <conditionalFormatting sqref="Q134">
    <cfRule type="cellIs" dxfId="893" priority="154" stopIfTrue="1" operator="greaterThan">
      <formula>0</formula>
    </cfRule>
  </conditionalFormatting>
  <conditionalFormatting sqref="M134">
    <cfRule type="cellIs" dxfId="892" priority="144" stopIfTrue="1" operator="greaterThan">
      <formula>0</formula>
    </cfRule>
  </conditionalFormatting>
  <conditionalFormatting sqref="D134">
    <cfRule type="cellIs" dxfId="891" priority="149" stopIfTrue="1" operator="greaterThan">
      <formula>0</formula>
    </cfRule>
  </conditionalFormatting>
  <conditionalFormatting sqref="E134:F134">
    <cfRule type="cellIs" dxfId="890" priority="148" stopIfTrue="1" operator="greaterThan">
      <formula>0</formula>
    </cfRule>
  </conditionalFormatting>
  <conditionalFormatting sqref="H134">
    <cfRule type="cellIs" dxfId="889" priority="147" stopIfTrue="1" operator="notEqual">
      <formula>""</formula>
    </cfRule>
  </conditionalFormatting>
  <conditionalFormatting sqref="H134">
    <cfRule type="cellIs" dxfId="888" priority="146" stopIfTrue="1" operator="greaterThan">
      <formula>0</formula>
    </cfRule>
  </conditionalFormatting>
  <conditionalFormatting sqref="J134:K134">
    <cfRule type="cellIs" dxfId="887" priority="145" stopIfTrue="1" operator="greaterThan">
      <formula>0</formula>
    </cfRule>
  </conditionalFormatting>
  <conditionalFormatting sqref="D135">
    <cfRule type="cellIs" dxfId="886" priority="143" stopIfTrue="1" operator="greaterThan">
      <formula>0</formula>
    </cfRule>
  </conditionalFormatting>
  <conditionalFormatting sqref="N135">
    <cfRule type="cellIs" dxfId="885" priority="141" stopIfTrue="1" operator="greaterThan">
      <formula>0</formula>
    </cfRule>
  </conditionalFormatting>
  <conditionalFormatting sqref="N135">
    <cfRule type="cellIs" dxfId="884" priority="140" stopIfTrue="1" operator="greaterThan">
      <formula>0</formula>
    </cfRule>
  </conditionalFormatting>
  <conditionalFormatting sqref="G135 I135">
    <cfRule type="cellIs" dxfId="883" priority="142" stopIfTrue="1" operator="greaterThan">
      <formula>0</formula>
    </cfRule>
  </conditionalFormatting>
  <conditionalFormatting sqref="N135">
    <cfRule type="cellIs" dxfId="882" priority="139" stopIfTrue="1" operator="greaterThan">
      <formula>0</formula>
    </cfRule>
  </conditionalFormatting>
  <conditionalFormatting sqref="O135">
    <cfRule type="cellIs" dxfId="881" priority="138" stopIfTrue="1" operator="greaterThan">
      <formula>0</formula>
    </cfRule>
  </conditionalFormatting>
  <conditionalFormatting sqref="L135">
    <cfRule type="cellIs" dxfId="880" priority="137" stopIfTrue="1" operator="greaterThan">
      <formula>0</formula>
    </cfRule>
  </conditionalFormatting>
  <conditionalFormatting sqref="P135">
    <cfRule type="cellIs" dxfId="879" priority="136" stopIfTrue="1" operator="greaterThan">
      <formula>0</formula>
    </cfRule>
  </conditionalFormatting>
  <conditionalFormatting sqref="P135">
    <cfRule type="cellIs" dxfId="878" priority="135" stopIfTrue="1" operator="greaterThan">
      <formula>0</formula>
    </cfRule>
  </conditionalFormatting>
  <conditionalFormatting sqref="Q135">
    <cfRule type="cellIs" dxfId="877" priority="133" stopIfTrue="1" operator="greaterThan">
      <formula>0</formula>
    </cfRule>
  </conditionalFormatting>
  <conditionalFormatting sqref="Q135">
    <cfRule type="cellIs" dxfId="876" priority="134" stopIfTrue="1" operator="greaterThan">
      <formula>0</formula>
    </cfRule>
  </conditionalFormatting>
  <conditionalFormatting sqref="M135">
    <cfRule type="cellIs" dxfId="875" priority="126" stopIfTrue="1" operator="greaterThan">
      <formula>0</formula>
    </cfRule>
  </conditionalFormatting>
  <conditionalFormatting sqref="E135:F135">
    <cfRule type="cellIs" dxfId="874" priority="130" stopIfTrue="1" operator="greaterThan">
      <formula>0</formula>
    </cfRule>
  </conditionalFormatting>
  <conditionalFormatting sqref="H135">
    <cfRule type="cellIs" dxfId="873" priority="129" stopIfTrue="1" operator="notEqual">
      <formula>""</formula>
    </cfRule>
  </conditionalFormatting>
  <conditionalFormatting sqref="H135">
    <cfRule type="cellIs" dxfId="872" priority="128" stopIfTrue="1" operator="greaterThan">
      <formula>0</formula>
    </cfRule>
  </conditionalFormatting>
  <conditionalFormatting sqref="J135:K135">
    <cfRule type="cellIs" dxfId="871" priority="127" stopIfTrue="1" operator="greaterThan">
      <formula>0</formula>
    </cfRule>
  </conditionalFormatting>
  <conditionalFormatting sqref="R134">
    <cfRule type="cellIs" dxfId="870" priority="124" stopIfTrue="1" operator="greaterThan">
      <formula>0</formula>
    </cfRule>
  </conditionalFormatting>
  <conditionalFormatting sqref="R134">
    <cfRule type="cellIs" dxfId="869" priority="125" stopIfTrue="1" operator="greaterThan">
      <formula>0</formula>
    </cfRule>
  </conditionalFormatting>
  <conditionalFormatting sqref="R135">
    <cfRule type="cellIs" dxfId="868" priority="122" stopIfTrue="1" operator="greaterThan">
      <formula>0</formula>
    </cfRule>
  </conditionalFormatting>
  <conditionalFormatting sqref="R135">
    <cfRule type="cellIs" dxfId="867" priority="123" stopIfTrue="1" operator="greaterThan">
      <formula>0</formula>
    </cfRule>
  </conditionalFormatting>
  <conditionalFormatting sqref="E295">
    <cfRule type="cellIs" dxfId="866" priority="121" stopIfTrue="1" operator="greaterThan">
      <formula>0</formula>
    </cfRule>
  </conditionalFormatting>
  <conditionalFormatting sqref="R293">
    <cfRule type="cellIs" dxfId="865" priority="120" stopIfTrue="1" operator="greaterThan">
      <formula>0</formula>
    </cfRule>
  </conditionalFormatting>
  <conditionalFormatting sqref="R293">
    <cfRule type="cellIs" dxfId="864" priority="119" stopIfTrue="1" operator="greaterThan">
      <formula>0</formula>
    </cfRule>
  </conditionalFormatting>
  <conditionalFormatting sqref="O13">
    <cfRule type="cellIs" dxfId="863" priority="116" stopIfTrue="1" operator="greaterThan">
      <formula>0</formula>
    </cfRule>
  </conditionalFormatting>
  <conditionalFormatting sqref="O14">
    <cfRule type="cellIs" dxfId="862" priority="115" stopIfTrue="1" operator="greaterThan">
      <formula>0</formula>
    </cfRule>
  </conditionalFormatting>
  <conditionalFormatting sqref="O15">
    <cfRule type="cellIs" dxfId="861" priority="114" stopIfTrue="1" operator="greaterThan">
      <formula>0</formula>
    </cfRule>
  </conditionalFormatting>
  <conditionalFormatting sqref="O17">
    <cfRule type="cellIs" dxfId="860" priority="113" stopIfTrue="1" operator="greaterThan">
      <formula>0</formula>
    </cfRule>
  </conditionalFormatting>
  <conditionalFormatting sqref="O30">
    <cfRule type="cellIs" dxfId="859" priority="112" stopIfTrue="1" operator="greaterThan">
      <formula>0</formula>
    </cfRule>
  </conditionalFormatting>
  <conditionalFormatting sqref="O31">
    <cfRule type="cellIs" dxfId="858" priority="111" stopIfTrue="1" operator="greaterThan">
      <formula>0</formula>
    </cfRule>
  </conditionalFormatting>
  <conditionalFormatting sqref="O33">
    <cfRule type="cellIs" dxfId="857" priority="110" stopIfTrue="1" operator="greaterThan">
      <formula>0</formula>
    </cfRule>
  </conditionalFormatting>
  <conditionalFormatting sqref="O34">
    <cfRule type="cellIs" dxfId="856" priority="109" stopIfTrue="1" operator="greaterThan">
      <formula>0</formula>
    </cfRule>
  </conditionalFormatting>
  <conditionalFormatting sqref="O47">
    <cfRule type="cellIs" dxfId="855" priority="108" stopIfTrue="1" operator="greaterThan">
      <formula>0</formula>
    </cfRule>
  </conditionalFormatting>
  <conditionalFormatting sqref="O48">
    <cfRule type="cellIs" dxfId="854" priority="107" stopIfTrue="1" operator="greaterThan">
      <formula>0</formula>
    </cfRule>
  </conditionalFormatting>
  <conditionalFormatting sqref="O50">
    <cfRule type="cellIs" dxfId="853" priority="106" stopIfTrue="1" operator="greaterThan">
      <formula>0</formula>
    </cfRule>
  </conditionalFormatting>
  <conditionalFormatting sqref="O51">
    <cfRule type="cellIs" dxfId="852" priority="105" stopIfTrue="1" operator="greaterThan">
      <formula>0</formula>
    </cfRule>
  </conditionalFormatting>
  <conditionalFormatting sqref="O63">
    <cfRule type="cellIs" dxfId="851" priority="104" stopIfTrue="1" operator="greaterThan">
      <formula>0</formula>
    </cfRule>
  </conditionalFormatting>
  <conditionalFormatting sqref="O64">
    <cfRule type="cellIs" dxfId="850" priority="103" stopIfTrue="1" operator="greaterThan">
      <formula>0</formula>
    </cfRule>
  </conditionalFormatting>
  <conditionalFormatting sqref="O66">
    <cfRule type="cellIs" dxfId="849" priority="102" stopIfTrue="1" operator="greaterThan">
      <formula>0</formula>
    </cfRule>
  </conditionalFormatting>
  <conditionalFormatting sqref="O67">
    <cfRule type="cellIs" dxfId="848" priority="101" stopIfTrue="1" operator="greaterThan">
      <formula>0</formula>
    </cfRule>
  </conditionalFormatting>
  <conditionalFormatting sqref="O233">
    <cfRule type="cellIs" dxfId="847" priority="100" stopIfTrue="1" operator="greaterThan">
      <formula>0</formula>
    </cfRule>
  </conditionalFormatting>
  <conditionalFormatting sqref="N278">
    <cfRule type="cellIs" dxfId="846" priority="99" stopIfTrue="1" operator="greaterThan">
      <formula>0</formula>
    </cfRule>
  </conditionalFormatting>
  <conditionalFormatting sqref="N278">
    <cfRule type="cellIs" dxfId="845" priority="98" stopIfTrue="1" operator="greaterThan">
      <formula>0</formula>
    </cfRule>
  </conditionalFormatting>
  <conditionalFormatting sqref="N278">
    <cfRule type="cellIs" dxfId="844" priority="97" stopIfTrue="1" operator="greaterThan">
      <formula>0</formula>
    </cfRule>
  </conditionalFormatting>
  <conditionalFormatting sqref="N281">
    <cfRule type="cellIs" dxfId="843" priority="96" stopIfTrue="1" operator="greaterThan">
      <formula>0</formula>
    </cfRule>
  </conditionalFormatting>
  <conditionalFormatting sqref="N281">
    <cfRule type="cellIs" dxfId="842" priority="95" stopIfTrue="1" operator="greaterThan">
      <formula>0</formula>
    </cfRule>
  </conditionalFormatting>
  <conditionalFormatting sqref="N281">
    <cfRule type="cellIs" dxfId="841" priority="94" stopIfTrue="1" operator="greaterThan">
      <formula>0</formula>
    </cfRule>
  </conditionalFormatting>
  <conditionalFormatting sqref="Q281">
    <cfRule type="cellIs" dxfId="840" priority="92" stopIfTrue="1" operator="greaterThan">
      <formula>0</formula>
    </cfRule>
  </conditionalFormatting>
  <conditionalFormatting sqref="Q281">
    <cfRule type="cellIs" dxfId="839" priority="93" stopIfTrue="1" operator="greaterThan">
      <formula>0</formula>
    </cfRule>
  </conditionalFormatting>
  <conditionalFormatting sqref="Q265">
    <cfRule type="cellIs" dxfId="838" priority="88" stopIfTrue="1" operator="greaterThan">
      <formula>0</formula>
    </cfRule>
  </conditionalFormatting>
  <conditionalFormatting sqref="Q265">
    <cfRule type="cellIs" dxfId="837" priority="87" stopIfTrue="1" operator="greaterThan">
      <formula>0</formula>
    </cfRule>
  </conditionalFormatting>
  <conditionalFormatting sqref="Q328">
    <cfRule type="cellIs" dxfId="836" priority="86" stopIfTrue="1" operator="greaterThan">
      <formula>0</formula>
    </cfRule>
  </conditionalFormatting>
  <conditionalFormatting sqref="Q328">
    <cfRule type="cellIs" dxfId="835" priority="85" stopIfTrue="1" operator="greaterThan">
      <formula>0</formula>
    </cfRule>
  </conditionalFormatting>
  <conditionalFormatting sqref="Q329">
    <cfRule type="cellIs" dxfId="834" priority="81" stopIfTrue="1" operator="greaterThan">
      <formula>0</formula>
    </cfRule>
  </conditionalFormatting>
  <conditionalFormatting sqref="Q329">
    <cfRule type="cellIs" dxfId="833" priority="80" stopIfTrue="1" operator="greaterThan">
      <formula>0</formula>
    </cfRule>
  </conditionalFormatting>
  <conditionalFormatting sqref="R309">
    <cfRule type="cellIs" dxfId="832" priority="79" stopIfTrue="1" operator="greaterThan">
      <formula>0</formula>
    </cfRule>
  </conditionalFormatting>
  <conditionalFormatting sqref="R310">
    <cfRule type="cellIs" dxfId="831" priority="78" stopIfTrue="1" operator="greaterThan">
      <formula>0</formula>
    </cfRule>
  </conditionalFormatting>
  <conditionalFormatting sqref="R328">
    <cfRule type="cellIs" dxfId="830" priority="76" stopIfTrue="1" operator="greaterThan">
      <formula>0</formula>
    </cfRule>
  </conditionalFormatting>
  <conditionalFormatting sqref="R328">
    <cfRule type="cellIs" dxfId="829" priority="77" stopIfTrue="1" operator="greaterThan">
      <formula>0</formula>
    </cfRule>
  </conditionalFormatting>
  <conditionalFormatting sqref="R329">
    <cfRule type="cellIs" dxfId="828" priority="74" stopIfTrue="1" operator="greaterThan">
      <formula>0</formula>
    </cfRule>
  </conditionalFormatting>
  <conditionalFormatting sqref="R329">
    <cfRule type="cellIs" dxfId="827" priority="75" stopIfTrue="1" operator="greaterThan">
      <formula>0</formula>
    </cfRule>
  </conditionalFormatting>
  <conditionalFormatting sqref="N297">
    <cfRule type="cellIs" dxfId="826" priority="73" stopIfTrue="1" operator="greaterThan">
      <formula>0</formula>
    </cfRule>
  </conditionalFormatting>
  <conditionalFormatting sqref="N297">
    <cfRule type="cellIs" dxfId="825" priority="72" stopIfTrue="1" operator="greaterThan">
      <formula>0</formula>
    </cfRule>
  </conditionalFormatting>
  <conditionalFormatting sqref="N297">
    <cfRule type="cellIs" dxfId="824" priority="71" stopIfTrue="1" operator="greaterThan">
      <formula>0</formula>
    </cfRule>
  </conditionalFormatting>
  <conditionalFormatting sqref="N309">
    <cfRule type="cellIs" dxfId="823" priority="70" stopIfTrue="1" operator="greaterThan">
      <formula>0</formula>
    </cfRule>
  </conditionalFormatting>
  <conditionalFormatting sqref="N309">
    <cfRule type="cellIs" dxfId="822" priority="69" stopIfTrue="1" operator="greaterThan">
      <formula>0</formula>
    </cfRule>
  </conditionalFormatting>
  <conditionalFormatting sqref="N309">
    <cfRule type="cellIs" dxfId="821" priority="68" stopIfTrue="1" operator="greaterThan">
      <formula>0</formula>
    </cfRule>
  </conditionalFormatting>
  <conditionalFormatting sqref="N310">
    <cfRule type="cellIs" dxfId="820" priority="67" stopIfTrue="1" operator="greaterThan">
      <formula>0</formula>
    </cfRule>
  </conditionalFormatting>
  <conditionalFormatting sqref="N310">
    <cfRule type="cellIs" dxfId="819" priority="66" stopIfTrue="1" operator="greaterThan">
      <formula>0</formula>
    </cfRule>
  </conditionalFormatting>
  <conditionalFormatting sqref="N310">
    <cfRule type="cellIs" dxfId="818" priority="65" stopIfTrue="1" operator="greaterThan">
      <formula>0</formula>
    </cfRule>
  </conditionalFormatting>
  <conditionalFormatting sqref="N312">
    <cfRule type="cellIs" dxfId="817" priority="64" stopIfTrue="1" operator="greaterThan">
      <formula>0</formula>
    </cfRule>
  </conditionalFormatting>
  <conditionalFormatting sqref="N312">
    <cfRule type="cellIs" dxfId="816" priority="63" stopIfTrue="1" operator="greaterThan">
      <formula>0</formula>
    </cfRule>
  </conditionalFormatting>
  <conditionalFormatting sqref="N312">
    <cfRule type="cellIs" dxfId="815" priority="62" stopIfTrue="1" operator="greaterThan">
      <formula>0</formula>
    </cfRule>
  </conditionalFormatting>
  <conditionalFormatting sqref="N313">
    <cfRule type="cellIs" dxfId="814" priority="61" stopIfTrue="1" operator="greaterThan">
      <formula>0</formula>
    </cfRule>
  </conditionalFormatting>
  <conditionalFormatting sqref="N313">
    <cfRule type="cellIs" dxfId="813" priority="60" stopIfTrue="1" operator="greaterThan">
      <formula>0</formula>
    </cfRule>
  </conditionalFormatting>
  <conditionalFormatting sqref="N313">
    <cfRule type="cellIs" dxfId="812" priority="59" stopIfTrue="1" operator="greaterThan">
      <formula>0</formula>
    </cfRule>
  </conditionalFormatting>
  <conditionalFormatting sqref="N325">
    <cfRule type="cellIs" dxfId="811" priority="58" stopIfTrue="1" operator="greaterThan">
      <formula>0</formula>
    </cfRule>
  </conditionalFormatting>
  <conditionalFormatting sqref="N325">
    <cfRule type="cellIs" dxfId="810" priority="57" stopIfTrue="1" operator="greaterThan">
      <formula>0</formula>
    </cfRule>
  </conditionalFormatting>
  <conditionalFormatting sqref="N325">
    <cfRule type="cellIs" dxfId="809" priority="56" stopIfTrue="1" operator="greaterThan">
      <formula>0</formula>
    </cfRule>
  </conditionalFormatting>
  <conditionalFormatting sqref="N326">
    <cfRule type="cellIs" dxfId="808" priority="55" stopIfTrue="1" operator="greaterThan">
      <formula>0</formula>
    </cfRule>
  </conditionalFormatting>
  <conditionalFormatting sqref="N326">
    <cfRule type="cellIs" dxfId="807" priority="54" stopIfTrue="1" operator="greaterThan">
      <formula>0</formula>
    </cfRule>
  </conditionalFormatting>
  <conditionalFormatting sqref="N326">
    <cfRule type="cellIs" dxfId="806" priority="53" stopIfTrue="1" operator="greaterThan">
      <formula>0</formula>
    </cfRule>
  </conditionalFormatting>
  <conditionalFormatting sqref="N328">
    <cfRule type="cellIs" dxfId="805" priority="52" stopIfTrue="1" operator="greaterThan">
      <formula>0</formula>
    </cfRule>
  </conditionalFormatting>
  <conditionalFormatting sqref="N328">
    <cfRule type="cellIs" dxfId="804" priority="51" stopIfTrue="1" operator="greaterThan">
      <formula>0</formula>
    </cfRule>
  </conditionalFormatting>
  <conditionalFormatting sqref="N328">
    <cfRule type="cellIs" dxfId="803" priority="50" stopIfTrue="1" operator="greaterThan">
      <formula>0</formula>
    </cfRule>
  </conditionalFormatting>
  <conditionalFormatting sqref="N329">
    <cfRule type="cellIs" dxfId="802" priority="49" stopIfTrue="1" operator="greaterThan">
      <formula>0</formula>
    </cfRule>
  </conditionalFormatting>
  <conditionalFormatting sqref="N329">
    <cfRule type="cellIs" dxfId="801" priority="48" stopIfTrue="1" operator="greaterThan">
      <formula>0</formula>
    </cfRule>
  </conditionalFormatting>
  <conditionalFormatting sqref="N329">
    <cfRule type="cellIs" dxfId="800" priority="47" stopIfTrue="1" operator="greaterThan">
      <formula>0</formula>
    </cfRule>
  </conditionalFormatting>
  <conditionalFormatting sqref="N13">
    <cfRule type="cellIs" dxfId="799" priority="46" stopIfTrue="1" operator="greaterThan">
      <formula>0</formula>
    </cfRule>
  </conditionalFormatting>
  <conditionalFormatting sqref="N13">
    <cfRule type="cellIs" dxfId="798" priority="45" stopIfTrue="1" operator="greaterThan">
      <formula>0</formula>
    </cfRule>
  </conditionalFormatting>
  <conditionalFormatting sqref="N13">
    <cfRule type="cellIs" dxfId="797" priority="44" stopIfTrue="1" operator="greaterThan">
      <formula>0</formula>
    </cfRule>
  </conditionalFormatting>
  <conditionalFormatting sqref="N15">
    <cfRule type="cellIs" dxfId="796" priority="43" stopIfTrue="1" operator="greaterThan">
      <formula>0</formula>
    </cfRule>
  </conditionalFormatting>
  <conditionalFormatting sqref="N15">
    <cfRule type="cellIs" dxfId="795" priority="42" stopIfTrue="1" operator="greaterThan">
      <formula>0</formula>
    </cfRule>
  </conditionalFormatting>
  <conditionalFormatting sqref="N15">
    <cfRule type="cellIs" dxfId="794" priority="41" stopIfTrue="1" operator="greaterThan">
      <formula>0</formula>
    </cfRule>
  </conditionalFormatting>
  <conditionalFormatting sqref="N15">
    <cfRule type="cellIs" dxfId="793" priority="40" stopIfTrue="1" operator="greaterThan">
      <formula>0</formula>
    </cfRule>
  </conditionalFormatting>
  <conditionalFormatting sqref="N15">
    <cfRule type="cellIs" dxfId="792" priority="39" stopIfTrue="1" operator="greaterThan">
      <formula>0</formula>
    </cfRule>
  </conditionalFormatting>
  <conditionalFormatting sqref="N15">
    <cfRule type="cellIs" dxfId="791" priority="38" stopIfTrue="1" operator="greaterThan">
      <formula>0</formula>
    </cfRule>
  </conditionalFormatting>
  <conditionalFormatting sqref="N14">
    <cfRule type="cellIs" dxfId="790" priority="37" stopIfTrue="1" operator="greaterThan">
      <formula>0</formula>
    </cfRule>
  </conditionalFormatting>
  <conditionalFormatting sqref="N14">
    <cfRule type="cellIs" dxfId="789" priority="36" stopIfTrue="1" operator="greaterThan">
      <formula>0</formula>
    </cfRule>
  </conditionalFormatting>
  <conditionalFormatting sqref="N14">
    <cfRule type="cellIs" dxfId="788" priority="35" stopIfTrue="1" operator="greaterThan">
      <formula>0</formula>
    </cfRule>
  </conditionalFormatting>
  <conditionalFormatting sqref="N14">
    <cfRule type="cellIs" dxfId="787" priority="34" stopIfTrue="1" operator="greaterThan">
      <formula>0</formula>
    </cfRule>
  </conditionalFormatting>
  <conditionalFormatting sqref="N14">
    <cfRule type="cellIs" dxfId="786" priority="33" stopIfTrue="1" operator="greaterThan">
      <formula>0</formula>
    </cfRule>
  </conditionalFormatting>
  <conditionalFormatting sqref="N14">
    <cfRule type="cellIs" dxfId="785" priority="32" stopIfTrue="1" operator="greaterThan">
      <formula>0</formula>
    </cfRule>
  </conditionalFormatting>
  <conditionalFormatting sqref="N14">
    <cfRule type="cellIs" dxfId="784" priority="31" stopIfTrue="1" operator="greaterThan">
      <formula>0</formula>
    </cfRule>
  </conditionalFormatting>
  <conditionalFormatting sqref="N14">
    <cfRule type="cellIs" dxfId="783" priority="30" stopIfTrue="1" operator="greaterThan">
      <formula>0</formula>
    </cfRule>
  </conditionalFormatting>
  <conditionalFormatting sqref="N14">
    <cfRule type="cellIs" dxfId="782" priority="29" stopIfTrue="1" operator="greaterThan">
      <formula>0</formula>
    </cfRule>
  </conditionalFormatting>
  <conditionalFormatting sqref="N79">
    <cfRule type="cellIs" dxfId="781" priority="28" stopIfTrue="1" operator="greaterThan">
      <formula>0</formula>
    </cfRule>
  </conditionalFormatting>
  <conditionalFormatting sqref="N79">
    <cfRule type="cellIs" dxfId="780" priority="27" stopIfTrue="1" operator="greaterThan">
      <formula>0</formula>
    </cfRule>
  </conditionalFormatting>
  <conditionalFormatting sqref="N79">
    <cfRule type="cellIs" dxfId="779" priority="26" stopIfTrue="1" operator="greaterThan">
      <formula>0</formula>
    </cfRule>
  </conditionalFormatting>
  <conditionalFormatting sqref="N80">
    <cfRule type="cellIs" dxfId="778" priority="25" stopIfTrue="1" operator="greaterThan">
      <formula>0</formula>
    </cfRule>
  </conditionalFormatting>
  <conditionalFormatting sqref="N80">
    <cfRule type="cellIs" dxfId="777" priority="24" stopIfTrue="1" operator="greaterThan">
      <formula>0</formula>
    </cfRule>
  </conditionalFormatting>
  <conditionalFormatting sqref="N80">
    <cfRule type="cellIs" dxfId="776" priority="23" stopIfTrue="1" operator="greaterThan">
      <formula>0</formula>
    </cfRule>
  </conditionalFormatting>
  <conditionalFormatting sqref="Q80">
    <cfRule type="cellIs" dxfId="775" priority="22" stopIfTrue="1" operator="greaterThan">
      <formula>0</formula>
    </cfRule>
  </conditionalFormatting>
  <conditionalFormatting sqref="Q80">
    <cfRule type="cellIs" dxfId="774" priority="21" stopIfTrue="1" operator="greaterThan">
      <formula>0</formula>
    </cfRule>
  </conditionalFormatting>
  <conditionalFormatting sqref="Q79">
    <cfRule type="cellIs" dxfId="773" priority="20" stopIfTrue="1" operator="greaterThan">
      <formula>0</formula>
    </cfRule>
  </conditionalFormatting>
  <conditionalFormatting sqref="Q79">
    <cfRule type="cellIs" dxfId="772" priority="19" stopIfTrue="1" operator="greaterThan">
      <formula>0</formula>
    </cfRule>
  </conditionalFormatting>
  <conditionalFormatting sqref="Q79">
    <cfRule type="cellIs" dxfId="771" priority="18" stopIfTrue="1" operator="greaterThan">
      <formula>0</formula>
    </cfRule>
  </conditionalFormatting>
  <conditionalFormatting sqref="Q79">
    <cfRule type="cellIs" dxfId="770" priority="17" stopIfTrue="1" operator="greaterThan">
      <formula>0</formula>
    </cfRule>
  </conditionalFormatting>
  <conditionalFormatting sqref="Q80">
    <cfRule type="cellIs" dxfId="769" priority="16" stopIfTrue="1" operator="greaterThan">
      <formula>0</formula>
    </cfRule>
  </conditionalFormatting>
  <conditionalFormatting sqref="Q80">
    <cfRule type="cellIs" dxfId="768" priority="15" stopIfTrue="1" operator="greaterThan">
      <formula>0</formula>
    </cfRule>
  </conditionalFormatting>
  <conditionalFormatting sqref="N148">
    <cfRule type="cellIs" dxfId="767" priority="14" stopIfTrue="1" operator="greaterThan">
      <formula>0</formula>
    </cfRule>
  </conditionalFormatting>
  <conditionalFormatting sqref="N148">
    <cfRule type="cellIs" dxfId="766" priority="13" stopIfTrue="1" operator="greaterThan">
      <formula>0</formula>
    </cfRule>
  </conditionalFormatting>
  <conditionalFormatting sqref="N148">
    <cfRule type="cellIs" dxfId="765" priority="12" stopIfTrue="1" operator="greaterThan">
      <formula>0</formula>
    </cfRule>
  </conditionalFormatting>
  <conditionalFormatting sqref="Q148">
    <cfRule type="cellIs" dxfId="764" priority="10" stopIfTrue="1" operator="greaterThan">
      <formula>0</formula>
    </cfRule>
  </conditionalFormatting>
  <conditionalFormatting sqref="Q148">
    <cfRule type="cellIs" dxfId="763" priority="11" stopIfTrue="1" operator="greaterThan">
      <formula>0</formula>
    </cfRule>
  </conditionalFormatting>
  <conditionalFormatting sqref="E328">
    <cfRule type="cellIs" dxfId="762" priority="9" stopIfTrue="1" operator="greaterThan">
      <formula>0</formula>
    </cfRule>
  </conditionalFormatting>
  <conditionalFormatting sqref="N34">
    <cfRule type="cellIs" dxfId="761" priority="8" stopIfTrue="1" operator="greaterThan">
      <formula>0</formula>
    </cfRule>
  </conditionalFormatting>
  <conditionalFormatting sqref="N34">
    <cfRule type="cellIs" dxfId="760" priority="7" stopIfTrue="1" operator="greaterThan">
      <formula>0</formula>
    </cfRule>
  </conditionalFormatting>
  <conditionalFormatting sqref="N34">
    <cfRule type="cellIs" dxfId="759" priority="6" stopIfTrue="1" operator="greaterThan">
      <formula>0</formula>
    </cfRule>
  </conditionalFormatting>
  <conditionalFormatting sqref="N328">
    <cfRule type="cellIs" dxfId="758" priority="5" stopIfTrue="1" operator="greaterThan">
      <formula>0</formula>
    </cfRule>
  </conditionalFormatting>
  <conditionalFormatting sqref="N328">
    <cfRule type="cellIs" dxfId="757" priority="4" stopIfTrue="1" operator="greaterThan">
      <formula>0</formula>
    </cfRule>
  </conditionalFormatting>
  <conditionalFormatting sqref="N328">
    <cfRule type="cellIs" dxfId="756" priority="3" stopIfTrue="1" operator="greaterThan">
      <formula>0</formula>
    </cfRule>
  </conditionalFormatting>
  <conditionalFormatting sqref="Q328">
    <cfRule type="cellIs" dxfId="755" priority="2" stopIfTrue="1" operator="greaterThan">
      <formula>0</formula>
    </cfRule>
  </conditionalFormatting>
  <conditionalFormatting sqref="Q328">
    <cfRule type="cellIs" dxfId="754" priority="1" stopIfTrue="1" operator="greaterThan">
      <formula>0</formula>
    </cfRule>
  </conditionalFormatting>
  <dataValidations count="1">
    <dataValidation operator="greaterThan" allowBlank="1" showInputMessage="1" showErrorMessage="1" sqref="J17 J199 J30:K31 J13:K15 J50:J51 J47:K48 J63:K64 J33:J34 J82:J83 J79:J80 J101 J96:J99 J117 J114:J115 J66:J67 J130:J131 J218:J219 J216 J233:J235 J231 J247:J248 J250:J251 J263 J265:J266 J278 J280:J281 J297 J293:J295 J309:J310 J312:J313 J325:J326 J328:J329 J150:J152 J148 J168:J169 J165:J166 J185:J186 J182:J183 J201:J203 J133:J135"/>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87"/>
  <sheetViews>
    <sheetView zoomScale="80" zoomScaleNormal="80" workbookViewId="0">
      <selection activeCell="R89" sqref="R89"/>
    </sheetView>
  </sheetViews>
  <sheetFormatPr baseColWidth="10" defaultColWidth="11.42578125" defaultRowHeight="12" x14ac:dyDescent="0.2"/>
  <cols>
    <col min="1" max="1" width="3.140625" style="74" customWidth="1"/>
    <col min="2" max="2" width="11.42578125" style="74"/>
    <col min="3" max="3" width="21" style="74" customWidth="1"/>
    <col min="4" max="4" width="14.28515625" style="74" customWidth="1"/>
    <col min="5" max="5" width="53.85546875" style="74" customWidth="1"/>
    <col min="6" max="6" width="16.42578125" style="74" customWidth="1"/>
    <col min="7" max="7" width="12.7109375" style="74" customWidth="1"/>
    <col min="8" max="8" width="18.28515625" style="74" customWidth="1"/>
    <col min="9" max="9" width="17.85546875" style="74" customWidth="1"/>
    <col min="10" max="10" width="12.85546875" style="74" customWidth="1"/>
    <col min="11" max="11" width="13.5703125" style="74" customWidth="1"/>
    <col min="12" max="12" width="14.140625" style="74" customWidth="1"/>
    <col min="13" max="13" width="20.140625" style="74" customWidth="1"/>
    <col min="14" max="14" width="34.42578125" style="74" customWidth="1"/>
    <col min="15" max="15" width="22.140625" style="74" customWidth="1"/>
    <col min="16" max="16" width="17.28515625" style="74" customWidth="1"/>
    <col min="17" max="17" width="14.85546875" style="74" customWidth="1"/>
    <col min="18" max="18" width="40.42578125" style="74" customWidth="1"/>
    <col min="19" max="19" width="40.85546875" style="74" customWidth="1"/>
    <col min="20" max="16384" width="11.42578125" style="74"/>
  </cols>
  <sheetData>
    <row r="2" spans="2:19" ht="13.5" customHeight="1" x14ac:dyDescent="0.2">
      <c r="C2" s="72" t="s">
        <v>9</v>
      </c>
      <c r="D2" s="72"/>
      <c r="E2" s="72"/>
      <c r="F2" s="72"/>
      <c r="G2" s="72"/>
      <c r="H2" s="72"/>
      <c r="I2" s="72"/>
      <c r="J2" s="72"/>
    </row>
    <row r="3" spans="2:19" ht="13.5" customHeight="1" x14ac:dyDescent="0.2">
      <c r="C3" s="72" t="s">
        <v>10</v>
      </c>
      <c r="D3" s="72"/>
      <c r="E3" s="72"/>
      <c r="F3" s="72"/>
      <c r="G3" s="72"/>
      <c r="H3" s="72" t="s">
        <v>12</v>
      </c>
      <c r="I3" s="280">
        <v>41827</v>
      </c>
      <c r="J3" s="280"/>
    </row>
    <row r="4" spans="2:19" ht="15" customHeight="1" x14ac:dyDescent="0.2">
      <c r="C4" s="72" t="s">
        <v>103</v>
      </c>
      <c r="D4" s="72"/>
      <c r="E4" s="72"/>
      <c r="F4" s="72"/>
      <c r="G4" s="72"/>
      <c r="H4" s="72" t="s">
        <v>53</v>
      </c>
      <c r="I4" s="280">
        <v>32874</v>
      </c>
      <c r="J4" s="280"/>
    </row>
    <row r="5" spans="2:19" ht="12" customHeight="1" x14ac:dyDescent="0.2">
      <c r="C5" s="72" t="s">
        <v>105</v>
      </c>
      <c r="D5" s="72"/>
      <c r="E5" s="72"/>
      <c r="F5" s="72"/>
      <c r="G5" s="72"/>
      <c r="H5" s="72"/>
      <c r="I5" s="72"/>
      <c r="J5" s="72"/>
    </row>
    <row r="6" spans="2:19" x14ac:dyDescent="0.2">
      <c r="C6" s="72"/>
      <c r="D6" s="72"/>
      <c r="E6" s="72"/>
      <c r="F6" s="72"/>
      <c r="G6" s="72"/>
      <c r="H6" s="72"/>
      <c r="I6" s="72"/>
      <c r="J6" s="72"/>
    </row>
    <row r="7" spans="2:19" ht="12.75" x14ac:dyDescent="0.2">
      <c r="B7" s="408" t="s">
        <v>742</v>
      </c>
      <c r="C7" s="415"/>
      <c r="D7" s="415"/>
      <c r="E7" s="415"/>
      <c r="F7" s="415"/>
      <c r="G7" s="415"/>
      <c r="H7" s="415"/>
      <c r="I7" s="415"/>
      <c r="J7" s="415"/>
      <c r="K7" s="415"/>
      <c r="L7" s="415"/>
      <c r="M7" s="415"/>
      <c r="N7" s="415"/>
      <c r="O7" s="415"/>
      <c r="P7" s="415"/>
      <c r="Q7" s="415"/>
      <c r="R7" s="415"/>
      <c r="S7" s="415"/>
    </row>
    <row r="8" spans="2:19" ht="12.75" thickBot="1" x14ac:dyDescent="0.25"/>
    <row r="9" spans="2:19" s="72" customFormat="1" ht="12.75" thickBot="1" x14ac:dyDescent="0.25">
      <c r="B9" s="281" t="s">
        <v>27</v>
      </c>
      <c r="C9" s="282"/>
      <c r="D9" s="282"/>
      <c r="E9" s="283">
        <v>1</v>
      </c>
      <c r="F9" s="282" t="str">
        <f>+VLOOKUP(E9,Proponentes!$B$10:$D$41,2,FALSE())</f>
        <v>CONSORCIO CONIISA - TECNICONSULTA</v>
      </c>
      <c r="G9" s="284"/>
      <c r="H9" s="284"/>
      <c r="I9" s="284"/>
      <c r="J9" s="284"/>
      <c r="K9" s="284"/>
      <c r="L9" s="284"/>
      <c r="M9" s="284"/>
      <c r="N9" s="284"/>
      <c r="O9" s="284"/>
      <c r="P9" s="284"/>
      <c r="Q9" s="284"/>
      <c r="R9" s="285"/>
      <c r="S9" s="286"/>
    </row>
    <row r="10" spans="2:19" s="291" customFormat="1" ht="63" customHeight="1" thickBot="1" x14ac:dyDescent="0.3">
      <c r="B10" s="287" t="s">
        <v>28</v>
      </c>
      <c r="C10" s="288" t="s">
        <v>29</v>
      </c>
      <c r="D10" s="288" t="s">
        <v>36</v>
      </c>
      <c r="E10" s="289" t="s">
        <v>20</v>
      </c>
      <c r="F10" s="288" t="s">
        <v>34</v>
      </c>
      <c r="G10" s="288" t="s">
        <v>30</v>
      </c>
      <c r="H10" s="288" t="s">
        <v>31</v>
      </c>
      <c r="I10" s="288" t="s">
        <v>32</v>
      </c>
      <c r="J10" s="288" t="s">
        <v>61</v>
      </c>
      <c r="K10" s="288" t="s">
        <v>70</v>
      </c>
      <c r="L10" s="288" t="s">
        <v>16</v>
      </c>
      <c r="M10" s="288" t="s">
        <v>73</v>
      </c>
      <c r="N10" s="288" t="s">
        <v>74</v>
      </c>
      <c r="O10" s="288" t="s">
        <v>67</v>
      </c>
      <c r="P10" s="288" t="s">
        <v>66</v>
      </c>
      <c r="Q10" s="288" t="s">
        <v>33</v>
      </c>
      <c r="R10" s="290" t="s">
        <v>19</v>
      </c>
      <c r="S10" s="151" t="s">
        <v>727</v>
      </c>
    </row>
    <row r="11" spans="2:19" ht="12.75" thickBot="1" x14ac:dyDescent="0.25">
      <c r="B11" s="292" t="s">
        <v>38</v>
      </c>
      <c r="C11" s="157"/>
      <c r="D11" s="157"/>
      <c r="E11" s="85"/>
      <c r="F11" s="85"/>
      <c r="G11" s="157"/>
      <c r="H11" s="157"/>
      <c r="I11" s="157"/>
      <c r="J11" s="157"/>
      <c r="K11" s="157"/>
      <c r="L11" s="157"/>
      <c r="M11" s="157"/>
      <c r="N11" s="157"/>
      <c r="O11" s="157"/>
      <c r="P11" s="157"/>
      <c r="Q11" s="157"/>
      <c r="R11" s="293"/>
      <c r="S11" s="125"/>
    </row>
    <row r="12" spans="2:19" ht="83.25" customHeight="1" x14ac:dyDescent="0.2">
      <c r="B12" s="86">
        <v>1</v>
      </c>
      <c r="C12" s="91" t="s">
        <v>152</v>
      </c>
      <c r="D12" s="88" t="s">
        <v>195</v>
      </c>
      <c r="E12" s="89" t="s">
        <v>196</v>
      </c>
      <c r="F12" s="294">
        <v>1</v>
      </c>
      <c r="G12" s="88" t="s">
        <v>155</v>
      </c>
      <c r="H12" s="90" t="s">
        <v>62</v>
      </c>
      <c r="I12" s="91" t="s">
        <v>150</v>
      </c>
      <c r="J12" s="90" t="s">
        <v>63</v>
      </c>
      <c r="K12" s="92">
        <v>39554</v>
      </c>
      <c r="L12" s="92">
        <v>40080</v>
      </c>
      <c r="M12" s="94">
        <v>6328889175</v>
      </c>
      <c r="N12" s="172">
        <f>+M12*F12</f>
        <v>6328889175</v>
      </c>
      <c r="O12" s="94">
        <f>+ROUND(N12/VLOOKUP(K12,[4]SMLM!$A$2:$D$36,4,TRUE),0)</f>
        <v>13714</v>
      </c>
      <c r="P12" s="295">
        <f>Requisitos!I10</f>
        <v>1380.5396945616883</v>
      </c>
      <c r="Q12" s="172" t="str">
        <f>IF(H12="SI",IF(O12&gt;=$P$12,"SI","NO"),"NO")</f>
        <v>SI</v>
      </c>
      <c r="R12" s="296" t="s">
        <v>197</v>
      </c>
      <c r="S12" s="144"/>
    </row>
    <row r="13" spans="2:19" ht="75.75" customHeight="1" x14ac:dyDescent="0.2">
      <c r="B13" s="100">
        <v>2</v>
      </c>
      <c r="C13" s="102" t="s">
        <v>187</v>
      </c>
      <c r="D13" s="102" t="s">
        <v>188</v>
      </c>
      <c r="E13" s="103" t="s">
        <v>189</v>
      </c>
      <c r="F13" s="104">
        <v>0.3</v>
      </c>
      <c r="G13" s="104" t="s">
        <v>57</v>
      </c>
      <c r="H13" s="104" t="s">
        <v>62</v>
      </c>
      <c r="I13" s="104" t="s">
        <v>151</v>
      </c>
      <c r="J13" s="104" t="s">
        <v>63</v>
      </c>
      <c r="K13" s="106">
        <v>40317</v>
      </c>
      <c r="L13" s="106">
        <v>41215</v>
      </c>
      <c r="M13" s="179">
        <v>4264498383</v>
      </c>
      <c r="N13" s="179">
        <f t="shared" ref="N13:N15" si="0">+M13*F13</f>
        <v>1279349514.8999999</v>
      </c>
      <c r="O13" s="108">
        <f>+ROUND(N13/VLOOKUP(K13,[4]SMLM!$A$2:$D$36,4,TRUE),0)</f>
        <v>2484</v>
      </c>
      <c r="P13" s="297">
        <f>Requisitos!I10</f>
        <v>1380.5396945616883</v>
      </c>
      <c r="Q13" s="179" t="str">
        <f t="shared" ref="Q13:Q14" si="1">IF(H13="SI",IF(O13&gt;=$P$12,"SI","NO"),"NO")</f>
        <v>SI</v>
      </c>
      <c r="R13" s="298"/>
      <c r="S13" s="144"/>
    </row>
    <row r="14" spans="2:19" ht="151.5" customHeight="1" x14ac:dyDescent="0.2">
      <c r="B14" s="100">
        <v>3</v>
      </c>
      <c r="C14" s="102" t="s">
        <v>190</v>
      </c>
      <c r="D14" s="102" t="s">
        <v>191</v>
      </c>
      <c r="E14" s="103" t="s">
        <v>192</v>
      </c>
      <c r="F14" s="104">
        <v>0.4</v>
      </c>
      <c r="G14" s="104" t="s">
        <v>155</v>
      </c>
      <c r="H14" s="104" t="s">
        <v>62</v>
      </c>
      <c r="I14" s="105" t="s">
        <v>150</v>
      </c>
      <c r="J14" s="104" t="s">
        <v>63</v>
      </c>
      <c r="K14" s="106">
        <v>40735</v>
      </c>
      <c r="L14" s="106">
        <v>41079</v>
      </c>
      <c r="M14" s="179">
        <v>4992235841</v>
      </c>
      <c r="N14" s="179">
        <f t="shared" si="0"/>
        <v>1996894336.4000001</v>
      </c>
      <c r="O14" s="108">
        <f>+ROUND(N14/VLOOKUP(K14,[4]SMLM!$A$2:$D$36,4,TRUE),0)</f>
        <v>3728</v>
      </c>
      <c r="P14" s="297">
        <f>Requisitos!I10</f>
        <v>1380.5396945616883</v>
      </c>
      <c r="Q14" s="179" t="str">
        <f t="shared" si="1"/>
        <v>SI</v>
      </c>
      <c r="R14" s="298" t="s">
        <v>197</v>
      </c>
      <c r="S14" s="144"/>
    </row>
    <row r="15" spans="2:19" ht="92.25" customHeight="1" thickBot="1" x14ac:dyDescent="0.25">
      <c r="B15" s="112">
        <v>4</v>
      </c>
      <c r="C15" s="116" t="s">
        <v>152</v>
      </c>
      <c r="D15" s="113" t="s">
        <v>193</v>
      </c>
      <c r="E15" s="114" t="s">
        <v>194</v>
      </c>
      <c r="F15" s="115">
        <v>1</v>
      </c>
      <c r="G15" s="115" t="s">
        <v>155</v>
      </c>
      <c r="H15" s="115" t="s">
        <v>62</v>
      </c>
      <c r="I15" s="116" t="s">
        <v>150</v>
      </c>
      <c r="J15" s="115" t="s">
        <v>63</v>
      </c>
      <c r="K15" s="117">
        <v>40735</v>
      </c>
      <c r="L15" s="117">
        <v>41079</v>
      </c>
      <c r="M15" s="175">
        <v>2270702978</v>
      </c>
      <c r="N15" s="175">
        <f t="shared" si="0"/>
        <v>2270702978</v>
      </c>
      <c r="O15" s="119">
        <f>+ROUND(N15/VLOOKUP(K15,[4]SMLM!$A$2:$D$36,4,TRUE),0)</f>
        <v>4240</v>
      </c>
      <c r="P15" s="299">
        <f>Requisitos!I10</f>
        <v>1380.5396945616883</v>
      </c>
      <c r="Q15" s="115" t="str">
        <f>IF(H15="SI",IF(O15&gt;=$P$12,"SI","NO"),"NO")</f>
        <v>SI</v>
      </c>
      <c r="R15" s="300" t="s">
        <v>197</v>
      </c>
      <c r="S15" s="149"/>
    </row>
    <row r="16" spans="2:19" x14ac:dyDescent="0.2">
      <c r="B16" s="83"/>
      <c r="C16" s="85"/>
      <c r="D16" s="85"/>
      <c r="E16" s="85"/>
      <c r="F16" s="85"/>
      <c r="G16" s="85"/>
      <c r="H16" s="85"/>
      <c r="I16" s="85"/>
      <c r="J16" s="85"/>
      <c r="K16" s="85"/>
      <c r="L16" s="85"/>
      <c r="M16" s="85"/>
      <c r="N16" s="85"/>
      <c r="O16" s="85"/>
      <c r="P16" s="85"/>
      <c r="Q16" s="85"/>
      <c r="R16" s="125"/>
    </row>
    <row r="17" spans="2:19" ht="12.75" thickBot="1" x14ac:dyDescent="0.25">
      <c r="B17" s="83"/>
      <c r="C17" s="85"/>
      <c r="D17" s="85"/>
      <c r="E17" s="85"/>
      <c r="F17" s="85"/>
      <c r="G17" s="85"/>
      <c r="H17" s="85"/>
      <c r="I17" s="85"/>
      <c r="J17" s="85"/>
      <c r="K17" s="85"/>
      <c r="L17" s="85"/>
      <c r="M17" s="85"/>
      <c r="N17" s="85"/>
      <c r="O17" s="301"/>
      <c r="P17" s="85"/>
      <c r="Q17" s="85"/>
      <c r="R17" s="125"/>
    </row>
    <row r="18" spans="2:19" x14ac:dyDescent="0.2">
      <c r="B18" s="83"/>
      <c r="C18" s="85"/>
      <c r="D18" s="85"/>
      <c r="E18" s="334" t="s">
        <v>54</v>
      </c>
      <c r="F18" s="303">
        <f>COUNTIF(Q12:Q15,"SI")</f>
        <v>4</v>
      </c>
      <c r="G18" s="85"/>
      <c r="H18" s="85"/>
      <c r="I18" s="85"/>
      <c r="J18" s="85"/>
      <c r="K18" s="85"/>
      <c r="L18" s="85"/>
      <c r="M18" s="85"/>
      <c r="N18" s="85"/>
      <c r="O18" s="85"/>
      <c r="P18" s="85"/>
      <c r="Q18" s="85"/>
      <c r="R18" s="125"/>
    </row>
    <row r="19" spans="2:19" x14ac:dyDescent="0.2">
      <c r="B19" s="83"/>
      <c r="C19" s="85"/>
      <c r="D19" s="85"/>
      <c r="E19" s="335" t="s">
        <v>35</v>
      </c>
      <c r="F19" s="304">
        <f>+IF(F18=2,600,IF(F18=3,800,IF(F18=4,900,0)))</f>
        <v>900</v>
      </c>
      <c r="G19" s="85"/>
      <c r="H19" s="85"/>
      <c r="I19" s="85"/>
      <c r="J19" s="85"/>
      <c r="K19" s="85"/>
      <c r="L19" s="85"/>
      <c r="M19" s="85"/>
      <c r="N19" s="85"/>
      <c r="O19" s="85"/>
      <c r="P19" s="85"/>
      <c r="Q19" s="85"/>
      <c r="R19" s="125"/>
    </row>
    <row r="20" spans="2:19" ht="42" customHeight="1" x14ac:dyDescent="0.2">
      <c r="B20" s="83"/>
      <c r="C20" s="85"/>
      <c r="D20" s="85"/>
      <c r="E20" s="336" t="s">
        <v>186</v>
      </c>
      <c r="F20" s="304" t="s">
        <v>82</v>
      </c>
      <c r="G20" s="85"/>
      <c r="H20" s="85"/>
      <c r="I20" s="85"/>
      <c r="J20" s="85"/>
      <c r="K20" s="85"/>
      <c r="L20" s="85"/>
      <c r="M20" s="85"/>
      <c r="N20" s="85"/>
      <c r="O20" s="85"/>
      <c r="P20" s="85"/>
      <c r="Q20" s="85"/>
      <c r="R20" s="125"/>
    </row>
    <row r="21" spans="2:19" x14ac:dyDescent="0.2">
      <c r="B21" s="83"/>
      <c r="C21" s="85"/>
      <c r="D21" s="85"/>
      <c r="E21" s="335" t="s">
        <v>68</v>
      </c>
      <c r="F21" s="304" t="s">
        <v>82</v>
      </c>
      <c r="G21" s="85"/>
      <c r="H21" s="85"/>
      <c r="I21" s="85"/>
      <c r="J21" s="85"/>
      <c r="K21" s="85"/>
      <c r="L21" s="85"/>
      <c r="M21" s="85"/>
      <c r="N21" s="85"/>
      <c r="O21" s="85"/>
      <c r="P21" s="85"/>
      <c r="Q21" s="85"/>
      <c r="R21" s="125"/>
    </row>
    <row r="22" spans="2:19" ht="12.75" thickBot="1" x14ac:dyDescent="0.25">
      <c r="B22" s="83"/>
      <c r="C22" s="85"/>
      <c r="D22" s="85"/>
      <c r="E22" s="337" t="s">
        <v>69</v>
      </c>
      <c r="F22" s="305">
        <f>+COUNTIF(J12:J15,"si")</f>
        <v>0</v>
      </c>
      <c r="G22" s="85"/>
      <c r="H22" s="85"/>
      <c r="I22" s="85"/>
      <c r="J22" s="85"/>
      <c r="K22" s="85"/>
      <c r="L22" s="85"/>
      <c r="M22" s="85"/>
      <c r="N22" s="85"/>
      <c r="O22" s="85"/>
      <c r="P22" s="85"/>
      <c r="Q22" s="85"/>
      <c r="R22" s="125"/>
    </row>
    <row r="23" spans="2:19" x14ac:dyDescent="0.2">
      <c r="B23" s="83"/>
      <c r="C23" s="85"/>
      <c r="D23" s="85"/>
      <c r="E23" s="85"/>
      <c r="F23" s="85"/>
      <c r="G23" s="85"/>
      <c r="H23" s="85"/>
      <c r="I23" s="85"/>
      <c r="J23" s="85"/>
      <c r="K23" s="85"/>
      <c r="L23" s="85"/>
      <c r="M23" s="85"/>
      <c r="N23" s="85"/>
      <c r="O23" s="85"/>
      <c r="P23" s="85"/>
      <c r="Q23" s="85"/>
      <c r="R23" s="125"/>
    </row>
    <row r="24" spans="2:19" ht="17.25" customHeight="1" thickBot="1" x14ac:dyDescent="0.25">
      <c r="B24" s="197"/>
      <c r="C24" s="199"/>
      <c r="D24" s="199"/>
      <c r="E24" s="199"/>
      <c r="F24" s="199"/>
      <c r="G24" s="199"/>
      <c r="H24" s="199"/>
      <c r="I24" s="199"/>
      <c r="J24" s="199"/>
      <c r="K24" s="199"/>
      <c r="L24" s="199"/>
      <c r="M24" s="199"/>
      <c r="N24" s="199"/>
      <c r="O24" s="199"/>
      <c r="P24" s="199"/>
      <c r="Q24" s="199"/>
      <c r="R24" s="201"/>
    </row>
    <row r="25" spans="2:19" ht="12.75" thickBot="1" x14ac:dyDescent="0.25"/>
    <row r="26" spans="2:19" s="72" customFormat="1" ht="12.75" thickBot="1" x14ac:dyDescent="0.25">
      <c r="B26" s="281" t="s">
        <v>27</v>
      </c>
      <c r="C26" s="282"/>
      <c r="D26" s="282"/>
      <c r="E26" s="283">
        <v>2</v>
      </c>
      <c r="F26" s="282" t="str">
        <f>+VLOOKUP(E26,Proponentes!$B$10:$D$41,2,FALSE())</f>
        <v>UNION TEMPORAL AEROPUERTO PALMIRA</v>
      </c>
      <c r="G26" s="284"/>
      <c r="H26" s="284"/>
      <c r="I26" s="284"/>
      <c r="J26" s="284"/>
      <c r="K26" s="284"/>
      <c r="L26" s="284"/>
      <c r="M26" s="284"/>
      <c r="N26" s="284"/>
      <c r="O26" s="284"/>
      <c r="P26" s="284"/>
      <c r="Q26" s="284"/>
      <c r="R26" s="285"/>
      <c r="S26" s="286"/>
    </row>
    <row r="27" spans="2:19" s="291" customFormat="1" ht="75.75" customHeight="1" thickBot="1" x14ac:dyDescent="0.3">
      <c r="B27" s="287" t="s">
        <v>28</v>
      </c>
      <c r="C27" s="288" t="s">
        <v>29</v>
      </c>
      <c r="D27" s="288" t="s">
        <v>36</v>
      </c>
      <c r="E27" s="289" t="s">
        <v>20</v>
      </c>
      <c r="F27" s="288" t="s">
        <v>34</v>
      </c>
      <c r="G27" s="288" t="s">
        <v>30</v>
      </c>
      <c r="H27" s="288" t="s">
        <v>31</v>
      </c>
      <c r="I27" s="288" t="s">
        <v>32</v>
      </c>
      <c r="J27" s="288" t="s">
        <v>61</v>
      </c>
      <c r="K27" s="288" t="s">
        <v>70</v>
      </c>
      <c r="L27" s="288" t="s">
        <v>16</v>
      </c>
      <c r="M27" s="288" t="s">
        <v>73</v>
      </c>
      <c r="N27" s="288" t="s">
        <v>198</v>
      </c>
      <c r="O27" s="288" t="s">
        <v>67</v>
      </c>
      <c r="P27" s="288" t="s">
        <v>66</v>
      </c>
      <c r="Q27" s="288" t="s">
        <v>33</v>
      </c>
      <c r="R27" s="290" t="s">
        <v>19</v>
      </c>
      <c r="S27" s="151" t="s">
        <v>727</v>
      </c>
    </row>
    <row r="28" spans="2:19" ht="12.75" thickBot="1" x14ac:dyDescent="0.25">
      <c r="B28" s="292" t="s">
        <v>38</v>
      </c>
      <c r="C28" s="157"/>
      <c r="D28" s="157"/>
      <c r="E28" s="85"/>
      <c r="F28" s="85"/>
      <c r="G28" s="157"/>
      <c r="H28" s="157"/>
      <c r="I28" s="157"/>
      <c r="J28" s="157"/>
      <c r="K28" s="157"/>
      <c r="L28" s="157"/>
      <c r="M28" s="157"/>
      <c r="N28" s="157"/>
      <c r="O28" s="157"/>
      <c r="P28" s="157"/>
      <c r="Q28" s="157"/>
      <c r="R28" s="293"/>
      <c r="S28" s="125"/>
    </row>
    <row r="29" spans="2:19" ht="120.75" customHeight="1" x14ac:dyDescent="0.2">
      <c r="B29" s="86">
        <v>1</v>
      </c>
      <c r="C29" s="87" t="s">
        <v>164</v>
      </c>
      <c r="D29" s="152" t="s">
        <v>165</v>
      </c>
      <c r="E29" s="89" t="s">
        <v>166</v>
      </c>
      <c r="F29" s="294">
        <v>0.45</v>
      </c>
      <c r="G29" s="88" t="s">
        <v>57</v>
      </c>
      <c r="H29" s="90" t="s">
        <v>62</v>
      </c>
      <c r="I29" s="91" t="s">
        <v>162</v>
      </c>
      <c r="J29" s="90" t="s">
        <v>63</v>
      </c>
      <c r="K29" s="92">
        <v>34338</v>
      </c>
      <c r="L29" s="92">
        <v>36305</v>
      </c>
      <c r="M29" s="94">
        <v>4491569047</v>
      </c>
      <c r="N29" s="172">
        <f>+M29*F29</f>
        <v>2021206071.1500001</v>
      </c>
      <c r="O29" s="94">
        <f>+ROUND(N29/VLOOKUP(K29,[4]SMLM!$A$2:$D$36,4,TRUE),0)</f>
        <v>20478</v>
      </c>
      <c r="P29" s="295">
        <f>Requisitos!I10</f>
        <v>1380.5396945616883</v>
      </c>
      <c r="Q29" s="172" t="str">
        <f>IF(H29="SI",IF(O29&gt;=$P$12,"SI","NO"),"NO")</f>
        <v>SI</v>
      </c>
      <c r="R29" s="296"/>
      <c r="S29" s="144"/>
    </row>
    <row r="30" spans="2:19" ht="75.75" customHeight="1" x14ac:dyDescent="0.2">
      <c r="B30" s="100">
        <v>2</v>
      </c>
      <c r="C30" s="102" t="s">
        <v>199</v>
      </c>
      <c r="D30" s="302" t="s">
        <v>201</v>
      </c>
      <c r="E30" s="103" t="s">
        <v>200</v>
      </c>
      <c r="F30" s="104">
        <v>0.55000000000000004</v>
      </c>
      <c r="G30" s="104" t="s">
        <v>57</v>
      </c>
      <c r="H30" s="104" t="s">
        <v>62</v>
      </c>
      <c r="I30" s="105" t="s">
        <v>162</v>
      </c>
      <c r="J30" s="104" t="s">
        <v>63</v>
      </c>
      <c r="K30" s="106">
        <v>39125</v>
      </c>
      <c r="L30" s="106" t="s">
        <v>202</v>
      </c>
      <c r="M30" s="108">
        <v>10581323639</v>
      </c>
      <c r="N30" s="179">
        <f t="shared" ref="N30:N32" si="2">+M30*F30</f>
        <v>5819728001.4500008</v>
      </c>
      <c r="O30" s="108">
        <f>+ROUND(N30/VLOOKUP(K30,[4]SMLM!$A$2:$D$36,4,TRUE),0)</f>
        <v>13419</v>
      </c>
      <c r="P30" s="297">
        <f>Requisitos!I10</f>
        <v>1380.5396945616883</v>
      </c>
      <c r="Q30" s="179" t="str">
        <f t="shared" ref="Q30:Q31" si="3">IF(H30="SI",IF(O30&gt;=$P$12,"SI","NO"),"NO")</f>
        <v>SI</v>
      </c>
      <c r="R30" s="298"/>
      <c r="S30" s="144"/>
    </row>
    <row r="31" spans="2:19" ht="109.5" customHeight="1" x14ac:dyDescent="0.2">
      <c r="B31" s="100">
        <v>3</v>
      </c>
      <c r="C31" s="102" t="s">
        <v>206</v>
      </c>
      <c r="D31" s="102" t="s">
        <v>204</v>
      </c>
      <c r="E31" s="103" t="s">
        <v>205</v>
      </c>
      <c r="F31" s="104">
        <v>1</v>
      </c>
      <c r="G31" s="104" t="s">
        <v>57</v>
      </c>
      <c r="H31" s="104" t="s">
        <v>62</v>
      </c>
      <c r="I31" s="105" t="s">
        <v>162</v>
      </c>
      <c r="J31" s="104" t="s">
        <v>63</v>
      </c>
      <c r="K31" s="106">
        <v>39503</v>
      </c>
      <c r="L31" s="106" t="s">
        <v>202</v>
      </c>
      <c r="M31" s="108">
        <v>2471294160</v>
      </c>
      <c r="N31" s="179">
        <f t="shared" si="2"/>
        <v>2471294160</v>
      </c>
      <c r="O31" s="108">
        <f>+ROUND(N31/VLOOKUP(K31,[4]SMLM!$A$2:$D$36,4,TRUE),0)</f>
        <v>5355</v>
      </c>
      <c r="P31" s="297">
        <f>Requisitos!I10</f>
        <v>1380.5396945616883</v>
      </c>
      <c r="Q31" s="179" t="str">
        <f t="shared" si="3"/>
        <v>SI</v>
      </c>
      <c r="R31" s="298"/>
      <c r="S31" s="144"/>
    </row>
    <row r="32" spans="2:19" ht="85.5" customHeight="1" thickBot="1" x14ac:dyDescent="0.25">
      <c r="B32" s="112">
        <v>4</v>
      </c>
      <c r="C32" s="113" t="s">
        <v>203</v>
      </c>
      <c r="D32" s="113" t="s">
        <v>207</v>
      </c>
      <c r="E32" s="114" t="s">
        <v>208</v>
      </c>
      <c r="F32" s="115">
        <v>1</v>
      </c>
      <c r="G32" s="115" t="s">
        <v>209</v>
      </c>
      <c r="H32" s="115" t="s">
        <v>62</v>
      </c>
      <c r="I32" s="116" t="s">
        <v>163</v>
      </c>
      <c r="J32" s="115" t="s">
        <v>63</v>
      </c>
      <c r="K32" s="117">
        <v>39434</v>
      </c>
      <c r="L32" s="117">
        <v>40895</v>
      </c>
      <c r="M32" s="119">
        <v>6052734982</v>
      </c>
      <c r="N32" s="175">
        <f t="shared" si="2"/>
        <v>6052734982</v>
      </c>
      <c r="O32" s="119">
        <f>+ROUND(N32/VLOOKUP(K32,[4]SMLM!$A$2:$D$36,4,TRUE),0)</f>
        <v>13956</v>
      </c>
      <c r="P32" s="299">
        <f>Requisitos!I10</f>
        <v>1380.5396945616883</v>
      </c>
      <c r="Q32" s="115" t="str">
        <f>IF(H32="SI",IF(O32&gt;=$P$12,"SI","NO"),"NO")</f>
        <v>SI</v>
      </c>
      <c r="R32" s="300"/>
      <c r="S32" s="149"/>
    </row>
    <row r="33" spans="2:19" x14ac:dyDescent="0.2">
      <c r="B33" s="83"/>
      <c r="C33" s="85"/>
      <c r="D33" s="85"/>
      <c r="E33" s="85"/>
      <c r="F33" s="85"/>
      <c r="G33" s="85"/>
      <c r="H33" s="85"/>
      <c r="I33" s="85"/>
      <c r="J33" s="85"/>
      <c r="K33" s="85"/>
      <c r="L33" s="85"/>
      <c r="M33" s="85"/>
      <c r="N33" s="85"/>
      <c r="O33" s="85"/>
      <c r="P33" s="85"/>
      <c r="Q33" s="85"/>
      <c r="R33" s="125"/>
    </row>
    <row r="34" spans="2:19" x14ac:dyDescent="0.2">
      <c r="B34" s="83"/>
      <c r="C34" s="85"/>
      <c r="D34" s="85"/>
      <c r="E34" s="85"/>
      <c r="F34" s="85"/>
      <c r="G34" s="85"/>
      <c r="H34" s="85"/>
      <c r="I34" s="85"/>
      <c r="J34" s="85"/>
      <c r="K34" s="85"/>
      <c r="L34" s="85"/>
      <c r="M34" s="85"/>
      <c r="N34" s="85"/>
      <c r="O34" s="85"/>
      <c r="P34" s="85"/>
      <c r="Q34" s="85"/>
      <c r="R34" s="125"/>
    </row>
    <row r="35" spans="2:19" ht="12.75" thickBot="1" x14ac:dyDescent="0.25">
      <c r="B35" s="83"/>
      <c r="C35" s="85"/>
      <c r="D35" s="85"/>
      <c r="E35" s="85"/>
      <c r="F35" s="85"/>
      <c r="G35" s="85"/>
      <c r="H35" s="85"/>
      <c r="I35" s="85"/>
      <c r="J35" s="85"/>
      <c r="K35" s="85"/>
      <c r="L35" s="85"/>
      <c r="M35" s="85"/>
      <c r="N35" s="85"/>
      <c r="O35" s="301"/>
      <c r="P35" s="85"/>
      <c r="Q35" s="85"/>
      <c r="R35" s="125"/>
    </row>
    <row r="36" spans="2:19" x14ac:dyDescent="0.2">
      <c r="B36" s="83"/>
      <c r="C36" s="85"/>
      <c r="D36" s="85"/>
      <c r="E36" s="334" t="s">
        <v>54</v>
      </c>
      <c r="F36" s="303">
        <f>COUNTIF(Q29:Q32,"SI")</f>
        <v>4</v>
      </c>
      <c r="G36" s="85"/>
      <c r="H36" s="85"/>
      <c r="I36" s="85"/>
      <c r="J36" s="85"/>
      <c r="K36" s="85"/>
      <c r="L36" s="85"/>
      <c r="M36" s="85"/>
      <c r="N36" s="85"/>
      <c r="O36" s="85"/>
      <c r="P36" s="85"/>
      <c r="Q36" s="85"/>
      <c r="R36" s="125"/>
    </row>
    <row r="37" spans="2:19" x14ac:dyDescent="0.2">
      <c r="B37" s="83"/>
      <c r="C37" s="85"/>
      <c r="D37" s="85"/>
      <c r="E37" s="335" t="s">
        <v>35</v>
      </c>
      <c r="F37" s="304">
        <f>+IF(F36=2,600,IF(F36=3,800,IF(F36=4,900,0)))</f>
        <v>900</v>
      </c>
      <c r="G37" s="85"/>
      <c r="H37" s="85"/>
      <c r="I37" s="85"/>
      <c r="J37" s="85"/>
      <c r="K37" s="85"/>
      <c r="L37" s="85"/>
      <c r="M37" s="85"/>
      <c r="N37" s="85"/>
      <c r="O37" s="85"/>
      <c r="P37" s="85"/>
      <c r="Q37" s="85"/>
      <c r="R37" s="125"/>
    </row>
    <row r="38" spans="2:19" ht="35.25" customHeight="1" x14ac:dyDescent="0.2">
      <c r="B38" s="83"/>
      <c r="C38" s="85"/>
      <c r="D38" s="85"/>
      <c r="E38" s="336" t="s">
        <v>186</v>
      </c>
      <c r="F38" s="304" t="s">
        <v>82</v>
      </c>
      <c r="G38" s="85"/>
      <c r="H38" s="85"/>
      <c r="I38" s="85"/>
      <c r="J38" s="85"/>
      <c r="K38" s="85"/>
      <c r="L38" s="85"/>
      <c r="M38" s="85"/>
      <c r="N38" s="85"/>
      <c r="O38" s="85"/>
      <c r="P38" s="85"/>
      <c r="Q38" s="85"/>
      <c r="R38" s="125"/>
    </row>
    <row r="39" spans="2:19" x14ac:dyDescent="0.2">
      <c r="B39" s="83"/>
      <c r="C39" s="85"/>
      <c r="D39" s="85"/>
      <c r="E39" s="335" t="s">
        <v>68</v>
      </c>
      <c r="F39" s="304" t="s">
        <v>82</v>
      </c>
      <c r="G39" s="85"/>
      <c r="H39" s="85"/>
      <c r="I39" s="85"/>
      <c r="J39" s="85"/>
      <c r="K39" s="85"/>
      <c r="L39" s="85"/>
      <c r="M39" s="85"/>
      <c r="N39" s="85"/>
      <c r="O39" s="85"/>
      <c r="P39" s="85"/>
      <c r="Q39" s="85"/>
      <c r="R39" s="125"/>
    </row>
    <row r="40" spans="2:19" ht="12.75" thickBot="1" x14ac:dyDescent="0.25">
      <c r="B40" s="83"/>
      <c r="C40" s="85"/>
      <c r="D40" s="85"/>
      <c r="E40" s="337" t="s">
        <v>69</v>
      </c>
      <c r="F40" s="305">
        <f>+COUNTIF(J29:J32,"si")</f>
        <v>0</v>
      </c>
      <c r="G40" s="85"/>
      <c r="H40" s="85"/>
      <c r="I40" s="85"/>
      <c r="J40" s="85"/>
      <c r="K40" s="85"/>
      <c r="L40" s="85"/>
      <c r="M40" s="85"/>
      <c r="N40" s="85"/>
      <c r="O40" s="85"/>
      <c r="P40" s="85"/>
      <c r="Q40" s="85"/>
      <c r="R40" s="125"/>
    </row>
    <row r="41" spans="2:19" x14ac:dyDescent="0.2">
      <c r="B41" s="83"/>
      <c r="C41" s="85"/>
      <c r="D41" s="85"/>
      <c r="E41" s="85"/>
      <c r="F41" s="85"/>
      <c r="G41" s="85"/>
      <c r="H41" s="85"/>
      <c r="I41" s="85"/>
      <c r="J41" s="85"/>
      <c r="K41" s="85"/>
      <c r="L41" s="85"/>
      <c r="M41" s="85"/>
      <c r="N41" s="85"/>
      <c r="O41" s="85"/>
      <c r="P41" s="85"/>
      <c r="Q41" s="85"/>
      <c r="R41" s="125"/>
    </row>
    <row r="42" spans="2:19" x14ac:dyDescent="0.2">
      <c r="B42" s="83"/>
      <c r="C42" s="85"/>
      <c r="D42" s="85"/>
      <c r="E42" s="85"/>
      <c r="F42" s="85"/>
      <c r="G42" s="85"/>
      <c r="H42" s="85"/>
      <c r="I42" s="85"/>
      <c r="J42" s="85"/>
      <c r="K42" s="85"/>
      <c r="L42" s="85"/>
      <c r="M42" s="85"/>
      <c r="N42" s="85"/>
      <c r="O42" s="85"/>
      <c r="P42" s="85"/>
      <c r="Q42" s="85"/>
      <c r="R42" s="125"/>
    </row>
    <row r="43" spans="2:19" ht="17.25" customHeight="1" thickBot="1" x14ac:dyDescent="0.25">
      <c r="B43" s="197"/>
      <c r="C43" s="199"/>
      <c r="D43" s="199"/>
      <c r="E43" s="199"/>
      <c r="F43" s="199"/>
      <c r="G43" s="199"/>
      <c r="H43" s="199"/>
      <c r="I43" s="199"/>
      <c r="J43" s="199"/>
      <c r="K43" s="199"/>
      <c r="L43" s="199"/>
      <c r="M43" s="199"/>
      <c r="N43" s="199"/>
      <c r="O43" s="199"/>
      <c r="P43" s="199"/>
      <c r="Q43" s="199"/>
      <c r="R43" s="201"/>
    </row>
    <row r="44" spans="2:19" ht="12.75" thickBot="1" x14ac:dyDescent="0.25"/>
    <row r="45" spans="2:19" s="72" customFormat="1" ht="12.75" thickBot="1" x14ac:dyDescent="0.25">
      <c r="B45" s="281" t="s">
        <v>27</v>
      </c>
      <c r="C45" s="282"/>
      <c r="D45" s="282"/>
      <c r="E45" s="283">
        <v>3</v>
      </c>
      <c r="F45" s="282" t="str">
        <f>+VLOOKUP(E45,Proponentes!$B$10:$D$41,2,FALSE())</f>
        <v>CONSORCIO PACIFICO 2014</v>
      </c>
      <c r="G45" s="284"/>
      <c r="H45" s="284"/>
      <c r="I45" s="284"/>
      <c r="J45" s="284"/>
      <c r="K45" s="284"/>
      <c r="L45" s="284"/>
      <c r="M45" s="284"/>
      <c r="N45" s="284"/>
      <c r="O45" s="284"/>
      <c r="P45" s="284"/>
      <c r="Q45" s="284"/>
      <c r="R45" s="285"/>
      <c r="S45" s="286"/>
    </row>
    <row r="46" spans="2:19" s="291" customFormat="1" ht="75.75" customHeight="1" thickBot="1" x14ac:dyDescent="0.3">
      <c r="B46" s="287" t="s">
        <v>28</v>
      </c>
      <c r="C46" s="288" t="s">
        <v>29</v>
      </c>
      <c r="D46" s="288" t="s">
        <v>36</v>
      </c>
      <c r="E46" s="289" t="s">
        <v>20</v>
      </c>
      <c r="F46" s="288" t="s">
        <v>34</v>
      </c>
      <c r="G46" s="288" t="s">
        <v>30</v>
      </c>
      <c r="H46" s="288" t="s">
        <v>31</v>
      </c>
      <c r="I46" s="288" t="s">
        <v>32</v>
      </c>
      <c r="J46" s="288" t="s">
        <v>61</v>
      </c>
      <c r="K46" s="288" t="s">
        <v>70</v>
      </c>
      <c r="L46" s="288" t="s">
        <v>16</v>
      </c>
      <c r="M46" s="288" t="s">
        <v>73</v>
      </c>
      <c r="N46" s="288" t="s">
        <v>198</v>
      </c>
      <c r="O46" s="288" t="s">
        <v>67</v>
      </c>
      <c r="P46" s="288" t="s">
        <v>66</v>
      </c>
      <c r="Q46" s="288" t="s">
        <v>33</v>
      </c>
      <c r="R46" s="290" t="s">
        <v>19</v>
      </c>
      <c r="S46" s="151" t="s">
        <v>727</v>
      </c>
    </row>
    <row r="47" spans="2:19" ht="12.75" thickBot="1" x14ac:dyDescent="0.25">
      <c r="B47" s="292" t="s">
        <v>38</v>
      </c>
      <c r="C47" s="157"/>
      <c r="D47" s="157"/>
      <c r="E47" s="85"/>
      <c r="F47" s="85"/>
      <c r="G47" s="157"/>
      <c r="H47" s="157"/>
      <c r="I47" s="157"/>
      <c r="J47" s="157"/>
      <c r="K47" s="157"/>
      <c r="L47" s="157"/>
      <c r="M47" s="157"/>
      <c r="N47" s="157"/>
      <c r="O47" s="157"/>
      <c r="P47" s="157"/>
      <c r="Q47" s="157"/>
      <c r="R47" s="293"/>
      <c r="S47" s="125"/>
    </row>
    <row r="48" spans="2:19" ht="93" customHeight="1" x14ac:dyDescent="0.2">
      <c r="B48" s="86">
        <v>1</v>
      </c>
      <c r="C48" s="88" t="s">
        <v>9</v>
      </c>
      <c r="D48" s="152" t="s">
        <v>210</v>
      </c>
      <c r="E48" s="89" t="s">
        <v>211</v>
      </c>
      <c r="F48" s="294">
        <v>0.25</v>
      </c>
      <c r="G48" s="88" t="s">
        <v>57</v>
      </c>
      <c r="H48" s="90" t="s">
        <v>62</v>
      </c>
      <c r="I48" s="91" t="s">
        <v>51</v>
      </c>
      <c r="J48" s="90" t="s">
        <v>63</v>
      </c>
      <c r="K48" s="92">
        <v>37790</v>
      </c>
      <c r="L48" s="92">
        <v>38612</v>
      </c>
      <c r="M48" s="94">
        <v>2363195725</v>
      </c>
      <c r="N48" s="94">
        <f>+M48*F48</f>
        <v>590798931.25</v>
      </c>
      <c r="O48" s="94">
        <f>+ROUND(N48/VLOOKUP(K48,[4]SMLM!$A$2:$D$36,4,TRUE),0)</f>
        <v>1780</v>
      </c>
      <c r="P48" s="295">
        <f>Requisitos!I10</f>
        <v>1380.5396945616883</v>
      </c>
      <c r="Q48" s="172" t="str">
        <f>IF(H48="SI",IF(O48&gt;=$P$12,"SI","NO"),"NO")</f>
        <v>SI</v>
      </c>
      <c r="R48" s="296"/>
      <c r="S48" s="144"/>
    </row>
    <row r="49" spans="2:19" ht="96.75" customHeight="1" x14ac:dyDescent="0.2">
      <c r="B49" s="100">
        <v>2</v>
      </c>
      <c r="C49" s="102" t="s">
        <v>212</v>
      </c>
      <c r="D49" s="302">
        <v>635</v>
      </c>
      <c r="E49" s="103" t="s">
        <v>213</v>
      </c>
      <c r="F49" s="104">
        <v>1</v>
      </c>
      <c r="G49" s="104" t="s">
        <v>57</v>
      </c>
      <c r="H49" s="104" t="s">
        <v>62</v>
      </c>
      <c r="I49" s="105" t="s">
        <v>50</v>
      </c>
      <c r="J49" s="104" t="s">
        <v>63</v>
      </c>
      <c r="K49" s="106">
        <v>41123</v>
      </c>
      <c r="L49" s="106" t="s">
        <v>202</v>
      </c>
      <c r="M49" s="108">
        <v>1575661747</v>
      </c>
      <c r="N49" s="108">
        <f t="shared" ref="N49:N51" si="4">+M49*F49</f>
        <v>1575661747</v>
      </c>
      <c r="O49" s="108">
        <f>+ROUND(N49/VLOOKUP(K49,[4]SMLM!$A$2:$D$36,4,TRUE),0)</f>
        <v>2780</v>
      </c>
      <c r="P49" s="297">
        <f>Requisitos!I9</f>
        <v>1350.6493506493507</v>
      </c>
      <c r="Q49" s="179" t="str">
        <f t="shared" ref="Q49:Q51" si="5">IF(H49="SI",IF(O49&gt;=$P$12,"SI","NO"),"NO")</f>
        <v>SI</v>
      </c>
      <c r="R49" s="298"/>
      <c r="S49" s="144"/>
    </row>
    <row r="50" spans="2:19" ht="87.75" customHeight="1" x14ac:dyDescent="0.2">
      <c r="B50" s="100">
        <v>3</v>
      </c>
      <c r="C50" s="102" t="s">
        <v>174</v>
      </c>
      <c r="D50" s="102" t="s">
        <v>180</v>
      </c>
      <c r="E50" s="103" t="s">
        <v>214</v>
      </c>
      <c r="F50" s="104">
        <v>1</v>
      </c>
      <c r="G50" s="104" t="s">
        <v>57</v>
      </c>
      <c r="H50" s="104" t="s">
        <v>62</v>
      </c>
      <c r="I50" s="105" t="s">
        <v>169</v>
      </c>
      <c r="J50" s="104" t="s">
        <v>63</v>
      </c>
      <c r="K50" s="106">
        <v>40498</v>
      </c>
      <c r="L50" s="106">
        <v>41502</v>
      </c>
      <c r="M50" s="108">
        <v>1349015195</v>
      </c>
      <c r="N50" s="108">
        <f t="shared" si="4"/>
        <v>1349015195</v>
      </c>
      <c r="O50" s="108">
        <f>+ROUND(N50/VLOOKUP(K50,[4]SMLM!$A$2:$D$36,4,TRUE),0)</f>
        <v>2619</v>
      </c>
      <c r="P50" s="297">
        <f>Requisitos!I10</f>
        <v>1380.5396945616883</v>
      </c>
      <c r="Q50" s="179" t="str">
        <f t="shared" si="5"/>
        <v>SI</v>
      </c>
      <c r="R50" s="298"/>
      <c r="S50" s="338"/>
    </row>
    <row r="51" spans="2:19" ht="122.25" customHeight="1" thickBot="1" x14ac:dyDescent="0.25">
      <c r="B51" s="112">
        <v>4</v>
      </c>
      <c r="C51" s="113" t="s">
        <v>215</v>
      </c>
      <c r="D51" s="113" t="s">
        <v>243</v>
      </c>
      <c r="E51" s="114" t="s">
        <v>218</v>
      </c>
      <c r="F51" s="115">
        <v>1</v>
      </c>
      <c r="G51" s="115" t="s">
        <v>209</v>
      </c>
      <c r="H51" s="115" t="s">
        <v>62</v>
      </c>
      <c r="I51" s="116" t="s">
        <v>745</v>
      </c>
      <c r="J51" s="115" t="s">
        <v>62</v>
      </c>
      <c r="K51" s="117">
        <v>37603</v>
      </c>
      <c r="L51" s="117">
        <v>38090</v>
      </c>
      <c r="M51" s="119">
        <v>1790846072</v>
      </c>
      <c r="N51" s="218">
        <f t="shared" si="4"/>
        <v>1790846072</v>
      </c>
      <c r="O51" s="119">
        <f>+ROUND(N51/VLOOKUP(K51,[4]SMLM!$A$2:$D$36,4,TRUE),0)</f>
        <v>5796</v>
      </c>
      <c r="P51" s="299">
        <f>Requisitos!I10</f>
        <v>1380.5396945616883</v>
      </c>
      <c r="Q51" s="175" t="str">
        <f t="shared" si="5"/>
        <v>SI</v>
      </c>
      <c r="R51" s="300" t="s">
        <v>743</v>
      </c>
      <c r="S51" s="339" t="s">
        <v>744</v>
      </c>
    </row>
    <row r="52" spans="2:19" x14ac:dyDescent="0.2">
      <c r="B52" s="83"/>
      <c r="C52" s="85"/>
      <c r="D52" s="85"/>
      <c r="E52" s="85"/>
      <c r="F52" s="85"/>
      <c r="G52" s="85"/>
      <c r="H52" s="85"/>
      <c r="I52" s="85"/>
      <c r="J52" s="85"/>
      <c r="K52" s="85"/>
      <c r="L52" s="85"/>
      <c r="M52" s="85"/>
      <c r="N52" s="85"/>
      <c r="O52" s="85"/>
      <c r="P52" s="85"/>
      <c r="Q52" s="85"/>
      <c r="R52" s="125"/>
    </row>
    <row r="53" spans="2:19" x14ac:dyDescent="0.2">
      <c r="B53" s="83"/>
      <c r="C53" s="85"/>
      <c r="D53" s="85"/>
      <c r="E53" s="85"/>
      <c r="F53" s="85"/>
      <c r="G53" s="85"/>
      <c r="H53" s="85"/>
      <c r="I53" s="85"/>
      <c r="J53" s="85"/>
      <c r="K53" s="85"/>
      <c r="L53" s="85"/>
      <c r="M53" s="85"/>
      <c r="N53" s="85"/>
      <c r="O53" s="85"/>
      <c r="P53" s="85"/>
      <c r="Q53" s="85"/>
      <c r="R53" s="125"/>
    </row>
    <row r="54" spans="2:19" ht="12.75" thickBot="1" x14ac:dyDescent="0.25">
      <c r="B54" s="83"/>
      <c r="C54" s="85"/>
      <c r="D54" s="85"/>
      <c r="E54" s="85"/>
      <c r="F54" s="85"/>
      <c r="G54" s="85"/>
      <c r="H54" s="85"/>
      <c r="I54" s="85"/>
      <c r="J54" s="85"/>
      <c r="K54" s="85"/>
      <c r="L54" s="85"/>
      <c r="M54" s="85"/>
      <c r="N54" s="85"/>
      <c r="O54" s="301"/>
      <c r="P54" s="85"/>
      <c r="Q54" s="85"/>
      <c r="R54" s="125"/>
    </row>
    <row r="55" spans="2:19" x14ac:dyDescent="0.2">
      <c r="B55" s="83"/>
      <c r="C55" s="85"/>
      <c r="D55" s="85"/>
      <c r="E55" s="334" t="s">
        <v>54</v>
      </c>
      <c r="F55" s="303">
        <f>COUNTIF(Q48:Q51,"SI")</f>
        <v>4</v>
      </c>
      <c r="G55" s="85"/>
      <c r="H55" s="85"/>
      <c r="I55" s="85"/>
      <c r="J55" s="85"/>
      <c r="K55" s="85"/>
      <c r="L55" s="85"/>
      <c r="M55" s="85"/>
      <c r="N55" s="85"/>
      <c r="O55" s="85"/>
      <c r="P55" s="85"/>
      <c r="Q55" s="85"/>
      <c r="R55" s="125"/>
    </row>
    <row r="56" spans="2:19" x14ac:dyDescent="0.2">
      <c r="B56" s="83"/>
      <c r="C56" s="85"/>
      <c r="D56" s="85"/>
      <c r="E56" s="335" t="s">
        <v>35</v>
      </c>
      <c r="F56" s="304">
        <f>+IF(F55=2,600,IF(F55=3,800,IF(F55=4,900,0)))</f>
        <v>900</v>
      </c>
      <c r="G56" s="85"/>
      <c r="H56" s="85"/>
      <c r="I56" s="85"/>
      <c r="J56" s="85"/>
      <c r="K56" s="85"/>
      <c r="L56" s="85"/>
      <c r="M56" s="85"/>
      <c r="N56" s="85"/>
      <c r="O56" s="85"/>
      <c r="P56" s="85"/>
      <c r="Q56" s="85"/>
      <c r="R56" s="125"/>
    </row>
    <row r="57" spans="2:19" ht="45.75" customHeight="1" x14ac:dyDescent="0.2">
      <c r="B57" s="83"/>
      <c r="C57" s="85"/>
      <c r="D57" s="85"/>
      <c r="E57" s="336" t="s">
        <v>186</v>
      </c>
      <c r="F57" s="304" t="s">
        <v>82</v>
      </c>
      <c r="G57" s="85"/>
      <c r="H57" s="85"/>
      <c r="I57" s="85"/>
      <c r="J57" s="85"/>
      <c r="K57" s="85"/>
      <c r="L57" s="85"/>
      <c r="M57" s="85"/>
      <c r="N57" s="85"/>
      <c r="O57" s="85"/>
      <c r="P57" s="85"/>
      <c r="Q57" s="85"/>
      <c r="R57" s="125"/>
    </row>
    <row r="58" spans="2:19" x14ac:dyDescent="0.2">
      <c r="B58" s="83"/>
      <c r="C58" s="85"/>
      <c r="D58" s="85"/>
      <c r="E58" s="335" t="s">
        <v>68</v>
      </c>
      <c r="F58" s="304" t="s">
        <v>234</v>
      </c>
      <c r="G58" s="85"/>
      <c r="H58" s="85"/>
      <c r="I58" s="85"/>
      <c r="J58" s="85"/>
      <c r="K58" s="85"/>
      <c r="L58" s="85"/>
      <c r="M58" s="85"/>
      <c r="N58" s="85"/>
      <c r="O58" s="85"/>
      <c r="P58" s="85"/>
      <c r="Q58" s="85"/>
      <c r="R58" s="125"/>
    </row>
    <row r="59" spans="2:19" ht="12.75" thickBot="1" x14ac:dyDescent="0.25">
      <c r="B59" s="83"/>
      <c r="C59" s="85"/>
      <c r="D59" s="85"/>
      <c r="E59" s="337" t="s">
        <v>69</v>
      </c>
      <c r="F59" s="305">
        <f>+COUNTIF(J48:J51,"si")</f>
        <v>1</v>
      </c>
      <c r="G59" s="85"/>
      <c r="H59" s="85"/>
      <c r="I59" s="85"/>
      <c r="J59" s="85"/>
      <c r="K59" s="85"/>
      <c r="L59" s="85"/>
      <c r="M59" s="85"/>
      <c r="N59" s="85"/>
      <c r="O59" s="85"/>
      <c r="P59" s="85"/>
      <c r="Q59" s="85"/>
      <c r="R59" s="125"/>
    </row>
    <row r="60" spans="2:19" x14ac:dyDescent="0.2">
      <c r="B60" s="83"/>
      <c r="C60" s="85"/>
      <c r="D60" s="85"/>
      <c r="E60" s="85"/>
      <c r="F60" s="85"/>
      <c r="G60" s="85"/>
      <c r="H60" s="85"/>
      <c r="I60" s="85"/>
      <c r="J60" s="85"/>
      <c r="K60" s="85"/>
      <c r="L60" s="85"/>
      <c r="M60" s="85"/>
      <c r="N60" s="85"/>
      <c r="O60" s="85"/>
      <c r="P60" s="85"/>
      <c r="Q60" s="85"/>
      <c r="R60" s="125"/>
    </row>
    <row r="61" spans="2:19" x14ac:dyDescent="0.2">
      <c r="B61" s="83"/>
      <c r="C61" s="85"/>
      <c r="D61" s="85"/>
      <c r="E61" s="85"/>
      <c r="F61" s="85"/>
      <c r="G61" s="85"/>
      <c r="H61" s="85"/>
      <c r="I61" s="85"/>
      <c r="J61" s="85"/>
      <c r="K61" s="85"/>
      <c r="L61" s="85"/>
      <c r="M61" s="85"/>
      <c r="N61" s="85"/>
      <c r="O61" s="85"/>
      <c r="P61" s="85"/>
      <c r="Q61" s="85"/>
      <c r="R61" s="125"/>
    </row>
    <row r="62" spans="2:19" ht="17.25" customHeight="1" thickBot="1" x14ac:dyDescent="0.25">
      <c r="B62" s="197"/>
      <c r="C62" s="199"/>
      <c r="D62" s="199"/>
      <c r="E62" s="199"/>
      <c r="F62" s="199"/>
      <c r="G62" s="199"/>
      <c r="H62" s="199"/>
      <c r="I62" s="199"/>
      <c r="J62" s="199"/>
      <c r="K62" s="199"/>
      <c r="L62" s="199"/>
      <c r="M62" s="199"/>
      <c r="N62" s="199"/>
      <c r="O62" s="199"/>
      <c r="P62" s="199"/>
      <c r="Q62" s="199"/>
      <c r="R62" s="201"/>
    </row>
    <row r="63" spans="2:19" ht="12.75" thickBot="1" x14ac:dyDescent="0.25"/>
    <row r="64" spans="2:19" s="72" customFormat="1" ht="12.75" thickBot="1" x14ac:dyDescent="0.25">
      <c r="B64" s="281" t="s">
        <v>27</v>
      </c>
      <c r="C64" s="282"/>
      <c r="D64" s="282"/>
      <c r="E64" s="283">
        <v>4</v>
      </c>
      <c r="F64" s="282" t="str">
        <f>+VLOOKUP(E64,Proponentes!$B$10:$D$41,2,FALSE())</f>
        <v>CONSORCIO AEROPISTA DEL VALLE</v>
      </c>
      <c r="G64" s="284"/>
      <c r="H64" s="284"/>
      <c r="I64" s="284"/>
      <c r="J64" s="284"/>
      <c r="K64" s="284"/>
      <c r="L64" s="284"/>
      <c r="M64" s="284"/>
      <c r="N64" s="284"/>
      <c r="O64" s="284"/>
      <c r="P64" s="284"/>
      <c r="Q64" s="284"/>
      <c r="R64" s="285"/>
      <c r="S64" s="286"/>
    </row>
    <row r="65" spans="2:19" s="291" customFormat="1" ht="75.75" customHeight="1" thickBot="1" x14ac:dyDescent="0.3">
      <c r="B65" s="287" t="s">
        <v>28</v>
      </c>
      <c r="C65" s="288" t="s">
        <v>29</v>
      </c>
      <c r="D65" s="288" t="s">
        <v>36</v>
      </c>
      <c r="E65" s="289" t="s">
        <v>20</v>
      </c>
      <c r="F65" s="288" t="s">
        <v>34</v>
      </c>
      <c r="G65" s="288" t="s">
        <v>30</v>
      </c>
      <c r="H65" s="288" t="s">
        <v>31</v>
      </c>
      <c r="I65" s="288" t="s">
        <v>32</v>
      </c>
      <c r="J65" s="288" t="s">
        <v>61</v>
      </c>
      <c r="K65" s="288" t="s">
        <v>70</v>
      </c>
      <c r="L65" s="288" t="s">
        <v>16</v>
      </c>
      <c r="M65" s="288" t="s">
        <v>73</v>
      </c>
      <c r="N65" s="288" t="s">
        <v>198</v>
      </c>
      <c r="O65" s="288" t="s">
        <v>67</v>
      </c>
      <c r="P65" s="288" t="s">
        <v>66</v>
      </c>
      <c r="Q65" s="288" t="s">
        <v>33</v>
      </c>
      <c r="R65" s="290" t="s">
        <v>19</v>
      </c>
      <c r="S65" s="151" t="s">
        <v>727</v>
      </c>
    </row>
    <row r="66" spans="2:19" ht="12.75" thickBot="1" x14ac:dyDescent="0.25">
      <c r="B66" s="292" t="s">
        <v>38</v>
      </c>
      <c r="C66" s="157"/>
      <c r="D66" s="157"/>
      <c r="E66" s="85"/>
      <c r="F66" s="85"/>
      <c r="G66" s="157"/>
      <c r="H66" s="157"/>
      <c r="I66" s="157"/>
      <c r="J66" s="157"/>
      <c r="K66" s="157"/>
      <c r="L66" s="157"/>
      <c r="M66" s="157"/>
      <c r="N66" s="157"/>
      <c r="O66" s="157"/>
      <c r="P66" s="157"/>
      <c r="Q66" s="157"/>
      <c r="R66" s="293"/>
      <c r="S66" s="125"/>
    </row>
    <row r="67" spans="2:19" ht="84" customHeight="1" x14ac:dyDescent="0.2">
      <c r="B67" s="86">
        <v>1</v>
      </c>
      <c r="C67" s="88" t="s">
        <v>9</v>
      </c>
      <c r="D67" s="152">
        <v>275</v>
      </c>
      <c r="E67" s="89" t="s">
        <v>181</v>
      </c>
      <c r="F67" s="294">
        <v>0.5</v>
      </c>
      <c r="G67" s="88" t="s">
        <v>57</v>
      </c>
      <c r="H67" s="90" t="s">
        <v>62</v>
      </c>
      <c r="I67" s="91" t="s">
        <v>182</v>
      </c>
      <c r="J67" s="90" t="s">
        <v>63</v>
      </c>
      <c r="K67" s="92">
        <v>35457</v>
      </c>
      <c r="L67" s="92">
        <v>37126</v>
      </c>
      <c r="M67" s="94">
        <v>5240267062</v>
      </c>
      <c r="N67" s="94">
        <f>+M67*F67</f>
        <v>2620133531</v>
      </c>
      <c r="O67" s="94">
        <f>+ROUND(N67/VLOOKUP(K67,[4]SMLM!$A$2:$D$36,4,TRUE),0)</f>
        <v>15233</v>
      </c>
      <c r="P67" s="295">
        <f>Requisitos!I10</f>
        <v>1380.5396945616883</v>
      </c>
      <c r="Q67" s="172" t="str">
        <f>IF(H67="SI",IF(O67&gt;=$P$12,"SI","NO"),"NO")</f>
        <v>SI</v>
      </c>
      <c r="R67" s="296"/>
      <c r="S67" s="144"/>
    </row>
    <row r="68" spans="2:19" ht="83.25" customHeight="1" x14ac:dyDescent="0.2">
      <c r="B68" s="100">
        <v>2</v>
      </c>
      <c r="C68" s="102" t="s">
        <v>212</v>
      </c>
      <c r="D68" s="302">
        <v>779</v>
      </c>
      <c r="E68" s="103" t="s">
        <v>184</v>
      </c>
      <c r="F68" s="104">
        <v>0.5</v>
      </c>
      <c r="G68" s="104" t="s">
        <v>57</v>
      </c>
      <c r="H68" s="104" t="s">
        <v>62</v>
      </c>
      <c r="I68" s="105" t="s">
        <v>185</v>
      </c>
      <c r="J68" s="104" t="s">
        <v>63</v>
      </c>
      <c r="K68" s="106">
        <v>36312</v>
      </c>
      <c r="L68" s="106">
        <v>37833</v>
      </c>
      <c r="M68" s="108">
        <v>5331439397</v>
      </c>
      <c r="N68" s="108">
        <f t="shared" ref="N68:N70" si="6">+M68*F68</f>
        <v>2665719698.5</v>
      </c>
      <c r="O68" s="108">
        <f>+ROUND(N68/VLOOKUP(K68,[4]SMLM!$A$2:$D$36,4,TRUE),0)</f>
        <v>11273</v>
      </c>
      <c r="P68" s="297">
        <f>Requisitos!I10</f>
        <v>1380.5396945616883</v>
      </c>
      <c r="Q68" s="179" t="str">
        <f t="shared" ref="Q68:Q69" si="7">IF(H68="SI",IF(O68&gt;=$P$12,"SI","NO"),"NO")</f>
        <v>SI</v>
      </c>
      <c r="R68" s="298"/>
      <c r="S68" s="144"/>
    </row>
    <row r="69" spans="2:19" ht="87.75" customHeight="1" x14ac:dyDescent="0.2">
      <c r="B69" s="100">
        <v>3</v>
      </c>
      <c r="C69" s="102" t="s">
        <v>9</v>
      </c>
      <c r="D69" s="102" t="s">
        <v>222</v>
      </c>
      <c r="E69" s="103" t="s">
        <v>219</v>
      </c>
      <c r="F69" s="104">
        <v>0.75</v>
      </c>
      <c r="G69" s="104" t="s">
        <v>57</v>
      </c>
      <c r="H69" s="104" t="s">
        <v>62</v>
      </c>
      <c r="I69" s="105" t="s">
        <v>185</v>
      </c>
      <c r="J69" s="104" t="s">
        <v>63</v>
      </c>
      <c r="K69" s="106">
        <v>39534</v>
      </c>
      <c r="L69" s="106">
        <v>40628</v>
      </c>
      <c r="M69" s="108">
        <v>3753633746</v>
      </c>
      <c r="N69" s="108">
        <f t="shared" si="6"/>
        <v>2815225309.5</v>
      </c>
      <c r="O69" s="108">
        <f>+ROUND(N69/VLOOKUP(K69,[4]SMLM!$A$2:$D$36,4,TRUE),0)</f>
        <v>6100</v>
      </c>
      <c r="P69" s="297">
        <f>Requisitos!I10</f>
        <v>1380.5396945616883</v>
      </c>
      <c r="Q69" s="179" t="str">
        <f t="shared" si="7"/>
        <v>SI</v>
      </c>
      <c r="R69" s="298"/>
      <c r="S69" s="144"/>
    </row>
    <row r="70" spans="2:19" ht="85.5" customHeight="1" thickBot="1" x14ac:dyDescent="0.25">
      <c r="B70" s="112">
        <v>4</v>
      </c>
      <c r="C70" s="113" t="s">
        <v>215</v>
      </c>
      <c r="D70" s="113" t="s">
        <v>243</v>
      </c>
      <c r="E70" s="114" t="s">
        <v>220</v>
      </c>
      <c r="F70" s="115">
        <v>1</v>
      </c>
      <c r="G70" s="115" t="s">
        <v>209</v>
      </c>
      <c r="H70" s="115" t="s">
        <v>62</v>
      </c>
      <c r="I70" s="116" t="s">
        <v>221</v>
      </c>
      <c r="J70" s="115" t="s">
        <v>62</v>
      </c>
      <c r="K70" s="117">
        <v>37778</v>
      </c>
      <c r="L70" s="117">
        <v>38664</v>
      </c>
      <c r="M70" s="119">
        <v>2391951747</v>
      </c>
      <c r="N70" s="119">
        <f t="shared" si="6"/>
        <v>2391951747</v>
      </c>
      <c r="O70" s="119">
        <f>+ROUND(N70/VLOOKUP(K70,[4]SMLM!$A$2:$D$36,4,TRUE),0)</f>
        <v>7205</v>
      </c>
      <c r="P70" s="299">
        <f>Requisitos!I10</f>
        <v>1380.5396945616883</v>
      </c>
      <c r="Q70" s="115" t="s">
        <v>62</v>
      </c>
      <c r="R70" s="300"/>
      <c r="S70" s="149"/>
    </row>
    <row r="71" spans="2:19" x14ac:dyDescent="0.2">
      <c r="B71" s="83"/>
      <c r="C71" s="85"/>
      <c r="D71" s="85"/>
      <c r="E71" s="85"/>
      <c r="F71" s="85"/>
      <c r="G71" s="85"/>
      <c r="H71" s="85"/>
      <c r="I71" s="85"/>
      <c r="J71" s="85"/>
      <c r="K71" s="85"/>
      <c r="L71" s="85"/>
      <c r="M71" s="85"/>
      <c r="N71" s="85"/>
      <c r="O71" s="85"/>
      <c r="P71" s="85"/>
      <c r="Q71" s="85"/>
      <c r="R71" s="125"/>
    </row>
    <row r="72" spans="2:19" x14ac:dyDescent="0.2">
      <c r="B72" s="83"/>
      <c r="C72" s="85"/>
      <c r="D72" s="85"/>
      <c r="E72" s="85"/>
      <c r="F72" s="85"/>
      <c r="G72" s="85"/>
      <c r="H72" s="85"/>
      <c r="I72" s="85"/>
      <c r="J72" s="85"/>
      <c r="K72" s="85"/>
      <c r="L72" s="85"/>
      <c r="M72" s="85"/>
      <c r="N72" s="85"/>
      <c r="O72" s="85"/>
      <c r="P72" s="85"/>
      <c r="Q72" s="85"/>
      <c r="R72" s="125"/>
    </row>
    <row r="73" spans="2:19" ht="12.75" thickBot="1" x14ac:dyDescent="0.25">
      <c r="B73" s="83"/>
      <c r="C73" s="85"/>
      <c r="D73" s="85"/>
      <c r="E73" s="85"/>
      <c r="F73" s="85"/>
      <c r="G73" s="85"/>
      <c r="H73" s="85"/>
      <c r="I73" s="85"/>
      <c r="J73" s="85"/>
      <c r="K73" s="85"/>
      <c r="L73" s="85"/>
      <c r="M73" s="85"/>
      <c r="N73" s="85"/>
      <c r="O73" s="301"/>
      <c r="P73" s="85"/>
      <c r="Q73" s="85"/>
      <c r="R73" s="125"/>
    </row>
    <row r="74" spans="2:19" x14ac:dyDescent="0.2">
      <c r="B74" s="83"/>
      <c r="C74" s="85"/>
      <c r="D74" s="85"/>
      <c r="E74" s="334" t="s">
        <v>54</v>
      </c>
      <c r="F74" s="303">
        <f>COUNTIF(Q67:Q70,"SI")</f>
        <v>4</v>
      </c>
      <c r="G74" s="85"/>
      <c r="H74" s="85"/>
      <c r="I74" s="85"/>
      <c r="J74" s="85"/>
      <c r="K74" s="85"/>
      <c r="L74" s="85"/>
      <c r="M74" s="85"/>
      <c r="N74" s="85"/>
      <c r="O74" s="85"/>
      <c r="P74" s="85"/>
      <c r="Q74" s="85"/>
      <c r="R74" s="125"/>
    </row>
    <row r="75" spans="2:19" x14ac:dyDescent="0.2">
      <c r="B75" s="83"/>
      <c r="C75" s="85"/>
      <c r="D75" s="85"/>
      <c r="E75" s="335" t="s">
        <v>35</v>
      </c>
      <c r="F75" s="304">
        <f>+IF(F74=2,600,IF(F74=3,800,IF(F74=4,900,0)))</f>
        <v>900</v>
      </c>
      <c r="G75" s="85"/>
      <c r="H75" s="85"/>
      <c r="I75" s="85"/>
      <c r="J75" s="85"/>
      <c r="K75" s="85"/>
      <c r="L75" s="85"/>
      <c r="M75" s="85"/>
      <c r="N75" s="85"/>
      <c r="O75" s="85"/>
      <c r="P75" s="85"/>
      <c r="Q75" s="85"/>
      <c r="R75" s="125"/>
    </row>
    <row r="76" spans="2:19" ht="35.25" customHeight="1" x14ac:dyDescent="0.2">
      <c r="B76" s="83"/>
      <c r="C76" s="85"/>
      <c r="D76" s="85"/>
      <c r="E76" s="336" t="s">
        <v>186</v>
      </c>
      <c r="F76" s="304" t="s">
        <v>82</v>
      </c>
      <c r="G76" s="85"/>
      <c r="H76" s="85"/>
      <c r="I76" s="85"/>
      <c r="J76" s="85"/>
      <c r="K76" s="85"/>
      <c r="L76" s="85"/>
      <c r="M76" s="85"/>
      <c r="N76" s="85"/>
      <c r="O76" s="85"/>
      <c r="P76" s="85"/>
      <c r="Q76" s="85"/>
      <c r="R76" s="125"/>
    </row>
    <row r="77" spans="2:19" x14ac:dyDescent="0.2">
      <c r="B77" s="83"/>
      <c r="C77" s="85"/>
      <c r="D77" s="85"/>
      <c r="E77" s="335" t="s">
        <v>68</v>
      </c>
      <c r="F77" s="304" t="s">
        <v>82</v>
      </c>
      <c r="G77" s="85"/>
      <c r="H77" s="85"/>
      <c r="I77" s="85"/>
      <c r="J77" s="85"/>
      <c r="K77" s="85"/>
      <c r="L77" s="85"/>
      <c r="M77" s="85"/>
      <c r="N77" s="85"/>
      <c r="O77" s="85"/>
      <c r="P77" s="85"/>
      <c r="Q77" s="85"/>
      <c r="R77" s="125"/>
    </row>
    <row r="78" spans="2:19" ht="12.75" thickBot="1" x14ac:dyDescent="0.25">
      <c r="B78" s="83"/>
      <c r="C78" s="85"/>
      <c r="D78" s="85"/>
      <c r="E78" s="337" t="s">
        <v>69</v>
      </c>
      <c r="F78" s="305">
        <f>+COUNTIF(J67:J70,"si")</f>
        <v>1</v>
      </c>
      <c r="G78" s="85"/>
      <c r="H78" s="85"/>
      <c r="I78" s="85"/>
      <c r="J78" s="85"/>
      <c r="K78" s="85"/>
      <c r="L78" s="85"/>
      <c r="M78" s="85"/>
      <c r="N78" s="85"/>
      <c r="O78" s="85"/>
      <c r="P78" s="85"/>
      <c r="Q78" s="85"/>
      <c r="R78" s="125"/>
    </row>
    <row r="79" spans="2:19" x14ac:dyDescent="0.2">
      <c r="B79" s="83"/>
      <c r="C79" s="85"/>
      <c r="D79" s="85"/>
      <c r="E79" s="85"/>
      <c r="F79" s="85"/>
      <c r="G79" s="85"/>
      <c r="H79" s="85"/>
      <c r="I79" s="85"/>
      <c r="J79" s="85"/>
      <c r="K79" s="85"/>
      <c r="L79" s="85"/>
      <c r="M79" s="85"/>
      <c r="N79" s="85"/>
      <c r="O79" s="85"/>
      <c r="P79" s="85"/>
      <c r="Q79" s="85"/>
      <c r="R79" s="125"/>
    </row>
    <row r="80" spans="2:19" x14ac:dyDescent="0.2">
      <c r="B80" s="83"/>
      <c r="C80" s="85"/>
      <c r="D80" s="85"/>
      <c r="E80" s="85"/>
      <c r="F80" s="85"/>
      <c r="G80" s="85"/>
      <c r="H80" s="85"/>
      <c r="I80" s="85"/>
      <c r="J80" s="85"/>
      <c r="K80" s="85"/>
      <c r="L80" s="85"/>
      <c r="M80" s="85"/>
      <c r="N80" s="85"/>
      <c r="O80" s="85"/>
      <c r="P80" s="85"/>
      <c r="Q80" s="85"/>
      <c r="R80" s="125"/>
    </row>
    <row r="81" spans="2:19" ht="17.25" customHeight="1" thickBot="1" x14ac:dyDescent="0.25">
      <c r="B81" s="197"/>
      <c r="C81" s="199"/>
      <c r="D81" s="199"/>
      <c r="E81" s="199"/>
      <c r="F81" s="199"/>
      <c r="G81" s="199"/>
      <c r="H81" s="199"/>
      <c r="I81" s="199"/>
      <c r="J81" s="199"/>
      <c r="K81" s="199"/>
      <c r="L81" s="199"/>
      <c r="M81" s="199"/>
      <c r="N81" s="199"/>
      <c r="O81" s="199"/>
      <c r="P81" s="199"/>
      <c r="Q81" s="199"/>
      <c r="R81" s="201"/>
    </row>
    <row r="82" spans="2:19" ht="17.25" customHeight="1" thickBot="1" x14ac:dyDescent="0.25">
      <c r="B82" s="85"/>
      <c r="C82" s="85"/>
      <c r="D82" s="85"/>
      <c r="E82" s="85"/>
      <c r="F82" s="85"/>
      <c r="G82" s="85"/>
      <c r="H82" s="85"/>
      <c r="I82" s="85"/>
      <c r="J82" s="85"/>
      <c r="K82" s="85"/>
      <c r="L82" s="85"/>
      <c r="M82" s="85"/>
      <c r="N82" s="85"/>
      <c r="O82" s="85"/>
      <c r="P82" s="85"/>
      <c r="Q82" s="85"/>
      <c r="R82" s="85"/>
    </row>
    <row r="83" spans="2:19" ht="17.25" customHeight="1" thickBot="1" x14ac:dyDescent="0.25">
      <c r="B83" s="281" t="s">
        <v>27</v>
      </c>
      <c r="C83" s="282"/>
      <c r="D83" s="282"/>
      <c r="E83" s="283">
        <v>5</v>
      </c>
      <c r="F83" s="282" t="str">
        <f>+VLOOKUP(E83,[4]Proponentes!$B$10:$D$43,2,FALSE())</f>
        <v>CONSORCIO SUPERVISION AEROCALI</v>
      </c>
      <c r="G83" s="284"/>
      <c r="H83" s="284"/>
      <c r="I83" s="284"/>
      <c r="J83" s="284"/>
      <c r="K83" s="284"/>
      <c r="L83" s="284"/>
      <c r="M83" s="284"/>
      <c r="N83" s="284"/>
      <c r="O83" s="284"/>
      <c r="P83" s="284"/>
      <c r="Q83" s="284"/>
      <c r="R83" s="285"/>
      <c r="S83" s="286"/>
    </row>
    <row r="84" spans="2:19" ht="79.5" customHeight="1" thickBot="1" x14ac:dyDescent="0.25">
      <c r="B84" s="287" t="s">
        <v>28</v>
      </c>
      <c r="C84" s="288" t="s">
        <v>29</v>
      </c>
      <c r="D84" s="288" t="s">
        <v>36</v>
      </c>
      <c r="E84" s="289" t="s">
        <v>20</v>
      </c>
      <c r="F84" s="288" t="s">
        <v>34</v>
      </c>
      <c r="G84" s="288" t="s">
        <v>30</v>
      </c>
      <c r="H84" s="288" t="s">
        <v>31</v>
      </c>
      <c r="I84" s="288" t="s">
        <v>32</v>
      </c>
      <c r="J84" s="288" t="s">
        <v>61</v>
      </c>
      <c r="K84" s="288" t="s">
        <v>70</v>
      </c>
      <c r="L84" s="288" t="s">
        <v>16</v>
      </c>
      <c r="M84" s="288" t="s">
        <v>73</v>
      </c>
      <c r="N84" s="288" t="s">
        <v>74</v>
      </c>
      <c r="O84" s="288" t="s">
        <v>67</v>
      </c>
      <c r="P84" s="288" t="s">
        <v>66</v>
      </c>
      <c r="Q84" s="288" t="s">
        <v>33</v>
      </c>
      <c r="R84" s="290" t="s">
        <v>19</v>
      </c>
      <c r="S84" s="151" t="s">
        <v>727</v>
      </c>
    </row>
    <row r="85" spans="2:19" ht="17.25" customHeight="1" thickBot="1" x14ac:dyDescent="0.25">
      <c r="B85" s="292" t="s">
        <v>38</v>
      </c>
      <c r="C85" s="157"/>
      <c r="D85" s="157"/>
      <c r="E85" s="85"/>
      <c r="F85" s="85"/>
      <c r="G85" s="157"/>
      <c r="H85" s="157"/>
      <c r="I85" s="157"/>
      <c r="J85" s="157"/>
      <c r="K85" s="157"/>
      <c r="L85" s="157"/>
      <c r="M85" s="157"/>
      <c r="N85" s="157"/>
      <c r="O85" s="157"/>
      <c r="P85" s="157"/>
      <c r="Q85" s="157"/>
      <c r="R85" s="293"/>
      <c r="S85" s="125"/>
    </row>
    <row r="86" spans="2:19" ht="125.25" customHeight="1" x14ac:dyDescent="0.2">
      <c r="B86" s="86">
        <v>1</v>
      </c>
      <c r="C86" s="88" t="s">
        <v>58</v>
      </c>
      <c r="D86" s="88" t="s">
        <v>237</v>
      </c>
      <c r="E86" s="87" t="s">
        <v>238</v>
      </c>
      <c r="F86" s="90">
        <v>1</v>
      </c>
      <c r="G86" s="90" t="s">
        <v>57</v>
      </c>
      <c r="H86" s="90" t="s">
        <v>62</v>
      </c>
      <c r="I86" s="87" t="s">
        <v>224</v>
      </c>
      <c r="J86" s="90" t="s">
        <v>63</v>
      </c>
      <c r="K86" s="92">
        <v>36523</v>
      </c>
      <c r="L86" s="92">
        <v>37769</v>
      </c>
      <c r="M86" s="172">
        <v>2582274473</v>
      </c>
      <c r="N86" s="172">
        <f>+M86*F86</f>
        <v>2582274473</v>
      </c>
      <c r="O86" s="94">
        <f>+ROUND(N86/VLOOKUP(K86,[4]SMLM!$A$2:$D$36,4,TRUE),0)</f>
        <v>10921</v>
      </c>
      <c r="P86" s="412">
        <f>+[4]Requisitos!$I$10</f>
        <v>1380.5396945616883</v>
      </c>
      <c r="Q86" s="172" t="str">
        <f>IF(H86="SI",IF(O86&gt;=$P$12,"SI","NO"),"NO")</f>
        <v>SI</v>
      </c>
      <c r="R86" s="296" t="s">
        <v>291</v>
      </c>
      <c r="S86" s="144"/>
    </row>
    <row r="87" spans="2:19" ht="156" customHeight="1" x14ac:dyDescent="0.2">
      <c r="B87" s="100">
        <v>2</v>
      </c>
      <c r="C87" s="102" t="s">
        <v>239</v>
      </c>
      <c r="D87" s="102" t="s">
        <v>240</v>
      </c>
      <c r="E87" s="101" t="s">
        <v>241</v>
      </c>
      <c r="F87" s="104">
        <v>1</v>
      </c>
      <c r="G87" s="104" t="s">
        <v>57</v>
      </c>
      <c r="H87" s="104" t="s">
        <v>62</v>
      </c>
      <c r="I87" s="101" t="s">
        <v>224</v>
      </c>
      <c r="J87" s="104" t="s">
        <v>63</v>
      </c>
      <c r="K87" s="106">
        <v>35422</v>
      </c>
      <c r="L87" s="106">
        <v>35976</v>
      </c>
      <c r="M87" s="179">
        <v>700071600</v>
      </c>
      <c r="N87" s="179">
        <f t="shared" ref="N87:N89" si="8">+M87*F87</f>
        <v>700071600</v>
      </c>
      <c r="O87" s="108">
        <f>+ROUND(N87/VLOOKUP(K87,[4]SMLM!$A$2:$D$36,4,TRUE),0)</f>
        <v>4926</v>
      </c>
      <c r="P87" s="413"/>
      <c r="Q87" s="179" t="str">
        <f>IF(H87="SI",IF(O87&gt;=$P$12,"SI","NO"),"NO")</f>
        <v>SI</v>
      </c>
      <c r="R87" s="298"/>
      <c r="S87" s="144"/>
    </row>
    <row r="88" spans="2:19" ht="78.75" customHeight="1" x14ac:dyDescent="0.2">
      <c r="B88" s="100">
        <v>3</v>
      </c>
      <c r="C88" s="101" t="s">
        <v>242</v>
      </c>
      <c r="D88" s="102" t="s">
        <v>243</v>
      </c>
      <c r="E88" s="101" t="s">
        <v>244</v>
      </c>
      <c r="F88" s="104">
        <v>1</v>
      </c>
      <c r="G88" s="104" t="s">
        <v>209</v>
      </c>
      <c r="H88" s="104" t="s">
        <v>62</v>
      </c>
      <c r="I88" s="102" t="s">
        <v>225</v>
      </c>
      <c r="J88" s="104" t="s">
        <v>63</v>
      </c>
      <c r="K88" s="106">
        <v>38338</v>
      </c>
      <c r="L88" s="106">
        <v>39082</v>
      </c>
      <c r="M88" s="179">
        <v>1468222665.1142361</v>
      </c>
      <c r="N88" s="179">
        <f t="shared" si="8"/>
        <v>1468222665.1142361</v>
      </c>
      <c r="O88" s="179">
        <f>+ROUND(N88/VLOOKUP(K88,[4]SMLM!$A$2:$D$36,4,TRUE),0)</f>
        <v>4101</v>
      </c>
      <c r="P88" s="413"/>
      <c r="Q88" s="179" t="str">
        <f t="shared" ref="Q88" si="9">IF(H88="SI",IF(O88&gt;=$P$12,"SI","NO"),"NO")</f>
        <v>SI</v>
      </c>
      <c r="R88" s="110" t="s">
        <v>520</v>
      </c>
      <c r="S88" s="144"/>
    </row>
    <row r="89" spans="2:19" ht="180.75" customHeight="1" thickBot="1" x14ac:dyDescent="0.25">
      <c r="B89" s="112">
        <v>4</v>
      </c>
      <c r="C89" s="69" t="s">
        <v>206</v>
      </c>
      <c r="D89" s="113" t="s">
        <v>247</v>
      </c>
      <c r="E89" s="69" t="s">
        <v>248</v>
      </c>
      <c r="F89" s="115">
        <v>0.4</v>
      </c>
      <c r="G89" s="115" t="s">
        <v>57</v>
      </c>
      <c r="H89" s="115" t="s">
        <v>62</v>
      </c>
      <c r="I89" s="115" t="s">
        <v>225</v>
      </c>
      <c r="J89" s="115" t="s">
        <v>63</v>
      </c>
      <c r="K89" s="117">
        <v>41282</v>
      </c>
      <c r="L89" s="117" t="s">
        <v>249</v>
      </c>
      <c r="M89" s="175">
        <v>1163338632</v>
      </c>
      <c r="N89" s="175">
        <f t="shared" si="8"/>
        <v>465335452.80000001</v>
      </c>
      <c r="O89" s="119">
        <f>+ROUND(N89/VLOOKUP(K89,[4]SMLM!$A$2:$D$36,4,TRUE),0)</f>
        <v>789</v>
      </c>
      <c r="P89" s="414"/>
      <c r="Q89" s="115" t="str">
        <f>IF(H89="SI",IF(O89&gt;=$P$12,"SI","NO"),"NO")</f>
        <v>NO</v>
      </c>
      <c r="R89" s="122" t="s">
        <v>292</v>
      </c>
      <c r="S89" s="123" t="s">
        <v>746</v>
      </c>
    </row>
    <row r="90" spans="2:19" ht="17.25" customHeight="1" x14ac:dyDescent="0.2">
      <c r="B90" s="83"/>
      <c r="C90" s="85"/>
      <c r="D90" s="85"/>
      <c r="E90" s="85"/>
      <c r="F90" s="85"/>
      <c r="G90" s="85"/>
      <c r="H90" s="85"/>
      <c r="I90" s="85"/>
      <c r="J90" s="85"/>
      <c r="K90" s="85"/>
      <c r="L90" s="85"/>
      <c r="M90" s="85"/>
      <c r="N90" s="85"/>
      <c r="O90" s="85"/>
      <c r="P90" s="85"/>
      <c r="Q90" s="85"/>
      <c r="R90" s="125"/>
    </row>
    <row r="91" spans="2:19" ht="17.25" customHeight="1" x14ac:dyDescent="0.2">
      <c r="B91" s="83"/>
      <c r="C91" s="85"/>
      <c r="D91" s="85"/>
      <c r="E91" s="85"/>
      <c r="F91" s="85"/>
      <c r="G91" s="85"/>
      <c r="H91" s="85"/>
      <c r="I91" s="85"/>
      <c r="J91" s="85"/>
      <c r="K91" s="85"/>
      <c r="L91" s="85"/>
      <c r="M91" s="85"/>
      <c r="N91" s="85"/>
      <c r="O91" s="85"/>
      <c r="P91" s="85"/>
      <c r="Q91" s="85"/>
      <c r="R91" s="125"/>
    </row>
    <row r="92" spans="2:19" ht="17.25" customHeight="1" thickBot="1" x14ac:dyDescent="0.25">
      <c r="B92" s="83"/>
      <c r="C92" s="85"/>
      <c r="D92" s="85"/>
      <c r="E92" s="85"/>
      <c r="F92" s="85"/>
      <c r="G92" s="85"/>
      <c r="H92" s="85"/>
      <c r="I92" s="85"/>
      <c r="J92" s="85"/>
      <c r="K92" s="85"/>
      <c r="L92" s="85"/>
      <c r="M92" s="85"/>
      <c r="N92" s="85"/>
      <c r="O92" s="301"/>
      <c r="P92" s="85"/>
      <c r="Q92" s="85"/>
      <c r="R92" s="125"/>
    </row>
    <row r="93" spans="2:19" ht="17.25" customHeight="1" x14ac:dyDescent="0.2">
      <c r="B93" s="83"/>
      <c r="C93" s="85"/>
      <c r="D93" s="85"/>
      <c r="E93" s="334" t="s">
        <v>54</v>
      </c>
      <c r="F93" s="303">
        <f>COUNTIF(Q86:Q89,"SI")</f>
        <v>3</v>
      </c>
      <c r="G93" s="85"/>
      <c r="H93" s="85"/>
      <c r="I93" s="85"/>
      <c r="J93" s="85"/>
      <c r="K93" s="85"/>
      <c r="L93" s="85"/>
      <c r="M93" s="85"/>
      <c r="N93" s="85"/>
      <c r="O93" s="85"/>
      <c r="P93" s="85"/>
      <c r="Q93" s="85"/>
      <c r="R93" s="125"/>
    </row>
    <row r="94" spans="2:19" ht="17.25" customHeight="1" x14ac:dyDescent="0.2">
      <c r="B94" s="83"/>
      <c r="C94" s="85"/>
      <c r="D94" s="85"/>
      <c r="E94" s="335" t="s">
        <v>35</v>
      </c>
      <c r="F94" s="304">
        <v>0</v>
      </c>
      <c r="G94" s="85"/>
      <c r="H94" s="85"/>
      <c r="I94" s="85"/>
      <c r="J94" s="85"/>
      <c r="K94" s="85"/>
      <c r="L94" s="85"/>
      <c r="M94" s="85"/>
      <c r="N94" s="85"/>
      <c r="O94" s="85"/>
      <c r="P94" s="85"/>
      <c r="Q94" s="85"/>
      <c r="R94" s="125"/>
    </row>
    <row r="95" spans="2:19" ht="36.75" customHeight="1" x14ac:dyDescent="0.2">
      <c r="B95" s="83"/>
      <c r="C95" s="85"/>
      <c r="D95" s="85"/>
      <c r="E95" s="336" t="s">
        <v>186</v>
      </c>
      <c r="F95" s="304" t="s">
        <v>82</v>
      </c>
      <c r="G95" s="85"/>
      <c r="H95" s="85"/>
      <c r="I95" s="85"/>
      <c r="J95" s="85"/>
      <c r="K95" s="85"/>
      <c r="L95" s="85"/>
      <c r="M95" s="85"/>
      <c r="N95" s="85"/>
      <c r="O95" s="85"/>
      <c r="P95" s="85"/>
      <c r="Q95" s="85"/>
      <c r="R95" s="125"/>
    </row>
    <row r="96" spans="2:19" ht="17.25" customHeight="1" x14ac:dyDescent="0.2">
      <c r="B96" s="83"/>
      <c r="C96" s="85"/>
      <c r="D96" s="85"/>
      <c r="E96" s="335" t="s">
        <v>68</v>
      </c>
      <c r="F96" s="304" t="s">
        <v>234</v>
      </c>
      <c r="G96" s="85"/>
      <c r="H96" s="85"/>
      <c r="I96" s="85"/>
      <c r="J96" s="85"/>
      <c r="K96" s="85"/>
      <c r="L96" s="85"/>
      <c r="M96" s="85"/>
      <c r="N96" s="85"/>
      <c r="O96" s="85"/>
      <c r="P96" s="85"/>
      <c r="Q96" s="85"/>
      <c r="R96" s="125"/>
    </row>
    <row r="97" spans="2:19" ht="17.25" customHeight="1" thickBot="1" x14ac:dyDescent="0.25">
      <c r="B97" s="83"/>
      <c r="C97" s="85"/>
      <c r="D97" s="85"/>
      <c r="E97" s="337" t="s">
        <v>69</v>
      </c>
      <c r="F97" s="305">
        <f>+COUNTIF(J86:J89,"si")</f>
        <v>0</v>
      </c>
      <c r="G97" s="85"/>
      <c r="H97" s="85"/>
      <c r="I97" s="85"/>
      <c r="J97" s="85"/>
      <c r="K97" s="85"/>
      <c r="L97" s="85"/>
      <c r="M97" s="85"/>
      <c r="N97" s="85"/>
      <c r="O97" s="85"/>
      <c r="P97" s="85"/>
      <c r="Q97" s="85"/>
      <c r="R97" s="125"/>
    </row>
    <row r="98" spans="2:19" ht="17.25" customHeight="1" x14ac:dyDescent="0.2">
      <c r="B98" s="83"/>
      <c r="C98" s="85"/>
      <c r="D98" s="85"/>
      <c r="E98" s="85"/>
      <c r="F98" s="85"/>
      <c r="G98" s="85"/>
      <c r="H98" s="85"/>
      <c r="I98" s="85"/>
      <c r="J98" s="85"/>
      <c r="K98" s="85"/>
      <c r="L98" s="85"/>
      <c r="M98" s="85"/>
      <c r="N98" s="85"/>
      <c r="O98" s="85"/>
      <c r="P98" s="85"/>
      <c r="Q98" s="85"/>
      <c r="R98" s="125"/>
    </row>
    <row r="99" spans="2:19" ht="17.25" customHeight="1" x14ac:dyDescent="0.2">
      <c r="B99" s="83"/>
      <c r="C99" s="85"/>
      <c r="D99" s="85"/>
      <c r="E99" s="85"/>
      <c r="F99" s="85"/>
      <c r="G99" s="85"/>
      <c r="H99" s="85"/>
      <c r="I99" s="85"/>
      <c r="J99" s="85"/>
      <c r="K99" s="85"/>
      <c r="L99" s="85"/>
      <c r="M99" s="85"/>
      <c r="N99" s="85"/>
      <c r="O99" s="85"/>
      <c r="P99" s="85"/>
      <c r="Q99" s="85"/>
      <c r="R99" s="125"/>
    </row>
    <row r="100" spans="2:19" ht="17.25" customHeight="1" thickBot="1" x14ac:dyDescent="0.25">
      <c r="B100" s="197"/>
      <c r="C100" s="199"/>
      <c r="D100" s="199"/>
      <c r="E100" s="199"/>
      <c r="F100" s="199"/>
      <c r="G100" s="199"/>
      <c r="H100" s="199"/>
      <c r="I100" s="199"/>
      <c r="J100" s="199"/>
      <c r="K100" s="199"/>
      <c r="L100" s="199"/>
      <c r="M100" s="199"/>
      <c r="N100" s="199"/>
      <c r="O100" s="199"/>
      <c r="P100" s="199"/>
      <c r="Q100" s="199"/>
      <c r="R100" s="201"/>
    </row>
    <row r="101" spans="2:19" ht="17.25" customHeight="1" thickBot="1" x14ac:dyDescent="0.25">
      <c r="B101" s="85"/>
      <c r="C101" s="85"/>
      <c r="D101" s="85"/>
      <c r="E101" s="85"/>
      <c r="F101" s="85"/>
      <c r="G101" s="85"/>
      <c r="H101" s="85"/>
      <c r="I101" s="85"/>
      <c r="J101" s="85"/>
      <c r="K101" s="85"/>
      <c r="L101" s="85"/>
      <c r="M101" s="85"/>
      <c r="N101" s="85"/>
      <c r="O101" s="85"/>
      <c r="P101" s="85"/>
      <c r="Q101" s="85"/>
      <c r="R101" s="85"/>
    </row>
    <row r="102" spans="2:19" ht="12.75" thickBot="1" x14ac:dyDescent="0.25">
      <c r="B102" s="281" t="s">
        <v>27</v>
      </c>
      <c r="C102" s="282"/>
      <c r="D102" s="282"/>
      <c r="E102" s="283">
        <v>6</v>
      </c>
      <c r="F102" s="282" t="str">
        <f>+VLOOKUP(E102,[4]Proponentes!$B$10:$D$43,2,FALSE())</f>
        <v>CONSORCIO AERO PALMIRA</v>
      </c>
      <c r="G102" s="284"/>
      <c r="H102" s="284"/>
      <c r="I102" s="284"/>
      <c r="J102" s="284"/>
      <c r="K102" s="284"/>
      <c r="L102" s="284"/>
      <c r="M102" s="284"/>
      <c r="N102" s="284"/>
      <c r="O102" s="284"/>
      <c r="P102" s="284"/>
      <c r="Q102" s="284"/>
      <c r="R102" s="285"/>
      <c r="S102" s="286"/>
    </row>
    <row r="103" spans="2:19" ht="60" customHeight="1" thickBot="1" x14ac:dyDescent="0.25">
      <c r="B103" s="287" t="s">
        <v>28</v>
      </c>
      <c r="C103" s="288" t="s">
        <v>29</v>
      </c>
      <c r="D103" s="288" t="s">
        <v>36</v>
      </c>
      <c r="E103" s="289" t="s">
        <v>20</v>
      </c>
      <c r="F103" s="288" t="s">
        <v>34</v>
      </c>
      <c r="G103" s="288" t="s">
        <v>30</v>
      </c>
      <c r="H103" s="288" t="s">
        <v>31</v>
      </c>
      <c r="I103" s="288" t="s">
        <v>32</v>
      </c>
      <c r="J103" s="288" t="s">
        <v>61</v>
      </c>
      <c r="K103" s="288" t="s">
        <v>70</v>
      </c>
      <c r="L103" s="288" t="s">
        <v>16</v>
      </c>
      <c r="M103" s="288" t="s">
        <v>73</v>
      </c>
      <c r="N103" s="288" t="s">
        <v>74</v>
      </c>
      <c r="O103" s="288" t="s">
        <v>67</v>
      </c>
      <c r="P103" s="288" t="s">
        <v>66</v>
      </c>
      <c r="Q103" s="288" t="s">
        <v>33</v>
      </c>
      <c r="R103" s="290" t="s">
        <v>19</v>
      </c>
      <c r="S103" s="151" t="s">
        <v>727</v>
      </c>
    </row>
    <row r="104" spans="2:19" ht="12.75" thickBot="1" x14ac:dyDescent="0.25">
      <c r="B104" s="292" t="s">
        <v>38</v>
      </c>
      <c r="C104" s="157"/>
      <c r="D104" s="157"/>
      <c r="E104" s="85"/>
      <c r="F104" s="85"/>
      <c r="G104" s="157"/>
      <c r="H104" s="157"/>
      <c r="I104" s="157"/>
      <c r="J104" s="157"/>
      <c r="K104" s="157"/>
      <c r="L104" s="157"/>
      <c r="M104" s="306"/>
      <c r="N104" s="157"/>
      <c r="O104" s="157"/>
      <c r="P104" s="157"/>
      <c r="Q104" s="157"/>
      <c r="R104" s="293"/>
      <c r="S104" s="125"/>
    </row>
    <row r="105" spans="2:19" ht="64.5" customHeight="1" x14ac:dyDescent="0.2">
      <c r="B105" s="86">
        <v>1</v>
      </c>
      <c r="C105" s="88" t="s">
        <v>275</v>
      </c>
      <c r="D105" s="88" t="s">
        <v>243</v>
      </c>
      <c r="E105" s="87" t="s">
        <v>276</v>
      </c>
      <c r="F105" s="307">
        <v>0.33329999999999999</v>
      </c>
      <c r="G105" s="90" t="s">
        <v>209</v>
      </c>
      <c r="H105" s="90" t="s">
        <v>62</v>
      </c>
      <c r="I105" s="87" t="s">
        <v>277</v>
      </c>
      <c r="J105" s="90" t="s">
        <v>62</v>
      </c>
      <c r="K105" s="92">
        <v>37288</v>
      </c>
      <c r="L105" s="92">
        <v>38412</v>
      </c>
      <c r="M105" s="308">
        <v>9052647857.0599995</v>
      </c>
      <c r="N105" s="172">
        <f>+M105*F105</f>
        <v>3017247530.7580976</v>
      </c>
      <c r="O105" s="94">
        <f>+ROUND(N105/VLOOKUP(K105,[4]SMLM!$A$2:$D$36,4,TRUE),0)</f>
        <v>9765</v>
      </c>
      <c r="P105" s="412">
        <f>+[4]Requisitos!$I$10</f>
        <v>1380.5396945616883</v>
      </c>
      <c r="Q105" s="172" t="str">
        <f>IF(H105="SI",IF(O105&gt;=$P$12,"SI","NO"),"NO")</f>
        <v>SI</v>
      </c>
      <c r="R105" s="296"/>
      <c r="S105" s="144"/>
    </row>
    <row r="106" spans="2:19" ht="64.5" customHeight="1" x14ac:dyDescent="0.2">
      <c r="B106" s="100">
        <v>2</v>
      </c>
      <c r="C106" s="101" t="s">
        <v>251</v>
      </c>
      <c r="D106" s="102" t="s">
        <v>243</v>
      </c>
      <c r="E106" s="101" t="s">
        <v>252</v>
      </c>
      <c r="F106" s="104">
        <v>1</v>
      </c>
      <c r="G106" s="104" t="s">
        <v>57</v>
      </c>
      <c r="H106" s="104" t="s">
        <v>62</v>
      </c>
      <c r="I106" s="105" t="s">
        <v>253</v>
      </c>
      <c r="J106" s="104" t="s">
        <v>63</v>
      </c>
      <c r="K106" s="106">
        <v>40268</v>
      </c>
      <c r="L106" s="106">
        <v>40847</v>
      </c>
      <c r="M106" s="179">
        <v>1576786280</v>
      </c>
      <c r="N106" s="179">
        <f t="shared" ref="N106:N108" si="10">+M106*F106</f>
        <v>1576786280</v>
      </c>
      <c r="O106" s="108">
        <f>+ROUND(N106/VLOOKUP(K106,[4]SMLM!$A$2:$D$36,4,TRUE),0)</f>
        <v>3062</v>
      </c>
      <c r="P106" s="413"/>
      <c r="Q106" s="179" t="str">
        <f>IF(H106="SI",IF(O106&gt;=$P$12,"SI","NO"),"NO")</f>
        <v>SI</v>
      </c>
      <c r="R106" s="110" t="s">
        <v>254</v>
      </c>
      <c r="S106" s="144"/>
    </row>
    <row r="107" spans="2:19" ht="142.5" customHeight="1" x14ac:dyDescent="0.2">
      <c r="B107" s="100">
        <v>3</v>
      </c>
      <c r="C107" s="101" t="s">
        <v>255</v>
      </c>
      <c r="D107" s="102" t="s">
        <v>256</v>
      </c>
      <c r="E107" s="101" t="s">
        <v>257</v>
      </c>
      <c r="F107" s="104">
        <v>0.5</v>
      </c>
      <c r="G107" s="104" t="s">
        <v>57</v>
      </c>
      <c r="H107" s="104" t="s">
        <v>62</v>
      </c>
      <c r="I107" s="105" t="s">
        <v>253</v>
      </c>
      <c r="J107" s="104" t="s">
        <v>63</v>
      </c>
      <c r="K107" s="106">
        <v>40137</v>
      </c>
      <c r="L107" s="106">
        <v>41232</v>
      </c>
      <c r="M107" s="179">
        <v>3959042290</v>
      </c>
      <c r="N107" s="179">
        <f t="shared" si="10"/>
        <v>1979521145</v>
      </c>
      <c r="O107" s="179">
        <f>+ROUND(N107/VLOOKUP(K107,[4]SMLM!$A$2:$D$36,4,TRUE),0)</f>
        <v>3984</v>
      </c>
      <c r="P107" s="413"/>
      <c r="Q107" s="179" t="str">
        <f t="shared" ref="Q107" si="11">IF(H107="SI",IF(O107&gt;=$P$12,"SI","NO"),"NO")</f>
        <v>SI</v>
      </c>
      <c r="R107" s="110" t="s">
        <v>278</v>
      </c>
      <c r="S107" s="144"/>
    </row>
    <row r="108" spans="2:19" ht="228.75" thickBot="1" x14ac:dyDescent="0.25">
      <c r="B108" s="112">
        <v>4</v>
      </c>
      <c r="C108" s="69" t="s">
        <v>255</v>
      </c>
      <c r="D108" s="113" t="s">
        <v>259</v>
      </c>
      <c r="E108" s="69" t="s">
        <v>260</v>
      </c>
      <c r="F108" s="115">
        <v>0.4</v>
      </c>
      <c r="G108" s="115" t="s">
        <v>57</v>
      </c>
      <c r="H108" s="115" t="s">
        <v>62</v>
      </c>
      <c r="I108" s="116" t="s">
        <v>253</v>
      </c>
      <c r="J108" s="115" t="s">
        <v>63</v>
      </c>
      <c r="K108" s="117">
        <v>40143</v>
      </c>
      <c r="L108" s="117">
        <v>41183</v>
      </c>
      <c r="M108" s="175">
        <v>4331349652</v>
      </c>
      <c r="N108" s="175">
        <f t="shared" si="10"/>
        <v>1732539860.8000002</v>
      </c>
      <c r="O108" s="119">
        <f>+ROUND(N108/VLOOKUP(K108,[4]SMLM!$A$2:$D$36,4,TRUE),0)</f>
        <v>3487</v>
      </c>
      <c r="P108" s="414"/>
      <c r="Q108" s="115" t="str">
        <f>IF(H108="SI",IF(O108&gt;=$P$12,"SI","NO"),"NO")</f>
        <v>SI</v>
      </c>
      <c r="R108" s="300"/>
      <c r="S108" s="149"/>
    </row>
    <row r="109" spans="2:19" x14ac:dyDescent="0.2">
      <c r="B109" s="83"/>
      <c r="C109" s="85"/>
      <c r="D109" s="85"/>
      <c r="E109" s="85"/>
      <c r="F109" s="85"/>
      <c r="G109" s="85"/>
      <c r="H109" s="85"/>
      <c r="I109" s="85"/>
      <c r="J109" s="85"/>
      <c r="K109" s="85"/>
      <c r="L109" s="85"/>
      <c r="M109" s="85"/>
      <c r="N109" s="85"/>
      <c r="O109" s="85"/>
      <c r="P109" s="85"/>
      <c r="Q109" s="85"/>
      <c r="R109" s="125"/>
    </row>
    <row r="110" spans="2:19" x14ac:dyDescent="0.2">
      <c r="B110" s="83"/>
      <c r="C110" s="85"/>
      <c r="D110" s="85"/>
      <c r="E110" s="85"/>
      <c r="F110" s="85"/>
      <c r="G110" s="85"/>
      <c r="H110" s="85"/>
      <c r="I110" s="85"/>
      <c r="J110" s="85"/>
      <c r="K110" s="85"/>
      <c r="L110" s="85"/>
      <c r="M110" s="85"/>
      <c r="N110" s="85"/>
      <c r="O110" s="85"/>
      <c r="P110" s="85"/>
      <c r="Q110" s="85"/>
      <c r="R110" s="125"/>
    </row>
    <row r="111" spans="2:19" ht="12.75" thickBot="1" x14ac:dyDescent="0.25">
      <c r="B111" s="83"/>
      <c r="C111" s="85"/>
      <c r="D111" s="85"/>
      <c r="E111" s="85"/>
      <c r="F111" s="85"/>
      <c r="G111" s="85"/>
      <c r="H111" s="85"/>
      <c r="I111" s="85"/>
      <c r="J111" s="85"/>
      <c r="K111" s="85"/>
      <c r="L111" s="85"/>
      <c r="M111" s="85"/>
      <c r="N111" s="85"/>
      <c r="O111" s="301"/>
      <c r="P111" s="85"/>
      <c r="Q111" s="85"/>
      <c r="R111" s="125"/>
    </row>
    <row r="112" spans="2:19" x14ac:dyDescent="0.2">
      <c r="B112" s="83"/>
      <c r="C112" s="85"/>
      <c r="D112" s="85"/>
      <c r="E112" s="334" t="s">
        <v>54</v>
      </c>
      <c r="F112" s="303">
        <f>COUNTIF(Q105:Q108,"SI")</f>
        <v>4</v>
      </c>
      <c r="G112" s="85"/>
      <c r="H112" s="85"/>
      <c r="I112" s="85"/>
      <c r="J112" s="85"/>
      <c r="K112" s="85"/>
      <c r="L112" s="85"/>
      <c r="M112" s="85"/>
      <c r="N112" s="85"/>
      <c r="O112" s="85"/>
      <c r="P112" s="85"/>
      <c r="Q112" s="85"/>
      <c r="R112" s="125"/>
    </row>
    <row r="113" spans="2:19" x14ac:dyDescent="0.2">
      <c r="B113" s="83"/>
      <c r="C113" s="85"/>
      <c r="D113" s="85"/>
      <c r="E113" s="335" t="s">
        <v>35</v>
      </c>
      <c r="F113" s="304">
        <f>+IF(F112=2,700,IF(F112=3,800,IF(F112=4,900,0)))</f>
        <v>900</v>
      </c>
      <c r="G113" s="85"/>
      <c r="H113" s="85"/>
      <c r="I113" s="85"/>
      <c r="J113" s="85"/>
      <c r="K113" s="85"/>
      <c r="L113" s="85"/>
      <c r="M113" s="85"/>
      <c r="N113" s="85"/>
      <c r="O113" s="85"/>
      <c r="P113" s="85"/>
      <c r="Q113" s="85"/>
      <c r="R113" s="125"/>
    </row>
    <row r="114" spans="2:19" ht="38.25" customHeight="1" x14ac:dyDescent="0.2">
      <c r="B114" s="83"/>
      <c r="C114" s="85"/>
      <c r="D114" s="85"/>
      <c r="E114" s="336" t="s">
        <v>186</v>
      </c>
      <c r="F114" s="304" t="s">
        <v>82</v>
      </c>
      <c r="G114" s="85"/>
      <c r="H114" s="85"/>
      <c r="I114" s="85"/>
      <c r="J114" s="85"/>
      <c r="K114" s="85"/>
      <c r="L114" s="85"/>
      <c r="M114" s="85"/>
      <c r="N114" s="85"/>
      <c r="O114" s="85"/>
      <c r="P114" s="85"/>
      <c r="Q114" s="85"/>
      <c r="R114" s="125"/>
    </row>
    <row r="115" spans="2:19" x14ac:dyDescent="0.2">
      <c r="B115" s="83"/>
      <c r="C115" s="85"/>
      <c r="D115" s="85"/>
      <c r="E115" s="335" t="s">
        <v>68</v>
      </c>
      <c r="F115" s="304" t="s">
        <v>82</v>
      </c>
      <c r="G115" s="85"/>
      <c r="H115" s="85"/>
      <c r="I115" s="85"/>
      <c r="J115" s="85"/>
      <c r="K115" s="85"/>
      <c r="L115" s="85"/>
      <c r="M115" s="85"/>
      <c r="N115" s="85"/>
      <c r="O115" s="85"/>
      <c r="P115" s="85"/>
      <c r="Q115" s="85"/>
      <c r="R115" s="125"/>
    </row>
    <row r="116" spans="2:19" ht="12.75" thickBot="1" x14ac:dyDescent="0.25">
      <c r="B116" s="83"/>
      <c r="C116" s="85"/>
      <c r="D116" s="85"/>
      <c r="E116" s="337" t="s">
        <v>69</v>
      </c>
      <c r="F116" s="305">
        <f>+COUNTIF(J105:J108,"si")</f>
        <v>1</v>
      </c>
      <c r="G116" s="85"/>
      <c r="H116" s="85"/>
      <c r="I116" s="85"/>
      <c r="J116" s="85"/>
      <c r="K116" s="85"/>
      <c r="L116" s="85"/>
      <c r="M116" s="85"/>
      <c r="N116" s="85"/>
      <c r="O116" s="85"/>
      <c r="P116" s="85"/>
      <c r="Q116" s="85"/>
      <c r="R116" s="125"/>
    </row>
    <row r="117" spans="2:19" x14ac:dyDescent="0.2">
      <c r="B117" s="83"/>
      <c r="C117" s="85"/>
      <c r="D117" s="85"/>
      <c r="E117" s="85"/>
      <c r="F117" s="85"/>
      <c r="G117" s="85"/>
      <c r="H117" s="85"/>
      <c r="I117" s="85"/>
      <c r="J117" s="85"/>
      <c r="K117" s="85"/>
      <c r="L117" s="85"/>
      <c r="M117" s="85"/>
      <c r="N117" s="85"/>
      <c r="O117" s="85"/>
      <c r="P117" s="85"/>
      <c r="Q117" s="85"/>
      <c r="R117" s="125"/>
    </row>
    <row r="118" spans="2:19" x14ac:dyDescent="0.2">
      <c r="B118" s="83"/>
      <c r="C118" s="85"/>
      <c r="D118" s="85"/>
      <c r="E118" s="85"/>
      <c r="F118" s="85"/>
      <c r="G118" s="85"/>
      <c r="H118" s="85"/>
      <c r="I118" s="85"/>
      <c r="J118" s="85"/>
      <c r="K118" s="85"/>
      <c r="L118" s="85"/>
      <c r="M118" s="85"/>
      <c r="N118" s="85"/>
      <c r="O118" s="85"/>
      <c r="P118" s="85"/>
      <c r="Q118" s="85"/>
      <c r="R118" s="125"/>
    </row>
    <row r="119" spans="2:19" ht="12.75" thickBot="1" x14ac:dyDescent="0.25">
      <c r="B119" s="197"/>
      <c r="C119" s="199"/>
      <c r="D119" s="199"/>
      <c r="E119" s="199"/>
      <c r="F119" s="199"/>
      <c r="G119" s="199"/>
      <c r="H119" s="199"/>
      <c r="I119" s="199"/>
      <c r="J119" s="199"/>
      <c r="K119" s="199"/>
      <c r="L119" s="199"/>
      <c r="M119" s="199"/>
      <c r="N119" s="199"/>
      <c r="O119" s="199"/>
      <c r="P119" s="199"/>
      <c r="Q119" s="199"/>
      <c r="R119" s="201"/>
    </row>
    <row r="120" spans="2:19" ht="12.75" thickBot="1" x14ac:dyDescent="0.25"/>
    <row r="121" spans="2:19" ht="12.75" thickBot="1" x14ac:dyDescent="0.25">
      <c r="B121" s="281" t="s">
        <v>27</v>
      </c>
      <c r="C121" s="282"/>
      <c r="D121" s="282"/>
      <c r="E121" s="283">
        <v>7</v>
      </c>
      <c r="F121" s="282" t="str">
        <f>+VLOOKUP(E121,[4]Proponentes!$B$10:$D$43,2,FALSE())</f>
        <v>CONSORCIO MAB-OMICRON</v>
      </c>
      <c r="G121" s="284"/>
      <c r="H121" s="284"/>
      <c r="I121" s="284"/>
      <c r="J121" s="284"/>
      <c r="K121" s="284"/>
      <c r="L121" s="284"/>
      <c r="M121" s="284"/>
      <c r="N121" s="284"/>
      <c r="O121" s="284"/>
      <c r="P121" s="284"/>
      <c r="Q121" s="284"/>
      <c r="R121" s="285"/>
      <c r="S121" s="286"/>
    </row>
    <row r="122" spans="2:19" ht="64.5" customHeight="1" thickBot="1" x14ac:dyDescent="0.25">
      <c r="B122" s="309" t="s">
        <v>28</v>
      </c>
      <c r="C122" s="310" t="s">
        <v>29</v>
      </c>
      <c r="D122" s="310" t="s">
        <v>36</v>
      </c>
      <c r="E122" s="311" t="s">
        <v>20</v>
      </c>
      <c r="F122" s="310" t="s">
        <v>34</v>
      </c>
      <c r="G122" s="310" t="s">
        <v>30</v>
      </c>
      <c r="H122" s="310" t="s">
        <v>31</v>
      </c>
      <c r="I122" s="310" t="s">
        <v>32</v>
      </c>
      <c r="J122" s="310" t="s">
        <v>61</v>
      </c>
      <c r="K122" s="310" t="s">
        <v>70</v>
      </c>
      <c r="L122" s="310" t="s">
        <v>16</v>
      </c>
      <c r="M122" s="310" t="s">
        <v>73</v>
      </c>
      <c r="N122" s="310" t="s">
        <v>74</v>
      </c>
      <c r="O122" s="310" t="s">
        <v>67</v>
      </c>
      <c r="P122" s="310" t="s">
        <v>66</v>
      </c>
      <c r="Q122" s="310" t="s">
        <v>33</v>
      </c>
      <c r="R122" s="312" t="s">
        <v>19</v>
      </c>
      <c r="S122" s="151" t="s">
        <v>727</v>
      </c>
    </row>
    <row r="123" spans="2:19" ht="12.75" thickBot="1" x14ac:dyDescent="0.25">
      <c r="B123" s="313" t="s">
        <v>38</v>
      </c>
      <c r="C123" s="314"/>
      <c r="D123" s="314"/>
      <c r="E123" s="85"/>
      <c r="F123" s="85"/>
      <c r="G123" s="314"/>
      <c r="H123" s="314"/>
      <c r="I123" s="314"/>
      <c r="J123" s="314"/>
      <c r="K123" s="314"/>
      <c r="L123" s="314"/>
      <c r="M123" s="306"/>
      <c r="N123" s="314"/>
      <c r="O123" s="314"/>
      <c r="P123" s="314"/>
      <c r="Q123" s="314"/>
      <c r="R123" s="315"/>
      <c r="S123" s="125"/>
    </row>
    <row r="124" spans="2:19" ht="121.5" customHeight="1" x14ac:dyDescent="0.2">
      <c r="B124" s="86">
        <v>1</v>
      </c>
      <c r="C124" s="87" t="s">
        <v>9</v>
      </c>
      <c r="D124" s="88" t="s">
        <v>264</v>
      </c>
      <c r="E124" s="87" t="s">
        <v>265</v>
      </c>
      <c r="F124" s="307">
        <v>0.4</v>
      </c>
      <c r="G124" s="90" t="s">
        <v>57</v>
      </c>
      <c r="H124" s="90" t="s">
        <v>62</v>
      </c>
      <c r="I124" s="91" t="s">
        <v>230</v>
      </c>
      <c r="J124" s="90" t="s">
        <v>63</v>
      </c>
      <c r="K124" s="92">
        <v>40567</v>
      </c>
      <c r="L124" s="92" t="s">
        <v>249</v>
      </c>
      <c r="M124" s="172">
        <v>28597786771</v>
      </c>
      <c r="N124" s="172">
        <f>+M124*F124</f>
        <v>11439114708.400002</v>
      </c>
      <c r="O124" s="94">
        <f>+ROUND(N124/VLOOKUP(K124,[4]SMLM!$A$2:$D$36,4,TRUE),0)</f>
        <v>21358</v>
      </c>
      <c r="P124" s="412">
        <f>+[4]Requisitos!$I$10</f>
        <v>1380.5396945616883</v>
      </c>
      <c r="Q124" s="172" t="str">
        <f>IF(H124="SI",IF(O124&gt;=$P$12,"SI","NO"),"NO")</f>
        <v>SI</v>
      </c>
      <c r="R124" s="296"/>
      <c r="S124" s="144"/>
    </row>
    <row r="125" spans="2:19" ht="42" customHeight="1" x14ac:dyDescent="0.2">
      <c r="B125" s="100">
        <v>2</v>
      </c>
      <c r="C125" s="101" t="s">
        <v>255</v>
      </c>
      <c r="D125" s="102" t="s">
        <v>279</v>
      </c>
      <c r="E125" s="101" t="s">
        <v>280</v>
      </c>
      <c r="F125" s="104">
        <v>0.7</v>
      </c>
      <c r="G125" s="104" t="s">
        <v>57</v>
      </c>
      <c r="H125" s="104" t="s">
        <v>62</v>
      </c>
      <c r="I125" s="105" t="s">
        <v>230</v>
      </c>
      <c r="J125" s="104" t="s">
        <v>63</v>
      </c>
      <c r="K125" s="106">
        <v>40931</v>
      </c>
      <c r="L125" s="106">
        <v>41477</v>
      </c>
      <c r="M125" s="179">
        <v>2658239884</v>
      </c>
      <c r="N125" s="179">
        <f t="shared" ref="N125:N127" si="12">+M125*F125</f>
        <v>1860767918.8</v>
      </c>
      <c r="O125" s="108">
        <f>+ROUND(N125/VLOOKUP(K125,[4]SMLM!$A$2:$D$36,4,TRUE),0)</f>
        <v>3284</v>
      </c>
      <c r="P125" s="413"/>
      <c r="Q125" s="179" t="str">
        <f>IF(H125="SI",IF(O125&gt;=$P$12,"SI","NO"),"NO")</f>
        <v>SI</v>
      </c>
      <c r="R125" s="110"/>
      <c r="S125" s="144"/>
    </row>
    <row r="126" spans="2:19" ht="46.5" customHeight="1" x14ac:dyDescent="0.2">
      <c r="B126" s="100">
        <v>3</v>
      </c>
      <c r="C126" s="101" t="s">
        <v>281</v>
      </c>
      <c r="D126" s="102" t="s">
        <v>243</v>
      </c>
      <c r="E126" s="101" t="s">
        <v>282</v>
      </c>
      <c r="F126" s="104">
        <v>0.8</v>
      </c>
      <c r="G126" s="104" t="s">
        <v>209</v>
      </c>
      <c r="H126" s="104" t="s">
        <v>62</v>
      </c>
      <c r="I126" s="102" t="s">
        <v>268</v>
      </c>
      <c r="J126" s="104" t="s">
        <v>63</v>
      </c>
      <c r="K126" s="106">
        <v>38320</v>
      </c>
      <c r="L126" s="106">
        <v>39360</v>
      </c>
      <c r="M126" s="179">
        <v>1460765225.2871809</v>
      </c>
      <c r="N126" s="179">
        <f t="shared" si="12"/>
        <v>1168612180.2297447</v>
      </c>
      <c r="O126" s="179">
        <f>+ROUND(N126/VLOOKUP(K126,[4]SMLM!$A$2:$D$36,4,TRUE),0)</f>
        <v>3264</v>
      </c>
      <c r="P126" s="413"/>
      <c r="Q126" s="179" t="str">
        <f t="shared" ref="Q126" si="13">IF(H126="SI",IF(O126&gt;=$P$12,"SI","NO"),"NO")</f>
        <v>SI</v>
      </c>
      <c r="R126" s="110"/>
      <c r="S126" s="144"/>
    </row>
    <row r="127" spans="2:19" ht="88.5" customHeight="1" thickBot="1" x14ac:dyDescent="0.25">
      <c r="B127" s="112">
        <v>4</v>
      </c>
      <c r="C127" s="69" t="s">
        <v>266</v>
      </c>
      <c r="D127" s="113" t="s">
        <v>243</v>
      </c>
      <c r="E127" s="69" t="s">
        <v>267</v>
      </c>
      <c r="F127" s="115">
        <v>1</v>
      </c>
      <c r="G127" s="115" t="s">
        <v>209</v>
      </c>
      <c r="H127" s="115" t="s">
        <v>62</v>
      </c>
      <c r="I127" s="113" t="s">
        <v>268</v>
      </c>
      <c r="J127" s="115" t="s">
        <v>63</v>
      </c>
      <c r="K127" s="117">
        <v>38056</v>
      </c>
      <c r="L127" s="117">
        <v>39436</v>
      </c>
      <c r="M127" s="175">
        <v>3120768151.0231442</v>
      </c>
      <c r="N127" s="175">
        <f t="shared" si="12"/>
        <v>3120768151.0231442</v>
      </c>
      <c r="O127" s="119">
        <f>+ROUND(N127/VLOOKUP(K127,[4]SMLM!$A$2:$D$36,4,TRUE),0)</f>
        <v>8717</v>
      </c>
      <c r="P127" s="414"/>
      <c r="Q127" s="115" t="str">
        <f>IF(H127="SI",IF(O127&gt;=$P$12,"SI","NO"),"NO")</f>
        <v>SI</v>
      </c>
      <c r="R127" s="300"/>
      <c r="S127" s="149"/>
    </row>
    <row r="128" spans="2:19" x14ac:dyDescent="0.2">
      <c r="B128" s="83"/>
      <c r="C128" s="85"/>
      <c r="D128" s="85"/>
      <c r="E128" s="85"/>
      <c r="F128" s="85"/>
      <c r="G128" s="85"/>
      <c r="H128" s="85"/>
      <c r="I128" s="85"/>
      <c r="J128" s="85"/>
      <c r="K128" s="85"/>
      <c r="L128" s="85"/>
      <c r="M128" s="85"/>
      <c r="N128" s="85"/>
      <c r="O128" s="85"/>
      <c r="P128" s="85"/>
      <c r="Q128" s="85"/>
      <c r="R128" s="125"/>
    </row>
    <row r="129" spans="2:19" x14ac:dyDescent="0.2">
      <c r="B129" s="83"/>
      <c r="C129" s="85"/>
      <c r="D129" s="85"/>
      <c r="E129" s="85"/>
      <c r="F129" s="85"/>
      <c r="G129" s="85"/>
      <c r="H129" s="85"/>
      <c r="I129" s="85"/>
      <c r="J129" s="85"/>
      <c r="K129" s="85"/>
      <c r="L129" s="85"/>
      <c r="M129" s="85"/>
      <c r="N129" s="85"/>
      <c r="O129" s="85"/>
      <c r="P129" s="85"/>
      <c r="Q129" s="85"/>
      <c r="R129" s="125"/>
    </row>
    <row r="130" spans="2:19" ht="12.75" thickBot="1" x14ac:dyDescent="0.25">
      <c r="B130" s="83"/>
      <c r="C130" s="85"/>
      <c r="D130" s="85"/>
      <c r="E130" s="85"/>
      <c r="F130" s="85"/>
      <c r="G130" s="85"/>
      <c r="H130" s="85"/>
      <c r="I130" s="85"/>
      <c r="J130" s="85"/>
      <c r="K130" s="85"/>
      <c r="L130" s="85"/>
      <c r="M130" s="85"/>
      <c r="N130" s="85"/>
      <c r="O130" s="301"/>
      <c r="P130" s="85"/>
      <c r="Q130" s="85"/>
      <c r="R130" s="125"/>
    </row>
    <row r="131" spans="2:19" x14ac:dyDescent="0.2">
      <c r="B131" s="83"/>
      <c r="C131" s="85"/>
      <c r="D131" s="85"/>
      <c r="E131" s="334" t="s">
        <v>54</v>
      </c>
      <c r="F131" s="303">
        <f>COUNTIF(Q124:Q127,"SI")</f>
        <v>4</v>
      </c>
      <c r="G131" s="85"/>
      <c r="H131" s="85"/>
      <c r="I131" s="85"/>
      <c r="J131" s="85"/>
      <c r="K131" s="85"/>
      <c r="L131" s="85"/>
      <c r="M131" s="85"/>
      <c r="N131" s="85"/>
      <c r="O131" s="85"/>
      <c r="P131" s="85"/>
      <c r="Q131" s="85"/>
      <c r="R131" s="125"/>
    </row>
    <row r="132" spans="2:19" x14ac:dyDescent="0.2">
      <c r="B132" s="83"/>
      <c r="C132" s="85"/>
      <c r="D132" s="85"/>
      <c r="E132" s="335" t="s">
        <v>35</v>
      </c>
      <c r="F132" s="304">
        <f>+IF(F131=2,700,IF(F131=3,800,IF(F131=4,900,0)))</f>
        <v>900</v>
      </c>
      <c r="G132" s="85"/>
      <c r="H132" s="85"/>
      <c r="I132" s="85"/>
      <c r="J132" s="85"/>
      <c r="K132" s="85"/>
      <c r="L132" s="85"/>
      <c r="M132" s="85"/>
      <c r="N132" s="85"/>
      <c r="O132" s="85"/>
      <c r="P132" s="85"/>
      <c r="Q132" s="85"/>
      <c r="R132" s="125"/>
    </row>
    <row r="133" spans="2:19" ht="38.25" customHeight="1" x14ac:dyDescent="0.2">
      <c r="B133" s="83"/>
      <c r="C133" s="85"/>
      <c r="D133" s="85"/>
      <c r="E133" s="336" t="s">
        <v>186</v>
      </c>
      <c r="F133" s="304" t="s">
        <v>82</v>
      </c>
      <c r="G133" s="85"/>
      <c r="H133" s="85"/>
      <c r="I133" s="85"/>
      <c r="J133" s="85"/>
      <c r="K133" s="85"/>
      <c r="L133" s="85"/>
      <c r="M133" s="85"/>
      <c r="N133" s="85"/>
      <c r="O133" s="85"/>
      <c r="P133" s="85"/>
      <c r="Q133" s="85"/>
      <c r="R133" s="125"/>
    </row>
    <row r="134" spans="2:19" x14ac:dyDescent="0.2">
      <c r="B134" s="83"/>
      <c r="C134" s="85"/>
      <c r="D134" s="85"/>
      <c r="E134" s="335" t="s">
        <v>68</v>
      </c>
      <c r="F134" s="304" t="s">
        <v>82</v>
      </c>
      <c r="G134" s="85"/>
      <c r="H134" s="85"/>
      <c r="I134" s="85"/>
      <c r="J134" s="85"/>
      <c r="K134" s="85"/>
      <c r="L134" s="85"/>
      <c r="M134" s="85"/>
      <c r="N134" s="85"/>
      <c r="O134" s="85"/>
      <c r="P134" s="85"/>
      <c r="Q134" s="85"/>
      <c r="R134" s="125"/>
    </row>
    <row r="135" spans="2:19" ht="12.75" thickBot="1" x14ac:dyDescent="0.25">
      <c r="B135" s="83"/>
      <c r="C135" s="85"/>
      <c r="D135" s="85"/>
      <c r="E135" s="337" t="s">
        <v>69</v>
      </c>
      <c r="F135" s="305">
        <f>+COUNTIF(J124:J127,"si")</f>
        <v>0</v>
      </c>
      <c r="G135" s="85"/>
      <c r="H135" s="85"/>
      <c r="I135" s="85"/>
      <c r="J135" s="85"/>
      <c r="K135" s="85"/>
      <c r="L135" s="85"/>
      <c r="M135" s="85"/>
      <c r="N135" s="85"/>
      <c r="O135" s="85"/>
      <c r="P135" s="85"/>
      <c r="Q135" s="85"/>
      <c r="R135" s="125"/>
    </row>
    <row r="136" spans="2:19" x14ac:dyDescent="0.2">
      <c r="B136" s="83"/>
      <c r="C136" s="85"/>
      <c r="D136" s="85"/>
      <c r="E136" s="85"/>
      <c r="F136" s="85"/>
      <c r="G136" s="85"/>
      <c r="H136" s="85"/>
      <c r="I136" s="85"/>
      <c r="J136" s="85"/>
      <c r="K136" s="85"/>
      <c r="L136" s="85"/>
      <c r="M136" s="85"/>
      <c r="N136" s="85"/>
      <c r="O136" s="85"/>
      <c r="P136" s="85"/>
      <c r="Q136" s="85"/>
      <c r="R136" s="125"/>
    </row>
    <row r="137" spans="2:19" x14ac:dyDescent="0.2">
      <c r="B137" s="83"/>
      <c r="C137" s="85"/>
      <c r="D137" s="85"/>
      <c r="E137" s="85"/>
      <c r="F137" s="85"/>
      <c r="G137" s="85"/>
      <c r="H137" s="85"/>
      <c r="I137" s="85"/>
      <c r="J137" s="85"/>
      <c r="K137" s="85"/>
      <c r="L137" s="85"/>
      <c r="M137" s="85"/>
      <c r="N137" s="85"/>
      <c r="O137" s="85"/>
      <c r="P137" s="85"/>
      <c r="Q137" s="85"/>
      <c r="R137" s="125"/>
    </row>
    <row r="138" spans="2:19" ht="12.75" thickBot="1" x14ac:dyDescent="0.25">
      <c r="B138" s="197"/>
      <c r="C138" s="199"/>
      <c r="D138" s="199"/>
      <c r="E138" s="199"/>
      <c r="F138" s="199"/>
      <c r="G138" s="199"/>
      <c r="H138" s="199"/>
      <c r="I138" s="199"/>
      <c r="J138" s="199"/>
      <c r="K138" s="199"/>
      <c r="L138" s="199"/>
      <c r="M138" s="199"/>
      <c r="N138" s="199"/>
      <c r="O138" s="199"/>
      <c r="P138" s="199"/>
      <c r="Q138" s="199"/>
      <c r="R138" s="201"/>
    </row>
    <row r="139" spans="2:19" ht="12.75" thickBot="1" x14ac:dyDescent="0.25"/>
    <row r="140" spans="2:19" ht="12.75" thickBot="1" x14ac:dyDescent="0.25">
      <c r="B140" s="281" t="s">
        <v>27</v>
      </c>
      <c r="C140" s="282"/>
      <c r="D140" s="282"/>
      <c r="E140" s="283">
        <v>8</v>
      </c>
      <c r="F140" s="282" t="str">
        <f>+VLOOKUP(E140,[4]Proponentes!$B$10:$D$43,2,FALSE())</f>
        <v>CONSORCIO EPSILON - CALI</v>
      </c>
      <c r="G140" s="284"/>
      <c r="H140" s="284"/>
      <c r="I140" s="284"/>
      <c r="J140" s="284"/>
      <c r="K140" s="284"/>
      <c r="L140" s="284"/>
      <c r="M140" s="284"/>
      <c r="N140" s="284"/>
      <c r="O140" s="284"/>
      <c r="P140" s="284"/>
      <c r="Q140" s="284"/>
      <c r="R140" s="285"/>
      <c r="S140" s="286"/>
    </row>
    <row r="141" spans="2:19" ht="48.75" thickBot="1" x14ac:dyDescent="0.25">
      <c r="B141" s="309" t="s">
        <v>28</v>
      </c>
      <c r="C141" s="310" t="s">
        <v>29</v>
      </c>
      <c r="D141" s="310" t="s">
        <v>36</v>
      </c>
      <c r="E141" s="311" t="s">
        <v>20</v>
      </c>
      <c r="F141" s="310" t="s">
        <v>34</v>
      </c>
      <c r="G141" s="310" t="s">
        <v>30</v>
      </c>
      <c r="H141" s="310" t="s">
        <v>31</v>
      </c>
      <c r="I141" s="310" t="s">
        <v>32</v>
      </c>
      <c r="J141" s="310" t="s">
        <v>61</v>
      </c>
      <c r="K141" s="310" t="s">
        <v>70</v>
      </c>
      <c r="L141" s="310" t="s">
        <v>16</v>
      </c>
      <c r="M141" s="310" t="s">
        <v>73</v>
      </c>
      <c r="N141" s="310" t="s">
        <v>74</v>
      </c>
      <c r="O141" s="310" t="s">
        <v>67</v>
      </c>
      <c r="P141" s="310" t="s">
        <v>66</v>
      </c>
      <c r="Q141" s="310" t="s">
        <v>33</v>
      </c>
      <c r="R141" s="312" t="s">
        <v>19</v>
      </c>
      <c r="S141" s="151" t="s">
        <v>727</v>
      </c>
    </row>
    <row r="142" spans="2:19" ht="12.75" thickBot="1" x14ac:dyDescent="0.25">
      <c r="B142" s="313" t="s">
        <v>38</v>
      </c>
      <c r="C142" s="314"/>
      <c r="D142" s="314"/>
      <c r="E142" s="85"/>
      <c r="F142" s="85"/>
      <c r="G142" s="314"/>
      <c r="H142" s="314"/>
      <c r="I142" s="314"/>
      <c r="J142" s="314"/>
      <c r="K142" s="314"/>
      <c r="L142" s="314"/>
      <c r="M142" s="306"/>
      <c r="N142" s="314"/>
      <c r="O142" s="314"/>
      <c r="P142" s="314"/>
      <c r="Q142" s="314"/>
      <c r="R142" s="315"/>
      <c r="S142" s="125"/>
    </row>
    <row r="143" spans="2:19" ht="57" customHeight="1" x14ac:dyDescent="0.2">
      <c r="B143" s="86">
        <v>1</v>
      </c>
      <c r="C143" s="87" t="s">
        <v>9</v>
      </c>
      <c r="D143" s="88" t="s">
        <v>283</v>
      </c>
      <c r="E143" s="87" t="s">
        <v>284</v>
      </c>
      <c r="F143" s="316">
        <v>0.25</v>
      </c>
      <c r="G143" s="90" t="s">
        <v>57</v>
      </c>
      <c r="H143" s="90" t="s">
        <v>62</v>
      </c>
      <c r="I143" s="91" t="s">
        <v>285</v>
      </c>
      <c r="J143" s="90" t="s">
        <v>63</v>
      </c>
      <c r="K143" s="92">
        <v>39521</v>
      </c>
      <c r="L143" s="92">
        <v>40999</v>
      </c>
      <c r="M143" s="172">
        <v>4814000324</v>
      </c>
      <c r="N143" s="172">
        <f>+M143*F143</f>
        <v>1203500081</v>
      </c>
      <c r="O143" s="94">
        <f>+ROUND(N143/VLOOKUP(K143,[4]SMLM!$A$2:$D$36,4,TRUE),0)</f>
        <v>2608</v>
      </c>
      <c r="P143" s="412">
        <f>+[4]Requisitos!$I$10</f>
        <v>1380.5396945616883</v>
      </c>
      <c r="Q143" s="172" t="str">
        <f>IF(H143="SI",IF(O143&gt;=$P$12,"SI","NO"),"NO")</f>
        <v>SI</v>
      </c>
      <c r="R143" s="296"/>
      <c r="S143" s="144"/>
    </row>
    <row r="144" spans="2:19" ht="73.5" customHeight="1" x14ac:dyDescent="0.2">
      <c r="B144" s="100">
        <v>2</v>
      </c>
      <c r="C144" s="101" t="s">
        <v>286</v>
      </c>
      <c r="D144" s="102" t="s">
        <v>287</v>
      </c>
      <c r="E144" s="101" t="s">
        <v>288</v>
      </c>
      <c r="F144" s="104">
        <v>1</v>
      </c>
      <c r="G144" s="104" t="s">
        <v>57</v>
      </c>
      <c r="H144" s="104" t="s">
        <v>62</v>
      </c>
      <c r="I144" s="105" t="s">
        <v>285</v>
      </c>
      <c r="J144" s="104" t="s">
        <v>63</v>
      </c>
      <c r="K144" s="106">
        <v>41232</v>
      </c>
      <c r="L144" s="106" t="s">
        <v>289</v>
      </c>
      <c r="M144" s="179">
        <v>1479684412</v>
      </c>
      <c r="N144" s="179">
        <f t="shared" ref="N144:N146" si="14">+M144*F144</f>
        <v>1479684412</v>
      </c>
      <c r="O144" s="108">
        <f>+ROUND(N144/VLOOKUP(K144,[4]SMLM!$A$2:$D$36,4,TRUE),0)</f>
        <v>2611</v>
      </c>
      <c r="P144" s="413"/>
      <c r="Q144" s="179" t="str">
        <f>IF(H144="SI",IF(O144&gt;=$P$12,"SI","NO"),"NO")</f>
        <v>SI</v>
      </c>
      <c r="R144" s="110"/>
      <c r="S144" s="144"/>
    </row>
    <row r="145" spans="2:19" ht="55.5" customHeight="1" x14ac:dyDescent="0.2">
      <c r="B145" s="100">
        <v>3</v>
      </c>
      <c r="C145" s="101" t="s">
        <v>255</v>
      </c>
      <c r="D145" s="102" t="s">
        <v>272</v>
      </c>
      <c r="E145" s="101" t="s">
        <v>273</v>
      </c>
      <c r="F145" s="104">
        <v>0.4</v>
      </c>
      <c r="G145" s="104" t="s">
        <v>57</v>
      </c>
      <c r="H145" s="104" t="s">
        <v>62</v>
      </c>
      <c r="I145" s="102" t="s">
        <v>274</v>
      </c>
      <c r="J145" s="104" t="s">
        <v>63</v>
      </c>
      <c r="K145" s="106">
        <v>35859</v>
      </c>
      <c r="L145" s="106">
        <v>36345</v>
      </c>
      <c r="M145" s="179">
        <v>1881895787</v>
      </c>
      <c r="N145" s="179">
        <f t="shared" si="14"/>
        <v>752758314.80000007</v>
      </c>
      <c r="O145" s="179">
        <f>+ROUND(N145/VLOOKUP(K145,[4]SMLM!$A$2:$D$36,4,TRUE),0)</f>
        <v>3693</v>
      </c>
      <c r="P145" s="413"/>
      <c r="Q145" s="179" t="str">
        <f>IF(H145="SI",IF(O145&gt;=$P$12,"SI","NO"),"NO")</f>
        <v>SI</v>
      </c>
      <c r="R145" s="110"/>
      <c r="S145" s="144"/>
    </row>
    <row r="146" spans="2:19" ht="54.75" customHeight="1" thickBot="1" x14ac:dyDescent="0.25">
      <c r="B146" s="112">
        <v>4</v>
      </c>
      <c r="C146" s="69" t="s">
        <v>183</v>
      </c>
      <c r="D146" s="113" t="s">
        <v>290</v>
      </c>
      <c r="E146" s="69" t="s">
        <v>699</v>
      </c>
      <c r="F146" s="115">
        <v>0.5</v>
      </c>
      <c r="G146" s="115" t="s">
        <v>57</v>
      </c>
      <c r="H146" s="115" t="s">
        <v>62</v>
      </c>
      <c r="I146" s="113" t="s">
        <v>274</v>
      </c>
      <c r="J146" s="115" t="s">
        <v>63</v>
      </c>
      <c r="K146" s="117">
        <v>37271</v>
      </c>
      <c r="L146" s="117">
        <v>38507</v>
      </c>
      <c r="M146" s="175">
        <v>2372844012.1999998</v>
      </c>
      <c r="N146" s="175">
        <f t="shared" si="14"/>
        <v>1186422006.0999999</v>
      </c>
      <c r="O146" s="119">
        <f>+ROUND(N146/VLOOKUP(K146,[4]SMLM!$A$2:$D$36,4,TRUE),0)</f>
        <v>3840</v>
      </c>
      <c r="P146" s="414"/>
      <c r="Q146" s="115" t="str">
        <f>IF(H146="SI",IF(O146&gt;=$P$12,"SI","NO"),"NO")</f>
        <v>SI</v>
      </c>
      <c r="R146" s="300"/>
      <c r="S146" s="149"/>
    </row>
    <row r="147" spans="2:19" x14ac:dyDescent="0.2">
      <c r="B147" s="83"/>
      <c r="C147" s="85"/>
      <c r="D147" s="85"/>
      <c r="E147" s="85"/>
      <c r="F147" s="85"/>
      <c r="G147" s="85"/>
      <c r="H147" s="85"/>
      <c r="I147" s="85"/>
      <c r="J147" s="85"/>
      <c r="K147" s="85"/>
      <c r="L147" s="85"/>
      <c r="M147" s="85"/>
      <c r="N147" s="85"/>
      <c r="O147" s="85"/>
      <c r="P147" s="85"/>
      <c r="Q147" s="85"/>
      <c r="R147" s="125"/>
    </row>
    <row r="148" spans="2:19" x14ac:dyDescent="0.2">
      <c r="B148" s="83"/>
      <c r="C148" s="85"/>
      <c r="D148" s="85"/>
      <c r="E148" s="85"/>
      <c r="F148" s="85"/>
      <c r="G148" s="85"/>
      <c r="H148" s="85"/>
      <c r="I148" s="85"/>
      <c r="J148" s="85"/>
      <c r="K148" s="85"/>
      <c r="L148" s="85"/>
      <c r="M148" s="85"/>
      <c r="N148" s="85"/>
      <c r="O148" s="85"/>
      <c r="P148" s="85"/>
      <c r="Q148" s="85"/>
      <c r="R148" s="125"/>
    </row>
    <row r="149" spans="2:19" ht="12.75" thickBot="1" x14ac:dyDescent="0.25">
      <c r="B149" s="83"/>
      <c r="C149" s="85"/>
      <c r="D149" s="85"/>
      <c r="E149" s="85"/>
      <c r="F149" s="85"/>
      <c r="G149" s="85"/>
      <c r="H149" s="85"/>
      <c r="I149" s="85"/>
      <c r="J149" s="85"/>
      <c r="K149" s="85"/>
      <c r="L149" s="85"/>
      <c r="M149" s="85"/>
      <c r="N149" s="85"/>
      <c r="O149" s="301"/>
      <c r="P149" s="85"/>
      <c r="Q149" s="85"/>
      <c r="R149" s="125"/>
    </row>
    <row r="150" spans="2:19" x14ac:dyDescent="0.2">
      <c r="B150" s="83"/>
      <c r="C150" s="85"/>
      <c r="D150" s="85"/>
      <c r="E150" s="334" t="s">
        <v>54</v>
      </c>
      <c r="F150" s="303">
        <f>COUNTIF(Q143:Q146,"SI")</f>
        <v>4</v>
      </c>
      <c r="G150" s="85"/>
      <c r="H150" s="85"/>
      <c r="I150" s="85"/>
      <c r="J150" s="85"/>
      <c r="K150" s="85"/>
      <c r="L150" s="85"/>
      <c r="M150" s="85"/>
      <c r="N150" s="85"/>
      <c r="O150" s="85"/>
      <c r="P150" s="85"/>
      <c r="Q150" s="85"/>
      <c r="R150" s="125"/>
    </row>
    <row r="151" spans="2:19" x14ac:dyDescent="0.2">
      <c r="B151" s="83"/>
      <c r="C151" s="85"/>
      <c r="D151" s="85"/>
      <c r="E151" s="335" t="s">
        <v>35</v>
      </c>
      <c r="F151" s="304">
        <f>+IF(F150=2,700,IF(F150=3,800,IF(F150=4,900,0)))</f>
        <v>900</v>
      </c>
      <c r="G151" s="85"/>
      <c r="H151" s="85"/>
      <c r="I151" s="85"/>
      <c r="J151" s="85"/>
      <c r="K151" s="85"/>
      <c r="L151" s="85"/>
      <c r="M151" s="85"/>
      <c r="N151" s="85"/>
      <c r="O151" s="85"/>
      <c r="P151" s="85"/>
      <c r="Q151" s="85"/>
      <c r="R151" s="125"/>
    </row>
    <row r="152" spans="2:19" ht="36.75" customHeight="1" x14ac:dyDescent="0.2">
      <c r="B152" s="83"/>
      <c r="C152" s="85"/>
      <c r="D152" s="85"/>
      <c r="E152" s="336" t="s">
        <v>186</v>
      </c>
      <c r="F152" s="304" t="s">
        <v>82</v>
      </c>
      <c r="G152" s="85"/>
      <c r="H152" s="85"/>
      <c r="I152" s="85"/>
      <c r="J152" s="85"/>
      <c r="K152" s="85"/>
      <c r="L152" s="85"/>
      <c r="M152" s="85"/>
      <c r="N152" s="85"/>
      <c r="O152" s="85"/>
      <c r="P152" s="85"/>
      <c r="Q152" s="85"/>
      <c r="R152" s="125"/>
    </row>
    <row r="153" spans="2:19" x14ac:dyDescent="0.2">
      <c r="B153" s="83"/>
      <c r="C153" s="85"/>
      <c r="D153" s="85"/>
      <c r="E153" s="335" t="s">
        <v>68</v>
      </c>
      <c r="F153" s="304" t="s">
        <v>82</v>
      </c>
      <c r="G153" s="85"/>
      <c r="H153" s="85"/>
      <c r="I153" s="85"/>
      <c r="J153" s="85"/>
      <c r="K153" s="85"/>
      <c r="L153" s="85"/>
      <c r="M153" s="85"/>
      <c r="N153" s="85"/>
      <c r="O153" s="85"/>
      <c r="P153" s="85"/>
      <c r="Q153" s="85"/>
      <c r="R153" s="125"/>
    </row>
    <row r="154" spans="2:19" ht="12.75" thickBot="1" x14ac:dyDescent="0.25">
      <c r="B154" s="83"/>
      <c r="C154" s="85"/>
      <c r="D154" s="85"/>
      <c r="E154" s="337" t="s">
        <v>69</v>
      </c>
      <c r="F154" s="305">
        <f>+COUNTIF(J143:J146,"si")</f>
        <v>0</v>
      </c>
      <c r="G154" s="85"/>
      <c r="H154" s="85"/>
      <c r="I154" s="85"/>
      <c r="J154" s="85"/>
      <c r="K154" s="85"/>
      <c r="L154" s="85"/>
      <c r="M154" s="85"/>
      <c r="N154" s="85"/>
      <c r="O154" s="85"/>
      <c r="P154" s="85"/>
      <c r="Q154" s="85"/>
      <c r="R154" s="125"/>
    </row>
    <row r="155" spans="2:19" x14ac:dyDescent="0.2">
      <c r="B155" s="83"/>
      <c r="C155" s="85"/>
      <c r="D155" s="85"/>
      <c r="E155" s="85"/>
      <c r="F155" s="85"/>
      <c r="G155" s="85"/>
      <c r="H155" s="85"/>
      <c r="I155" s="85"/>
      <c r="J155" s="85"/>
      <c r="K155" s="85"/>
      <c r="L155" s="85"/>
      <c r="M155" s="85"/>
      <c r="N155" s="85"/>
      <c r="O155" s="85"/>
      <c r="P155" s="85"/>
      <c r="Q155" s="85"/>
      <c r="R155" s="125"/>
    </row>
    <row r="156" spans="2:19" x14ac:dyDescent="0.2">
      <c r="B156" s="83"/>
      <c r="C156" s="85"/>
      <c r="D156" s="85"/>
      <c r="E156" s="85"/>
      <c r="F156" s="85"/>
      <c r="G156" s="85"/>
      <c r="H156" s="85"/>
      <c r="I156" s="85"/>
      <c r="J156" s="85"/>
      <c r="K156" s="85"/>
      <c r="L156" s="85"/>
      <c r="M156" s="85"/>
      <c r="N156" s="85"/>
      <c r="O156" s="85"/>
      <c r="P156" s="85"/>
      <c r="Q156" s="85"/>
      <c r="R156" s="125"/>
    </row>
    <row r="157" spans="2:19" ht="12.75" thickBot="1" x14ac:dyDescent="0.25">
      <c r="B157" s="197"/>
      <c r="C157" s="199"/>
      <c r="D157" s="199"/>
      <c r="E157" s="199"/>
      <c r="F157" s="199"/>
      <c r="G157" s="199"/>
      <c r="H157" s="199"/>
      <c r="I157" s="199"/>
      <c r="J157" s="199"/>
      <c r="K157" s="199"/>
      <c r="L157" s="199"/>
      <c r="M157" s="199"/>
      <c r="N157" s="199"/>
      <c r="O157" s="199"/>
      <c r="P157" s="199"/>
      <c r="Q157" s="199"/>
      <c r="R157" s="201"/>
    </row>
    <row r="158" spans="2:19" ht="12.75" thickBot="1" x14ac:dyDescent="0.25"/>
    <row r="159" spans="2:19" ht="12.75" thickBot="1" x14ac:dyDescent="0.25">
      <c r="B159" s="281" t="s">
        <v>27</v>
      </c>
      <c r="C159" s="282"/>
      <c r="D159" s="282"/>
      <c r="E159" s="283">
        <v>9</v>
      </c>
      <c r="F159" s="282" t="str">
        <f>+VLOOKUP(E159,[5]Proponentes!$B$10:$D$78,2,FALSE())</f>
        <v>CONSORCIO INTERVENTORIA PALMIRA 2014</v>
      </c>
      <c r="G159" s="282"/>
      <c r="H159" s="282"/>
      <c r="I159" s="282"/>
      <c r="J159" s="282"/>
      <c r="K159" s="282"/>
      <c r="L159" s="282"/>
      <c r="M159" s="282"/>
      <c r="N159" s="282"/>
      <c r="O159" s="282"/>
      <c r="P159" s="282"/>
      <c r="Q159" s="282"/>
      <c r="R159" s="340"/>
      <c r="S159" s="286"/>
    </row>
    <row r="160" spans="2:19" ht="56.25" customHeight="1" thickBot="1" x14ac:dyDescent="0.25">
      <c r="B160" s="317" t="s">
        <v>28</v>
      </c>
      <c r="C160" s="318" t="s">
        <v>29</v>
      </c>
      <c r="D160" s="318" t="s">
        <v>36</v>
      </c>
      <c r="E160" s="319" t="s">
        <v>20</v>
      </c>
      <c r="F160" s="318" t="s">
        <v>34</v>
      </c>
      <c r="G160" s="318" t="s">
        <v>30</v>
      </c>
      <c r="H160" s="318" t="s">
        <v>31</v>
      </c>
      <c r="I160" s="318" t="s">
        <v>32</v>
      </c>
      <c r="J160" s="318" t="s">
        <v>61</v>
      </c>
      <c r="K160" s="318" t="s">
        <v>70</v>
      </c>
      <c r="L160" s="318" t="s">
        <v>16</v>
      </c>
      <c r="M160" s="318" t="s">
        <v>73</v>
      </c>
      <c r="N160" s="318" t="s">
        <v>74</v>
      </c>
      <c r="O160" s="318" t="s">
        <v>67</v>
      </c>
      <c r="P160" s="318" t="s">
        <v>66</v>
      </c>
      <c r="Q160" s="318" t="s">
        <v>33</v>
      </c>
      <c r="R160" s="320" t="s">
        <v>19</v>
      </c>
      <c r="S160" s="151" t="s">
        <v>727</v>
      </c>
    </row>
    <row r="161" spans="2:19" ht="12.75" thickBot="1" x14ac:dyDescent="0.25">
      <c r="B161" s="321" t="s">
        <v>38</v>
      </c>
      <c r="C161" s="322"/>
      <c r="D161" s="322"/>
      <c r="E161" s="222"/>
      <c r="F161" s="222"/>
      <c r="G161" s="322"/>
      <c r="H161" s="322"/>
      <c r="I161" s="322"/>
      <c r="J161" s="322"/>
      <c r="K161" s="322"/>
      <c r="L161" s="322"/>
      <c r="M161" s="322"/>
      <c r="N161" s="322"/>
      <c r="O161" s="322"/>
      <c r="P161" s="322"/>
      <c r="Q161" s="322"/>
      <c r="R161" s="323"/>
      <c r="S161" s="125"/>
    </row>
    <row r="162" spans="2:19" ht="138.75" customHeight="1" x14ac:dyDescent="0.2">
      <c r="B162" s="86">
        <v>1</v>
      </c>
      <c r="C162" s="88" t="s">
        <v>275</v>
      </c>
      <c r="D162" s="88" t="s">
        <v>639</v>
      </c>
      <c r="E162" s="87" t="s">
        <v>640</v>
      </c>
      <c r="F162" s="90">
        <v>0.5</v>
      </c>
      <c r="G162" s="90" t="s">
        <v>209</v>
      </c>
      <c r="H162" s="90" t="s">
        <v>62</v>
      </c>
      <c r="I162" s="90" t="s">
        <v>641</v>
      </c>
      <c r="J162" s="90" t="s">
        <v>63</v>
      </c>
      <c r="K162" s="92">
        <v>39405</v>
      </c>
      <c r="L162" s="92">
        <v>40035</v>
      </c>
      <c r="M162" s="172">
        <v>4677633121.04</v>
      </c>
      <c r="N162" s="179">
        <f t="shared" ref="N162:N165" si="15">+M162*F162</f>
        <v>2338816560.52</v>
      </c>
      <c r="O162" s="94">
        <f>+ROUND(N162/VLOOKUP(K162,[5]SMLM!$A$2:$D$36,4,TRUE),0)</f>
        <v>5393</v>
      </c>
      <c r="P162" s="412">
        <f>+[5]Requisitos!$I$10</f>
        <v>1380.5396945616883</v>
      </c>
      <c r="Q162" s="172" t="str">
        <f>IF(H162="SI",IF(O162&gt;=$P$12,"SI","NO"),"NO")</f>
        <v>SI</v>
      </c>
      <c r="R162" s="296" t="s">
        <v>642</v>
      </c>
      <c r="S162" s="111" t="s">
        <v>733</v>
      </c>
    </row>
    <row r="163" spans="2:19" ht="258.75" customHeight="1" x14ac:dyDescent="0.2">
      <c r="B163" s="100">
        <v>2</v>
      </c>
      <c r="C163" s="102" t="s">
        <v>574</v>
      </c>
      <c r="D163" s="102" t="s">
        <v>562</v>
      </c>
      <c r="E163" s="101" t="s">
        <v>643</v>
      </c>
      <c r="F163" s="104">
        <v>0.5</v>
      </c>
      <c r="G163" s="104" t="s">
        <v>57</v>
      </c>
      <c r="H163" s="104" t="s">
        <v>62</v>
      </c>
      <c r="I163" s="104" t="s">
        <v>564</v>
      </c>
      <c r="J163" s="104" t="s">
        <v>63</v>
      </c>
      <c r="K163" s="106">
        <v>38772</v>
      </c>
      <c r="L163" s="106">
        <v>40656</v>
      </c>
      <c r="M163" s="179">
        <f>2886785280+115909520+305088445+1344546519+141503092</f>
        <v>4793832856</v>
      </c>
      <c r="N163" s="179">
        <f t="shared" si="15"/>
        <v>2396916428</v>
      </c>
      <c r="O163" s="108">
        <v>5670</v>
      </c>
      <c r="P163" s="413"/>
      <c r="Q163" s="179" t="str">
        <f t="shared" ref="Q163:Q164" si="16">IF(H163="SI",IF(O163&gt;=$P$12,"SI","NO"),"NO")</f>
        <v>SI</v>
      </c>
      <c r="R163" s="110">
        <f>'[5]E General Prop9'!S164</f>
        <v>0</v>
      </c>
      <c r="S163" s="144"/>
    </row>
    <row r="164" spans="2:19" ht="60" customHeight="1" x14ac:dyDescent="0.2">
      <c r="B164" s="100">
        <v>3</v>
      </c>
      <c r="C164" s="102" t="s">
        <v>212</v>
      </c>
      <c r="D164" s="102" t="s">
        <v>567</v>
      </c>
      <c r="E164" s="101" t="s">
        <v>644</v>
      </c>
      <c r="F164" s="104">
        <v>0.5</v>
      </c>
      <c r="G164" s="104" t="s">
        <v>57</v>
      </c>
      <c r="H164" s="104" t="s">
        <v>62</v>
      </c>
      <c r="I164" s="102" t="s">
        <v>564</v>
      </c>
      <c r="J164" s="104" t="s">
        <v>63</v>
      </c>
      <c r="K164" s="106">
        <v>37308</v>
      </c>
      <c r="L164" s="106">
        <v>37986</v>
      </c>
      <c r="M164" s="179">
        <v>1335742560</v>
      </c>
      <c r="N164" s="179">
        <f t="shared" si="15"/>
        <v>667871280</v>
      </c>
      <c r="O164" s="108">
        <f>+ROUND(N164/VLOOKUP(K164,[5]SMLM!$A$2:$D$36,4,TRUE),0)</f>
        <v>2161</v>
      </c>
      <c r="P164" s="413"/>
      <c r="Q164" s="179" t="str">
        <f t="shared" si="16"/>
        <v>SI</v>
      </c>
      <c r="R164" s="298" t="s">
        <v>645</v>
      </c>
      <c r="S164" s="144"/>
    </row>
    <row r="165" spans="2:19" ht="62.25" customHeight="1" thickBot="1" x14ac:dyDescent="0.25">
      <c r="B165" s="112">
        <v>4</v>
      </c>
      <c r="C165" s="113" t="s">
        <v>212</v>
      </c>
      <c r="D165" s="113" t="s">
        <v>571</v>
      </c>
      <c r="E165" s="324" t="s">
        <v>646</v>
      </c>
      <c r="F165" s="115">
        <v>1</v>
      </c>
      <c r="G165" s="115" t="s">
        <v>57</v>
      </c>
      <c r="H165" s="115" t="s">
        <v>62</v>
      </c>
      <c r="I165" s="115" t="s">
        <v>564</v>
      </c>
      <c r="J165" s="115" t="s">
        <v>63</v>
      </c>
      <c r="K165" s="117">
        <v>36992</v>
      </c>
      <c r="L165" s="117">
        <v>37539</v>
      </c>
      <c r="M165" s="175">
        <v>999931231</v>
      </c>
      <c r="N165" s="175">
        <f t="shared" si="15"/>
        <v>999931231</v>
      </c>
      <c r="O165" s="119">
        <f>+ROUND(N165/VLOOKUP(K165,[5]SMLM!$A$2:$D$36,4,TRUE),0)</f>
        <v>3496</v>
      </c>
      <c r="P165" s="414"/>
      <c r="Q165" s="115" t="str">
        <f>IF(H165="SI",IF(O165&gt;=$P$12,"SI","NO"),"NO")</f>
        <v>SI</v>
      </c>
      <c r="R165" s="300" t="s">
        <v>647</v>
      </c>
      <c r="S165" s="149"/>
    </row>
    <row r="166" spans="2:19" x14ac:dyDescent="0.2">
      <c r="B166" s="220"/>
      <c r="C166" s="222"/>
      <c r="D166" s="222"/>
      <c r="E166" s="222"/>
      <c r="F166" s="222"/>
      <c r="G166" s="222"/>
      <c r="H166" s="222"/>
      <c r="I166" s="222"/>
      <c r="J166" s="222"/>
      <c r="K166" s="222"/>
      <c r="L166" s="222"/>
      <c r="M166" s="222"/>
      <c r="N166" s="222"/>
      <c r="O166" s="222"/>
      <c r="P166" s="222"/>
      <c r="Q166" s="222"/>
      <c r="R166" s="223"/>
    </row>
    <row r="167" spans="2:19" x14ac:dyDescent="0.2">
      <c r="B167" s="220"/>
      <c r="C167" s="222"/>
      <c r="D167" s="222"/>
      <c r="E167" s="222"/>
      <c r="F167" s="222"/>
      <c r="G167" s="222"/>
      <c r="H167" s="222"/>
      <c r="I167" s="222"/>
      <c r="J167" s="222"/>
      <c r="K167" s="222"/>
      <c r="L167" s="222"/>
      <c r="M167" s="222"/>
      <c r="N167" s="222"/>
      <c r="O167" s="222"/>
      <c r="P167" s="222"/>
      <c r="Q167" s="222"/>
      <c r="R167" s="223"/>
    </row>
    <row r="168" spans="2:19" ht="12.75" thickBot="1" x14ac:dyDescent="0.25">
      <c r="B168" s="220"/>
      <c r="C168" s="222"/>
      <c r="D168" s="222"/>
      <c r="E168" s="222"/>
      <c r="F168" s="222"/>
      <c r="G168" s="222"/>
      <c r="H168" s="222"/>
      <c r="I168" s="222"/>
      <c r="J168" s="222"/>
      <c r="K168" s="222"/>
      <c r="L168" s="222"/>
      <c r="M168" s="222"/>
      <c r="N168" s="222"/>
      <c r="O168" s="325"/>
      <c r="P168" s="222"/>
      <c r="Q168" s="222"/>
      <c r="R168" s="223"/>
    </row>
    <row r="169" spans="2:19" x14ac:dyDescent="0.2">
      <c r="B169" s="220"/>
      <c r="C169" s="222"/>
      <c r="D169" s="222"/>
      <c r="E169" s="341" t="s">
        <v>54</v>
      </c>
      <c r="F169" s="303">
        <f>COUNTIF(Q162:Q165,"SI")</f>
        <v>4</v>
      </c>
      <c r="G169" s="222"/>
      <c r="H169" s="222"/>
      <c r="I169" s="222"/>
      <c r="J169" s="222"/>
      <c r="K169" s="222"/>
      <c r="L169" s="222"/>
      <c r="M169" s="222"/>
      <c r="N169" s="222"/>
      <c r="O169" s="222"/>
      <c r="P169" s="222"/>
      <c r="Q169" s="222"/>
      <c r="R169" s="223"/>
    </row>
    <row r="170" spans="2:19" x14ac:dyDescent="0.2">
      <c r="B170" s="220"/>
      <c r="C170" s="222"/>
      <c r="D170" s="222"/>
      <c r="E170" s="342" t="s">
        <v>35</v>
      </c>
      <c r="F170" s="304">
        <f>+IF(F169=2,600,IF(F169=3,700,IF(F169=4,900,0)))</f>
        <v>900</v>
      </c>
      <c r="G170" s="222"/>
      <c r="H170" s="222"/>
      <c r="I170" s="222"/>
      <c r="J170" s="222"/>
      <c r="K170" s="222"/>
      <c r="L170" s="222"/>
      <c r="M170" s="222"/>
      <c r="N170" s="222"/>
      <c r="O170" s="222"/>
      <c r="P170" s="222"/>
      <c r="Q170" s="222"/>
      <c r="R170" s="223"/>
    </row>
    <row r="171" spans="2:19" ht="39.75" customHeight="1" x14ac:dyDescent="0.2">
      <c r="B171" s="220"/>
      <c r="C171" s="222"/>
      <c r="D171" s="222"/>
      <c r="E171" s="343" t="s">
        <v>186</v>
      </c>
      <c r="F171" s="304" t="s">
        <v>82</v>
      </c>
      <c r="G171" s="222"/>
      <c r="H171" s="222"/>
      <c r="I171" s="222"/>
      <c r="J171" s="222"/>
      <c r="K171" s="222"/>
      <c r="L171" s="222"/>
      <c r="M171" s="222"/>
      <c r="N171" s="222"/>
      <c r="O171" s="222"/>
      <c r="P171" s="222"/>
      <c r="Q171" s="222"/>
      <c r="R171" s="223"/>
    </row>
    <row r="172" spans="2:19" x14ac:dyDescent="0.2">
      <c r="B172" s="220"/>
      <c r="C172" s="222"/>
      <c r="D172" s="222"/>
      <c r="E172" s="342" t="s">
        <v>68</v>
      </c>
      <c r="F172" s="304" t="s">
        <v>82</v>
      </c>
      <c r="G172" s="222"/>
      <c r="H172" s="222"/>
      <c r="I172" s="222"/>
      <c r="J172" s="222"/>
      <c r="K172" s="222"/>
      <c r="L172" s="222"/>
      <c r="M172" s="222"/>
      <c r="N172" s="222"/>
      <c r="O172" s="222"/>
      <c r="P172" s="222"/>
      <c r="Q172" s="222"/>
      <c r="R172" s="223"/>
    </row>
    <row r="173" spans="2:19" ht="12.75" thickBot="1" x14ac:dyDescent="0.25">
      <c r="B173" s="220"/>
      <c r="C173" s="222"/>
      <c r="D173" s="222"/>
      <c r="E173" s="344" t="s">
        <v>69</v>
      </c>
      <c r="F173" s="305">
        <f>+COUNTIF(J162:J165,"si")</f>
        <v>0</v>
      </c>
      <c r="G173" s="222"/>
      <c r="H173" s="222"/>
      <c r="I173" s="222"/>
      <c r="J173" s="222"/>
      <c r="K173" s="222"/>
      <c r="L173" s="222"/>
      <c r="M173" s="222"/>
      <c r="N173" s="222"/>
      <c r="O173" s="222"/>
      <c r="P173" s="222"/>
      <c r="Q173" s="222"/>
      <c r="R173" s="223"/>
    </row>
    <row r="174" spans="2:19" x14ac:dyDescent="0.2">
      <c r="B174" s="220"/>
      <c r="C174" s="222"/>
      <c r="D174" s="222"/>
      <c r="E174" s="222"/>
      <c r="F174" s="222"/>
      <c r="G174" s="222"/>
      <c r="H174" s="222"/>
      <c r="I174" s="222"/>
      <c r="J174" s="222"/>
      <c r="K174" s="222"/>
      <c r="L174" s="222"/>
      <c r="M174" s="222"/>
      <c r="N174" s="222"/>
      <c r="O174" s="222"/>
      <c r="P174" s="222"/>
      <c r="Q174" s="222"/>
      <c r="R174" s="223"/>
    </row>
    <row r="175" spans="2:19" x14ac:dyDescent="0.2">
      <c r="B175" s="220"/>
      <c r="C175" s="222"/>
      <c r="D175" s="222"/>
      <c r="E175" s="222"/>
      <c r="F175" s="222"/>
      <c r="G175" s="222"/>
      <c r="H175" s="222"/>
      <c r="I175" s="222"/>
      <c r="J175" s="222"/>
      <c r="K175" s="222"/>
      <c r="L175" s="222"/>
      <c r="M175" s="222"/>
      <c r="N175" s="222"/>
      <c r="O175" s="222"/>
      <c r="P175" s="222"/>
      <c r="Q175" s="222"/>
      <c r="R175" s="223"/>
    </row>
    <row r="176" spans="2:19" ht="12.75" thickBot="1" x14ac:dyDescent="0.25">
      <c r="B176" s="326"/>
      <c r="C176" s="327"/>
      <c r="D176" s="327"/>
      <c r="E176" s="327"/>
      <c r="F176" s="327"/>
      <c r="G176" s="327"/>
      <c r="H176" s="327"/>
      <c r="I176" s="327"/>
      <c r="J176" s="327"/>
      <c r="K176" s="327"/>
      <c r="L176" s="327"/>
      <c r="M176" s="327"/>
      <c r="N176" s="327"/>
      <c r="O176" s="327"/>
      <c r="P176" s="327"/>
      <c r="Q176" s="327"/>
      <c r="R176" s="328"/>
    </row>
    <row r="177" spans="2:19" ht="12.75" thickBot="1" x14ac:dyDescent="0.25"/>
    <row r="178" spans="2:19" ht="12.75" thickBot="1" x14ac:dyDescent="0.25">
      <c r="B178" s="281" t="s">
        <v>27</v>
      </c>
      <c r="C178" s="282"/>
      <c r="D178" s="282"/>
      <c r="E178" s="283">
        <v>10</v>
      </c>
      <c r="F178" s="282" t="str">
        <f>+VLOOKUP(E178,[5]Proponentes!$B$10:$D$78,2,FALSE())</f>
        <v>CONSORCIO INTERVENTORIA AEROPUERTO CALI</v>
      </c>
      <c r="G178" s="282"/>
      <c r="H178" s="282"/>
      <c r="I178" s="282"/>
      <c r="J178" s="282"/>
      <c r="K178" s="282"/>
      <c r="L178" s="282"/>
      <c r="M178" s="282"/>
      <c r="N178" s="282"/>
      <c r="O178" s="282"/>
      <c r="P178" s="282"/>
      <c r="Q178" s="282"/>
      <c r="R178" s="340"/>
      <c r="S178" s="286"/>
    </row>
    <row r="179" spans="2:19" ht="48.75" thickBot="1" x14ac:dyDescent="0.25">
      <c r="B179" s="317" t="s">
        <v>28</v>
      </c>
      <c r="C179" s="318" t="s">
        <v>29</v>
      </c>
      <c r="D179" s="318" t="s">
        <v>36</v>
      </c>
      <c r="E179" s="319" t="s">
        <v>20</v>
      </c>
      <c r="F179" s="318" t="s">
        <v>34</v>
      </c>
      <c r="G179" s="318" t="s">
        <v>30</v>
      </c>
      <c r="H179" s="318" t="s">
        <v>31</v>
      </c>
      <c r="I179" s="318" t="s">
        <v>32</v>
      </c>
      <c r="J179" s="318" t="s">
        <v>61</v>
      </c>
      <c r="K179" s="318" t="s">
        <v>70</v>
      </c>
      <c r="L179" s="318" t="s">
        <v>16</v>
      </c>
      <c r="M179" s="318" t="s">
        <v>73</v>
      </c>
      <c r="N179" s="318" t="s">
        <v>74</v>
      </c>
      <c r="O179" s="318" t="s">
        <v>67</v>
      </c>
      <c r="P179" s="318" t="s">
        <v>66</v>
      </c>
      <c r="Q179" s="318" t="s">
        <v>33</v>
      </c>
      <c r="R179" s="320" t="s">
        <v>19</v>
      </c>
      <c r="S179" s="151" t="s">
        <v>727</v>
      </c>
    </row>
    <row r="180" spans="2:19" ht="12.75" thickBot="1" x14ac:dyDescent="0.25">
      <c r="B180" s="321" t="s">
        <v>38</v>
      </c>
      <c r="C180" s="322"/>
      <c r="D180" s="322"/>
      <c r="E180" s="222"/>
      <c r="F180" s="222"/>
      <c r="G180" s="322"/>
      <c r="H180" s="322"/>
      <c r="I180" s="322"/>
      <c r="J180" s="322"/>
      <c r="K180" s="322"/>
      <c r="L180" s="322"/>
      <c r="M180" s="322"/>
      <c r="N180" s="322"/>
      <c r="O180" s="322"/>
      <c r="P180" s="322"/>
      <c r="Q180" s="322"/>
      <c r="R180" s="323"/>
      <c r="S180" s="125"/>
    </row>
    <row r="181" spans="2:19" ht="91.5" customHeight="1" x14ac:dyDescent="0.2">
      <c r="B181" s="86">
        <v>1</v>
      </c>
      <c r="C181" s="88" t="s">
        <v>588</v>
      </c>
      <c r="D181" s="88" t="s">
        <v>575</v>
      </c>
      <c r="E181" s="87" t="s">
        <v>648</v>
      </c>
      <c r="F181" s="90">
        <v>0.75</v>
      </c>
      <c r="G181" s="90" t="s">
        <v>57</v>
      </c>
      <c r="H181" s="90" t="s">
        <v>62</v>
      </c>
      <c r="I181" s="90" t="s">
        <v>649</v>
      </c>
      <c r="J181" s="90" t="s">
        <v>63</v>
      </c>
      <c r="K181" s="92">
        <v>38374</v>
      </c>
      <c r="L181" s="92">
        <v>39512</v>
      </c>
      <c r="M181" s="172">
        <v>4584728442</v>
      </c>
      <c r="N181" s="172">
        <f>+M181*F181</f>
        <v>3438546331.5</v>
      </c>
      <c r="O181" s="94">
        <f>+ROUND(N181/VLOOKUP(K181,[5]SMLM!$A$2:$D$36,4,TRUE),0)</f>
        <v>9013</v>
      </c>
      <c r="P181" s="412">
        <f>+[5]Requisitos!$I$10</f>
        <v>1380.5396945616883</v>
      </c>
      <c r="Q181" s="172" t="str">
        <f>IF(H181="SI",IF(O181&gt;=$P$12,"SI","NO"),"NO")</f>
        <v>SI</v>
      </c>
      <c r="R181" s="296" t="s">
        <v>650</v>
      </c>
      <c r="S181" s="144"/>
    </row>
    <row r="182" spans="2:19" ht="72" x14ac:dyDescent="0.2">
      <c r="B182" s="100">
        <v>2</v>
      </c>
      <c r="C182" s="102" t="s">
        <v>588</v>
      </c>
      <c r="D182" s="102" t="s">
        <v>651</v>
      </c>
      <c r="E182" s="101" t="s">
        <v>652</v>
      </c>
      <c r="F182" s="104">
        <v>0.34</v>
      </c>
      <c r="G182" s="104" t="s">
        <v>57</v>
      </c>
      <c r="H182" s="104" t="s">
        <v>62</v>
      </c>
      <c r="I182" s="104" t="s">
        <v>649</v>
      </c>
      <c r="J182" s="104" t="s">
        <v>63</v>
      </c>
      <c r="K182" s="106">
        <v>39792</v>
      </c>
      <c r="L182" s="106">
        <v>40977</v>
      </c>
      <c r="M182" s="179">
        <v>4939884563</v>
      </c>
      <c r="N182" s="179">
        <f t="shared" ref="N182:N184" si="17">+M182*F182</f>
        <v>1679560751.4200001</v>
      </c>
      <c r="O182" s="108">
        <f>+ROUND(N182/VLOOKUP(K182,[5]SMLM!$A$2:$D$36,4,TRUE),0)</f>
        <v>3639</v>
      </c>
      <c r="P182" s="413"/>
      <c r="Q182" s="179" t="str">
        <f t="shared" ref="Q182:Q183" si="18">IF(H182="SI",IF(O182&gt;=$P$12,"SI","NO"),"NO")</f>
        <v>SI</v>
      </c>
      <c r="R182" s="298" t="s">
        <v>653</v>
      </c>
      <c r="S182" s="144"/>
    </row>
    <row r="183" spans="2:19" ht="92.25" customHeight="1" x14ac:dyDescent="0.2">
      <c r="B183" s="100">
        <v>3</v>
      </c>
      <c r="C183" s="102" t="s">
        <v>588</v>
      </c>
      <c r="D183" s="102" t="s">
        <v>589</v>
      </c>
      <c r="E183" s="101" t="s">
        <v>654</v>
      </c>
      <c r="F183" s="104">
        <v>1</v>
      </c>
      <c r="G183" s="104" t="s">
        <v>57</v>
      </c>
      <c r="H183" s="104" t="s">
        <v>62</v>
      </c>
      <c r="I183" s="102" t="s">
        <v>586</v>
      </c>
      <c r="J183" s="104" t="s">
        <v>63</v>
      </c>
      <c r="K183" s="106">
        <v>38321</v>
      </c>
      <c r="L183" s="106">
        <v>39901</v>
      </c>
      <c r="M183" s="179">
        <v>1676200327</v>
      </c>
      <c r="N183" s="179">
        <f t="shared" si="17"/>
        <v>1676200327</v>
      </c>
      <c r="O183" s="108">
        <f>+ROUND(N183/VLOOKUP(K183,[5]SMLM!$A$2:$D$36,4,TRUE),0)</f>
        <v>4682</v>
      </c>
      <c r="P183" s="413"/>
      <c r="Q183" s="179" t="str">
        <f t="shared" si="18"/>
        <v>SI</v>
      </c>
      <c r="R183" s="298" t="s">
        <v>655</v>
      </c>
      <c r="S183" s="144"/>
    </row>
    <row r="184" spans="2:19" ht="222" customHeight="1" thickBot="1" x14ac:dyDescent="0.25">
      <c r="B184" s="112">
        <v>4</v>
      </c>
      <c r="C184" s="113" t="s">
        <v>656</v>
      </c>
      <c r="D184" s="113" t="s">
        <v>657</v>
      </c>
      <c r="E184" s="324" t="s">
        <v>658</v>
      </c>
      <c r="F184" s="115">
        <v>1</v>
      </c>
      <c r="G184" s="115" t="s">
        <v>57</v>
      </c>
      <c r="H184" s="115" t="s">
        <v>62</v>
      </c>
      <c r="I184" s="115" t="s">
        <v>659</v>
      </c>
      <c r="J184" s="115" t="s">
        <v>62</v>
      </c>
      <c r="K184" s="117">
        <v>35681</v>
      </c>
      <c r="L184" s="117">
        <v>35940</v>
      </c>
      <c r="M184" s="175">
        <v>334282469</v>
      </c>
      <c r="N184" s="175">
        <f t="shared" si="17"/>
        <v>334282469</v>
      </c>
      <c r="O184" s="119">
        <f>+ROUND(N184/VLOOKUP(K184,[5]SMLM!$A$2:$D$36,4,TRUE),0)</f>
        <v>1943</v>
      </c>
      <c r="P184" s="414"/>
      <c r="Q184" s="115" t="str">
        <f>IF(H184="SI",IF(O184&gt;=$P$12,"SI","NO"),"NO")</f>
        <v>SI</v>
      </c>
      <c r="R184" s="300" t="s">
        <v>660</v>
      </c>
      <c r="S184" s="149"/>
    </row>
    <row r="185" spans="2:19" x14ac:dyDescent="0.2">
      <c r="B185" s="220"/>
      <c r="C185" s="222"/>
      <c r="D185" s="222"/>
      <c r="E185" s="222"/>
      <c r="F185" s="222"/>
      <c r="G185" s="222"/>
      <c r="H185" s="222"/>
      <c r="I185" s="222"/>
      <c r="J185" s="222"/>
      <c r="K185" s="222"/>
      <c r="L185" s="222"/>
      <c r="M185" s="222"/>
      <c r="N185" s="222"/>
      <c r="O185" s="222"/>
      <c r="P185" s="222"/>
      <c r="Q185" s="222"/>
      <c r="R185" s="223"/>
    </row>
    <row r="186" spans="2:19" x14ac:dyDescent="0.2">
      <c r="B186" s="220"/>
      <c r="C186" s="222"/>
      <c r="D186" s="222"/>
      <c r="E186" s="222"/>
      <c r="F186" s="222"/>
      <c r="G186" s="222"/>
      <c r="H186" s="222"/>
      <c r="I186" s="222"/>
      <c r="J186" s="222"/>
      <c r="K186" s="222"/>
      <c r="L186" s="222"/>
      <c r="M186" s="222"/>
      <c r="N186" s="222"/>
      <c r="O186" s="222"/>
      <c r="P186" s="222"/>
      <c r="Q186" s="222"/>
      <c r="R186" s="223"/>
    </row>
    <row r="187" spans="2:19" ht="12.75" thickBot="1" x14ac:dyDescent="0.25">
      <c r="B187" s="220"/>
      <c r="C187" s="222"/>
      <c r="D187" s="222"/>
      <c r="E187" s="222"/>
      <c r="F187" s="222"/>
      <c r="G187" s="222"/>
      <c r="H187" s="222"/>
      <c r="I187" s="222"/>
      <c r="J187" s="222"/>
      <c r="K187" s="222"/>
      <c r="L187" s="222"/>
      <c r="M187" s="222"/>
      <c r="N187" s="222"/>
      <c r="O187" s="325"/>
      <c r="P187" s="222"/>
      <c r="Q187" s="222"/>
      <c r="R187" s="223"/>
    </row>
    <row r="188" spans="2:19" x14ac:dyDescent="0.2">
      <c r="B188" s="220"/>
      <c r="C188" s="222"/>
      <c r="D188" s="222"/>
      <c r="E188" s="341" t="s">
        <v>54</v>
      </c>
      <c r="F188" s="303">
        <f>COUNTIF(Q181:Q184,"SI")</f>
        <v>4</v>
      </c>
      <c r="G188" s="222"/>
      <c r="H188" s="222"/>
      <c r="I188" s="222"/>
      <c r="J188" s="222"/>
      <c r="K188" s="222"/>
      <c r="L188" s="222"/>
      <c r="M188" s="222"/>
      <c r="N188" s="222"/>
      <c r="O188" s="222"/>
      <c r="P188" s="222"/>
      <c r="Q188" s="222"/>
      <c r="R188" s="223"/>
    </row>
    <row r="189" spans="2:19" x14ac:dyDescent="0.2">
      <c r="B189" s="220"/>
      <c r="C189" s="222"/>
      <c r="D189" s="222"/>
      <c r="E189" s="342" t="s">
        <v>35</v>
      </c>
      <c r="F189" s="304">
        <f>+IF(F188=2,600,IF(F188=3,700,IF(F188=4,900,0)))</f>
        <v>900</v>
      </c>
      <c r="G189" s="222"/>
      <c r="H189" s="222"/>
      <c r="I189" s="222"/>
      <c r="J189" s="222"/>
      <c r="K189" s="222"/>
      <c r="L189" s="222"/>
      <c r="M189" s="222"/>
      <c r="N189" s="222"/>
      <c r="O189" s="222"/>
      <c r="P189" s="222"/>
      <c r="Q189" s="222"/>
      <c r="R189" s="223"/>
    </row>
    <row r="190" spans="2:19" ht="37.5" customHeight="1" x14ac:dyDescent="0.2">
      <c r="B190" s="220"/>
      <c r="C190" s="222"/>
      <c r="D190" s="222"/>
      <c r="E190" s="343" t="s">
        <v>186</v>
      </c>
      <c r="F190" s="304" t="s">
        <v>82</v>
      </c>
      <c r="G190" s="222"/>
      <c r="H190" s="222"/>
      <c r="I190" s="222"/>
      <c r="J190" s="222"/>
      <c r="K190" s="222"/>
      <c r="L190" s="222"/>
      <c r="M190" s="222"/>
      <c r="N190" s="222"/>
      <c r="O190" s="222"/>
      <c r="P190" s="222"/>
      <c r="Q190" s="222"/>
      <c r="R190" s="223"/>
    </row>
    <row r="191" spans="2:19" x14ac:dyDescent="0.2">
      <c r="B191" s="220"/>
      <c r="C191" s="222"/>
      <c r="D191" s="222"/>
      <c r="E191" s="342" t="s">
        <v>68</v>
      </c>
      <c r="F191" s="304" t="s">
        <v>82</v>
      </c>
      <c r="G191" s="222"/>
      <c r="H191" s="222"/>
      <c r="I191" s="222"/>
      <c r="J191" s="222"/>
      <c r="K191" s="222"/>
      <c r="L191" s="222"/>
      <c r="M191" s="222"/>
      <c r="N191" s="222"/>
      <c r="O191" s="222"/>
      <c r="P191" s="222"/>
      <c r="Q191" s="222"/>
      <c r="R191" s="223"/>
    </row>
    <row r="192" spans="2:19" ht="12.75" thickBot="1" x14ac:dyDescent="0.25">
      <c r="B192" s="220"/>
      <c r="C192" s="222"/>
      <c r="D192" s="222"/>
      <c r="E192" s="344" t="s">
        <v>69</v>
      </c>
      <c r="F192" s="305">
        <f>+COUNTIF(J181:J184,"si")</f>
        <v>1</v>
      </c>
      <c r="G192" s="222"/>
      <c r="H192" s="222"/>
      <c r="I192" s="222"/>
      <c r="J192" s="222"/>
      <c r="K192" s="222"/>
      <c r="L192" s="222"/>
      <c r="M192" s="222"/>
      <c r="N192" s="222"/>
      <c r="O192" s="222"/>
      <c r="P192" s="222"/>
      <c r="Q192" s="222"/>
      <c r="R192" s="223"/>
    </row>
    <row r="193" spans="2:19" x14ac:dyDescent="0.2">
      <c r="B193" s="220"/>
      <c r="C193" s="222"/>
      <c r="D193" s="222"/>
      <c r="E193" s="222"/>
      <c r="F193" s="222"/>
      <c r="G193" s="222"/>
      <c r="H193" s="222"/>
      <c r="I193" s="222"/>
      <c r="J193" s="222"/>
      <c r="K193" s="222"/>
      <c r="L193" s="222"/>
      <c r="M193" s="222"/>
      <c r="N193" s="222"/>
      <c r="O193" s="222"/>
      <c r="P193" s="222"/>
      <c r="Q193" s="222"/>
      <c r="R193" s="223"/>
    </row>
    <row r="194" spans="2:19" x14ac:dyDescent="0.2">
      <c r="B194" s="220"/>
      <c r="C194" s="222"/>
      <c r="D194" s="222"/>
      <c r="E194" s="222"/>
      <c r="F194" s="222"/>
      <c r="G194" s="222"/>
      <c r="H194" s="222"/>
      <c r="I194" s="222"/>
      <c r="J194" s="222"/>
      <c r="K194" s="222"/>
      <c r="L194" s="222"/>
      <c r="M194" s="222"/>
      <c r="N194" s="222"/>
      <c r="O194" s="222"/>
      <c r="P194" s="222"/>
      <c r="Q194" s="222"/>
      <c r="R194" s="223"/>
    </row>
    <row r="195" spans="2:19" ht="12.75" thickBot="1" x14ac:dyDescent="0.25">
      <c r="B195" s="326"/>
      <c r="C195" s="327"/>
      <c r="D195" s="327"/>
      <c r="E195" s="327"/>
      <c r="F195" s="327"/>
      <c r="G195" s="327"/>
      <c r="H195" s="327"/>
      <c r="I195" s="327"/>
      <c r="J195" s="327"/>
      <c r="K195" s="327"/>
      <c r="L195" s="327"/>
      <c r="M195" s="327"/>
      <c r="N195" s="327"/>
      <c r="O195" s="327"/>
      <c r="P195" s="327"/>
      <c r="Q195" s="327"/>
      <c r="R195" s="328"/>
    </row>
    <row r="196" spans="2:19" ht="12.75" thickBot="1" x14ac:dyDescent="0.25"/>
    <row r="197" spans="2:19" ht="12.75" thickBot="1" x14ac:dyDescent="0.25">
      <c r="B197" s="281" t="s">
        <v>27</v>
      </c>
      <c r="C197" s="282"/>
      <c r="D197" s="282"/>
      <c r="E197" s="283">
        <v>11</v>
      </c>
      <c r="F197" s="282" t="str">
        <f>+VLOOKUP(E197,[5]Proponentes!$B$10:$D$78,2,FALSE())</f>
        <v>CONSORCIO UNIDOS PARA EL AEROPUERTO DE PALMIRA</v>
      </c>
      <c r="G197" s="282"/>
      <c r="H197" s="282"/>
      <c r="I197" s="282"/>
      <c r="J197" s="282"/>
      <c r="K197" s="282"/>
      <c r="L197" s="282"/>
      <c r="M197" s="282"/>
      <c r="N197" s="282"/>
      <c r="O197" s="282"/>
      <c r="P197" s="282"/>
      <c r="Q197" s="282"/>
      <c r="R197" s="340"/>
      <c r="S197" s="286"/>
    </row>
    <row r="198" spans="2:19" ht="48.75" thickBot="1" x14ac:dyDescent="0.25">
      <c r="B198" s="317" t="s">
        <v>28</v>
      </c>
      <c r="C198" s="318" t="s">
        <v>29</v>
      </c>
      <c r="D198" s="318" t="s">
        <v>36</v>
      </c>
      <c r="E198" s="319" t="s">
        <v>20</v>
      </c>
      <c r="F198" s="318" t="s">
        <v>34</v>
      </c>
      <c r="G198" s="318" t="s">
        <v>30</v>
      </c>
      <c r="H198" s="318" t="s">
        <v>31</v>
      </c>
      <c r="I198" s="318" t="s">
        <v>32</v>
      </c>
      <c r="J198" s="318" t="s">
        <v>61</v>
      </c>
      <c r="K198" s="318" t="s">
        <v>70</v>
      </c>
      <c r="L198" s="318" t="s">
        <v>16</v>
      </c>
      <c r="M198" s="318" t="s">
        <v>73</v>
      </c>
      <c r="N198" s="318" t="s">
        <v>74</v>
      </c>
      <c r="O198" s="318" t="s">
        <v>67</v>
      </c>
      <c r="P198" s="318" t="s">
        <v>66</v>
      </c>
      <c r="Q198" s="318" t="s">
        <v>33</v>
      </c>
      <c r="R198" s="320" t="s">
        <v>19</v>
      </c>
      <c r="S198" s="151" t="s">
        <v>727</v>
      </c>
    </row>
    <row r="199" spans="2:19" ht="12.75" thickBot="1" x14ac:dyDescent="0.25">
      <c r="B199" s="321" t="s">
        <v>38</v>
      </c>
      <c r="C199" s="322"/>
      <c r="D199" s="322"/>
      <c r="E199" s="222"/>
      <c r="F199" s="222"/>
      <c r="G199" s="322"/>
      <c r="H199" s="322"/>
      <c r="I199" s="322"/>
      <c r="J199" s="322"/>
      <c r="K199" s="322"/>
      <c r="L199" s="322"/>
      <c r="M199" s="322"/>
      <c r="N199" s="322"/>
      <c r="O199" s="322"/>
      <c r="P199" s="322"/>
      <c r="Q199" s="322"/>
      <c r="R199" s="323"/>
      <c r="S199" s="125"/>
    </row>
    <row r="200" spans="2:19" ht="88.5" customHeight="1" x14ac:dyDescent="0.2">
      <c r="B200" s="86">
        <v>1</v>
      </c>
      <c r="C200" s="88" t="s">
        <v>661</v>
      </c>
      <c r="D200" s="88" t="s">
        <v>662</v>
      </c>
      <c r="E200" s="87" t="s">
        <v>663</v>
      </c>
      <c r="F200" s="90">
        <v>0.25</v>
      </c>
      <c r="G200" s="90" t="s">
        <v>57</v>
      </c>
      <c r="H200" s="90" t="s">
        <v>62</v>
      </c>
      <c r="I200" s="90" t="s">
        <v>601</v>
      </c>
      <c r="J200" s="90" t="s">
        <v>63</v>
      </c>
      <c r="K200" s="92">
        <v>38718</v>
      </c>
      <c r="L200" s="92" t="s">
        <v>664</v>
      </c>
      <c r="M200" s="172">
        <v>7774238321</v>
      </c>
      <c r="N200" s="172">
        <f>+M200*F200</f>
        <v>1943559580.25</v>
      </c>
      <c r="O200" s="94">
        <f>+ROUND(N200/VLOOKUP(K200,[5]SMLM!$A$2:$D$36,4,TRUE),0)</f>
        <v>4764</v>
      </c>
      <c r="P200" s="412">
        <f>+[5]Requisitos!$I$10</f>
        <v>1380.5396945616883</v>
      </c>
      <c r="Q200" s="172" t="str">
        <f>IF(H200="SI",IF(O200&gt;=$P$12,"SI","NO"),"NO")</f>
        <v>SI</v>
      </c>
      <c r="R200" s="296" t="s">
        <v>665</v>
      </c>
      <c r="S200" s="144"/>
    </row>
    <row r="201" spans="2:19" ht="58.5" customHeight="1" x14ac:dyDescent="0.2">
      <c r="B201" s="100">
        <v>2</v>
      </c>
      <c r="C201" s="102" t="s">
        <v>445</v>
      </c>
      <c r="D201" s="102" t="s">
        <v>666</v>
      </c>
      <c r="E201" s="101" t="s">
        <v>667</v>
      </c>
      <c r="F201" s="237">
        <v>0.33329999999999999</v>
      </c>
      <c r="G201" s="104" t="s">
        <v>209</v>
      </c>
      <c r="H201" s="104" t="s">
        <v>62</v>
      </c>
      <c r="I201" s="104" t="s">
        <v>668</v>
      </c>
      <c r="J201" s="104" t="s">
        <v>63</v>
      </c>
      <c r="K201" s="106">
        <v>38548</v>
      </c>
      <c r="L201" s="106">
        <v>40695</v>
      </c>
      <c r="M201" s="179">
        <v>12550541861.469999</v>
      </c>
      <c r="N201" s="179">
        <f t="shared" ref="N201:N203" si="19">+M201*F201</f>
        <v>4183095602.4279504</v>
      </c>
      <c r="O201" s="108">
        <f>+ROUND(N201/VLOOKUP(K201,[5]SMLM!$A$2:$D$36,4,TRUE),0)</f>
        <v>10965</v>
      </c>
      <c r="P201" s="413"/>
      <c r="Q201" s="179" t="str">
        <f t="shared" ref="Q201:Q202" si="20">IF(H201="SI",IF(O201&gt;=$P$12,"SI","NO"),"NO")</f>
        <v>SI</v>
      </c>
      <c r="R201" s="298" t="s">
        <v>669</v>
      </c>
      <c r="S201" s="144"/>
    </row>
    <row r="202" spans="2:19" ht="65.25" customHeight="1" x14ac:dyDescent="0.2">
      <c r="B202" s="100">
        <v>3</v>
      </c>
      <c r="C202" s="102" t="s">
        <v>445</v>
      </c>
      <c r="D202" s="102" t="s">
        <v>606</v>
      </c>
      <c r="E202" s="101" t="s">
        <v>670</v>
      </c>
      <c r="F202" s="237">
        <v>0.33329999999999999</v>
      </c>
      <c r="G202" s="104" t="s">
        <v>209</v>
      </c>
      <c r="H202" s="104" t="s">
        <v>62</v>
      </c>
      <c r="I202" s="102" t="s">
        <v>668</v>
      </c>
      <c r="J202" s="104" t="s">
        <v>63</v>
      </c>
      <c r="K202" s="106">
        <v>38488</v>
      </c>
      <c r="L202" s="106">
        <v>40212</v>
      </c>
      <c r="M202" s="179">
        <v>19348758441.900002</v>
      </c>
      <c r="N202" s="179">
        <f t="shared" si="19"/>
        <v>6448941188.6852703</v>
      </c>
      <c r="O202" s="108">
        <f>+ROUND(N202/VLOOKUP(K202,[5]SMLM!$A$2:$D$36,4,TRUE),0)</f>
        <v>16904</v>
      </c>
      <c r="P202" s="413"/>
      <c r="Q202" s="179" t="str">
        <f t="shared" si="20"/>
        <v>SI</v>
      </c>
      <c r="R202" s="298" t="s">
        <v>671</v>
      </c>
      <c r="S202" s="144"/>
    </row>
    <row r="203" spans="2:19" ht="73.5" customHeight="1" thickBot="1" x14ac:dyDescent="0.25">
      <c r="B203" s="112">
        <v>4</v>
      </c>
      <c r="C203" s="113" t="s">
        <v>445</v>
      </c>
      <c r="D203" s="113" t="s">
        <v>672</v>
      </c>
      <c r="E203" s="324" t="s">
        <v>673</v>
      </c>
      <c r="F203" s="115">
        <v>0.5</v>
      </c>
      <c r="G203" s="115" t="s">
        <v>209</v>
      </c>
      <c r="H203" s="115" t="s">
        <v>62</v>
      </c>
      <c r="I203" s="115" t="s">
        <v>674</v>
      </c>
      <c r="J203" s="115" t="s">
        <v>63</v>
      </c>
      <c r="K203" s="117">
        <v>38589</v>
      </c>
      <c r="L203" s="117">
        <v>39813</v>
      </c>
      <c r="M203" s="175">
        <v>3038260335</v>
      </c>
      <c r="N203" s="175">
        <f t="shared" si="19"/>
        <v>1519130167.5</v>
      </c>
      <c r="O203" s="119">
        <f>+ROUND(N203/VLOOKUP(K203,[5]SMLM!$A$2:$D$36,4,TRUE),0)</f>
        <v>3982</v>
      </c>
      <c r="P203" s="414"/>
      <c r="Q203" s="115" t="str">
        <f>IF(H203="SI",IF(O203&gt;=$P$12,"SI","NO"),"NO")</f>
        <v>SI</v>
      </c>
      <c r="R203" s="300" t="s">
        <v>675</v>
      </c>
      <c r="S203" s="149"/>
    </row>
    <row r="204" spans="2:19" x14ac:dyDescent="0.2">
      <c r="B204" s="83"/>
      <c r="C204" s="85"/>
      <c r="D204" s="85"/>
      <c r="E204" s="85"/>
      <c r="F204" s="85"/>
      <c r="G204" s="85"/>
      <c r="H204" s="85"/>
      <c r="I204" s="85"/>
      <c r="J204" s="85"/>
      <c r="K204" s="85"/>
      <c r="L204" s="85"/>
      <c r="M204" s="85"/>
      <c r="N204" s="85"/>
      <c r="O204" s="85"/>
      <c r="P204" s="85"/>
      <c r="Q204" s="85"/>
      <c r="R204" s="125"/>
    </row>
    <row r="205" spans="2:19" x14ac:dyDescent="0.2">
      <c r="B205" s="83"/>
      <c r="C205" s="85"/>
      <c r="D205" s="85"/>
      <c r="E205" s="85"/>
      <c r="F205" s="85"/>
      <c r="G205" s="85"/>
      <c r="H205" s="85"/>
      <c r="I205" s="85"/>
      <c r="J205" s="85"/>
      <c r="K205" s="85"/>
      <c r="L205" s="85"/>
      <c r="M205" s="85"/>
      <c r="N205" s="85"/>
      <c r="O205" s="85"/>
      <c r="P205" s="85"/>
      <c r="Q205" s="85"/>
      <c r="R205" s="125"/>
    </row>
    <row r="206" spans="2:19" ht="12.75" thickBot="1" x14ac:dyDescent="0.25">
      <c r="B206" s="83"/>
      <c r="C206" s="85"/>
      <c r="D206" s="85"/>
      <c r="E206" s="85"/>
      <c r="F206" s="85"/>
      <c r="G206" s="85"/>
      <c r="H206" s="85"/>
      <c r="I206" s="85"/>
      <c r="J206" s="85"/>
      <c r="K206" s="85"/>
      <c r="L206" s="85"/>
      <c r="M206" s="85"/>
      <c r="N206" s="85"/>
      <c r="O206" s="301"/>
      <c r="P206" s="85"/>
      <c r="Q206" s="85"/>
      <c r="R206" s="125"/>
    </row>
    <row r="207" spans="2:19" x14ac:dyDescent="0.2">
      <c r="B207" s="83"/>
      <c r="C207" s="85"/>
      <c r="D207" s="85"/>
      <c r="E207" s="334" t="s">
        <v>54</v>
      </c>
      <c r="F207" s="303">
        <f>COUNTIF(Q200:Q203,"SI")</f>
        <v>4</v>
      </c>
      <c r="G207" s="85"/>
      <c r="H207" s="85"/>
      <c r="I207" s="85"/>
      <c r="J207" s="85"/>
      <c r="K207" s="85"/>
      <c r="L207" s="85"/>
      <c r="M207" s="85"/>
      <c r="N207" s="85"/>
      <c r="O207" s="85"/>
      <c r="P207" s="85"/>
      <c r="Q207" s="85"/>
      <c r="R207" s="125"/>
    </row>
    <row r="208" spans="2:19" x14ac:dyDescent="0.2">
      <c r="B208" s="83"/>
      <c r="C208" s="85"/>
      <c r="D208" s="85"/>
      <c r="E208" s="335" t="s">
        <v>35</v>
      </c>
      <c r="F208" s="304">
        <f>+IF(F207=2,600,IF(F207=3,700,IF(F207=4,900,0)))</f>
        <v>900</v>
      </c>
      <c r="G208" s="85"/>
      <c r="H208" s="85"/>
      <c r="I208" s="85"/>
      <c r="J208" s="85"/>
      <c r="K208" s="85"/>
      <c r="L208" s="85"/>
      <c r="M208" s="85"/>
      <c r="N208" s="85"/>
      <c r="O208" s="85"/>
      <c r="P208" s="85"/>
      <c r="Q208" s="85"/>
      <c r="R208" s="125"/>
    </row>
    <row r="209" spans="2:19" ht="36.75" customHeight="1" x14ac:dyDescent="0.2">
      <c r="B209" s="83"/>
      <c r="C209" s="85"/>
      <c r="D209" s="85"/>
      <c r="E209" s="336" t="s">
        <v>186</v>
      </c>
      <c r="F209" s="304" t="s">
        <v>82</v>
      </c>
      <c r="G209" s="85"/>
      <c r="H209" s="85"/>
      <c r="I209" s="85"/>
      <c r="J209" s="85"/>
      <c r="K209" s="85"/>
      <c r="L209" s="85"/>
      <c r="M209" s="85"/>
      <c r="N209" s="85"/>
      <c r="O209" s="85"/>
      <c r="P209" s="85"/>
      <c r="Q209" s="85"/>
      <c r="R209" s="125"/>
    </row>
    <row r="210" spans="2:19" x14ac:dyDescent="0.2">
      <c r="B210" s="83"/>
      <c r="C210" s="85"/>
      <c r="D210" s="85"/>
      <c r="E210" s="335" t="s">
        <v>68</v>
      </c>
      <c r="F210" s="304" t="s">
        <v>82</v>
      </c>
      <c r="G210" s="85"/>
      <c r="H210" s="85"/>
      <c r="I210" s="85"/>
      <c r="J210" s="85"/>
      <c r="K210" s="85"/>
      <c r="L210" s="85"/>
      <c r="M210" s="85"/>
      <c r="N210" s="85"/>
      <c r="O210" s="85"/>
      <c r="P210" s="85"/>
      <c r="Q210" s="85"/>
      <c r="R210" s="125"/>
    </row>
    <row r="211" spans="2:19" ht="12.75" thickBot="1" x14ac:dyDescent="0.25">
      <c r="B211" s="83"/>
      <c r="C211" s="85"/>
      <c r="D211" s="85"/>
      <c r="E211" s="337" t="s">
        <v>69</v>
      </c>
      <c r="F211" s="305">
        <f>+COUNTIF(J200:J203,"si")</f>
        <v>0</v>
      </c>
      <c r="G211" s="85"/>
      <c r="H211" s="85"/>
      <c r="I211" s="85"/>
      <c r="J211" s="85"/>
      <c r="K211" s="85"/>
      <c r="L211" s="85"/>
      <c r="M211" s="85"/>
      <c r="N211" s="85"/>
      <c r="O211" s="85"/>
      <c r="P211" s="85"/>
      <c r="Q211" s="85"/>
      <c r="R211" s="125"/>
    </row>
    <row r="212" spans="2:19" x14ac:dyDescent="0.2">
      <c r="B212" s="83"/>
      <c r="C212" s="85"/>
      <c r="D212" s="85"/>
      <c r="E212" s="85"/>
      <c r="F212" s="85"/>
      <c r="G212" s="85"/>
      <c r="H212" s="85"/>
      <c r="I212" s="85"/>
      <c r="J212" s="85"/>
      <c r="K212" s="85"/>
      <c r="L212" s="85"/>
      <c r="M212" s="85"/>
      <c r="N212" s="85"/>
      <c r="O212" s="85"/>
      <c r="P212" s="85"/>
      <c r="Q212" s="85"/>
      <c r="R212" s="125"/>
    </row>
    <row r="213" spans="2:19" x14ac:dyDescent="0.2">
      <c r="B213" s="83"/>
      <c r="C213" s="85"/>
      <c r="D213" s="85"/>
      <c r="E213" s="85"/>
      <c r="F213" s="85"/>
      <c r="G213" s="85"/>
      <c r="H213" s="85"/>
      <c r="I213" s="85"/>
      <c r="J213" s="85"/>
      <c r="K213" s="85"/>
      <c r="L213" s="85"/>
      <c r="M213" s="85"/>
      <c r="N213" s="85"/>
      <c r="O213" s="85"/>
      <c r="P213" s="85"/>
      <c r="Q213" s="85"/>
      <c r="R213" s="125"/>
    </row>
    <row r="214" spans="2:19" ht="12.75" thickBot="1" x14ac:dyDescent="0.25">
      <c r="B214" s="197"/>
      <c r="C214" s="199"/>
      <c r="D214" s="199"/>
      <c r="E214" s="199"/>
      <c r="F214" s="199"/>
      <c r="G214" s="199"/>
      <c r="H214" s="199"/>
      <c r="I214" s="199"/>
      <c r="J214" s="199"/>
      <c r="K214" s="199"/>
      <c r="L214" s="199"/>
      <c r="M214" s="199"/>
      <c r="N214" s="199"/>
      <c r="O214" s="199"/>
      <c r="P214" s="199"/>
      <c r="Q214" s="199"/>
      <c r="R214" s="201"/>
    </row>
    <row r="215" spans="2:19" ht="12.75" thickBot="1" x14ac:dyDescent="0.25"/>
    <row r="216" spans="2:19" ht="12.75" thickBot="1" x14ac:dyDescent="0.25">
      <c r="B216" s="281" t="s">
        <v>27</v>
      </c>
      <c r="C216" s="282"/>
      <c r="D216" s="282"/>
      <c r="E216" s="283">
        <v>12</v>
      </c>
      <c r="F216" s="282" t="str">
        <f>+VLOOKUP(E216,[5]Proponentes!$B$10:$D$78,2,FALSE())</f>
        <v>CONSORCIO AEROPUERTOS ANI</v>
      </c>
      <c r="G216" s="282"/>
      <c r="H216" s="282"/>
      <c r="I216" s="282"/>
      <c r="J216" s="282"/>
      <c r="K216" s="282"/>
      <c r="L216" s="282"/>
      <c r="M216" s="282"/>
      <c r="N216" s="282"/>
      <c r="O216" s="282"/>
      <c r="P216" s="282"/>
      <c r="Q216" s="282"/>
      <c r="R216" s="340"/>
      <c r="S216" s="286"/>
    </row>
    <row r="217" spans="2:19" ht="48.75" thickBot="1" x14ac:dyDescent="0.25">
      <c r="B217" s="317" t="s">
        <v>28</v>
      </c>
      <c r="C217" s="318" t="s">
        <v>29</v>
      </c>
      <c r="D217" s="318" t="s">
        <v>36</v>
      </c>
      <c r="E217" s="319" t="s">
        <v>20</v>
      </c>
      <c r="F217" s="318" t="s">
        <v>34</v>
      </c>
      <c r="G217" s="318" t="s">
        <v>30</v>
      </c>
      <c r="H217" s="318" t="s">
        <v>31</v>
      </c>
      <c r="I217" s="318" t="s">
        <v>32</v>
      </c>
      <c r="J217" s="318" t="s">
        <v>61</v>
      </c>
      <c r="K217" s="318" t="s">
        <v>70</v>
      </c>
      <c r="L217" s="318" t="s">
        <v>16</v>
      </c>
      <c r="M217" s="318" t="s">
        <v>73</v>
      </c>
      <c r="N217" s="318" t="s">
        <v>74</v>
      </c>
      <c r="O217" s="318" t="s">
        <v>67</v>
      </c>
      <c r="P217" s="318" t="s">
        <v>66</v>
      </c>
      <c r="Q217" s="318" t="s">
        <v>33</v>
      </c>
      <c r="R217" s="320" t="s">
        <v>19</v>
      </c>
      <c r="S217" s="151" t="s">
        <v>727</v>
      </c>
    </row>
    <row r="218" spans="2:19" ht="12.75" thickBot="1" x14ac:dyDescent="0.25">
      <c r="B218" s="321" t="s">
        <v>38</v>
      </c>
      <c r="C218" s="322"/>
      <c r="D218" s="322"/>
      <c r="E218" s="222"/>
      <c r="F218" s="222"/>
      <c r="G218" s="322"/>
      <c r="H218" s="322"/>
      <c r="I218" s="322"/>
      <c r="J218" s="322"/>
      <c r="K218" s="322"/>
      <c r="L218" s="322"/>
      <c r="M218" s="322"/>
      <c r="N218" s="322"/>
      <c r="O218" s="322"/>
      <c r="P218" s="322"/>
      <c r="Q218" s="322"/>
      <c r="R218" s="323"/>
      <c r="S218" s="125"/>
    </row>
    <row r="219" spans="2:19" ht="81" customHeight="1" x14ac:dyDescent="0.2">
      <c r="B219" s="86">
        <v>1</v>
      </c>
      <c r="C219" s="88" t="s">
        <v>676</v>
      </c>
      <c r="D219" s="88" t="s">
        <v>610</v>
      </c>
      <c r="E219" s="87" t="s">
        <v>677</v>
      </c>
      <c r="F219" s="90">
        <v>1</v>
      </c>
      <c r="G219" s="90" t="s">
        <v>57</v>
      </c>
      <c r="H219" s="90" t="s">
        <v>62</v>
      </c>
      <c r="I219" s="90" t="s">
        <v>612</v>
      </c>
      <c r="J219" s="90" t="s">
        <v>63</v>
      </c>
      <c r="K219" s="92">
        <v>39473</v>
      </c>
      <c r="L219" s="92" t="s">
        <v>602</v>
      </c>
      <c r="M219" s="172">
        <v>15239096240</v>
      </c>
      <c r="N219" s="172">
        <f>+M219*F219</f>
        <v>15239096240</v>
      </c>
      <c r="O219" s="94">
        <f>+ROUND(N219/VLOOKUP(K219,[5]SMLM!$A$2:$D$36,4,TRUE),0)</f>
        <v>33021</v>
      </c>
      <c r="P219" s="412">
        <f>+[5]Requisitos!$I$10</f>
        <v>1380.5396945616883</v>
      </c>
      <c r="Q219" s="172" t="str">
        <f>IF(H219="SI",IF(O219&gt;=$P$12,"SI","NO"),"NO")</f>
        <v>SI</v>
      </c>
      <c r="R219" s="296" t="s">
        <v>678</v>
      </c>
      <c r="S219" s="144"/>
    </row>
    <row r="220" spans="2:19" ht="135.75" customHeight="1" x14ac:dyDescent="0.2">
      <c r="B220" s="100">
        <v>2</v>
      </c>
      <c r="C220" s="102" t="s">
        <v>679</v>
      </c>
      <c r="D220" s="102" t="s">
        <v>615</v>
      </c>
      <c r="E220" s="101" t="s">
        <v>680</v>
      </c>
      <c r="F220" s="104">
        <v>0.5</v>
      </c>
      <c r="G220" s="104" t="s">
        <v>57</v>
      </c>
      <c r="H220" s="104" t="s">
        <v>62</v>
      </c>
      <c r="I220" s="104" t="s">
        <v>681</v>
      </c>
      <c r="J220" s="104" t="s">
        <v>63</v>
      </c>
      <c r="K220" s="106">
        <v>40331</v>
      </c>
      <c r="L220" s="106">
        <v>41215</v>
      </c>
      <c r="M220" s="179">
        <v>4264498373</v>
      </c>
      <c r="N220" s="179">
        <f t="shared" ref="N220:N222" si="21">+M220*F220</f>
        <v>2132249186.5</v>
      </c>
      <c r="O220" s="108">
        <f>+ROUND(N220/VLOOKUP(K220,[5]SMLM!$A$2:$D$36,4,TRUE),0)</f>
        <v>4140</v>
      </c>
      <c r="P220" s="413"/>
      <c r="Q220" s="179" t="str">
        <f t="shared" ref="Q220:Q221" si="22">IF(H220="SI",IF(O220&gt;=$P$12,"SI","NO"),"NO")</f>
        <v>SI</v>
      </c>
      <c r="R220" s="298" t="s">
        <v>682</v>
      </c>
      <c r="S220" s="144"/>
    </row>
    <row r="221" spans="2:19" ht="128.25" customHeight="1" x14ac:dyDescent="0.2">
      <c r="B221" s="100">
        <v>3</v>
      </c>
      <c r="C221" s="102" t="s">
        <v>679</v>
      </c>
      <c r="D221" s="102" t="s">
        <v>618</v>
      </c>
      <c r="E221" s="101" t="s">
        <v>683</v>
      </c>
      <c r="F221" s="104">
        <v>1</v>
      </c>
      <c r="G221" s="104" t="s">
        <v>57</v>
      </c>
      <c r="H221" s="104" t="s">
        <v>62</v>
      </c>
      <c r="I221" s="102" t="s">
        <v>681</v>
      </c>
      <c r="J221" s="104" t="s">
        <v>63</v>
      </c>
      <c r="K221" s="106">
        <v>39021</v>
      </c>
      <c r="L221" s="106">
        <v>40208</v>
      </c>
      <c r="M221" s="179">
        <v>5107772400</v>
      </c>
      <c r="N221" s="179">
        <f t="shared" si="21"/>
        <v>5107772400</v>
      </c>
      <c r="O221" s="108">
        <f>+ROUND(N221/VLOOKUP(K221,[5]SMLM!$A$2:$D$36,4,TRUE),0)</f>
        <v>12519</v>
      </c>
      <c r="P221" s="413"/>
      <c r="Q221" s="179" t="str">
        <f t="shared" si="22"/>
        <v>SI</v>
      </c>
      <c r="R221" s="298" t="s">
        <v>684</v>
      </c>
      <c r="S221" s="144"/>
    </row>
    <row r="222" spans="2:19" ht="204" customHeight="1" thickBot="1" x14ac:dyDescent="0.25">
      <c r="B222" s="112">
        <v>4</v>
      </c>
      <c r="C222" s="113" t="s">
        <v>574</v>
      </c>
      <c r="D222" s="113" t="s">
        <v>685</v>
      </c>
      <c r="E222" s="324" t="s">
        <v>686</v>
      </c>
      <c r="F222" s="115">
        <v>0.4</v>
      </c>
      <c r="G222" s="115" t="s">
        <v>57</v>
      </c>
      <c r="H222" s="115" t="s">
        <v>62</v>
      </c>
      <c r="I222" s="115" t="s">
        <v>681</v>
      </c>
      <c r="J222" s="115" t="s">
        <v>63</v>
      </c>
      <c r="K222" s="117">
        <v>41075</v>
      </c>
      <c r="L222" s="117" t="s">
        <v>602</v>
      </c>
      <c r="M222" s="175">
        <v>16200575700</v>
      </c>
      <c r="N222" s="175">
        <f t="shared" si="21"/>
        <v>6480230280</v>
      </c>
      <c r="O222" s="119">
        <f>+ROUND(N222/VLOOKUP(K222,[5]SMLM!$A$2:$D$36,4,TRUE),0)</f>
        <v>11435</v>
      </c>
      <c r="P222" s="414"/>
      <c r="Q222" s="115" t="str">
        <f>IF(H222="SI",IF(O222&gt;=$P$12,"SI","NO"),"NO")</f>
        <v>SI</v>
      </c>
      <c r="R222" s="300" t="s">
        <v>623</v>
      </c>
      <c r="S222" s="149"/>
    </row>
    <row r="223" spans="2:19" x14ac:dyDescent="0.2">
      <c r="B223" s="83"/>
      <c r="C223" s="85"/>
      <c r="D223" s="85"/>
      <c r="E223" s="85"/>
      <c r="F223" s="85"/>
      <c r="G223" s="85"/>
      <c r="H223" s="85"/>
      <c r="I223" s="85"/>
      <c r="J223" s="85"/>
      <c r="K223" s="85"/>
      <c r="L223" s="85"/>
      <c r="M223" s="85"/>
      <c r="N223" s="85"/>
      <c r="O223" s="85"/>
      <c r="P223" s="85"/>
      <c r="Q223" s="85"/>
      <c r="R223" s="125"/>
    </row>
    <row r="224" spans="2:19" x14ac:dyDescent="0.2">
      <c r="B224" s="83"/>
      <c r="C224" s="85"/>
      <c r="D224" s="85"/>
      <c r="E224" s="85"/>
      <c r="F224" s="85"/>
      <c r="G224" s="85"/>
      <c r="H224" s="85"/>
      <c r="I224" s="85"/>
      <c r="J224" s="85"/>
      <c r="K224" s="85"/>
      <c r="L224" s="85"/>
      <c r="M224" s="85"/>
      <c r="N224" s="85"/>
      <c r="O224" s="85"/>
      <c r="P224" s="85"/>
      <c r="Q224" s="85"/>
      <c r="R224" s="125"/>
    </row>
    <row r="225" spans="2:19" ht="12.75" thickBot="1" x14ac:dyDescent="0.25">
      <c r="B225" s="83"/>
      <c r="C225" s="85"/>
      <c r="D225" s="85"/>
      <c r="E225" s="85"/>
      <c r="F225" s="85"/>
      <c r="G225" s="85"/>
      <c r="H225" s="85"/>
      <c r="I225" s="85"/>
      <c r="J225" s="85"/>
      <c r="K225" s="85"/>
      <c r="L225" s="85"/>
      <c r="M225" s="85"/>
      <c r="N225" s="85"/>
      <c r="O225" s="301"/>
      <c r="P225" s="85"/>
      <c r="Q225" s="85"/>
      <c r="R225" s="125"/>
    </row>
    <row r="226" spans="2:19" x14ac:dyDescent="0.2">
      <c r="B226" s="83"/>
      <c r="C226" s="85"/>
      <c r="D226" s="85"/>
      <c r="E226" s="334" t="s">
        <v>54</v>
      </c>
      <c r="F226" s="303">
        <f>COUNTIF(Q219:Q222,"SI")</f>
        <v>4</v>
      </c>
      <c r="G226" s="85"/>
      <c r="H226" s="85"/>
      <c r="I226" s="85"/>
      <c r="J226" s="85"/>
      <c r="K226" s="85"/>
      <c r="L226" s="85"/>
      <c r="M226" s="85"/>
      <c r="N226" s="85"/>
      <c r="O226" s="85"/>
      <c r="P226" s="85"/>
      <c r="Q226" s="85"/>
      <c r="R226" s="125"/>
    </row>
    <row r="227" spans="2:19" x14ac:dyDescent="0.2">
      <c r="B227" s="83"/>
      <c r="C227" s="85"/>
      <c r="D227" s="85"/>
      <c r="E227" s="335" t="s">
        <v>35</v>
      </c>
      <c r="F227" s="304">
        <f>+IF(F226=2,600,IF(F226=3,700,IF(F226=4,900,0)))</f>
        <v>900</v>
      </c>
      <c r="G227" s="85"/>
      <c r="H227" s="85"/>
      <c r="I227" s="85"/>
      <c r="J227" s="85"/>
      <c r="K227" s="85"/>
      <c r="L227" s="85"/>
      <c r="M227" s="85"/>
      <c r="N227" s="85"/>
      <c r="O227" s="85"/>
      <c r="P227" s="85"/>
      <c r="Q227" s="85"/>
      <c r="R227" s="125"/>
    </row>
    <row r="228" spans="2:19" ht="38.25" customHeight="1" x14ac:dyDescent="0.2">
      <c r="B228" s="83"/>
      <c r="C228" s="85"/>
      <c r="D228" s="85"/>
      <c r="E228" s="336" t="s">
        <v>186</v>
      </c>
      <c r="F228" s="304" t="s">
        <v>82</v>
      </c>
      <c r="G228" s="85"/>
      <c r="H228" s="85"/>
      <c r="I228" s="85"/>
      <c r="J228" s="85"/>
      <c r="K228" s="85"/>
      <c r="L228" s="85"/>
      <c r="M228" s="85"/>
      <c r="N228" s="85"/>
      <c r="O228" s="85"/>
      <c r="P228" s="85"/>
      <c r="Q228" s="85"/>
      <c r="R228" s="125"/>
    </row>
    <row r="229" spans="2:19" x14ac:dyDescent="0.2">
      <c r="B229" s="83"/>
      <c r="C229" s="85"/>
      <c r="D229" s="85"/>
      <c r="E229" s="335" t="s">
        <v>68</v>
      </c>
      <c r="F229" s="304" t="s">
        <v>82</v>
      </c>
      <c r="G229" s="85"/>
      <c r="H229" s="85"/>
      <c r="I229" s="85"/>
      <c r="J229" s="85"/>
      <c r="K229" s="85"/>
      <c r="L229" s="85"/>
      <c r="M229" s="85"/>
      <c r="N229" s="85"/>
      <c r="O229" s="85"/>
      <c r="P229" s="85"/>
      <c r="Q229" s="85"/>
      <c r="R229" s="125"/>
    </row>
    <row r="230" spans="2:19" ht="12.75" thickBot="1" x14ac:dyDescent="0.25">
      <c r="B230" s="83"/>
      <c r="C230" s="85"/>
      <c r="D230" s="85"/>
      <c r="E230" s="337" t="s">
        <v>69</v>
      </c>
      <c r="F230" s="305">
        <f>+COUNTIF(J219:J222,"si")</f>
        <v>0</v>
      </c>
      <c r="G230" s="85"/>
      <c r="H230" s="85"/>
      <c r="I230" s="85"/>
      <c r="J230" s="85"/>
      <c r="K230" s="85"/>
      <c r="L230" s="85"/>
      <c r="M230" s="85"/>
      <c r="N230" s="85"/>
      <c r="O230" s="85"/>
      <c r="P230" s="85"/>
      <c r="Q230" s="85"/>
      <c r="R230" s="125"/>
    </row>
    <row r="231" spans="2:19" x14ac:dyDescent="0.2">
      <c r="B231" s="83"/>
      <c r="C231" s="85"/>
      <c r="D231" s="85"/>
      <c r="E231" s="85"/>
      <c r="F231" s="85"/>
      <c r="G231" s="85"/>
      <c r="H231" s="85"/>
      <c r="I231" s="85"/>
      <c r="J231" s="85"/>
      <c r="K231" s="85"/>
      <c r="L231" s="85"/>
      <c r="M231" s="85"/>
      <c r="N231" s="85"/>
      <c r="O231" s="85"/>
      <c r="P231" s="85"/>
      <c r="Q231" s="85"/>
      <c r="R231" s="125"/>
    </row>
    <row r="232" spans="2:19" x14ac:dyDescent="0.2">
      <c r="B232" s="83"/>
      <c r="C232" s="85"/>
      <c r="D232" s="85"/>
      <c r="E232" s="85"/>
      <c r="F232" s="85"/>
      <c r="G232" s="85"/>
      <c r="H232" s="85"/>
      <c r="I232" s="85"/>
      <c r="J232" s="85"/>
      <c r="K232" s="85"/>
      <c r="L232" s="85"/>
      <c r="M232" s="85"/>
      <c r="N232" s="85"/>
      <c r="O232" s="85"/>
      <c r="P232" s="85"/>
      <c r="Q232" s="85"/>
      <c r="R232" s="125"/>
    </row>
    <row r="233" spans="2:19" ht="12.75" thickBot="1" x14ac:dyDescent="0.25">
      <c r="B233" s="197"/>
      <c r="C233" s="199"/>
      <c r="D233" s="199"/>
      <c r="E233" s="199"/>
      <c r="F233" s="199"/>
      <c r="G233" s="199"/>
      <c r="H233" s="199"/>
      <c r="I233" s="199"/>
      <c r="J233" s="199"/>
      <c r="K233" s="199"/>
      <c r="L233" s="199"/>
      <c r="M233" s="199"/>
      <c r="N233" s="199"/>
      <c r="O233" s="199"/>
      <c r="P233" s="199"/>
      <c r="Q233" s="199"/>
      <c r="R233" s="201"/>
    </row>
    <row r="234" spans="2:19" ht="12.75" thickBot="1" x14ac:dyDescent="0.25"/>
    <row r="235" spans="2:19" ht="12.75" thickBot="1" x14ac:dyDescent="0.25">
      <c r="B235" s="281" t="s">
        <v>27</v>
      </c>
      <c r="C235" s="282"/>
      <c r="D235" s="282"/>
      <c r="E235" s="283">
        <v>13</v>
      </c>
      <c r="F235" s="282" t="str">
        <f>+VLOOKUP(E235,[6]Proponentes!$B$10:$D$77,2,FALSE())</f>
        <v>CONSORCIO INTERVENTORIA PALMIRA</v>
      </c>
      <c r="G235" s="284"/>
      <c r="H235" s="284"/>
      <c r="I235" s="284"/>
      <c r="J235" s="284"/>
      <c r="K235" s="284"/>
      <c r="L235" s="284"/>
      <c r="M235" s="284"/>
      <c r="N235" s="284"/>
      <c r="O235" s="284"/>
      <c r="P235" s="284"/>
      <c r="Q235" s="284"/>
      <c r="R235" s="285"/>
      <c r="S235" s="286"/>
    </row>
    <row r="236" spans="2:19" ht="48.75" thickBot="1" x14ac:dyDescent="0.25">
      <c r="B236" s="309" t="s">
        <v>28</v>
      </c>
      <c r="C236" s="310" t="s">
        <v>29</v>
      </c>
      <c r="D236" s="310" t="s">
        <v>36</v>
      </c>
      <c r="E236" s="311" t="s">
        <v>20</v>
      </c>
      <c r="F236" s="310" t="s">
        <v>34</v>
      </c>
      <c r="G236" s="310" t="s">
        <v>30</v>
      </c>
      <c r="H236" s="310" t="s">
        <v>31</v>
      </c>
      <c r="I236" s="310" t="s">
        <v>32</v>
      </c>
      <c r="J236" s="310" t="s">
        <v>61</v>
      </c>
      <c r="K236" s="310" t="s">
        <v>70</v>
      </c>
      <c r="L236" s="310" t="s">
        <v>16</v>
      </c>
      <c r="M236" s="310" t="s">
        <v>73</v>
      </c>
      <c r="N236" s="310" t="s">
        <v>74</v>
      </c>
      <c r="O236" s="310" t="s">
        <v>67</v>
      </c>
      <c r="P236" s="310" t="s">
        <v>66</v>
      </c>
      <c r="Q236" s="310" t="s">
        <v>33</v>
      </c>
      <c r="R236" s="312" t="s">
        <v>19</v>
      </c>
      <c r="S236" s="151" t="s">
        <v>727</v>
      </c>
    </row>
    <row r="237" spans="2:19" ht="12.75" thickBot="1" x14ac:dyDescent="0.25">
      <c r="B237" s="313" t="s">
        <v>38</v>
      </c>
      <c r="C237" s="314"/>
      <c r="D237" s="314"/>
      <c r="E237" s="85"/>
      <c r="F237" s="85"/>
      <c r="G237" s="314"/>
      <c r="H237" s="314"/>
      <c r="I237" s="314"/>
      <c r="J237" s="314"/>
      <c r="K237" s="314"/>
      <c r="L237" s="314"/>
      <c r="M237" s="314"/>
      <c r="N237" s="314"/>
      <c r="O237" s="314"/>
      <c r="P237" s="314"/>
      <c r="Q237" s="314"/>
      <c r="R237" s="315"/>
      <c r="S237" s="125"/>
    </row>
    <row r="238" spans="2:19" ht="189.75" customHeight="1" x14ac:dyDescent="0.2">
      <c r="B238" s="86">
        <v>1</v>
      </c>
      <c r="C238" s="329" t="s">
        <v>307</v>
      </c>
      <c r="D238" s="88" t="s">
        <v>308</v>
      </c>
      <c r="E238" s="253" t="s">
        <v>384</v>
      </c>
      <c r="F238" s="90">
        <v>0.5</v>
      </c>
      <c r="G238" s="90" t="s">
        <v>57</v>
      </c>
      <c r="H238" s="90" t="s">
        <v>62</v>
      </c>
      <c r="I238" s="91" t="s">
        <v>296</v>
      </c>
      <c r="J238" s="90" t="s">
        <v>63</v>
      </c>
      <c r="K238" s="254">
        <v>41074</v>
      </c>
      <c r="L238" s="92">
        <v>41523</v>
      </c>
      <c r="M238" s="172">
        <v>8945764395</v>
      </c>
      <c r="N238" s="172">
        <f>+M238*F238</f>
        <v>4472882197.5</v>
      </c>
      <c r="O238" s="94">
        <f>+ROUND(N238/VLOOKUP(K238,[6]SMLM!$A$2:$D$36,4,TRUE),0)</f>
        <v>7893</v>
      </c>
      <c r="P238" s="409">
        <f>+[6]Requisitos!$I$10</f>
        <v>1380.5396945616883</v>
      </c>
      <c r="Q238" s="172" t="str">
        <f>IF(H238="SI",IF(O238&gt;=$P$12,"SI","NO"),"NO")</f>
        <v>SI</v>
      </c>
      <c r="R238" s="98" t="s">
        <v>351</v>
      </c>
      <c r="S238" s="144"/>
    </row>
    <row r="239" spans="2:19" ht="54" customHeight="1" x14ac:dyDescent="0.2">
      <c r="B239" s="100">
        <v>2</v>
      </c>
      <c r="C239" s="102" t="s">
        <v>275</v>
      </c>
      <c r="D239" s="102" t="s">
        <v>243</v>
      </c>
      <c r="E239" s="330" t="s">
        <v>385</v>
      </c>
      <c r="F239" s="104">
        <v>1</v>
      </c>
      <c r="G239" s="104" t="s">
        <v>209</v>
      </c>
      <c r="H239" s="104" t="s">
        <v>62</v>
      </c>
      <c r="I239" s="104" t="s">
        <v>310</v>
      </c>
      <c r="J239" s="104" t="s">
        <v>63</v>
      </c>
      <c r="K239" s="106">
        <v>38645</v>
      </c>
      <c r="L239" s="106">
        <v>40288</v>
      </c>
      <c r="M239" s="179">
        <v>2460848593.612752</v>
      </c>
      <c r="N239" s="179">
        <f t="shared" ref="N239:N241" si="23">+M239*F239</f>
        <v>2460848593.612752</v>
      </c>
      <c r="O239" s="108">
        <f>+ROUND(N239/VLOOKUP(K239,[6]SMLM!$A$2:$D$36,4,TRUE),0)</f>
        <v>6450</v>
      </c>
      <c r="P239" s="410"/>
      <c r="Q239" s="179" t="str">
        <f t="shared" ref="Q239:Q241" si="24">IF(H239="SI",IF(O239&gt;=$P$12,"SI","NO"),"NO")</f>
        <v>SI</v>
      </c>
      <c r="R239" s="298" t="s">
        <v>311</v>
      </c>
      <c r="S239" s="144"/>
    </row>
    <row r="240" spans="2:19" ht="57.75" customHeight="1" x14ac:dyDescent="0.2">
      <c r="B240" s="100">
        <v>3</v>
      </c>
      <c r="C240" s="102" t="s">
        <v>352</v>
      </c>
      <c r="D240" s="102" t="s">
        <v>353</v>
      </c>
      <c r="E240" s="330" t="s">
        <v>386</v>
      </c>
      <c r="F240" s="104">
        <v>0.75</v>
      </c>
      <c r="G240" s="104" t="s">
        <v>57</v>
      </c>
      <c r="H240" s="104" t="s">
        <v>62</v>
      </c>
      <c r="I240" s="102" t="s">
        <v>310</v>
      </c>
      <c r="J240" s="104" t="s">
        <v>63</v>
      </c>
      <c r="K240" s="106">
        <v>39521</v>
      </c>
      <c r="L240" s="106">
        <v>40999</v>
      </c>
      <c r="M240" s="179">
        <v>7072964150</v>
      </c>
      <c r="N240" s="179">
        <f t="shared" si="23"/>
        <v>5304723112.5</v>
      </c>
      <c r="O240" s="179">
        <f>+ROUND(N240/VLOOKUP(K240,[6]SMLM!$A$2:$D$36,4,TRUE),0)</f>
        <v>11495</v>
      </c>
      <c r="P240" s="410"/>
      <c r="Q240" s="179" t="str">
        <f t="shared" si="24"/>
        <v>SI</v>
      </c>
      <c r="R240" s="298" t="s">
        <v>354</v>
      </c>
      <c r="S240" s="144"/>
    </row>
    <row r="241" spans="2:19" ht="200.25" customHeight="1" thickBot="1" x14ac:dyDescent="0.25">
      <c r="B241" s="112">
        <v>4</v>
      </c>
      <c r="C241" s="113" t="s">
        <v>352</v>
      </c>
      <c r="D241" s="113" t="s">
        <v>355</v>
      </c>
      <c r="E241" s="256" t="s">
        <v>387</v>
      </c>
      <c r="F241" s="115">
        <v>0.75</v>
      </c>
      <c r="G241" s="115" t="s">
        <v>57</v>
      </c>
      <c r="H241" s="115" t="s">
        <v>62</v>
      </c>
      <c r="I241" s="115" t="s">
        <v>310</v>
      </c>
      <c r="J241" s="115" t="s">
        <v>63</v>
      </c>
      <c r="K241" s="117">
        <v>38316</v>
      </c>
      <c r="L241" s="117">
        <v>39514</v>
      </c>
      <c r="M241" s="175">
        <v>1562145030</v>
      </c>
      <c r="N241" s="175">
        <f t="shared" si="23"/>
        <v>1171608772.5</v>
      </c>
      <c r="O241" s="119">
        <f>+ROUND(N241/VLOOKUP(K241,[6]SMLM!$A$2:$D$36,4,TRUE),0)</f>
        <v>3273</v>
      </c>
      <c r="P241" s="411"/>
      <c r="Q241" s="115" t="str">
        <f t="shared" si="24"/>
        <v>SI</v>
      </c>
      <c r="R241" s="300" t="s">
        <v>356</v>
      </c>
      <c r="S241" s="149"/>
    </row>
    <row r="242" spans="2:19" x14ac:dyDescent="0.2">
      <c r="B242" s="83"/>
      <c r="C242" s="85"/>
      <c r="D242" s="85"/>
      <c r="E242" s="85"/>
      <c r="F242" s="85"/>
      <c r="G242" s="85"/>
      <c r="H242" s="85"/>
      <c r="I242" s="85"/>
      <c r="J242" s="85"/>
      <c r="K242" s="85"/>
      <c r="L242" s="85"/>
      <c r="M242" s="85"/>
      <c r="N242" s="85"/>
      <c r="O242" s="85"/>
      <c r="P242" s="85"/>
      <c r="Q242" s="85"/>
      <c r="R242" s="125"/>
    </row>
    <row r="243" spans="2:19" ht="12.75" thickBot="1" x14ac:dyDescent="0.25">
      <c r="B243" s="83"/>
      <c r="C243" s="85"/>
      <c r="D243" s="85"/>
      <c r="E243" s="85"/>
      <c r="F243" s="85"/>
      <c r="G243" s="85"/>
      <c r="H243" s="85"/>
      <c r="I243" s="85"/>
      <c r="J243" s="85"/>
      <c r="K243" s="85"/>
      <c r="L243" s="85"/>
      <c r="M243" s="85"/>
      <c r="N243" s="85"/>
      <c r="O243" s="301"/>
      <c r="P243" s="85"/>
      <c r="Q243" s="85"/>
      <c r="R243" s="125"/>
    </row>
    <row r="244" spans="2:19" x14ac:dyDescent="0.2">
      <c r="B244" s="83"/>
      <c r="C244" s="85"/>
      <c r="D244" s="85"/>
      <c r="E244" s="345" t="s">
        <v>54</v>
      </c>
      <c r="F244" s="303">
        <f>COUNTIF(Q238:Q241,"SI")</f>
        <v>4</v>
      </c>
      <c r="G244" s="85"/>
      <c r="H244" s="85"/>
      <c r="I244" s="85"/>
      <c r="J244" s="85"/>
      <c r="K244" s="85"/>
      <c r="L244" s="85"/>
      <c r="M244" s="85"/>
      <c r="N244" s="85"/>
      <c r="O244" s="85"/>
      <c r="P244" s="85"/>
      <c r="Q244" s="85"/>
      <c r="R244" s="125"/>
    </row>
    <row r="245" spans="2:19" x14ac:dyDescent="0.2">
      <c r="B245" s="83"/>
      <c r="C245" s="85"/>
      <c r="D245" s="85"/>
      <c r="E245" s="346" t="s">
        <v>35</v>
      </c>
      <c r="F245" s="304">
        <f>+IF(F244=2,700,IF(F244=3,800,IF(F244=4,900,0)))</f>
        <v>900</v>
      </c>
      <c r="G245" s="85"/>
      <c r="H245" s="85"/>
      <c r="I245" s="85"/>
      <c r="J245" s="85"/>
      <c r="K245" s="85"/>
      <c r="L245" s="85"/>
      <c r="M245" s="85"/>
      <c r="N245" s="85"/>
      <c r="O245" s="85"/>
      <c r="P245" s="85"/>
      <c r="Q245" s="85"/>
      <c r="R245" s="125"/>
    </row>
    <row r="246" spans="2:19" ht="38.25" customHeight="1" x14ac:dyDescent="0.2">
      <c r="B246" s="83"/>
      <c r="C246" s="85"/>
      <c r="D246" s="85"/>
      <c r="E246" s="347" t="s">
        <v>186</v>
      </c>
      <c r="F246" s="304" t="s">
        <v>82</v>
      </c>
      <c r="G246" s="85"/>
      <c r="H246" s="85"/>
      <c r="I246" s="85"/>
      <c r="J246" s="85"/>
      <c r="K246" s="85"/>
      <c r="L246" s="85"/>
      <c r="M246" s="85"/>
      <c r="N246" s="85"/>
      <c r="O246" s="85"/>
      <c r="P246" s="85"/>
      <c r="Q246" s="85"/>
      <c r="R246" s="125"/>
    </row>
    <row r="247" spans="2:19" x14ac:dyDescent="0.2">
      <c r="B247" s="83"/>
      <c r="C247" s="85"/>
      <c r="D247" s="85"/>
      <c r="E247" s="346" t="s">
        <v>68</v>
      </c>
      <c r="F247" s="304" t="s">
        <v>82</v>
      </c>
      <c r="G247" s="85"/>
      <c r="H247" s="85"/>
      <c r="I247" s="85"/>
      <c r="J247" s="85"/>
      <c r="K247" s="85"/>
      <c r="L247" s="85"/>
      <c r="M247" s="85"/>
      <c r="N247" s="85"/>
      <c r="O247" s="85"/>
      <c r="P247" s="85"/>
      <c r="Q247" s="85"/>
      <c r="R247" s="125"/>
    </row>
    <row r="248" spans="2:19" ht="12.75" thickBot="1" x14ac:dyDescent="0.25">
      <c r="B248" s="83"/>
      <c r="C248" s="85"/>
      <c r="D248" s="85"/>
      <c r="E248" s="337" t="s">
        <v>69</v>
      </c>
      <c r="F248" s="305">
        <f>+COUNTIF(J238:J241,"si")</f>
        <v>0</v>
      </c>
      <c r="G248" s="85"/>
      <c r="H248" s="85"/>
      <c r="I248" s="85"/>
      <c r="J248" s="85"/>
      <c r="K248" s="85"/>
      <c r="L248" s="85"/>
      <c r="M248" s="85"/>
      <c r="N248" s="85"/>
      <c r="O248" s="85"/>
      <c r="P248" s="85"/>
      <c r="Q248" s="85"/>
      <c r="R248" s="125"/>
    </row>
    <row r="249" spans="2:19" x14ac:dyDescent="0.2">
      <c r="B249" s="83"/>
      <c r="C249" s="85"/>
      <c r="D249" s="85"/>
      <c r="E249" s="85"/>
      <c r="F249" s="85"/>
      <c r="G249" s="85"/>
      <c r="H249" s="85"/>
      <c r="I249" s="85"/>
      <c r="J249" s="85"/>
      <c r="K249" s="85"/>
      <c r="L249" s="85"/>
      <c r="M249" s="85"/>
      <c r="N249" s="85"/>
      <c r="O249" s="85"/>
      <c r="P249" s="85"/>
      <c r="Q249" s="85"/>
      <c r="R249" s="125"/>
    </row>
    <row r="250" spans="2:19" ht="12.75" thickBot="1" x14ac:dyDescent="0.25">
      <c r="B250" s="197"/>
      <c r="C250" s="199"/>
      <c r="D250" s="199"/>
      <c r="E250" s="199"/>
      <c r="F250" s="199"/>
      <c r="G250" s="199"/>
      <c r="H250" s="199"/>
      <c r="I250" s="199"/>
      <c r="J250" s="199"/>
      <c r="K250" s="199"/>
      <c r="L250" s="199"/>
      <c r="M250" s="199"/>
      <c r="N250" s="199"/>
      <c r="O250" s="199"/>
      <c r="P250" s="199"/>
      <c r="Q250" s="199"/>
      <c r="R250" s="201"/>
    </row>
    <row r="253" spans="2:19" ht="12.75" thickBot="1" x14ac:dyDescent="0.25"/>
    <row r="254" spans="2:19" ht="12.75" thickBot="1" x14ac:dyDescent="0.25">
      <c r="B254" s="281" t="s">
        <v>27</v>
      </c>
      <c r="C254" s="282"/>
      <c r="D254" s="282"/>
      <c r="E254" s="283">
        <v>14</v>
      </c>
      <c r="F254" s="282" t="str">
        <f>+VLOOKUP(E254,[6]Proponentes!$B$10:$D$77,2,FALSE())</f>
        <v>CONSORCIO INTERVENTORIA AEROPUERTO PALMIRA 2014</v>
      </c>
      <c r="G254" s="282"/>
      <c r="H254" s="282"/>
      <c r="I254" s="284"/>
      <c r="J254" s="284"/>
      <c r="K254" s="284"/>
      <c r="L254" s="284"/>
      <c r="M254" s="284"/>
      <c r="N254" s="284"/>
      <c r="O254" s="284"/>
      <c r="P254" s="284"/>
      <c r="Q254" s="284"/>
      <c r="R254" s="285"/>
      <c r="S254" s="286"/>
    </row>
    <row r="255" spans="2:19" ht="48.75" thickBot="1" x14ac:dyDescent="0.25">
      <c r="B255" s="309" t="s">
        <v>28</v>
      </c>
      <c r="C255" s="310" t="s">
        <v>29</v>
      </c>
      <c r="D255" s="310" t="s">
        <v>36</v>
      </c>
      <c r="E255" s="311" t="s">
        <v>20</v>
      </c>
      <c r="F255" s="310" t="s">
        <v>34</v>
      </c>
      <c r="G255" s="310" t="s">
        <v>30</v>
      </c>
      <c r="H255" s="310" t="s">
        <v>31</v>
      </c>
      <c r="I255" s="310" t="s">
        <v>32</v>
      </c>
      <c r="J255" s="310" t="s">
        <v>61</v>
      </c>
      <c r="K255" s="310" t="s">
        <v>70</v>
      </c>
      <c r="L255" s="310" t="s">
        <v>16</v>
      </c>
      <c r="M255" s="310" t="s">
        <v>73</v>
      </c>
      <c r="N255" s="310" t="s">
        <v>74</v>
      </c>
      <c r="O255" s="310" t="s">
        <v>67</v>
      </c>
      <c r="P255" s="310" t="s">
        <v>66</v>
      </c>
      <c r="Q255" s="310" t="s">
        <v>33</v>
      </c>
      <c r="R255" s="312" t="s">
        <v>19</v>
      </c>
      <c r="S255" s="151" t="s">
        <v>727</v>
      </c>
    </row>
    <row r="256" spans="2:19" ht="12.75" thickBot="1" x14ac:dyDescent="0.25">
      <c r="B256" s="313" t="s">
        <v>38</v>
      </c>
      <c r="C256" s="314"/>
      <c r="D256" s="314"/>
      <c r="E256" s="85"/>
      <c r="F256" s="85"/>
      <c r="G256" s="314"/>
      <c r="H256" s="314"/>
      <c r="I256" s="314"/>
      <c r="J256" s="314"/>
      <c r="K256" s="314"/>
      <c r="L256" s="314"/>
      <c r="M256" s="314"/>
      <c r="N256" s="314"/>
      <c r="O256" s="314"/>
      <c r="P256" s="314"/>
      <c r="Q256" s="314"/>
      <c r="R256" s="315"/>
      <c r="S256" s="125"/>
    </row>
    <row r="257" spans="2:19" ht="51" customHeight="1" x14ac:dyDescent="0.2">
      <c r="B257" s="86">
        <v>1</v>
      </c>
      <c r="C257" s="329" t="s">
        <v>158</v>
      </c>
      <c r="D257" s="88" t="s">
        <v>316</v>
      </c>
      <c r="E257" s="253" t="s">
        <v>388</v>
      </c>
      <c r="F257" s="90">
        <v>1</v>
      </c>
      <c r="G257" s="90" t="s">
        <v>57</v>
      </c>
      <c r="H257" s="90" t="s">
        <v>62</v>
      </c>
      <c r="I257" s="91" t="s">
        <v>299</v>
      </c>
      <c r="J257" s="90" t="s">
        <v>63</v>
      </c>
      <c r="K257" s="254">
        <v>35177</v>
      </c>
      <c r="L257" s="92">
        <v>35563</v>
      </c>
      <c r="M257" s="172">
        <v>384734738</v>
      </c>
      <c r="N257" s="172">
        <f>+M257*F257</f>
        <v>384734738</v>
      </c>
      <c r="O257" s="94">
        <f>+ROUND(N257/VLOOKUP(K257,[6]SMLM!$A$2:$D$36,4,TRUE),0)</f>
        <v>2707</v>
      </c>
      <c r="P257" s="409">
        <f>+[6]Requisitos!$I$10</f>
        <v>1380.5396945616883</v>
      </c>
      <c r="Q257" s="172" t="str">
        <f>IF(H257="SI",IF(O257&gt;=$P$12,"SI","NO"),"NO")</f>
        <v>SI</v>
      </c>
      <c r="R257" s="98" t="s">
        <v>358</v>
      </c>
      <c r="S257" s="144"/>
    </row>
    <row r="258" spans="2:19" ht="87" customHeight="1" x14ac:dyDescent="0.2">
      <c r="B258" s="100">
        <v>2</v>
      </c>
      <c r="C258" s="102" t="s">
        <v>317</v>
      </c>
      <c r="D258" s="102" t="s">
        <v>318</v>
      </c>
      <c r="E258" s="330" t="s">
        <v>389</v>
      </c>
      <c r="F258" s="104">
        <v>0.25</v>
      </c>
      <c r="G258" s="104" t="s">
        <v>57</v>
      </c>
      <c r="H258" s="104" t="s">
        <v>62</v>
      </c>
      <c r="I258" s="104" t="s">
        <v>299</v>
      </c>
      <c r="J258" s="104" t="s">
        <v>63</v>
      </c>
      <c r="K258" s="106">
        <v>39534</v>
      </c>
      <c r="L258" s="106">
        <v>40628</v>
      </c>
      <c r="M258" s="179">
        <v>3753633746</v>
      </c>
      <c r="N258" s="179">
        <f t="shared" ref="N258:N260" si="25">+M258*F258</f>
        <v>938408436.5</v>
      </c>
      <c r="O258" s="108">
        <f>+ROUND(N258/VLOOKUP(K258,[6]SMLM!$A$2:$D$36,4,TRUE),0)</f>
        <v>2033</v>
      </c>
      <c r="P258" s="410"/>
      <c r="Q258" s="179" t="str">
        <f t="shared" ref="Q258:Q260" si="26">IF(H258="SI",IF(O258&gt;=$P$12,"SI","NO"),"NO")</f>
        <v>SI</v>
      </c>
      <c r="R258" s="298" t="s">
        <v>359</v>
      </c>
      <c r="S258" s="144"/>
    </row>
    <row r="259" spans="2:19" ht="60.75" customHeight="1" x14ac:dyDescent="0.2">
      <c r="B259" s="100">
        <v>3</v>
      </c>
      <c r="C259" s="102" t="s">
        <v>320</v>
      </c>
      <c r="D259" s="102" t="s">
        <v>321</v>
      </c>
      <c r="E259" s="330" t="s">
        <v>390</v>
      </c>
      <c r="F259" s="104">
        <v>0.125</v>
      </c>
      <c r="G259" s="104" t="s">
        <v>57</v>
      </c>
      <c r="H259" s="104" t="s">
        <v>62</v>
      </c>
      <c r="I259" s="102" t="s">
        <v>300</v>
      </c>
      <c r="J259" s="104" t="s">
        <v>63</v>
      </c>
      <c r="K259" s="106">
        <v>38374</v>
      </c>
      <c r="L259" s="106">
        <v>39512</v>
      </c>
      <c r="M259" s="179">
        <v>4584728442</v>
      </c>
      <c r="N259" s="179">
        <f t="shared" si="25"/>
        <v>573091055.25</v>
      </c>
      <c r="O259" s="108">
        <f>+ROUND(N259/VLOOKUP(K259,[6]SMLM!$A$2:$D$36,4,TRUE),0)</f>
        <v>1502</v>
      </c>
      <c r="P259" s="410"/>
      <c r="Q259" s="179" t="str">
        <f t="shared" si="26"/>
        <v>SI</v>
      </c>
      <c r="R259" s="298" t="s">
        <v>360</v>
      </c>
      <c r="S259" s="144"/>
    </row>
    <row r="260" spans="2:19" ht="70.5" customHeight="1" thickBot="1" x14ac:dyDescent="0.25">
      <c r="B260" s="112">
        <v>4</v>
      </c>
      <c r="C260" s="113" t="s">
        <v>361</v>
      </c>
      <c r="D260" s="113" t="s">
        <v>243</v>
      </c>
      <c r="E260" s="256" t="s">
        <v>391</v>
      </c>
      <c r="F260" s="115">
        <v>1</v>
      </c>
      <c r="G260" s="115" t="s">
        <v>362</v>
      </c>
      <c r="H260" s="115" t="s">
        <v>62</v>
      </c>
      <c r="I260" s="115" t="s">
        <v>363</v>
      </c>
      <c r="J260" s="115" t="s">
        <v>62</v>
      </c>
      <c r="K260" s="117">
        <v>40507</v>
      </c>
      <c r="L260" s="117">
        <v>40749</v>
      </c>
      <c r="M260" s="175">
        <f>398479919/482.04*1889.11</f>
        <v>1561638867.6916645</v>
      </c>
      <c r="N260" s="175">
        <f t="shared" si="25"/>
        <v>1561638867.6916645</v>
      </c>
      <c r="O260" s="119">
        <f>+ROUND(N260/VLOOKUP(K260,[6]SMLM!$A$2:$D$36,4,TRUE),0)</f>
        <v>3032</v>
      </c>
      <c r="P260" s="411"/>
      <c r="Q260" s="115" t="str">
        <f t="shared" si="26"/>
        <v>SI</v>
      </c>
      <c r="R260" s="300" t="s">
        <v>364</v>
      </c>
      <c r="S260" s="149"/>
    </row>
    <row r="261" spans="2:19" x14ac:dyDescent="0.2">
      <c r="B261" s="83"/>
      <c r="C261" s="85"/>
      <c r="D261" s="85"/>
      <c r="E261" s="85"/>
      <c r="F261" s="85"/>
      <c r="G261" s="85"/>
      <c r="H261" s="85"/>
      <c r="I261" s="85"/>
      <c r="J261" s="85"/>
      <c r="K261" s="85"/>
      <c r="L261" s="85"/>
      <c r="M261" s="85"/>
      <c r="N261" s="85"/>
      <c r="O261" s="85"/>
      <c r="P261" s="85"/>
      <c r="Q261" s="85"/>
      <c r="R261" s="125"/>
    </row>
    <row r="262" spans="2:19" ht="12.75" thickBot="1" x14ac:dyDescent="0.25">
      <c r="B262" s="83"/>
      <c r="C262" s="85"/>
      <c r="D262" s="85"/>
      <c r="E262" s="85"/>
      <c r="F262" s="85"/>
      <c r="G262" s="85"/>
      <c r="H262" s="85"/>
      <c r="I262" s="85"/>
      <c r="J262" s="85"/>
      <c r="K262" s="85"/>
      <c r="L262" s="85"/>
      <c r="M262" s="85"/>
      <c r="N262" s="85"/>
      <c r="O262" s="301"/>
      <c r="P262" s="85"/>
      <c r="Q262" s="85"/>
      <c r="R262" s="125"/>
    </row>
    <row r="263" spans="2:19" x14ac:dyDescent="0.2">
      <c r="B263" s="83"/>
      <c r="C263" s="85"/>
      <c r="D263" s="85"/>
      <c r="E263" s="345" t="s">
        <v>54</v>
      </c>
      <c r="F263" s="303">
        <f>COUNTIF(Q257:Q260,"SI")</f>
        <v>4</v>
      </c>
      <c r="G263" s="85"/>
      <c r="H263" s="85"/>
      <c r="I263" s="85"/>
      <c r="J263" s="85"/>
      <c r="K263" s="85"/>
      <c r="L263" s="85"/>
      <c r="M263" s="85"/>
      <c r="N263" s="85"/>
      <c r="O263" s="85"/>
      <c r="P263" s="85"/>
      <c r="Q263" s="85"/>
      <c r="R263" s="125"/>
    </row>
    <row r="264" spans="2:19" x14ac:dyDescent="0.2">
      <c r="B264" s="83"/>
      <c r="C264" s="85"/>
      <c r="D264" s="85"/>
      <c r="E264" s="346" t="s">
        <v>35</v>
      </c>
      <c r="F264" s="304">
        <f>+IF(F263=2,700,IF(F263=3,800,IF(F263=4,900,0)))</f>
        <v>900</v>
      </c>
      <c r="G264" s="85"/>
      <c r="H264" s="85"/>
      <c r="I264" s="85"/>
      <c r="J264" s="85"/>
      <c r="K264" s="85"/>
      <c r="L264" s="85"/>
      <c r="M264" s="85"/>
      <c r="N264" s="85"/>
      <c r="O264" s="85"/>
      <c r="P264" s="85"/>
      <c r="Q264" s="85"/>
      <c r="R264" s="125"/>
    </row>
    <row r="265" spans="2:19" ht="40.5" customHeight="1" x14ac:dyDescent="0.2">
      <c r="B265" s="83"/>
      <c r="C265" s="85"/>
      <c r="D265" s="85"/>
      <c r="E265" s="347" t="s">
        <v>357</v>
      </c>
      <c r="F265" s="304" t="s">
        <v>82</v>
      </c>
      <c r="G265" s="85"/>
      <c r="H265" s="85"/>
      <c r="I265" s="85"/>
      <c r="J265" s="85"/>
      <c r="K265" s="85"/>
      <c r="L265" s="85"/>
      <c r="M265" s="85"/>
      <c r="N265" s="85"/>
      <c r="O265" s="85"/>
      <c r="P265" s="85"/>
      <c r="Q265" s="85"/>
      <c r="R265" s="125"/>
    </row>
    <row r="266" spans="2:19" x14ac:dyDescent="0.2">
      <c r="B266" s="83"/>
      <c r="C266" s="85"/>
      <c r="D266" s="85"/>
      <c r="E266" s="346" t="s">
        <v>68</v>
      </c>
      <c r="F266" s="304" t="s">
        <v>82</v>
      </c>
      <c r="G266" s="85"/>
      <c r="H266" s="85"/>
      <c r="I266" s="85"/>
      <c r="J266" s="85"/>
      <c r="K266" s="85"/>
      <c r="L266" s="85"/>
      <c r="M266" s="85"/>
      <c r="N266" s="85"/>
      <c r="O266" s="85"/>
      <c r="P266" s="85"/>
      <c r="Q266" s="85"/>
      <c r="R266" s="125"/>
    </row>
    <row r="267" spans="2:19" ht="12.75" thickBot="1" x14ac:dyDescent="0.25">
      <c r="B267" s="83"/>
      <c r="C267" s="85"/>
      <c r="D267" s="85"/>
      <c r="E267" s="337" t="s">
        <v>69</v>
      </c>
      <c r="F267" s="305">
        <f>+COUNTIF(J257:J260,"si")</f>
        <v>1</v>
      </c>
      <c r="G267" s="85"/>
      <c r="H267" s="85"/>
      <c r="I267" s="85"/>
      <c r="J267" s="85"/>
      <c r="K267" s="85"/>
      <c r="L267" s="85"/>
      <c r="M267" s="85"/>
      <c r="N267" s="85"/>
      <c r="O267" s="85"/>
      <c r="P267" s="85"/>
      <c r="Q267" s="85"/>
      <c r="R267" s="125"/>
    </row>
    <row r="268" spans="2:19" x14ac:dyDescent="0.2">
      <c r="B268" s="83"/>
      <c r="C268" s="85"/>
      <c r="D268" s="85"/>
      <c r="E268" s="85"/>
      <c r="F268" s="85"/>
      <c r="G268" s="85"/>
      <c r="H268" s="85"/>
      <c r="I268" s="85"/>
      <c r="J268" s="85"/>
      <c r="K268" s="85"/>
      <c r="L268" s="85"/>
      <c r="M268" s="85"/>
      <c r="N268" s="85"/>
      <c r="O268" s="85"/>
      <c r="P268" s="85"/>
      <c r="Q268" s="85"/>
      <c r="R268" s="125"/>
    </row>
    <row r="269" spans="2:19" ht="12.75" thickBot="1" x14ac:dyDescent="0.25">
      <c r="B269" s="197"/>
      <c r="C269" s="199"/>
      <c r="D269" s="199"/>
      <c r="E269" s="199"/>
      <c r="F269" s="199"/>
      <c r="G269" s="199"/>
      <c r="H269" s="199"/>
      <c r="I269" s="199"/>
      <c r="J269" s="199"/>
      <c r="K269" s="199"/>
      <c r="L269" s="199"/>
      <c r="M269" s="199"/>
      <c r="N269" s="199"/>
      <c r="O269" s="199"/>
      <c r="P269" s="199"/>
      <c r="Q269" s="199"/>
      <c r="R269" s="201"/>
    </row>
    <row r="272" spans="2:19" ht="12.75" thickBot="1" x14ac:dyDescent="0.25"/>
    <row r="273" spans="2:19" ht="12.75" thickBot="1" x14ac:dyDescent="0.25">
      <c r="B273" s="281" t="s">
        <v>27</v>
      </c>
      <c r="C273" s="282"/>
      <c r="D273" s="282"/>
      <c r="E273" s="283">
        <v>15</v>
      </c>
      <c r="F273" s="282" t="str">
        <f>+VLOOKUP(E273,[6]Proponentes!$B$10:$D$77,2,FALSE())</f>
        <v>CONSORCIO AEROPUERTO DEL VALLE</v>
      </c>
      <c r="G273" s="282"/>
      <c r="H273" s="282"/>
      <c r="I273" s="284"/>
      <c r="J273" s="284"/>
      <c r="K273" s="284"/>
      <c r="L273" s="284"/>
      <c r="M273" s="284"/>
      <c r="N273" s="284"/>
      <c r="O273" s="284"/>
      <c r="P273" s="284"/>
      <c r="Q273" s="284"/>
      <c r="R273" s="285"/>
      <c r="S273" s="286"/>
    </row>
    <row r="274" spans="2:19" ht="57" customHeight="1" thickBot="1" x14ac:dyDescent="0.25">
      <c r="B274" s="309" t="s">
        <v>28</v>
      </c>
      <c r="C274" s="310" t="s">
        <v>29</v>
      </c>
      <c r="D274" s="310" t="s">
        <v>36</v>
      </c>
      <c r="E274" s="311" t="s">
        <v>20</v>
      </c>
      <c r="F274" s="310" t="s">
        <v>34</v>
      </c>
      <c r="G274" s="310" t="s">
        <v>30</v>
      </c>
      <c r="H274" s="310" t="s">
        <v>31</v>
      </c>
      <c r="I274" s="310" t="s">
        <v>32</v>
      </c>
      <c r="J274" s="310" t="s">
        <v>61</v>
      </c>
      <c r="K274" s="310" t="s">
        <v>70</v>
      </c>
      <c r="L274" s="310" t="s">
        <v>16</v>
      </c>
      <c r="M274" s="310" t="s">
        <v>73</v>
      </c>
      <c r="N274" s="310" t="s">
        <v>74</v>
      </c>
      <c r="O274" s="310" t="s">
        <v>67</v>
      </c>
      <c r="P274" s="310" t="s">
        <v>66</v>
      </c>
      <c r="Q274" s="310" t="s">
        <v>33</v>
      </c>
      <c r="R274" s="312" t="s">
        <v>19</v>
      </c>
      <c r="S274" s="151" t="s">
        <v>727</v>
      </c>
    </row>
    <row r="275" spans="2:19" ht="12.75" thickBot="1" x14ac:dyDescent="0.25">
      <c r="B275" s="313" t="s">
        <v>38</v>
      </c>
      <c r="C275" s="314"/>
      <c r="D275" s="314"/>
      <c r="E275" s="85"/>
      <c r="F275" s="85"/>
      <c r="G275" s="314"/>
      <c r="H275" s="314"/>
      <c r="I275" s="314"/>
      <c r="J275" s="314"/>
      <c r="K275" s="314"/>
      <c r="L275" s="314"/>
      <c r="M275" s="314"/>
      <c r="N275" s="314"/>
      <c r="O275" s="314"/>
      <c r="P275" s="314"/>
      <c r="Q275" s="314"/>
      <c r="R275" s="315"/>
      <c r="S275" s="125"/>
    </row>
    <row r="276" spans="2:19" ht="86.25" customHeight="1" x14ac:dyDescent="0.2">
      <c r="B276" s="86">
        <v>1</v>
      </c>
      <c r="C276" s="329" t="s">
        <v>255</v>
      </c>
      <c r="D276" s="88" t="s">
        <v>365</v>
      </c>
      <c r="E276" s="253" t="s">
        <v>392</v>
      </c>
      <c r="F276" s="90">
        <v>0.4</v>
      </c>
      <c r="G276" s="90" t="s">
        <v>366</v>
      </c>
      <c r="H276" s="90" t="s">
        <v>62</v>
      </c>
      <c r="I276" s="91" t="s">
        <v>367</v>
      </c>
      <c r="J276" s="90" t="s">
        <v>63</v>
      </c>
      <c r="K276" s="254">
        <v>37910</v>
      </c>
      <c r="L276" s="92">
        <v>40939</v>
      </c>
      <c r="M276" s="172">
        <v>11747944351</v>
      </c>
      <c r="N276" s="172">
        <f>+M276*F276</f>
        <v>4699177740.4000006</v>
      </c>
      <c r="O276" s="94">
        <f>+ROUND(N276/VLOOKUP(K276,[6]SMLM!$A$2:$D$36,4,TRUE),0)</f>
        <v>14154</v>
      </c>
      <c r="P276" s="409">
        <f>+[6]Requisitos!$I$10</f>
        <v>1380.5396945616883</v>
      </c>
      <c r="Q276" s="172" t="str">
        <f>IF(H276="SI",IF(O276&gt;=$P$12,"SI","NO"),"NO")</f>
        <v>SI</v>
      </c>
      <c r="R276" s="98" t="s">
        <v>368</v>
      </c>
      <c r="S276" s="144"/>
    </row>
    <row r="277" spans="2:19" ht="48" x14ac:dyDescent="0.2">
      <c r="B277" s="100">
        <v>2</v>
      </c>
      <c r="C277" s="102" t="s">
        <v>369</v>
      </c>
      <c r="D277" s="102" t="s">
        <v>243</v>
      </c>
      <c r="E277" s="330" t="s">
        <v>393</v>
      </c>
      <c r="F277" s="104">
        <v>1</v>
      </c>
      <c r="G277" s="104" t="s">
        <v>370</v>
      </c>
      <c r="H277" s="104" t="s">
        <v>62</v>
      </c>
      <c r="I277" s="104" t="s">
        <v>371</v>
      </c>
      <c r="J277" s="104" t="s">
        <v>62</v>
      </c>
      <c r="K277" s="106">
        <v>40093</v>
      </c>
      <c r="L277" s="106">
        <v>41090</v>
      </c>
      <c r="M277" s="179">
        <f>1787212291/554.02*1906.59</f>
        <v>6150465834.983737</v>
      </c>
      <c r="N277" s="179">
        <f t="shared" ref="N277:N279" si="27">+M277*F277</f>
        <v>6150465834.983737</v>
      </c>
      <c r="O277" s="108">
        <f>+ROUND(N277/VLOOKUP(K277,[6]SMLM!$A$2:$D$36,4,TRUE),0)</f>
        <v>12378</v>
      </c>
      <c r="P277" s="410"/>
      <c r="Q277" s="179" t="str">
        <f t="shared" ref="Q277:Q279" si="28">IF(H277="SI",IF(O277&gt;=$P$12,"SI","NO"),"NO")</f>
        <v>SI</v>
      </c>
      <c r="R277" s="298" t="s">
        <v>372</v>
      </c>
      <c r="S277" s="144"/>
    </row>
    <row r="278" spans="2:19" ht="85.5" customHeight="1" x14ac:dyDescent="0.2">
      <c r="B278" s="100">
        <v>3</v>
      </c>
      <c r="C278" s="102" t="s">
        <v>373</v>
      </c>
      <c r="D278" s="102" t="s">
        <v>374</v>
      </c>
      <c r="E278" s="330" t="s">
        <v>394</v>
      </c>
      <c r="F278" s="104">
        <v>1</v>
      </c>
      <c r="G278" s="104" t="s">
        <v>366</v>
      </c>
      <c r="H278" s="104" t="s">
        <v>62</v>
      </c>
      <c r="I278" s="102" t="s">
        <v>332</v>
      </c>
      <c r="J278" s="104" t="s">
        <v>63</v>
      </c>
      <c r="K278" s="106">
        <v>38929</v>
      </c>
      <c r="L278" s="106">
        <v>39553</v>
      </c>
      <c r="M278" s="179">
        <v>3010928835</v>
      </c>
      <c r="N278" s="179">
        <f t="shared" si="27"/>
        <v>3010928835</v>
      </c>
      <c r="O278" s="108">
        <f>+ROUND(N278/VLOOKUP(K278,[6]SMLM!$A$2:$D$36,4,TRUE),0)</f>
        <v>7380</v>
      </c>
      <c r="P278" s="410"/>
      <c r="Q278" s="179" t="str">
        <f t="shared" si="28"/>
        <v>SI</v>
      </c>
      <c r="R278" s="298" t="s">
        <v>375</v>
      </c>
      <c r="S278" s="144"/>
    </row>
    <row r="279" spans="2:19" ht="188.25" customHeight="1" thickBot="1" x14ac:dyDescent="0.25">
      <c r="B279" s="112">
        <v>4</v>
      </c>
      <c r="C279" s="113" t="s">
        <v>334</v>
      </c>
      <c r="D279" s="113" t="s">
        <v>335</v>
      </c>
      <c r="E279" s="256" t="s">
        <v>395</v>
      </c>
      <c r="F279" s="250">
        <v>0.83499999999999996</v>
      </c>
      <c r="G279" s="115" t="s">
        <v>57</v>
      </c>
      <c r="H279" s="115" t="s">
        <v>62</v>
      </c>
      <c r="I279" s="115" t="s">
        <v>332</v>
      </c>
      <c r="J279" s="115" t="s">
        <v>63</v>
      </c>
      <c r="K279" s="117">
        <v>38337</v>
      </c>
      <c r="L279" s="117">
        <v>41440</v>
      </c>
      <c r="M279" s="175">
        <v>9865877743</v>
      </c>
      <c r="N279" s="175">
        <f t="shared" si="27"/>
        <v>8238007915.4049997</v>
      </c>
      <c r="O279" s="119">
        <f>+ROUND(N279/VLOOKUP(K279,[6]SMLM!$A$2:$D$36,4,TRUE),0)</f>
        <v>23011</v>
      </c>
      <c r="P279" s="411"/>
      <c r="Q279" s="115" t="str">
        <f t="shared" si="28"/>
        <v>SI</v>
      </c>
      <c r="R279" s="122" t="s">
        <v>376</v>
      </c>
      <c r="S279" s="144"/>
    </row>
    <row r="280" spans="2:19" x14ac:dyDescent="0.2">
      <c r="B280" s="83"/>
      <c r="C280" s="85"/>
      <c r="D280" s="85"/>
      <c r="E280" s="85"/>
      <c r="F280" s="85"/>
      <c r="G280" s="85"/>
      <c r="H280" s="85"/>
      <c r="I280" s="85"/>
      <c r="J280" s="85"/>
      <c r="K280" s="85"/>
      <c r="L280" s="85"/>
      <c r="M280" s="85"/>
      <c r="N280" s="85"/>
      <c r="O280" s="85"/>
      <c r="P280" s="85"/>
      <c r="Q280" s="85"/>
      <c r="R280" s="125"/>
      <c r="S280" s="125"/>
    </row>
    <row r="281" spans="2:19" ht="12.75" thickBot="1" x14ac:dyDescent="0.25">
      <c r="B281" s="83"/>
      <c r="C281" s="85"/>
      <c r="D281" s="85"/>
      <c r="E281" s="85"/>
      <c r="F281" s="85"/>
      <c r="G281" s="85"/>
      <c r="H281" s="85"/>
      <c r="I281" s="85"/>
      <c r="J281" s="85"/>
      <c r="K281" s="85"/>
      <c r="L281" s="85"/>
      <c r="M281" s="85"/>
      <c r="N281" s="85"/>
      <c r="O281" s="301"/>
      <c r="P281" s="85"/>
      <c r="Q281" s="85"/>
      <c r="R281" s="125"/>
      <c r="S281" s="125"/>
    </row>
    <row r="282" spans="2:19" x14ac:dyDescent="0.2">
      <c r="B282" s="83"/>
      <c r="C282" s="85"/>
      <c r="D282" s="85"/>
      <c r="E282" s="345" t="s">
        <v>54</v>
      </c>
      <c r="F282" s="303">
        <f>COUNTIF(Q276:Q279,"SI")</f>
        <v>4</v>
      </c>
      <c r="G282" s="85"/>
      <c r="H282" s="85"/>
      <c r="I282" s="85"/>
      <c r="J282" s="85"/>
      <c r="K282" s="85"/>
      <c r="L282" s="85"/>
      <c r="M282" s="85"/>
      <c r="N282" s="85"/>
      <c r="O282" s="85"/>
      <c r="P282" s="85"/>
      <c r="Q282" s="85"/>
      <c r="R282" s="125"/>
      <c r="S282" s="125"/>
    </row>
    <row r="283" spans="2:19" x14ac:dyDescent="0.2">
      <c r="B283" s="83"/>
      <c r="C283" s="85"/>
      <c r="D283" s="85"/>
      <c r="E283" s="346" t="s">
        <v>35</v>
      </c>
      <c r="F283" s="304">
        <f>+IF(F282=2,700,IF(F282=3,800,IF(F282=4,900,0)))</f>
        <v>900</v>
      </c>
      <c r="G283" s="85"/>
      <c r="H283" s="85"/>
      <c r="I283" s="85"/>
      <c r="J283" s="85"/>
      <c r="K283" s="85"/>
      <c r="L283" s="85"/>
      <c r="M283" s="85"/>
      <c r="N283" s="85"/>
      <c r="O283" s="85"/>
      <c r="P283" s="85"/>
      <c r="Q283" s="85"/>
      <c r="R283" s="125"/>
      <c r="S283" s="125"/>
    </row>
    <row r="284" spans="2:19" ht="39" customHeight="1" x14ac:dyDescent="0.2">
      <c r="B284" s="83"/>
      <c r="C284" s="85"/>
      <c r="D284" s="85"/>
      <c r="E284" s="347" t="s">
        <v>357</v>
      </c>
      <c r="F284" s="304" t="s">
        <v>82</v>
      </c>
      <c r="G284" s="85"/>
      <c r="H284" s="85"/>
      <c r="I284" s="85"/>
      <c r="J284" s="85"/>
      <c r="K284" s="85"/>
      <c r="L284" s="85"/>
      <c r="M284" s="85"/>
      <c r="N284" s="85"/>
      <c r="O284" s="85"/>
      <c r="P284" s="85"/>
      <c r="Q284" s="85"/>
      <c r="R284" s="125"/>
      <c r="S284" s="125"/>
    </row>
    <row r="285" spans="2:19" x14ac:dyDescent="0.2">
      <c r="B285" s="83"/>
      <c r="C285" s="85"/>
      <c r="D285" s="85"/>
      <c r="E285" s="346" t="s">
        <v>68</v>
      </c>
      <c r="F285" s="304" t="s">
        <v>82</v>
      </c>
      <c r="G285" s="85"/>
      <c r="H285" s="85"/>
      <c r="I285" s="85"/>
      <c r="J285" s="85"/>
      <c r="K285" s="85"/>
      <c r="L285" s="85"/>
      <c r="M285" s="85"/>
      <c r="N285" s="85"/>
      <c r="O285" s="85"/>
      <c r="P285" s="85"/>
      <c r="Q285" s="85"/>
      <c r="R285" s="125"/>
      <c r="S285" s="125"/>
    </row>
    <row r="286" spans="2:19" ht="12.75" thickBot="1" x14ac:dyDescent="0.25">
      <c r="B286" s="83"/>
      <c r="C286" s="85"/>
      <c r="D286" s="85"/>
      <c r="E286" s="337" t="s">
        <v>69</v>
      </c>
      <c r="F286" s="305">
        <f>+COUNTIF(J276:J279,"si")</f>
        <v>1</v>
      </c>
      <c r="G286" s="85"/>
      <c r="H286" s="85"/>
      <c r="I286" s="85"/>
      <c r="J286" s="85"/>
      <c r="K286" s="85"/>
      <c r="L286" s="85"/>
      <c r="M286" s="85"/>
      <c r="N286" s="85"/>
      <c r="O286" s="85"/>
      <c r="P286" s="85"/>
      <c r="Q286" s="85"/>
      <c r="R286" s="125"/>
      <c r="S286" s="125"/>
    </row>
    <row r="287" spans="2:19" x14ac:dyDescent="0.2">
      <c r="B287" s="83"/>
      <c r="C287" s="85"/>
      <c r="D287" s="85"/>
      <c r="E287" s="85"/>
      <c r="F287" s="85"/>
      <c r="G287" s="85"/>
      <c r="H287" s="85"/>
      <c r="I287" s="85"/>
      <c r="J287" s="85"/>
      <c r="K287" s="85"/>
      <c r="L287" s="85"/>
      <c r="M287" s="85"/>
      <c r="N287" s="85"/>
      <c r="O287" s="85"/>
      <c r="P287" s="85"/>
      <c r="Q287" s="85"/>
      <c r="R287" s="125"/>
      <c r="S287" s="125"/>
    </row>
    <row r="288" spans="2:19" ht="12.75" thickBot="1" x14ac:dyDescent="0.25">
      <c r="B288" s="197"/>
      <c r="C288" s="199"/>
      <c r="D288" s="199"/>
      <c r="E288" s="199"/>
      <c r="F288" s="199"/>
      <c r="G288" s="199"/>
      <c r="H288" s="199"/>
      <c r="I288" s="199"/>
      <c r="J288" s="199"/>
      <c r="K288" s="199"/>
      <c r="L288" s="199"/>
      <c r="M288" s="199"/>
      <c r="N288" s="199"/>
      <c r="O288" s="199"/>
      <c r="P288" s="199"/>
      <c r="Q288" s="199"/>
      <c r="R288" s="201"/>
      <c r="S288" s="125"/>
    </row>
    <row r="289" spans="2:20" x14ac:dyDescent="0.2">
      <c r="B289" s="83"/>
      <c r="C289" s="85"/>
      <c r="D289" s="85"/>
      <c r="E289" s="85"/>
      <c r="F289" s="85"/>
      <c r="G289" s="85"/>
      <c r="H289" s="85"/>
      <c r="I289" s="85"/>
      <c r="J289" s="85"/>
      <c r="K289" s="85"/>
      <c r="L289" s="85"/>
      <c r="M289" s="85"/>
      <c r="N289" s="85"/>
      <c r="O289" s="85"/>
      <c r="P289" s="85"/>
      <c r="Q289" s="85"/>
      <c r="R289" s="85"/>
      <c r="S289" s="125"/>
    </row>
    <row r="290" spans="2:20" x14ac:dyDescent="0.2">
      <c r="B290" s="83"/>
      <c r="C290" s="85"/>
      <c r="D290" s="85"/>
      <c r="E290" s="85"/>
      <c r="F290" s="85"/>
      <c r="G290" s="85"/>
      <c r="H290" s="85"/>
      <c r="I290" s="85"/>
      <c r="J290" s="85"/>
      <c r="K290" s="85"/>
      <c r="L290" s="85"/>
      <c r="M290" s="85"/>
      <c r="N290" s="85"/>
      <c r="O290" s="85"/>
      <c r="P290" s="85"/>
      <c r="Q290" s="85"/>
      <c r="R290" s="85"/>
      <c r="S290" s="125"/>
    </row>
    <row r="291" spans="2:20" ht="12.75" thickBot="1" x14ac:dyDescent="0.25">
      <c r="B291" s="83"/>
      <c r="C291" s="85"/>
      <c r="D291" s="85"/>
      <c r="E291" s="85"/>
      <c r="F291" s="85"/>
      <c r="G291" s="85"/>
      <c r="H291" s="85"/>
      <c r="I291" s="85"/>
      <c r="J291" s="85"/>
      <c r="K291" s="85"/>
      <c r="L291" s="85"/>
      <c r="M291" s="85"/>
      <c r="N291" s="85"/>
      <c r="O291" s="85"/>
      <c r="P291" s="85"/>
      <c r="Q291" s="85"/>
      <c r="R291" s="85"/>
      <c r="S291" s="125"/>
    </row>
    <row r="292" spans="2:20" ht="12.75" thickBot="1" x14ac:dyDescent="0.25">
      <c r="B292" s="281" t="s">
        <v>27</v>
      </c>
      <c r="C292" s="282"/>
      <c r="D292" s="282"/>
      <c r="E292" s="283">
        <v>16</v>
      </c>
      <c r="F292" s="282" t="str">
        <f>+VLOOKUP(E292,[6]Proponentes!$B$10:$D$77,2,FALSE())</f>
        <v>CONSORCIO CONCESIONES 04</v>
      </c>
      <c r="G292" s="284"/>
      <c r="H292" s="284"/>
      <c r="I292" s="284"/>
      <c r="J292" s="284"/>
      <c r="K292" s="284"/>
      <c r="L292" s="284"/>
      <c r="M292" s="284"/>
      <c r="N292" s="284"/>
      <c r="O292" s="284"/>
      <c r="P292" s="284"/>
      <c r="Q292" s="284"/>
      <c r="R292" s="285"/>
      <c r="S292" s="286"/>
    </row>
    <row r="293" spans="2:20" ht="60" customHeight="1" thickBot="1" x14ac:dyDescent="0.25">
      <c r="B293" s="309" t="s">
        <v>28</v>
      </c>
      <c r="C293" s="310" t="s">
        <v>29</v>
      </c>
      <c r="D293" s="310" t="s">
        <v>36</v>
      </c>
      <c r="E293" s="311" t="s">
        <v>20</v>
      </c>
      <c r="F293" s="310" t="s">
        <v>34</v>
      </c>
      <c r="G293" s="310" t="s">
        <v>30</v>
      </c>
      <c r="H293" s="310" t="s">
        <v>31</v>
      </c>
      <c r="I293" s="310" t="s">
        <v>32</v>
      </c>
      <c r="J293" s="310" t="s">
        <v>61</v>
      </c>
      <c r="K293" s="310" t="s">
        <v>70</v>
      </c>
      <c r="L293" s="310" t="s">
        <v>16</v>
      </c>
      <c r="M293" s="310" t="s">
        <v>73</v>
      </c>
      <c r="N293" s="310" t="s">
        <v>74</v>
      </c>
      <c r="O293" s="310" t="s">
        <v>67</v>
      </c>
      <c r="P293" s="310" t="s">
        <v>66</v>
      </c>
      <c r="Q293" s="310" t="s">
        <v>33</v>
      </c>
      <c r="R293" s="312" t="s">
        <v>19</v>
      </c>
      <c r="S293" s="151" t="s">
        <v>727</v>
      </c>
    </row>
    <row r="294" spans="2:20" ht="12.75" thickBot="1" x14ac:dyDescent="0.25">
      <c r="B294" s="313" t="s">
        <v>38</v>
      </c>
      <c r="C294" s="314"/>
      <c r="D294" s="314"/>
      <c r="E294" s="85"/>
      <c r="F294" s="85"/>
      <c r="G294" s="314"/>
      <c r="H294" s="314"/>
      <c r="I294" s="314"/>
      <c r="J294" s="314"/>
      <c r="K294" s="314"/>
      <c r="L294" s="314"/>
      <c r="M294" s="314"/>
      <c r="N294" s="314"/>
      <c r="O294" s="314"/>
      <c r="P294" s="314"/>
      <c r="Q294" s="314"/>
      <c r="R294" s="315"/>
      <c r="S294" s="125"/>
    </row>
    <row r="295" spans="2:20" ht="73.5" customHeight="1" x14ac:dyDescent="0.2">
      <c r="B295" s="86">
        <v>1</v>
      </c>
      <c r="C295" s="329" t="s">
        <v>337</v>
      </c>
      <c r="D295" s="88" t="s">
        <v>338</v>
      </c>
      <c r="E295" s="89" t="s">
        <v>339</v>
      </c>
      <c r="F295" s="90">
        <v>1</v>
      </c>
      <c r="G295" s="90" t="s">
        <v>57</v>
      </c>
      <c r="H295" s="90" t="s">
        <v>62</v>
      </c>
      <c r="I295" s="91" t="s">
        <v>303</v>
      </c>
      <c r="J295" s="90" t="s">
        <v>63</v>
      </c>
      <c r="K295" s="254">
        <v>39147</v>
      </c>
      <c r="L295" s="92">
        <v>40016</v>
      </c>
      <c r="M295" s="172">
        <v>4719365872.2399998</v>
      </c>
      <c r="N295" s="172">
        <f>+M295*F295</f>
        <v>4719365872.2399998</v>
      </c>
      <c r="O295" s="94">
        <f>+ROUND(N295/VLOOKUP(K295,[6]SMLM!$A$2:$D$36,4,TRUE),0)</f>
        <v>10882</v>
      </c>
      <c r="P295" s="409">
        <f>+[6]Requisitos!$I$10</f>
        <v>1380.5396945616883</v>
      </c>
      <c r="Q295" s="172" t="str">
        <f>IF(H295="SI",IF(O295&gt;=$P$12,"SI","NO"),"NO")</f>
        <v>SI</v>
      </c>
      <c r="R295" s="98" t="s">
        <v>377</v>
      </c>
      <c r="S295" s="144"/>
    </row>
    <row r="296" spans="2:20" ht="165" customHeight="1" x14ac:dyDescent="0.2">
      <c r="B296" s="100">
        <v>2</v>
      </c>
      <c r="C296" s="102" t="s">
        <v>378</v>
      </c>
      <c r="D296" s="102" t="s">
        <v>243</v>
      </c>
      <c r="E296" s="103" t="s">
        <v>379</v>
      </c>
      <c r="F296" s="104" t="s">
        <v>349</v>
      </c>
      <c r="G296" s="104" t="s">
        <v>380</v>
      </c>
      <c r="H296" s="104" t="s">
        <v>63</v>
      </c>
      <c r="I296" s="104" t="s">
        <v>350</v>
      </c>
      <c r="J296" s="104" t="s">
        <v>63</v>
      </c>
      <c r="K296" s="106">
        <v>37926</v>
      </c>
      <c r="L296" s="106">
        <v>38869</v>
      </c>
      <c r="M296" s="179">
        <v>3767636374.9920001</v>
      </c>
      <c r="N296" s="179"/>
      <c r="O296" s="108">
        <f>+ROUND(N296/VLOOKUP(K296,[6]SMLM!$A$2:$D$36,4,TRUE),0)</f>
        <v>0</v>
      </c>
      <c r="P296" s="410"/>
      <c r="Q296" s="179" t="str">
        <f t="shared" ref="Q296:Q298" si="29">IF(H296="SI",IF(O296&gt;=$P$12,"SI","NO"),"NO")</f>
        <v>NO</v>
      </c>
      <c r="R296" s="331" t="s">
        <v>716</v>
      </c>
      <c r="S296" s="348" t="s">
        <v>736</v>
      </c>
      <c r="T296" s="332"/>
    </row>
    <row r="297" spans="2:20" ht="135.75" customHeight="1" x14ac:dyDescent="0.2">
      <c r="B297" s="100">
        <v>3</v>
      </c>
      <c r="C297" s="102" t="s">
        <v>341</v>
      </c>
      <c r="D297" s="102" t="s">
        <v>381</v>
      </c>
      <c r="E297" s="103" t="s">
        <v>382</v>
      </c>
      <c r="F297" s="104">
        <v>0.65</v>
      </c>
      <c r="G297" s="104" t="s">
        <v>57</v>
      </c>
      <c r="H297" s="104" t="s">
        <v>62</v>
      </c>
      <c r="I297" s="102" t="s">
        <v>303</v>
      </c>
      <c r="J297" s="104" t="s">
        <v>63</v>
      </c>
      <c r="K297" s="106">
        <v>37838</v>
      </c>
      <c r="L297" s="106">
        <v>38612</v>
      </c>
      <c r="M297" s="179">
        <v>6190975758</v>
      </c>
      <c r="N297" s="179"/>
      <c r="O297" s="108">
        <f>+ROUND(N297/VLOOKUP(K297,[6]SMLM!$A$2:$D$36,4,TRUE),0)</f>
        <v>0</v>
      </c>
      <c r="P297" s="410"/>
      <c r="Q297" s="179" t="str">
        <f t="shared" si="29"/>
        <v>NO</v>
      </c>
      <c r="R297" s="298"/>
      <c r="S297" s="348" t="s">
        <v>735</v>
      </c>
    </row>
    <row r="298" spans="2:20" ht="60.75" thickBot="1" x14ac:dyDescent="0.25">
      <c r="B298" s="112">
        <v>4</v>
      </c>
      <c r="C298" s="113" t="s">
        <v>341</v>
      </c>
      <c r="D298" s="113" t="s">
        <v>342</v>
      </c>
      <c r="E298" s="114" t="s">
        <v>343</v>
      </c>
      <c r="F298" s="250" t="s">
        <v>344</v>
      </c>
      <c r="G298" s="115" t="s">
        <v>57</v>
      </c>
      <c r="H298" s="115" t="s">
        <v>62</v>
      </c>
      <c r="I298" s="115" t="s">
        <v>345</v>
      </c>
      <c r="J298" s="115" t="s">
        <v>63</v>
      </c>
      <c r="K298" s="117">
        <v>39615</v>
      </c>
      <c r="L298" s="117">
        <v>41502</v>
      </c>
      <c r="M298" s="175">
        <f>28736581560*0.2</f>
        <v>5747316312</v>
      </c>
      <c r="N298" s="175">
        <f>+M298*0.95</f>
        <v>5459950496.3999996</v>
      </c>
      <c r="O298" s="119">
        <f>+ROUND(N298/VLOOKUP(K298,[6]SMLM!$A$2:$D$36,4,TRUE),0)</f>
        <v>11831</v>
      </c>
      <c r="P298" s="411"/>
      <c r="Q298" s="115" t="str">
        <f t="shared" si="29"/>
        <v>SI</v>
      </c>
      <c r="R298" s="122" t="s">
        <v>383</v>
      </c>
      <c r="S298" s="149"/>
    </row>
    <row r="299" spans="2:20" x14ac:dyDescent="0.2">
      <c r="B299" s="83"/>
      <c r="C299" s="85"/>
      <c r="D299" s="85"/>
      <c r="E299" s="85"/>
      <c r="F299" s="85"/>
      <c r="G299" s="85"/>
      <c r="H299" s="85"/>
      <c r="I299" s="85"/>
      <c r="J299" s="85"/>
      <c r="K299" s="85"/>
      <c r="L299" s="85"/>
      <c r="M299" s="85"/>
      <c r="N299" s="85"/>
      <c r="O299" s="85"/>
      <c r="P299" s="85"/>
      <c r="Q299" s="85"/>
      <c r="R299" s="125"/>
      <c r="S299" s="125"/>
    </row>
    <row r="300" spans="2:20" ht="12.75" thickBot="1" x14ac:dyDescent="0.25">
      <c r="B300" s="83"/>
      <c r="C300" s="85"/>
      <c r="D300" s="85"/>
      <c r="E300" s="85"/>
      <c r="F300" s="85"/>
      <c r="G300" s="85"/>
      <c r="H300" s="85"/>
      <c r="I300" s="85"/>
      <c r="J300" s="85"/>
      <c r="K300" s="85"/>
      <c r="L300" s="85"/>
      <c r="M300" s="85"/>
      <c r="N300" s="85"/>
      <c r="O300" s="301"/>
      <c r="P300" s="85"/>
      <c r="Q300" s="85"/>
      <c r="R300" s="125"/>
      <c r="S300" s="125"/>
    </row>
    <row r="301" spans="2:20" x14ac:dyDescent="0.2">
      <c r="B301" s="83"/>
      <c r="C301" s="85"/>
      <c r="D301" s="85"/>
      <c r="E301" s="345" t="s">
        <v>54</v>
      </c>
      <c r="F301" s="303">
        <f>COUNTIF(Q295:Q298,"SI")</f>
        <v>2</v>
      </c>
      <c r="G301" s="85"/>
      <c r="H301" s="85"/>
      <c r="I301" s="85"/>
      <c r="J301" s="85"/>
      <c r="K301" s="85"/>
      <c r="L301" s="85"/>
      <c r="M301" s="85"/>
      <c r="N301" s="85"/>
      <c r="O301" s="85"/>
      <c r="P301" s="85"/>
      <c r="Q301" s="85"/>
      <c r="R301" s="125"/>
      <c r="S301" s="125"/>
    </row>
    <row r="302" spans="2:20" x14ac:dyDescent="0.2">
      <c r="B302" s="83"/>
      <c r="C302" s="85"/>
      <c r="D302" s="85"/>
      <c r="E302" s="346" t="s">
        <v>35</v>
      </c>
      <c r="F302" s="304" t="s">
        <v>295</v>
      </c>
      <c r="G302" s="85"/>
      <c r="H302" s="85"/>
      <c r="I302" s="85"/>
      <c r="J302" s="85"/>
      <c r="K302" s="85"/>
      <c r="L302" s="85"/>
      <c r="M302" s="85"/>
      <c r="N302" s="85"/>
      <c r="O302" s="85"/>
      <c r="P302" s="85"/>
      <c r="Q302" s="85"/>
      <c r="R302" s="125"/>
      <c r="S302" s="125"/>
    </row>
    <row r="303" spans="2:20" ht="42" customHeight="1" x14ac:dyDescent="0.2">
      <c r="B303" s="83"/>
      <c r="C303" s="85"/>
      <c r="D303" s="85"/>
      <c r="E303" s="347" t="s">
        <v>357</v>
      </c>
      <c r="F303" s="304" t="s">
        <v>82</v>
      </c>
      <c r="G303" s="85"/>
      <c r="H303" s="85"/>
      <c r="I303" s="85"/>
      <c r="J303" s="85"/>
      <c r="K303" s="85"/>
      <c r="L303" s="85"/>
      <c r="M303" s="85"/>
      <c r="N303" s="85"/>
      <c r="O303" s="85"/>
      <c r="P303" s="85"/>
      <c r="Q303" s="85"/>
      <c r="R303" s="125"/>
      <c r="S303" s="125"/>
    </row>
    <row r="304" spans="2:20" x14ac:dyDescent="0.2">
      <c r="B304" s="83"/>
      <c r="C304" s="85"/>
      <c r="D304" s="85"/>
      <c r="E304" s="346" t="s">
        <v>68</v>
      </c>
      <c r="F304" s="304" t="s">
        <v>295</v>
      </c>
      <c r="G304" s="85"/>
      <c r="H304" s="85"/>
      <c r="I304" s="85"/>
      <c r="J304" s="85"/>
      <c r="K304" s="85"/>
      <c r="L304" s="85"/>
      <c r="M304" s="85"/>
      <c r="N304" s="85"/>
      <c r="O304" s="85"/>
      <c r="P304" s="85"/>
      <c r="Q304" s="85"/>
      <c r="R304" s="125"/>
      <c r="S304" s="125"/>
    </row>
    <row r="305" spans="2:19" ht="12.75" thickBot="1" x14ac:dyDescent="0.25">
      <c r="B305" s="83"/>
      <c r="C305" s="85"/>
      <c r="D305" s="85"/>
      <c r="E305" s="337" t="s">
        <v>69</v>
      </c>
      <c r="F305" s="305">
        <f>+COUNTIF(J295:J298,"si")</f>
        <v>0</v>
      </c>
      <c r="G305" s="85"/>
      <c r="H305" s="85"/>
      <c r="I305" s="85"/>
      <c r="J305" s="85"/>
      <c r="K305" s="85"/>
      <c r="L305" s="85"/>
      <c r="M305" s="85"/>
      <c r="N305" s="85"/>
      <c r="O305" s="85"/>
      <c r="P305" s="85"/>
      <c r="Q305" s="85"/>
      <c r="R305" s="125"/>
      <c r="S305" s="125"/>
    </row>
    <row r="306" spans="2:19" x14ac:dyDescent="0.2">
      <c r="B306" s="83"/>
      <c r="C306" s="85"/>
      <c r="D306" s="85"/>
      <c r="E306" s="85"/>
      <c r="F306" s="85"/>
      <c r="G306" s="85"/>
      <c r="H306" s="85"/>
      <c r="I306" s="85"/>
      <c r="J306" s="85"/>
      <c r="K306" s="85"/>
      <c r="L306" s="85"/>
      <c r="M306" s="85"/>
      <c r="N306" s="85"/>
      <c r="O306" s="85"/>
      <c r="P306" s="85"/>
      <c r="Q306" s="85"/>
      <c r="R306" s="125"/>
      <c r="S306" s="125"/>
    </row>
    <row r="307" spans="2:19" ht="12.75" thickBot="1" x14ac:dyDescent="0.25">
      <c r="B307" s="197"/>
      <c r="C307" s="199"/>
      <c r="D307" s="199"/>
      <c r="E307" s="199"/>
      <c r="F307" s="199"/>
      <c r="G307" s="199"/>
      <c r="H307" s="199"/>
      <c r="I307" s="199"/>
      <c r="J307" s="199"/>
      <c r="K307" s="199"/>
      <c r="L307" s="199"/>
      <c r="M307" s="199"/>
      <c r="N307" s="199"/>
      <c r="O307" s="199"/>
      <c r="P307" s="199"/>
      <c r="Q307" s="199"/>
      <c r="R307" s="201"/>
      <c r="S307" s="125"/>
    </row>
    <row r="308" spans="2:19" x14ac:dyDescent="0.2">
      <c r="B308" s="83"/>
      <c r="C308" s="85"/>
      <c r="D308" s="85"/>
      <c r="E308" s="85"/>
      <c r="F308" s="85"/>
      <c r="G308" s="85"/>
      <c r="H308" s="85"/>
      <c r="I308" s="85"/>
      <c r="J308" s="85"/>
      <c r="K308" s="85"/>
      <c r="L308" s="85"/>
      <c r="M308" s="85"/>
      <c r="N308" s="85"/>
      <c r="O308" s="85"/>
      <c r="P308" s="85"/>
      <c r="Q308" s="85"/>
      <c r="R308" s="85"/>
      <c r="S308" s="125"/>
    </row>
    <row r="309" spans="2:19" ht="12.75" thickBot="1" x14ac:dyDescent="0.25">
      <c r="B309" s="83"/>
      <c r="C309" s="85"/>
      <c r="D309" s="85"/>
      <c r="E309" s="85"/>
      <c r="F309" s="85"/>
      <c r="G309" s="85"/>
      <c r="H309" s="85"/>
      <c r="I309" s="85"/>
      <c r="J309" s="85"/>
      <c r="K309" s="85"/>
      <c r="L309" s="85"/>
      <c r="M309" s="85"/>
      <c r="N309" s="85"/>
      <c r="O309" s="85"/>
      <c r="P309" s="85"/>
      <c r="Q309" s="85"/>
      <c r="R309" s="85"/>
      <c r="S309" s="125"/>
    </row>
    <row r="310" spans="2:19" ht="12.75" thickBot="1" x14ac:dyDescent="0.25">
      <c r="B310" s="281" t="s">
        <v>27</v>
      </c>
      <c r="C310" s="282"/>
      <c r="D310" s="282"/>
      <c r="E310" s="283">
        <v>17</v>
      </c>
      <c r="F310" s="282" t="str">
        <f>+VLOOKUP(E310,[7]Proponentes!$B$10:$D$81,2,FALSE())</f>
        <v>CONSORCIO INTERVENTORES AEROPORTUARIOS</v>
      </c>
      <c r="G310" s="282"/>
      <c r="H310" s="282"/>
      <c r="I310" s="284"/>
      <c r="J310" s="284"/>
      <c r="K310" s="284"/>
      <c r="L310" s="284"/>
      <c r="M310" s="284"/>
      <c r="N310" s="284"/>
      <c r="O310" s="284"/>
      <c r="P310" s="284"/>
      <c r="Q310" s="284"/>
      <c r="R310" s="285"/>
      <c r="S310" s="286"/>
    </row>
    <row r="311" spans="2:19" ht="60.75" customHeight="1" thickBot="1" x14ac:dyDescent="0.25">
      <c r="B311" s="309" t="s">
        <v>28</v>
      </c>
      <c r="C311" s="310" t="s">
        <v>29</v>
      </c>
      <c r="D311" s="310" t="s">
        <v>36</v>
      </c>
      <c r="E311" s="311" t="s">
        <v>20</v>
      </c>
      <c r="F311" s="310" t="s">
        <v>34</v>
      </c>
      <c r="G311" s="310" t="s">
        <v>30</v>
      </c>
      <c r="H311" s="310" t="s">
        <v>31</v>
      </c>
      <c r="I311" s="310" t="s">
        <v>32</v>
      </c>
      <c r="J311" s="310" t="s">
        <v>61</v>
      </c>
      <c r="K311" s="310" t="s">
        <v>70</v>
      </c>
      <c r="L311" s="310" t="s">
        <v>16</v>
      </c>
      <c r="M311" s="310" t="s">
        <v>73</v>
      </c>
      <c r="N311" s="310" t="s">
        <v>74</v>
      </c>
      <c r="O311" s="310" t="s">
        <v>67</v>
      </c>
      <c r="P311" s="310" t="s">
        <v>66</v>
      </c>
      <c r="Q311" s="310" t="s">
        <v>33</v>
      </c>
      <c r="R311" s="312" t="s">
        <v>19</v>
      </c>
      <c r="S311" s="151" t="s">
        <v>727</v>
      </c>
    </row>
    <row r="312" spans="2:19" ht="12.75" thickBot="1" x14ac:dyDescent="0.25">
      <c r="B312" s="313" t="s">
        <v>38</v>
      </c>
      <c r="C312" s="314"/>
      <c r="D312" s="314"/>
      <c r="E312" s="85"/>
      <c r="F312" s="85"/>
      <c r="G312" s="314"/>
      <c r="H312" s="314"/>
      <c r="I312" s="314"/>
      <c r="J312" s="314"/>
      <c r="K312" s="314"/>
      <c r="L312" s="314"/>
      <c r="M312" s="314"/>
      <c r="N312" s="314"/>
      <c r="O312" s="314"/>
      <c r="P312" s="314"/>
      <c r="Q312" s="314"/>
      <c r="R312" s="315"/>
      <c r="S312" s="125"/>
    </row>
    <row r="313" spans="2:19" ht="129.75" customHeight="1" x14ac:dyDescent="0.2">
      <c r="B313" s="86">
        <v>4</v>
      </c>
      <c r="C313" s="88" t="s">
        <v>468</v>
      </c>
      <c r="D313" s="88" t="s">
        <v>425</v>
      </c>
      <c r="E313" s="87" t="s">
        <v>469</v>
      </c>
      <c r="F313" s="90">
        <v>0.5</v>
      </c>
      <c r="G313" s="90" t="s">
        <v>209</v>
      </c>
      <c r="H313" s="90" t="s">
        <v>62</v>
      </c>
      <c r="I313" s="90" t="s">
        <v>518</v>
      </c>
      <c r="J313" s="90" t="s">
        <v>63</v>
      </c>
      <c r="K313" s="92">
        <v>39405</v>
      </c>
      <c r="L313" s="92">
        <v>40268</v>
      </c>
      <c r="M313" s="172">
        <v>5346087246.195734</v>
      </c>
      <c r="N313" s="179">
        <f>+M313*F313</f>
        <v>2673043623.097867</v>
      </c>
      <c r="O313" s="172">
        <f>+ROUND(N313/VLOOKUP(K313,[7]SMLM!$A$2:$D$36,4,TRUE),0)</f>
        <v>6163</v>
      </c>
      <c r="P313" s="94">
        <f>+[7]Requisitos!$I$10</f>
        <v>1380.5396945616883</v>
      </c>
      <c r="Q313" s="172" t="str">
        <f>IF(H313="SI",IF(O313&gt;=$P$12,"SI","NO"),"NO")</f>
        <v>SI</v>
      </c>
      <c r="R313" s="296" t="s">
        <v>718</v>
      </c>
      <c r="S313" s="349" t="s">
        <v>739</v>
      </c>
    </row>
    <row r="314" spans="2:19" ht="273.75" customHeight="1" x14ac:dyDescent="0.2">
      <c r="B314" s="100">
        <v>1</v>
      </c>
      <c r="C314" s="102" t="s">
        <v>9</v>
      </c>
      <c r="D314" s="102" t="s">
        <v>470</v>
      </c>
      <c r="E314" s="101" t="s">
        <v>471</v>
      </c>
      <c r="F314" s="104">
        <v>0.7</v>
      </c>
      <c r="G314" s="104" t="s">
        <v>57</v>
      </c>
      <c r="H314" s="104" t="s">
        <v>62</v>
      </c>
      <c r="I314" s="104" t="s">
        <v>706</v>
      </c>
      <c r="J314" s="104" t="s">
        <v>63</v>
      </c>
      <c r="K314" s="106">
        <v>39933</v>
      </c>
      <c r="L314" s="106">
        <v>41029</v>
      </c>
      <c r="M314" s="179">
        <v>6198817512</v>
      </c>
      <c r="N314" s="179">
        <f>+M314*F314</f>
        <v>4339172258.3999996</v>
      </c>
      <c r="O314" s="108">
        <f>+ROUND(N314/VLOOKUP(K314,[7]SMLM!$A$2:$D$36,4,TRUE),0)</f>
        <v>8732</v>
      </c>
      <c r="P314" s="108">
        <f>+[7]Requisitos!$I$10</f>
        <v>1380.5396945616883</v>
      </c>
      <c r="Q314" s="179" t="str">
        <f>IF(H314="SI",IF(O314&gt;=$P$12,"SI","NO"),"NO")</f>
        <v>SI</v>
      </c>
      <c r="R314" s="298" t="s">
        <v>710</v>
      </c>
      <c r="S314" s="144"/>
    </row>
    <row r="315" spans="2:19" ht="106.5" customHeight="1" x14ac:dyDescent="0.2">
      <c r="B315" s="100">
        <v>2</v>
      </c>
      <c r="C315" s="102" t="s">
        <v>696</v>
      </c>
      <c r="D315" s="102" t="s">
        <v>472</v>
      </c>
      <c r="E315" s="101" t="s">
        <v>473</v>
      </c>
      <c r="F315" s="104">
        <v>0.5</v>
      </c>
      <c r="G315" s="104" t="s">
        <v>57</v>
      </c>
      <c r="H315" s="104" t="s">
        <v>62</v>
      </c>
      <c r="I315" s="104" t="s">
        <v>707</v>
      </c>
      <c r="J315" s="104" t="s">
        <v>63</v>
      </c>
      <c r="K315" s="106">
        <v>35457</v>
      </c>
      <c r="L315" s="106">
        <v>37126</v>
      </c>
      <c r="M315" s="179">
        <v>5240267062</v>
      </c>
      <c r="N315" s="179">
        <f>+M315*F315</f>
        <v>2620133531</v>
      </c>
      <c r="O315" s="179">
        <f>+ROUND(N315/VLOOKUP(K315,[7]SMLM!$A$2:$D$36,4,TRUE),0)</f>
        <v>15233</v>
      </c>
      <c r="P315" s="108">
        <f>+[7]Requisitos!$I$10</f>
        <v>1380.5396945616883</v>
      </c>
      <c r="Q315" s="179" t="str">
        <f>IF(H315="SI",IF(O315&gt;=$P$12,"SI","NO"),"NO")</f>
        <v>SI</v>
      </c>
      <c r="R315" s="298" t="s">
        <v>711</v>
      </c>
      <c r="S315" s="144"/>
    </row>
    <row r="316" spans="2:19" ht="101.25" customHeight="1" thickBot="1" x14ac:dyDescent="0.25">
      <c r="B316" s="112">
        <v>3</v>
      </c>
      <c r="C316" s="113" t="s">
        <v>9</v>
      </c>
      <c r="D316" s="113" t="s">
        <v>474</v>
      </c>
      <c r="E316" s="69" t="s">
        <v>475</v>
      </c>
      <c r="F316" s="115">
        <v>0.7</v>
      </c>
      <c r="G316" s="115" t="s">
        <v>57</v>
      </c>
      <c r="H316" s="115" t="s">
        <v>62</v>
      </c>
      <c r="I316" s="115" t="s">
        <v>706</v>
      </c>
      <c r="J316" s="115" t="s">
        <v>63</v>
      </c>
      <c r="K316" s="117">
        <v>39822</v>
      </c>
      <c r="L316" s="117">
        <v>40916</v>
      </c>
      <c r="M316" s="175">
        <v>3214700088</v>
      </c>
      <c r="N316" s="175">
        <f>+M316*F316</f>
        <v>2250290061.5999999</v>
      </c>
      <c r="O316" s="119">
        <f>+ROUND(N316/VLOOKUP(K316,[7]SMLM!$A$2:$D$36,4,TRUE),0)</f>
        <v>4529</v>
      </c>
      <c r="P316" s="119">
        <f>+[7]Requisitos!$I$10</f>
        <v>1380.5396945616883</v>
      </c>
      <c r="Q316" s="115" t="str">
        <f>IF(H316="SI",IF(O316&gt;=$P$12,"SI","NO"),"NO")</f>
        <v>SI</v>
      </c>
      <c r="R316" s="300" t="s">
        <v>712</v>
      </c>
      <c r="S316" s="149"/>
    </row>
    <row r="317" spans="2:19" x14ac:dyDescent="0.2">
      <c r="B317" s="83"/>
      <c r="C317" s="85"/>
      <c r="D317" s="85"/>
      <c r="E317" s="85"/>
      <c r="F317" s="85"/>
      <c r="G317" s="85"/>
      <c r="H317" s="85"/>
      <c r="I317" s="85"/>
      <c r="J317" s="85"/>
      <c r="K317" s="85"/>
      <c r="L317" s="85"/>
      <c r="M317" s="85"/>
      <c r="N317" s="85"/>
      <c r="O317" s="85"/>
      <c r="P317" s="85"/>
      <c r="Q317" s="85"/>
      <c r="R317" s="125"/>
    </row>
    <row r="318" spans="2:19" x14ac:dyDescent="0.2">
      <c r="B318" s="83"/>
      <c r="C318" s="85"/>
      <c r="D318" s="85"/>
      <c r="E318" s="85"/>
      <c r="F318" s="85"/>
      <c r="G318" s="85"/>
      <c r="H318" s="85"/>
      <c r="I318" s="85"/>
      <c r="J318" s="85"/>
      <c r="K318" s="85"/>
      <c r="L318" s="85"/>
      <c r="M318" s="85"/>
      <c r="N318" s="85"/>
      <c r="O318" s="85"/>
      <c r="P318" s="85"/>
      <c r="Q318" s="85"/>
      <c r="R318" s="125"/>
    </row>
    <row r="319" spans="2:19" ht="12.75" thickBot="1" x14ac:dyDescent="0.25">
      <c r="B319" s="83"/>
      <c r="C319" s="85"/>
      <c r="D319" s="85"/>
      <c r="E319" s="85"/>
      <c r="F319" s="85"/>
      <c r="G319" s="85"/>
      <c r="H319" s="85"/>
      <c r="I319" s="85"/>
      <c r="J319" s="85"/>
      <c r="K319" s="85"/>
      <c r="L319" s="85"/>
      <c r="M319" s="85"/>
      <c r="N319" s="85"/>
      <c r="O319" s="301"/>
      <c r="P319" s="85"/>
      <c r="Q319" s="85"/>
      <c r="R319" s="125"/>
    </row>
    <row r="320" spans="2:19" x14ac:dyDescent="0.2">
      <c r="B320" s="83"/>
      <c r="C320" s="85"/>
      <c r="D320" s="85"/>
      <c r="E320" s="334" t="s">
        <v>54</v>
      </c>
      <c r="F320" s="303">
        <f>COUNTIF(Q313:Q316,"SI")</f>
        <v>4</v>
      </c>
      <c r="G320" s="85"/>
      <c r="H320" s="85"/>
      <c r="I320" s="85"/>
      <c r="J320" s="85"/>
      <c r="K320" s="85"/>
      <c r="L320" s="85"/>
      <c r="M320" s="85"/>
      <c r="N320" s="85"/>
      <c r="O320" s="85"/>
      <c r="P320" s="85"/>
      <c r="Q320" s="85"/>
      <c r="R320" s="125"/>
    </row>
    <row r="321" spans="2:19" x14ac:dyDescent="0.2">
      <c r="B321" s="83"/>
      <c r="C321" s="85"/>
      <c r="D321" s="85"/>
      <c r="E321" s="335" t="s">
        <v>35</v>
      </c>
      <c r="F321" s="304">
        <f>+IF(F320=2,600,IF(F320=3,800,IF(F320=4,900,0)))</f>
        <v>900</v>
      </c>
      <c r="G321" s="85"/>
      <c r="H321" s="85"/>
      <c r="I321" s="85"/>
      <c r="J321" s="85"/>
      <c r="K321" s="85"/>
      <c r="L321" s="85"/>
      <c r="M321" s="85"/>
      <c r="N321" s="85"/>
      <c r="O321" s="85"/>
      <c r="P321" s="85"/>
      <c r="Q321" s="85"/>
      <c r="R321" s="125"/>
    </row>
    <row r="322" spans="2:19" ht="38.25" customHeight="1" x14ac:dyDescent="0.2">
      <c r="B322" s="83"/>
      <c r="C322" s="85"/>
      <c r="D322" s="85"/>
      <c r="E322" s="336" t="s">
        <v>186</v>
      </c>
      <c r="F322" s="304" t="s">
        <v>82</v>
      </c>
      <c r="G322" s="85"/>
      <c r="H322" s="85"/>
      <c r="I322" s="85"/>
      <c r="J322" s="85"/>
      <c r="K322" s="85"/>
      <c r="L322" s="85"/>
      <c r="M322" s="85"/>
      <c r="N322" s="85"/>
      <c r="O322" s="85"/>
      <c r="P322" s="85"/>
      <c r="Q322" s="85"/>
      <c r="R322" s="125"/>
    </row>
    <row r="323" spans="2:19" x14ac:dyDescent="0.2">
      <c r="B323" s="83"/>
      <c r="C323" s="85"/>
      <c r="D323" s="85"/>
      <c r="E323" s="335" t="s">
        <v>68</v>
      </c>
      <c r="F323" s="304" t="s">
        <v>82</v>
      </c>
      <c r="G323" s="85"/>
      <c r="H323" s="85"/>
      <c r="I323" s="85"/>
      <c r="J323" s="85"/>
      <c r="K323" s="85"/>
      <c r="L323" s="85"/>
      <c r="M323" s="85"/>
      <c r="N323" s="85"/>
      <c r="O323" s="85"/>
      <c r="P323" s="85"/>
      <c r="Q323" s="85"/>
      <c r="R323" s="125"/>
    </row>
    <row r="324" spans="2:19" ht="12.75" thickBot="1" x14ac:dyDescent="0.25">
      <c r="B324" s="83"/>
      <c r="C324" s="85"/>
      <c r="D324" s="85"/>
      <c r="E324" s="337" t="s">
        <v>69</v>
      </c>
      <c r="F324" s="305">
        <f>+COUNTIF(J313:J316,"si")</f>
        <v>0</v>
      </c>
      <c r="G324" s="85"/>
      <c r="H324" s="85"/>
      <c r="I324" s="85"/>
      <c r="J324" s="85"/>
      <c r="K324" s="85"/>
      <c r="L324" s="85"/>
      <c r="M324" s="85"/>
      <c r="N324" s="85"/>
      <c r="O324" s="85"/>
      <c r="P324" s="85"/>
      <c r="Q324" s="85"/>
      <c r="R324" s="125"/>
    </row>
    <row r="325" spans="2:19" x14ac:dyDescent="0.2">
      <c r="B325" s="83"/>
      <c r="C325" s="85"/>
      <c r="D325" s="85"/>
      <c r="E325" s="85"/>
      <c r="F325" s="85"/>
      <c r="G325" s="85"/>
      <c r="H325" s="85"/>
      <c r="I325" s="85"/>
      <c r="J325" s="85"/>
      <c r="K325" s="85"/>
      <c r="L325" s="85"/>
      <c r="M325" s="85"/>
      <c r="N325" s="85"/>
      <c r="O325" s="85"/>
      <c r="P325" s="85"/>
      <c r="Q325" s="85"/>
      <c r="R325" s="125"/>
    </row>
    <row r="326" spans="2:19" x14ac:dyDescent="0.2">
      <c r="B326" s="83"/>
      <c r="C326" s="85"/>
      <c r="D326" s="85"/>
      <c r="E326" s="85"/>
      <c r="F326" s="85"/>
      <c r="G326" s="85"/>
      <c r="H326" s="85"/>
      <c r="I326" s="85"/>
      <c r="J326" s="85"/>
      <c r="K326" s="85"/>
      <c r="L326" s="85"/>
      <c r="M326" s="85"/>
      <c r="N326" s="85"/>
      <c r="O326" s="85"/>
      <c r="P326" s="85"/>
      <c r="Q326" s="85"/>
      <c r="R326" s="125"/>
    </row>
    <row r="327" spans="2:19" ht="12.75" thickBot="1" x14ac:dyDescent="0.25">
      <c r="B327" s="197"/>
      <c r="C327" s="199"/>
      <c r="D327" s="199"/>
      <c r="E327" s="199"/>
      <c r="F327" s="199"/>
      <c r="G327" s="199"/>
      <c r="H327" s="199"/>
      <c r="I327" s="199"/>
      <c r="J327" s="199"/>
      <c r="K327" s="199"/>
      <c r="L327" s="199"/>
      <c r="M327" s="199"/>
      <c r="N327" s="199"/>
      <c r="O327" s="199"/>
      <c r="P327" s="199"/>
      <c r="Q327" s="199"/>
      <c r="R327" s="201"/>
    </row>
    <row r="329" spans="2:19" ht="12.75" thickBot="1" x14ac:dyDescent="0.25"/>
    <row r="330" spans="2:19" ht="12.75" thickBot="1" x14ac:dyDescent="0.25">
      <c r="B330" s="281" t="s">
        <v>27</v>
      </c>
      <c r="C330" s="282"/>
      <c r="D330" s="282"/>
      <c r="E330" s="283">
        <v>18</v>
      </c>
      <c r="F330" s="282" t="str">
        <f>+VLOOKUP(E330,[7]Proponentes!$B$10:$D$81,2,FALSE())</f>
        <v>CONSORCIO ECOPIDDO</v>
      </c>
      <c r="G330" s="282"/>
      <c r="H330" s="282"/>
      <c r="I330" s="284"/>
      <c r="J330" s="284"/>
      <c r="K330" s="284"/>
      <c r="L330" s="284"/>
      <c r="M330" s="284"/>
      <c r="N330" s="284"/>
      <c r="O330" s="284"/>
      <c r="P330" s="284"/>
      <c r="Q330" s="284"/>
      <c r="R330" s="285"/>
      <c r="S330" s="286"/>
    </row>
    <row r="331" spans="2:19" ht="48.75" thickBot="1" x14ac:dyDescent="0.25">
      <c r="B331" s="309" t="s">
        <v>28</v>
      </c>
      <c r="C331" s="310" t="s">
        <v>29</v>
      </c>
      <c r="D331" s="310" t="s">
        <v>36</v>
      </c>
      <c r="E331" s="311" t="s">
        <v>20</v>
      </c>
      <c r="F331" s="310" t="s">
        <v>34</v>
      </c>
      <c r="G331" s="310" t="s">
        <v>30</v>
      </c>
      <c r="H331" s="310" t="s">
        <v>31</v>
      </c>
      <c r="I331" s="310" t="s">
        <v>32</v>
      </c>
      <c r="J331" s="310" t="s">
        <v>61</v>
      </c>
      <c r="K331" s="310" t="s">
        <v>70</v>
      </c>
      <c r="L331" s="310" t="s">
        <v>16</v>
      </c>
      <c r="M331" s="310" t="s">
        <v>73</v>
      </c>
      <c r="N331" s="310" t="s">
        <v>74</v>
      </c>
      <c r="O331" s="310" t="s">
        <v>67</v>
      </c>
      <c r="P331" s="310" t="s">
        <v>66</v>
      </c>
      <c r="Q331" s="310" t="s">
        <v>33</v>
      </c>
      <c r="R331" s="312" t="s">
        <v>19</v>
      </c>
      <c r="S331" s="151" t="s">
        <v>727</v>
      </c>
    </row>
    <row r="332" spans="2:19" ht="12.75" thickBot="1" x14ac:dyDescent="0.25">
      <c r="B332" s="313" t="s">
        <v>38</v>
      </c>
      <c r="C332" s="314"/>
      <c r="D332" s="314"/>
      <c r="E332" s="85"/>
      <c r="F332" s="85"/>
      <c r="G332" s="314"/>
      <c r="H332" s="314"/>
      <c r="I332" s="314"/>
      <c r="J332" s="314"/>
      <c r="K332" s="314"/>
      <c r="L332" s="314"/>
      <c r="M332" s="314"/>
      <c r="N332" s="314"/>
      <c r="O332" s="314"/>
      <c r="P332" s="314"/>
      <c r="Q332" s="314"/>
      <c r="R332" s="315"/>
      <c r="S332" s="125"/>
    </row>
    <row r="333" spans="2:19" ht="109.5" customHeight="1" x14ac:dyDescent="0.2">
      <c r="B333" s="86">
        <v>1</v>
      </c>
      <c r="C333" s="88" t="s">
        <v>9</v>
      </c>
      <c r="D333" s="88" t="s">
        <v>476</v>
      </c>
      <c r="E333" s="87" t="s">
        <v>477</v>
      </c>
      <c r="F333" s="90">
        <v>0.5</v>
      </c>
      <c r="G333" s="90" t="s">
        <v>57</v>
      </c>
      <c r="H333" s="90" t="s">
        <v>62</v>
      </c>
      <c r="I333" s="90" t="s">
        <v>478</v>
      </c>
      <c r="J333" s="90" t="s">
        <v>63</v>
      </c>
      <c r="K333" s="92">
        <v>41029</v>
      </c>
      <c r="L333" s="92" t="s">
        <v>479</v>
      </c>
      <c r="M333" s="172">
        <v>4122865101</v>
      </c>
      <c r="N333" s="172">
        <f>+M333*F333</f>
        <v>2061432550.5</v>
      </c>
      <c r="O333" s="172">
        <f>+ROUND(N333/VLOOKUP(K333,[7]SMLM!$A$2:$D$36,4,TRUE),0)</f>
        <v>3638</v>
      </c>
      <c r="P333" s="94">
        <f>+[7]Requisitos!$I$10</f>
        <v>1380.5396945616883</v>
      </c>
      <c r="Q333" s="172" t="str">
        <f>IF(H333="SI",IF(O333&gt;=$P$12,"SI","NO"),"NO")</f>
        <v>SI</v>
      </c>
      <c r="R333" s="296" t="s">
        <v>480</v>
      </c>
      <c r="S333" s="144"/>
    </row>
    <row r="334" spans="2:19" ht="60" x14ac:dyDescent="0.2">
      <c r="B334" s="100">
        <v>2</v>
      </c>
      <c r="C334" s="102" t="s">
        <v>481</v>
      </c>
      <c r="D334" s="102" t="s">
        <v>243</v>
      </c>
      <c r="E334" s="101" t="s">
        <v>482</v>
      </c>
      <c r="F334" s="333">
        <v>1</v>
      </c>
      <c r="G334" s="104" t="s">
        <v>362</v>
      </c>
      <c r="H334" s="104" t="s">
        <v>62</v>
      </c>
      <c r="I334" s="104" t="s">
        <v>478</v>
      </c>
      <c r="J334" s="104" t="s">
        <v>63</v>
      </c>
      <c r="K334" s="106">
        <v>38311</v>
      </c>
      <c r="L334" s="106">
        <v>39766</v>
      </c>
      <c r="M334" s="179">
        <v>2202952710.1588001</v>
      </c>
      <c r="N334" s="179">
        <f>M334*F334</f>
        <v>2202952710.1588001</v>
      </c>
      <c r="O334" s="179">
        <f>+ROUND(N334/VLOOKUP(K334,[7]SMLM!$A$2:$D$36,4,TRUE),0)</f>
        <v>6153</v>
      </c>
      <c r="P334" s="108">
        <f>+[7]Requisitos!$I$10</f>
        <v>1380.5396945616883</v>
      </c>
      <c r="Q334" s="179" t="str">
        <f>IF(H334="SI",IF(O334&gt;=$P$12,"SI","NO"),"NO")</f>
        <v>SI</v>
      </c>
      <c r="R334" s="298" t="s">
        <v>483</v>
      </c>
      <c r="S334" s="144"/>
    </row>
    <row r="335" spans="2:19" ht="60" customHeight="1" x14ac:dyDescent="0.2">
      <c r="B335" s="100">
        <v>3</v>
      </c>
      <c r="C335" s="102" t="s">
        <v>430</v>
      </c>
      <c r="D335" s="102" t="s">
        <v>243</v>
      </c>
      <c r="E335" s="101" t="s">
        <v>484</v>
      </c>
      <c r="F335" s="104">
        <v>1</v>
      </c>
      <c r="G335" s="104" t="s">
        <v>362</v>
      </c>
      <c r="H335" s="104" t="s">
        <v>62</v>
      </c>
      <c r="I335" s="104" t="s">
        <v>478</v>
      </c>
      <c r="J335" s="104" t="s">
        <v>63</v>
      </c>
      <c r="K335" s="106">
        <v>39513</v>
      </c>
      <c r="L335" s="106">
        <v>40084</v>
      </c>
      <c r="M335" s="179">
        <v>1069915082.4712452</v>
      </c>
      <c r="N335" s="179">
        <f>+M335*F335</f>
        <v>1069915082.4712452</v>
      </c>
      <c r="O335" s="179">
        <f>+ROUND(N335/VLOOKUP(K335,[7]SMLM!$A$2:$D$36,4,TRUE),0)</f>
        <v>2318</v>
      </c>
      <c r="P335" s="108">
        <f>+[7]Requisitos!$I$10</f>
        <v>1380.5396945616883</v>
      </c>
      <c r="Q335" s="179" t="str">
        <f>IF(H335="SI",IF(O335&gt;=$P$12,"SI","NO"),"NO")</f>
        <v>SI</v>
      </c>
      <c r="R335" s="298" t="s">
        <v>485</v>
      </c>
      <c r="S335" s="144"/>
    </row>
    <row r="336" spans="2:19" ht="64.5" customHeight="1" thickBot="1" x14ac:dyDescent="0.25">
      <c r="B336" s="112">
        <v>4</v>
      </c>
      <c r="C336" s="113" t="s">
        <v>486</v>
      </c>
      <c r="D336" s="113" t="s">
        <v>487</v>
      </c>
      <c r="E336" s="69" t="s">
        <v>488</v>
      </c>
      <c r="F336" s="115">
        <v>0.15</v>
      </c>
      <c r="G336" s="115" t="s">
        <v>57</v>
      </c>
      <c r="H336" s="115" t="s">
        <v>62</v>
      </c>
      <c r="I336" s="115" t="s">
        <v>489</v>
      </c>
      <c r="J336" s="115" t="s">
        <v>63</v>
      </c>
      <c r="K336" s="117">
        <v>40487</v>
      </c>
      <c r="L336" s="117" t="s">
        <v>479</v>
      </c>
      <c r="M336" s="175">
        <v>23682939170</v>
      </c>
      <c r="N336" s="175">
        <f>+M336*F336</f>
        <v>3552440875.5</v>
      </c>
      <c r="O336" s="119">
        <f>+ROUND(N336/VLOOKUP(K336,[7]SMLM!$A$2:$D$36,4,TRUE),0)</f>
        <v>6898</v>
      </c>
      <c r="P336" s="119">
        <f>+[7]Requisitos!$I$10</f>
        <v>1380.5396945616883</v>
      </c>
      <c r="Q336" s="115" t="str">
        <f>IF(H336="SI",IF(O336&gt;=$P$12,"SI","NO"),"NO")</f>
        <v>SI</v>
      </c>
      <c r="R336" s="300" t="s">
        <v>490</v>
      </c>
      <c r="S336" s="149"/>
    </row>
    <row r="337" spans="2:19" x14ac:dyDescent="0.2">
      <c r="B337" s="83"/>
      <c r="C337" s="85"/>
      <c r="D337" s="85"/>
      <c r="E337" s="85"/>
      <c r="F337" s="85"/>
      <c r="G337" s="85"/>
      <c r="H337" s="85"/>
      <c r="I337" s="85"/>
      <c r="J337" s="85"/>
      <c r="K337" s="85"/>
      <c r="L337" s="85"/>
      <c r="M337" s="85"/>
      <c r="N337" s="85"/>
      <c r="O337" s="85"/>
      <c r="P337" s="85"/>
      <c r="Q337" s="85"/>
      <c r="R337" s="125"/>
    </row>
    <row r="338" spans="2:19" x14ac:dyDescent="0.2">
      <c r="B338" s="83"/>
      <c r="C338" s="85"/>
      <c r="D338" s="85"/>
      <c r="E338" s="85"/>
      <c r="F338" s="85"/>
      <c r="G338" s="85"/>
      <c r="H338" s="85"/>
      <c r="I338" s="85"/>
      <c r="J338" s="85"/>
      <c r="K338" s="85"/>
      <c r="L338" s="85"/>
      <c r="M338" s="85"/>
      <c r="N338" s="85"/>
      <c r="O338" s="85"/>
      <c r="P338" s="85"/>
      <c r="Q338" s="85"/>
      <c r="R338" s="125"/>
    </row>
    <row r="339" spans="2:19" ht="12.75" thickBot="1" x14ac:dyDescent="0.25">
      <c r="B339" s="83"/>
      <c r="C339" s="85"/>
      <c r="D339" s="85"/>
      <c r="E339" s="85"/>
      <c r="F339" s="85"/>
      <c r="G339" s="85"/>
      <c r="H339" s="85"/>
      <c r="I339" s="85"/>
      <c r="J339" s="85"/>
      <c r="K339" s="85"/>
      <c r="L339" s="85"/>
      <c r="M339" s="85"/>
      <c r="N339" s="85"/>
      <c r="O339" s="301"/>
      <c r="P339" s="85"/>
      <c r="Q339" s="85"/>
      <c r="R339" s="125"/>
    </row>
    <row r="340" spans="2:19" x14ac:dyDescent="0.2">
      <c r="B340" s="83"/>
      <c r="C340" s="85"/>
      <c r="D340" s="85"/>
      <c r="E340" s="334" t="s">
        <v>54</v>
      </c>
      <c r="F340" s="303">
        <f>COUNTIF(Q333:Q336,"SI")</f>
        <v>4</v>
      </c>
      <c r="G340" s="85"/>
      <c r="H340" s="85"/>
      <c r="I340" s="85"/>
      <c r="J340" s="85"/>
      <c r="K340" s="85"/>
      <c r="L340" s="85"/>
      <c r="M340" s="85"/>
      <c r="N340" s="85"/>
      <c r="O340" s="85"/>
      <c r="P340" s="85"/>
      <c r="Q340" s="85"/>
      <c r="R340" s="125"/>
    </row>
    <row r="341" spans="2:19" x14ac:dyDescent="0.2">
      <c r="B341" s="83"/>
      <c r="C341" s="85"/>
      <c r="D341" s="85"/>
      <c r="E341" s="335" t="s">
        <v>35</v>
      </c>
      <c r="F341" s="304">
        <f>+IF(F340=2,700,IF(F340=3,800,IF(F340=4,900,0)))</f>
        <v>900</v>
      </c>
      <c r="G341" s="85"/>
      <c r="H341" s="85"/>
      <c r="I341" s="85"/>
      <c r="J341" s="85"/>
      <c r="K341" s="85"/>
      <c r="L341" s="85"/>
      <c r="M341" s="85"/>
      <c r="N341" s="85"/>
      <c r="O341" s="85"/>
      <c r="P341" s="85"/>
      <c r="Q341" s="85"/>
      <c r="R341" s="125"/>
    </row>
    <row r="342" spans="2:19" ht="37.5" customHeight="1" x14ac:dyDescent="0.2">
      <c r="B342" s="83"/>
      <c r="C342" s="85"/>
      <c r="D342" s="85"/>
      <c r="E342" s="336" t="s">
        <v>186</v>
      </c>
      <c r="F342" s="304" t="s">
        <v>82</v>
      </c>
      <c r="G342" s="85"/>
      <c r="H342" s="85"/>
      <c r="I342" s="85"/>
      <c r="J342" s="85"/>
      <c r="K342" s="85"/>
      <c r="L342" s="85"/>
      <c r="M342" s="85"/>
      <c r="N342" s="85"/>
      <c r="O342" s="85"/>
      <c r="P342" s="85"/>
      <c r="Q342" s="85"/>
      <c r="R342" s="125"/>
    </row>
    <row r="343" spans="2:19" x14ac:dyDescent="0.2">
      <c r="B343" s="83"/>
      <c r="C343" s="85"/>
      <c r="D343" s="85"/>
      <c r="E343" s="335" t="s">
        <v>68</v>
      </c>
      <c r="F343" s="304" t="s">
        <v>82</v>
      </c>
      <c r="G343" s="85"/>
      <c r="H343" s="85"/>
      <c r="I343" s="85"/>
      <c r="J343" s="85"/>
      <c r="K343" s="85"/>
      <c r="L343" s="85"/>
      <c r="M343" s="85"/>
      <c r="N343" s="85"/>
      <c r="O343" s="85"/>
      <c r="P343" s="85"/>
      <c r="Q343" s="85"/>
      <c r="R343" s="125"/>
    </row>
    <row r="344" spans="2:19" ht="12.75" thickBot="1" x14ac:dyDescent="0.25">
      <c r="B344" s="83"/>
      <c r="C344" s="85"/>
      <c r="D344" s="85"/>
      <c r="E344" s="337" t="s">
        <v>69</v>
      </c>
      <c r="F344" s="305">
        <f>+COUNTIF(J333:J336,"si")</f>
        <v>0</v>
      </c>
      <c r="G344" s="85"/>
      <c r="H344" s="85"/>
      <c r="I344" s="85"/>
      <c r="J344" s="85"/>
      <c r="K344" s="85"/>
      <c r="L344" s="85"/>
      <c r="M344" s="85"/>
      <c r="N344" s="85"/>
      <c r="O344" s="85"/>
      <c r="P344" s="85"/>
      <c r="Q344" s="85"/>
      <c r="R344" s="125"/>
    </row>
    <row r="345" spans="2:19" x14ac:dyDescent="0.2">
      <c r="B345" s="83"/>
      <c r="C345" s="85"/>
      <c r="D345" s="85"/>
      <c r="E345" s="85"/>
      <c r="F345" s="85"/>
      <c r="G345" s="85"/>
      <c r="H345" s="85"/>
      <c r="I345" s="85"/>
      <c r="J345" s="85"/>
      <c r="K345" s="85"/>
      <c r="L345" s="85"/>
      <c r="M345" s="85"/>
      <c r="N345" s="85"/>
      <c r="O345" s="85"/>
      <c r="P345" s="85"/>
      <c r="Q345" s="85"/>
      <c r="R345" s="125"/>
    </row>
    <row r="346" spans="2:19" x14ac:dyDescent="0.2">
      <c r="B346" s="83"/>
      <c r="C346" s="85"/>
      <c r="D346" s="85"/>
      <c r="E346" s="85"/>
      <c r="F346" s="85"/>
      <c r="G346" s="85"/>
      <c r="H346" s="85"/>
      <c r="I346" s="85"/>
      <c r="J346" s="85"/>
      <c r="K346" s="85"/>
      <c r="L346" s="85"/>
      <c r="M346" s="85"/>
      <c r="N346" s="85"/>
      <c r="O346" s="85"/>
      <c r="P346" s="85"/>
      <c r="Q346" s="85"/>
      <c r="R346" s="125"/>
    </row>
    <row r="347" spans="2:19" ht="12.75" thickBot="1" x14ac:dyDescent="0.25">
      <c r="B347" s="197"/>
      <c r="C347" s="199"/>
      <c r="D347" s="199"/>
      <c r="E347" s="199"/>
      <c r="F347" s="199"/>
      <c r="G347" s="199"/>
      <c r="H347" s="199"/>
      <c r="I347" s="199"/>
      <c r="J347" s="199"/>
      <c r="K347" s="199"/>
      <c r="L347" s="199"/>
      <c r="M347" s="199"/>
      <c r="N347" s="199"/>
      <c r="O347" s="199"/>
      <c r="P347" s="199"/>
      <c r="Q347" s="199"/>
      <c r="R347" s="201"/>
    </row>
    <row r="349" spans="2:19" ht="12.75" thickBot="1" x14ac:dyDescent="0.25"/>
    <row r="350" spans="2:19" ht="12.75" thickBot="1" x14ac:dyDescent="0.25">
      <c r="B350" s="281" t="s">
        <v>27</v>
      </c>
      <c r="C350" s="282"/>
      <c r="D350" s="282"/>
      <c r="E350" s="283">
        <v>19</v>
      </c>
      <c r="F350" s="282" t="str">
        <f>+VLOOKUP(E350,[7]Proponentes!$B$10:$D$81,2,FALSE())</f>
        <v>CONSORCIO INCOPLAN INTEGRAL SEG CALI</v>
      </c>
      <c r="G350" s="284"/>
      <c r="H350" s="284"/>
      <c r="I350" s="284"/>
      <c r="J350" s="284"/>
      <c r="K350" s="284"/>
      <c r="L350" s="284"/>
      <c r="M350" s="284"/>
      <c r="N350" s="284"/>
      <c r="O350" s="284"/>
      <c r="P350" s="284"/>
      <c r="Q350" s="284"/>
      <c r="R350" s="285"/>
      <c r="S350" s="286"/>
    </row>
    <row r="351" spans="2:19" ht="56.25" customHeight="1" thickBot="1" x14ac:dyDescent="0.25">
      <c r="B351" s="309" t="s">
        <v>28</v>
      </c>
      <c r="C351" s="310" t="s">
        <v>29</v>
      </c>
      <c r="D351" s="310" t="s">
        <v>36</v>
      </c>
      <c r="E351" s="311" t="s">
        <v>20</v>
      </c>
      <c r="F351" s="310" t="s">
        <v>34</v>
      </c>
      <c r="G351" s="310" t="s">
        <v>30</v>
      </c>
      <c r="H351" s="310" t="s">
        <v>31</v>
      </c>
      <c r="I351" s="310" t="s">
        <v>32</v>
      </c>
      <c r="J351" s="310" t="s">
        <v>61</v>
      </c>
      <c r="K351" s="310" t="s">
        <v>70</v>
      </c>
      <c r="L351" s="310" t="s">
        <v>16</v>
      </c>
      <c r="M351" s="310" t="s">
        <v>73</v>
      </c>
      <c r="N351" s="310" t="s">
        <v>74</v>
      </c>
      <c r="O351" s="310" t="s">
        <v>67</v>
      </c>
      <c r="P351" s="310" t="s">
        <v>66</v>
      </c>
      <c r="Q351" s="310" t="s">
        <v>33</v>
      </c>
      <c r="R351" s="312" t="s">
        <v>19</v>
      </c>
      <c r="S351" s="151" t="s">
        <v>727</v>
      </c>
    </row>
    <row r="352" spans="2:19" ht="12.75" thickBot="1" x14ac:dyDescent="0.25">
      <c r="B352" s="313" t="s">
        <v>38</v>
      </c>
      <c r="C352" s="314"/>
      <c r="D352" s="314"/>
      <c r="E352" s="85"/>
      <c r="F352" s="85"/>
      <c r="G352" s="314"/>
      <c r="H352" s="314"/>
      <c r="I352" s="314"/>
      <c r="J352" s="314"/>
      <c r="K352" s="314"/>
      <c r="L352" s="314"/>
      <c r="M352" s="314"/>
      <c r="N352" s="314"/>
      <c r="O352" s="314"/>
      <c r="P352" s="314"/>
      <c r="Q352" s="314"/>
      <c r="R352" s="315"/>
      <c r="S352" s="125"/>
    </row>
    <row r="353" spans="2:19" ht="88.5" customHeight="1" x14ac:dyDescent="0.2">
      <c r="B353" s="86">
        <v>1</v>
      </c>
      <c r="C353" s="88" t="s">
        <v>491</v>
      </c>
      <c r="D353" s="88" t="s">
        <v>492</v>
      </c>
      <c r="E353" s="87" t="s">
        <v>493</v>
      </c>
      <c r="F353" s="90">
        <v>0.6</v>
      </c>
      <c r="G353" s="90" t="s">
        <v>57</v>
      </c>
      <c r="H353" s="90" t="s">
        <v>62</v>
      </c>
      <c r="I353" s="90" t="s">
        <v>494</v>
      </c>
      <c r="J353" s="90" t="s">
        <v>63</v>
      </c>
      <c r="K353" s="92">
        <v>40000</v>
      </c>
      <c r="L353" s="92" t="s">
        <v>479</v>
      </c>
      <c r="M353" s="172">
        <v>3556498181</v>
      </c>
      <c r="N353" s="172">
        <f>+M353*F353</f>
        <v>2133898908.5999999</v>
      </c>
      <c r="O353" s="172">
        <f>+ROUND(N353/VLOOKUP(K353,[7]SMLM!$A$2:$D$36,4,TRUE),0)</f>
        <v>4294</v>
      </c>
      <c r="P353" s="94">
        <f>+[7]Requisitos!$I$10</f>
        <v>1380.5396945616883</v>
      </c>
      <c r="Q353" s="172" t="s">
        <v>62</v>
      </c>
      <c r="R353" s="296" t="s">
        <v>495</v>
      </c>
      <c r="S353" s="350"/>
    </row>
    <row r="354" spans="2:19" ht="72" x14ac:dyDescent="0.2">
      <c r="B354" s="100">
        <v>2</v>
      </c>
      <c r="C354" s="102" t="s">
        <v>496</v>
      </c>
      <c r="D354" s="102" t="s">
        <v>497</v>
      </c>
      <c r="E354" s="101" t="s">
        <v>498</v>
      </c>
      <c r="F354" s="333">
        <v>1</v>
      </c>
      <c r="G354" s="104" t="s">
        <v>57</v>
      </c>
      <c r="H354" s="104" t="s">
        <v>62</v>
      </c>
      <c r="I354" s="104" t="s">
        <v>499</v>
      </c>
      <c r="J354" s="104" t="s">
        <v>63</v>
      </c>
      <c r="K354" s="106">
        <v>35886</v>
      </c>
      <c r="L354" s="106">
        <v>36953</v>
      </c>
      <c r="M354" s="179">
        <v>2216664177</v>
      </c>
      <c r="N354" s="179">
        <f>M354*F354</f>
        <v>2216664177</v>
      </c>
      <c r="O354" s="108">
        <f>+ROUND(N354/VLOOKUP(K354,[7]SMLM!$A$2:$D$36,4,TRUE),0)</f>
        <v>10875</v>
      </c>
      <c r="P354" s="108">
        <f>+[7]Requisitos!$I$10</f>
        <v>1380.5396945616883</v>
      </c>
      <c r="Q354" s="179" t="str">
        <f>IF(H354="SI",IF(O354&gt;=$P$12,"SI","NO"),"NO")</f>
        <v>SI</v>
      </c>
      <c r="R354" s="298" t="s">
        <v>500</v>
      </c>
      <c r="S354" s="144"/>
    </row>
    <row r="355" spans="2:19" ht="114" customHeight="1" x14ac:dyDescent="0.2">
      <c r="B355" s="100">
        <v>3</v>
      </c>
      <c r="C355" s="102" t="s">
        <v>501</v>
      </c>
      <c r="D355" s="102" t="s">
        <v>243</v>
      </c>
      <c r="E355" s="101" t="s">
        <v>502</v>
      </c>
      <c r="F355" s="104">
        <v>0.5</v>
      </c>
      <c r="G355" s="104" t="s">
        <v>209</v>
      </c>
      <c r="H355" s="104" t="s">
        <v>62</v>
      </c>
      <c r="I355" s="104" t="s">
        <v>503</v>
      </c>
      <c r="J355" s="104" t="s">
        <v>63</v>
      </c>
      <c r="K355" s="106">
        <v>37939</v>
      </c>
      <c r="L355" s="106">
        <v>39339</v>
      </c>
      <c r="M355" s="179">
        <v>8463490779.163929</v>
      </c>
      <c r="N355" s="179">
        <f>+M355*F355</f>
        <v>4231745389.5819645</v>
      </c>
      <c r="O355" s="108">
        <f>+ROUND(N355/VLOOKUP(K355,[7]SMLM!$A$2:$D$36,4,TRUE),0)</f>
        <v>12746</v>
      </c>
      <c r="P355" s="108">
        <f>+[7]Requisitos!$I$10</f>
        <v>1380.5396945616883</v>
      </c>
      <c r="Q355" s="179" t="s">
        <v>62</v>
      </c>
      <c r="R355" s="298" t="s">
        <v>504</v>
      </c>
      <c r="S355" s="144"/>
    </row>
    <row r="356" spans="2:19" ht="102" customHeight="1" thickBot="1" x14ac:dyDescent="0.25">
      <c r="B356" s="112">
        <v>4</v>
      </c>
      <c r="C356" s="113" t="s">
        <v>505</v>
      </c>
      <c r="D356" s="113" t="s">
        <v>243</v>
      </c>
      <c r="E356" s="69" t="s">
        <v>506</v>
      </c>
      <c r="F356" s="115">
        <v>0.5</v>
      </c>
      <c r="G356" s="115" t="s">
        <v>209</v>
      </c>
      <c r="H356" s="115" t="s">
        <v>62</v>
      </c>
      <c r="I356" s="115" t="s">
        <v>503</v>
      </c>
      <c r="J356" s="115" t="s">
        <v>63</v>
      </c>
      <c r="K356" s="117">
        <v>39647</v>
      </c>
      <c r="L356" s="117">
        <v>40880</v>
      </c>
      <c r="M356" s="175">
        <v>2222512335.0420327</v>
      </c>
      <c r="N356" s="175">
        <f>+M356*F356</f>
        <v>1111256167.5210164</v>
      </c>
      <c r="O356" s="119">
        <f>+ROUND(N356/VLOOKUP(K356,[7]SMLM!$A$2:$D$36,4,TRUE),0)</f>
        <v>2408</v>
      </c>
      <c r="P356" s="119">
        <f>+[7]Requisitos!$I$10</f>
        <v>1380.5396945616883</v>
      </c>
      <c r="Q356" s="115" t="str">
        <f>IF(H356="SI",IF(O356&gt;=$P$12,"SI","NO"),"NO")</f>
        <v>SI</v>
      </c>
      <c r="R356" s="300" t="s">
        <v>507</v>
      </c>
      <c r="S356" s="276"/>
    </row>
    <row r="357" spans="2:19" x14ac:dyDescent="0.2">
      <c r="B357" s="83"/>
      <c r="C357" s="85"/>
      <c r="D357" s="85"/>
      <c r="E357" s="85"/>
      <c r="F357" s="85"/>
      <c r="G357" s="85"/>
      <c r="H357" s="85"/>
      <c r="I357" s="85"/>
      <c r="J357" s="85"/>
      <c r="K357" s="85"/>
      <c r="L357" s="85"/>
      <c r="M357" s="85"/>
      <c r="N357" s="85"/>
      <c r="O357" s="85"/>
      <c r="P357" s="85"/>
      <c r="Q357" s="85"/>
      <c r="R357" s="125"/>
    </row>
    <row r="358" spans="2:19" x14ac:dyDescent="0.2">
      <c r="B358" s="83"/>
      <c r="C358" s="85"/>
      <c r="D358" s="85"/>
      <c r="E358" s="85"/>
      <c r="F358" s="85"/>
      <c r="G358" s="85"/>
      <c r="H358" s="85"/>
      <c r="I358" s="85"/>
      <c r="J358" s="85"/>
      <c r="K358" s="85"/>
      <c r="L358" s="85"/>
      <c r="M358" s="85"/>
      <c r="N358" s="85"/>
      <c r="O358" s="85"/>
      <c r="P358" s="85"/>
      <c r="Q358" s="85"/>
      <c r="R358" s="125"/>
    </row>
    <row r="359" spans="2:19" ht="12.75" thickBot="1" x14ac:dyDescent="0.25">
      <c r="B359" s="83"/>
      <c r="C359" s="85"/>
      <c r="D359" s="85"/>
      <c r="E359" s="85"/>
      <c r="F359" s="85"/>
      <c r="G359" s="85"/>
      <c r="H359" s="85"/>
      <c r="I359" s="85"/>
      <c r="J359" s="85"/>
      <c r="K359" s="85"/>
      <c r="L359" s="85"/>
      <c r="M359" s="85"/>
      <c r="N359" s="85"/>
      <c r="O359" s="301"/>
      <c r="P359" s="85"/>
      <c r="Q359" s="85"/>
      <c r="R359" s="125"/>
    </row>
    <row r="360" spans="2:19" x14ac:dyDescent="0.2">
      <c r="B360" s="83"/>
      <c r="C360" s="85"/>
      <c r="D360" s="85"/>
      <c r="E360" s="334" t="s">
        <v>54</v>
      </c>
      <c r="F360" s="303">
        <f>COUNTIF(Q353:Q356,"SI")</f>
        <v>4</v>
      </c>
      <c r="G360" s="85"/>
      <c r="H360" s="85"/>
      <c r="I360" s="85"/>
      <c r="J360" s="85"/>
      <c r="K360" s="85"/>
      <c r="L360" s="85"/>
      <c r="M360" s="85"/>
      <c r="N360" s="85"/>
      <c r="O360" s="85"/>
      <c r="P360" s="85"/>
      <c r="Q360" s="85"/>
      <c r="R360" s="125"/>
    </row>
    <row r="361" spans="2:19" x14ac:dyDescent="0.2">
      <c r="B361" s="83"/>
      <c r="C361" s="85"/>
      <c r="D361" s="85"/>
      <c r="E361" s="335" t="s">
        <v>35</v>
      </c>
      <c r="F361" s="304">
        <f>+IF(F360=2,700,IF(F360=3,800,IF(F360=4,900,0)))</f>
        <v>900</v>
      </c>
      <c r="G361" s="85"/>
      <c r="H361" s="85"/>
      <c r="I361" s="85"/>
      <c r="J361" s="85"/>
      <c r="K361" s="85"/>
      <c r="L361" s="85"/>
      <c r="M361" s="85"/>
      <c r="N361" s="85"/>
      <c r="O361" s="85"/>
      <c r="P361" s="85"/>
      <c r="Q361" s="85"/>
      <c r="R361" s="125"/>
    </row>
    <row r="362" spans="2:19" ht="38.25" customHeight="1" x14ac:dyDescent="0.2">
      <c r="B362" s="83"/>
      <c r="C362" s="85"/>
      <c r="D362" s="85"/>
      <c r="E362" s="336" t="s">
        <v>186</v>
      </c>
      <c r="F362" s="304" t="s">
        <v>82</v>
      </c>
      <c r="G362" s="85"/>
      <c r="H362" s="85"/>
      <c r="I362" s="85"/>
      <c r="J362" s="85"/>
      <c r="K362" s="85"/>
      <c r="L362" s="85"/>
      <c r="M362" s="85"/>
      <c r="N362" s="85"/>
      <c r="O362" s="85"/>
      <c r="P362" s="85"/>
      <c r="Q362" s="85"/>
      <c r="R362" s="125"/>
    </row>
    <row r="363" spans="2:19" x14ac:dyDescent="0.2">
      <c r="B363" s="83"/>
      <c r="C363" s="85"/>
      <c r="D363" s="85"/>
      <c r="E363" s="335" t="s">
        <v>68</v>
      </c>
      <c r="F363" s="304" t="s">
        <v>82</v>
      </c>
      <c r="G363" s="85"/>
      <c r="H363" s="85"/>
      <c r="I363" s="85"/>
      <c r="J363" s="85"/>
      <c r="K363" s="85"/>
      <c r="L363" s="85"/>
      <c r="M363" s="85"/>
      <c r="N363" s="85"/>
      <c r="O363" s="85"/>
      <c r="P363" s="85"/>
      <c r="Q363" s="85"/>
      <c r="R363" s="125"/>
    </row>
    <row r="364" spans="2:19" ht="12.75" thickBot="1" x14ac:dyDescent="0.25">
      <c r="B364" s="83"/>
      <c r="C364" s="85"/>
      <c r="D364" s="85"/>
      <c r="E364" s="337" t="s">
        <v>69</v>
      </c>
      <c r="F364" s="305">
        <f>+COUNTIF(J353:J356,"si")</f>
        <v>0</v>
      </c>
      <c r="G364" s="85"/>
      <c r="H364" s="85"/>
      <c r="I364" s="85"/>
      <c r="J364" s="85"/>
      <c r="K364" s="85"/>
      <c r="L364" s="85"/>
      <c r="M364" s="85"/>
      <c r="N364" s="85"/>
      <c r="O364" s="85"/>
      <c r="P364" s="85"/>
      <c r="Q364" s="85"/>
      <c r="R364" s="125"/>
    </row>
    <row r="365" spans="2:19" x14ac:dyDescent="0.2">
      <c r="B365" s="83"/>
      <c r="C365" s="85"/>
      <c r="D365" s="85"/>
      <c r="E365" s="85"/>
      <c r="F365" s="85"/>
      <c r="G365" s="85"/>
      <c r="H365" s="85"/>
      <c r="I365" s="85"/>
      <c r="J365" s="85"/>
      <c r="K365" s="85"/>
      <c r="L365" s="85"/>
      <c r="M365" s="85"/>
      <c r="N365" s="85"/>
      <c r="O365" s="85"/>
      <c r="P365" s="85"/>
      <c r="Q365" s="85"/>
      <c r="R365" s="125"/>
    </row>
    <row r="366" spans="2:19" x14ac:dyDescent="0.2">
      <c r="B366" s="83"/>
      <c r="C366" s="85"/>
      <c r="D366" s="85"/>
      <c r="E366" s="85"/>
      <c r="F366" s="85"/>
      <c r="G366" s="85"/>
      <c r="H366" s="85"/>
      <c r="I366" s="85"/>
      <c r="J366" s="85"/>
      <c r="K366" s="85"/>
      <c r="L366" s="85"/>
      <c r="M366" s="85"/>
      <c r="N366" s="85"/>
      <c r="O366" s="85"/>
      <c r="P366" s="85"/>
      <c r="Q366" s="85"/>
      <c r="R366" s="125"/>
    </row>
    <row r="367" spans="2:19" ht="12.75" thickBot="1" x14ac:dyDescent="0.25">
      <c r="B367" s="197"/>
      <c r="C367" s="199"/>
      <c r="D367" s="199"/>
      <c r="E367" s="199"/>
      <c r="F367" s="199"/>
      <c r="G367" s="199"/>
      <c r="H367" s="199"/>
      <c r="I367" s="199"/>
      <c r="J367" s="199"/>
      <c r="K367" s="199"/>
      <c r="L367" s="199"/>
      <c r="M367" s="199"/>
      <c r="N367" s="199"/>
      <c r="O367" s="199"/>
      <c r="P367" s="199"/>
      <c r="Q367" s="199"/>
      <c r="R367" s="201"/>
    </row>
    <row r="369" spans="2:19" ht="12.75" thickBot="1" x14ac:dyDescent="0.25"/>
    <row r="370" spans="2:19" ht="12.75" thickBot="1" x14ac:dyDescent="0.25">
      <c r="B370" s="281" t="s">
        <v>27</v>
      </c>
      <c r="C370" s="284"/>
      <c r="D370" s="284"/>
      <c r="E370" s="283">
        <v>20</v>
      </c>
      <c r="F370" s="282" t="str">
        <f>+VLOOKUP(E370,[7]Proponentes!$B$10:$D$81,2,FALSE())</f>
        <v>CONSORCIO INTERVENTORIA AEROPUERTO 2014</v>
      </c>
      <c r="G370" s="282"/>
      <c r="H370" s="284"/>
      <c r="I370" s="284"/>
      <c r="J370" s="284"/>
      <c r="K370" s="284"/>
      <c r="L370" s="284"/>
      <c r="M370" s="284"/>
      <c r="N370" s="284"/>
      <c r="O370" s="284"/>
      <c r="P370" s="284"/>
      <c r="Q370" s="284"/>
      <c r="R370" s="285"/>
      <c r="S370" s="286"/>
    </row>
    <row r="371" spans="2:19" ht="56.25" customHeight="1" thickBot="1" x14ac:dyDescent="0.25">
      <c r="B371" s="309" t="s">
        <v>28</v>
      </c>
      <c r="C371" s="310" t="s">
        <v>29</v>
      </c>
      <c r="D371" s="310" t="s">
        <v>36</v>
      </c>
      <c r="E371" s="311" t="s">
        <v>20</v>
      </c>
      <c r="F371" s="310" t="s">
        <v>34</v>
      </c>
      <c r="G371" s="310" t="s">
        <v>30</v>
      </c>
      <c r="H371" s="310" t="s">
        <v>31</v>
      </c>
      <c r="I371" s="310" t="s">
        <v>32</v>
      </c>
      <c r="J371" s="310" t="s">
        <v>61</v>
      </c>
      <c r="K371" s="310" t="s">
        <v>70</v>
      </c>
      <c r="L371" s="310" t="s">
        <v>16</v>
      </c>
      <c r="M371" s="310" t="s">
        <v>73</v>
      </c>
      <c r="N371" s="310" t="s">
        <v>74</v>
      </c>
      <c r="O371" s="310" t="s">
        <v>67</v>
      </c>
      <c r="P371" s="310" t="s">
        <v>66</v>
      </c>
      <c r="Q371" s="310" t="s">
        <v>33</v>
      </c>
      <c r="R371" s="312" t="s">
        <v>19</v>
      </c>
      <c r="S371" s="151" t="s">
        <v>727</v>
      </c>
    </row>
    <row r="372" spans="2:19" ht="12.75" thickBot="1" x14ac:dyDescent="0.25">
      <c r="B372" s="313" t="s">
        <v>38</v>
      </c>
      <c r="C372" s="314"/>
      <c r="D372" s="314"/>
      <c r="E372" s="85"/>
      <c r="F372" s="85"/>
      <c r="G372" s="314"/>
      <c r="H372" s="314"/>
      <c r="I372" s="314"/>
      <c r="J372" s="314"/>
      <c r="K372" s="314"/>
      <c r="L372" s="314"/>
      <c r="M372" s="314"/>
      <c r="N372" s="314"/>
      <c r="O372" s="314"/>
      <c r="P372" s="314"/>
      <c r="Q372" s="314"/>
      <c r="R372" s="315"/>
      <c r="S372" s="125"/>
    </row>
    <row r="373" spans="2:19" ht="288.75" customHeight="1" x14ac:dyDescent="0.2">
      <c r="B373" s="86">
        <v>1</v>
      </c>
      <c r="C373" s="88" t="s">
        <v>458</v>
      </c>
      <c r="D373" s="88" t="s">
        <v>508</v>
      </c>
      <c r="E373" s="87" t="s">
        <v>509</v>
      </c>
      <c r="F373" s="90">
        <v>0.5</v>
      </c>
      <c r="G373" s="90" t="s">
        <v>57</v>
      </c>
      <c r="H373" s="90" t="s">
        <v>62</v>
      </c>
      <c r="I373" s="90" t="s">
        <v>510</v>
      </c>
      <c r="J373" s="90" t="s">
        <v>63</v>
      </c>
      <c r="K373" s="92">
        <v>38772</v>
      </c>
      <c r="L373" s="92">
        <v>40656</v>
      </c>
      <c r="M373" s="172">
        <v>4793832856</v>
      </c>
      <c r="N373" s="179">
        <f>+M373*F373</f>
        <v>2396916428</v>
      </c>
      <c r="O373" s="172">
        <f>+ROUND(N373/VLOOKUP(K373,[7]SMLM!$A$2:$D$36,4,TRUE),0)</f>
        <v>5875</v>
      </c>
      <c r="P373" s="94">
        <f>+[7]Requisitos!$I$10</f>
        <v>1380.5396945616883</v>
      </c>
      <c r="Q373" s="172" t="str">
        <f>IF(H373="SI",IF(O373&gt;=$P$12,"SI","NO"),"NO")</f>
        <v>SI</v>
      </c>
      <c r="R373" s="296" t="s">
        <v>511</v>
      </c>
      <c r="S373" s="350"/>
    </row>
    <row r="374" spans="2:19" ht="117.75" customHeight="1" x14ac:dyDescent="0.2">
      <c r="B374" s="100">
        <v>2</v>
      </c>
      <c r="C374" s="102" t="s">
        <v>463</v>
      </c>
      <c r="D374" s="102" t="s">
        <v>243</v>
      </c>
      <c r="E374" s="101" t="s">
        <v>738</v>
      </c>
      <c r="F374" s="333">
        <v>0.7</v>
      </c>
      <c r="G374" s="104" t="s">
        <v>464</v>
      </c>
      <c r="H374" s="104" t="s">
        <v>62</v>
      </c>
      <c r="I374" s="102" t="s">
        <v>517</v>
      </c>
      <c r="J374" s="104" t="s">
        <v>63</v>
      </c>
      <c r="K374" s="106">
        <v>39923</v>
      </c>
      <c r="L374" s="106">
        <v>40143</v>
      </c>
      <c r="M374" s="179">
        <v>5405340197.8800001</v>
      </c>
      <c r="N374" s="179">
        <f>+M374*F374</f>
        <v>3783738138.5159998</v>
      </c>
      <c r="O374" s="108">
        <f>+ROUND(N374/VLOOKUP(K374,[7]SMLM!$A$2:$D$36,4,TRUE),0)</f>
        <v>7615</v>
      </c>
      <c r="P374" s="108">
        <f>+[7]Requisitos!$I$10</f>
        <v>1380.5396945616883</v>
      </c>
      <c r="Q374" s="179" t="str">
        <f>IF(H374="SI",IF(O374&gt;=$P$12,"SI","NO"),"NO")</f>
        <v>SI</v>
      </c>
      <c r="R374" s="298" t="s">
        <v>723</v>
      </c>
      <c r="S374" s="111" t="s">
        <v>737</v>
      </c>
    </row>
    <row r="375" spans="2:19" ht="87.75" customHeight="1" x14ac:dyDescent="0.2">
      <c r="B375" s="100">
        <v>3</v>
      </c>
      <c r="C375" s="102" t="s">
        <v>281</v>
      </c>
      <c r="D375" s="102" t="s">
        <v>243</v>
      </c>
      <c r="E375" s="101" t="s">
        <v>512</v>
      </c>
      <c r="F375" s="104">
        <v>0.33329999999999999</v>
      </c>
      <c r="G375" s="104" t="s">
        <v>209</v>
      </c>
      <c r="H375" s="104" t="s">
        <v>62</v>
      </c>
      <c r="I375" s="104" t="s">
        <v>513</v>
      </c>
      <c r="J375" s="104" t="s">
        <v>63</v>
      </c>
      <c r="K375" s="106">
        <v>37347</v>
      </c>
      <c r="L375" s="106">
        <v>40178</v>
      </c>
      <c r="M375" s="179">
        <v>26815141769.575603</v>
      </c>
      <c r="N375" s="179">
        <f>+M375*F375</f>
        <v>8937486751.7995491</v>
      </c>
      <c r="O375" s="108">
        <f>+ROUND(N375/VLOOKUP(K375,[7]SMLM!$A$2:$D$36,4,TRUE),0)</f>
        <v>28924</v>
      </c>
      <c r="P375" s="108">
        <f>+[7]Requisitos!$I$10</f>
        <v>1380.5396945616883</v>
      </c>
      <c r="Q375" s="179" t="s">
        <v>62</v>
      </c>
      <c r="R375" s="298" t="s">
        <v>514</v>
      </c>
      <c r="S375" s="144"/>
    </row>
    <row r="376" spans="2:19" ht="72" customHeight="1" thickBot="1" x14ac:dyDescent="0.25">
      <c r="B376" s="112">
        <v>4</v>
      </c>
      <c r="C376" s="113" t="s">
        <v>281</v>
      </c>
      <c r="D376" s="113" t="s">
        <v>243</v>
      </c>
      <c r="E376" s="69" t="s">
        <v>515</v>
      </c>
      <c r="F376" s="115">
        <v>0.33329999999999999</v>
      </c>
      <c r="G376" s="115" t="s">
        <v>209</v>
      </c>
      <c r="H376" s="115" t="s">
        <v>62</v>
      </c>
      <c r="I376" s="115" t="s">
        <v>513</v>
      </c>
      <c r="J376" s="115" t="s">
        <v>63</v>
      </c>
      <c r="K376" s="117">
        <v>38412</v>
      </c>
      <c r="L376" s="117">
        <v>40268</v>
      </c>
      <c r="M376" s="175">
        <v>20090234153.645203</v>
      </c>
      <c r="N376" s="175">
        <f>+M376*F376</f>
        <v>6696075043.4099455</v>
      </c>
      <c r="O376" s="119">
        <f>+ROUND(N376/VLOOKUP(K376,[7]SMLM!$A$2:$D$36,4,TRUE),0)</f>
        <v>17552</v>
      </c>
      <c r="P376" s="119">
        <f>+[7]Requisitos!$I$10</f>
        <v>1380.5396945616883</v>
      </c>
      <c r="Q376" s="115" t="str">
        <f>IF(H376="SI",IF(O376&gt;=$P$12,"SI","NO"),"NO")</f>
        <v>SI</v>
      </c>
      <c r="R376" s="300" t="s">
        <v>516</v>
      </c>
      <c r="S376" s="276"/>
    </row>
    <row r="377" spans="2:19" x14ac:dyDescent="0.2">
      <c r="B377" s="83"/>
      <c r="C377" s="85"/>
      <c r="D377" s="85"/>
      <c r="E377" s="85"/>
      <c r="F377" s="85"/>
      <c r="G377" s="85"/>
      <c r="H377" s="85"/>
      <c r="I377" s="85"/>
      <c r="J377" s="85"/>
      <c r="K377" s="85"/>
      <c r="L377" s="85"/>
      <c r="M377" s="85"/>
      <c r="N377" s="85"/>
      <c r="O377" s="85"/>
      <c r="P377" s="85"/>
      <c r="Q377" s="85"/>
      <c r="R377" s="125"/>
    </row>
    <row r="378" spans="2:19" x14ac:dyDescent="0.2">
      <c r="B378" s="83"/>
      <c r="C378" s="85"/>
      <c r="D378" s="85"/>
      <c r="E378" s="85"/>
      <c r="F378" s="85"/>
      <c r="G378" s="85"/>
      <c r="H378" s="85"/>
      <c r="I378" s="85"/>
      <c r="J378" s="85"/>
      <c r="K378" s="85"/>
      <c r="L378" s="85"/>
      <c r="M378" s="85"/>
      <c r="N378" s="85"/>
      <c r="O378" s="85"/>
      <c r="P378" s="85"/>
      <c r="Q378" s="85"/>
      <c r="R378" s="125"/>
    </row>
    <row r="379" spans="2:19" ht="12.75" thickBot="1" x14ac:dyDescent="0.25">
      <c r="B379" s="83"/>
      <c r="C379" s="85"/>
      <c r="D379" s="85"/>
      <c r="E379" s="85"/>
      <c r="F379" s="85"/>
      <c r="G379" s="85"/>
      <c r="H379" s="85"/>
      <c r="I379" s="85"/>
      <c r="J379" s="85"/>
      <c r="K379" s="85"/>
      <c r="L379" s="85"/>
      <c r="M379" s="85"/>
      <c r="N379" s="85"/>
      <c r="O379" s="301"/>
      <c r="P379" s="85"/>
      <c r="Q379" s="85"/>
      <c r="R379" s="125"/>
    </row>
    <row r="380" spans="2:19" x14ac:dyDescent="0.2">
      <c r="B380" s="83"/>
      <c r="C380" s="85"/>
      <c r="D380" s="85"/>
      <c r="E380" s="334" t="s">
        <v>54</v>
      </c>
      <c r="F380" s="303">
        <f>COUNTIF(Q373:Q376,"SI")</f>
        <v>4</v>
      </c>
      <c r="G380" s="85"/>
      <c r="H380" s="85"/>
      <c r="I380" s="85"/>
      <c r="J380" s="85"/>
      <c r="K380" s="85"/>
      <c r="L380" s="85"/>
      <c r="M380" s="85"/>
      <c r="N380" s="85"/>
      <c r="O380" s="85"/>
      <c r="P380" s="85"/>
      <c r="Q380" s="85"/>
      <c r="R380" s="125"/>
    </row>
    <row r="381" spans="2:19" x14ac:dyDescent="0.2">
      <c r="B381" s="83"/>
      <c r="C381" s="85"/>
      <c r="D381" s="85"/>
      <c r="E381" s="335" t="s">
        <v>35</v>
      </c>
      <c r="F381" s="304">
        <f>+IF(F380=2,700,IF(F380=3,800,IF(F380=4,900,0)))</f>
        <v>900</v>
      </c>
      <c r="G381" s="85"/>
      <c r="H381" s="85"/>
      <c r="I381" s="85"/>
      <c r="J381" s="85"/>
      <c r="K381" s="85"/>
      <c r="L381" s="85"/>
      <c r="M381" s="85"/>
      <c r="N381" s="85"/>
      <c r="O381" s="85"/>
      <c r="P381" s="85"/>
      <c r="Q381" s="85"/>
      <c r="R381" s="125"/>
    </row>
    <row r="382" spans="2:19" ht="36.75" customHeight="1" x14ac:dyDescent="0.2">
      <c r="B382" s="83"/>
      <c r="C382" s="85"/>
      <c r="D382" s="85"/>
      <c r="E382" s="336" t="s">
        <v>186</v>
      </c>
      <c r="F382" s="304" t="s">
        <v>82</v>
      </c>
      <c r="G382" s="85"/>
      <c r="H382" s="85"/>
      <c r="I382" s="85"/>
      <c r="J382" s="85"/>
      <c r="K382" s="85"/>
      <c r="L382" s="85"/>
      <c r="M382" s="85"/>
      <c r="N382" s="85"/>
      <c r="O382" s="85"/>
      <c r="P382" s="85"/>
      <c r="Q382" s="85"/>
      <c r="R382" s="125"/>
    </row>
    <row r="383" spans="2:19" x14ac:dyDescent="0.2">
      <c r="B383" s="83"/>
      <c r="C383" s="85"/>
      <c r="D383" s="85"/>
      <c r="E383" s="335" t="s">
        <v>68</v>
      </c>
      <c r="F383" s="304" t="s">
        <v>82</v>
      </c>
      <c r="G383" s="85"/>
      <c r="H383" s="85"/>
      <c r="I383" s="85"/>
      <c r="J383" s="85"/>
      <c r="K383" s="85"/>
      <c r="L383" s="85"/>
      <c r="M383" s="85"/>
      <c r="N383" s="85"/>
      <c r="O383" s="85"/>
      <c r="P383" s="85"/>
      <c r="Q383" s="85"/>
      <c r="R383" s="125"/>
    </row>
    <row r="384" spans="2:19" ht="12.75" thickBot="1" x14ac:dyDescent="0.25">
      <c r="B384" s="83"/>
      <c r="C384" s="85"/>
      <c r="D384" s="85"/>
      <c r="E384" s="337" t="s">
        <v>69</v>
      </c>
      <c r="F384" s="305">
        <f>+COUNTIF(J373:J376,"si")</f>
        <v>0</v>
      </c>
      <c r="G384" s="85"/>
      <c r="H384" s="85"/>
      <c r="I384" s="85"/>
      <c r="J384" s="85"/>
      <c r="K384" s="85"/>
      <c r="L384" s="85"/>
      <c r="M384" s="85"/>
      <c r="N384" s="85"/>
      <c r="O384" s="85"/>
      <c r="P384" s="85"/>
      <c r="Q384" s="85"/>
      <c r="R384" s="125"/>
    </row>
    <row r="385" spans="2:18" x14ac:dyDescent="0.2">
      <c r="B385" s="83"/>
      <c r="C385" s="85"/>
      <c r="D385" s="85"/>
      <c r="E385" s="85"/>
      <c r="F385" s="85"/>
      <c r="G385" s="85"/>
      <c r="H385" s="85"/>
      <c r="I385" s="85"/>
      <c r="J385" s="85"/>
      <c r="K385" s="85"/>
      <c r="L385" s="85"/>
      <c r="M385" s="85"/>
      <c r="N385" s="85"/>
      <c r="O385" s="85"/>
      <c r="P385" s="85"/>
      <c r="Q385" s="85"/>
      <c r="R385" s="125"/>
    </row>
    <row r="386" spans="2:18" x14ac:dyDescent="0.2">
      <c r="B386" s="83"/>
      <c r="C386" s="85"/>
      <c r="D386" s="85"/>
      <c r="E386" s="85"/>
      <c r="F386" s="85"/>
      <c r="G386" s="85"/>
      <c r="H386" s="85"/>
      <c r="I386" s="85"/>
      <c r="J386" s="85"/>
      <c r="K386" s="85"/>
      <c r="L386" s="85"/>
      <c r="M386" s="85"/>
      <c r="N386" s="85"/>
      <c r="O386" s="85"/>
      <c r="P386" s="85"/>
      <c r="Q386" s="85"/>
      <c r="R386" s="125"/>
    </row>
    <row r="387" spans="2:18" ht="12.75" thickBot="1" x14ac:dyDescent="0.25">
      <c r="B387" s="197"/>
      <c r="C387" s="199"/>
      <c r="D387" s="199"/>
      <c r="E387" s="199"/>
      <c r="F387" s="199"/>
      <c r="G387" s="199"/>
      <c r="H387" s="199"/>
      <c r="I387" s="199"/>
      <c r="J387" s="199"/>
      <c r="K387" s="199"/>
      <c r="L387" s="199"/>
      <c r="M387" s="199"/>
      <c r="N387" s="199"/>
      <c r="O387" s="199"/>
      <c r="P387" s="199"/>
      <c r="Q387" s="199"/>
      <c r="R387" s="201"/>
    </row>
  </sheetData>
  <mergeCells count="13">
    <mergeCell ref="B7:S7"/>
    <mergeCell ref="P86:P89"/>
    <mergeCell ref="P238:P241"/>
    <mergeCell ref="P257:P260"/>
    <mergeCell ref="P276:P279"/>
    <mergeCell ref="P295:P298"/>
    <mergeCell ref="P105:P108"/>
    <mergeCell ref="P124:P127"/>
    <mergeCell ref="P143:P146"/>
    <mergeCell ref="P162:P165"/>
    <mergeCell ref="P181:P184"/>
    <mergeCell ref="P200:P203"/>
    <mergeCell ref="P219:P222"/>
  </mergeCells>
  <conditionalFormatting sqref="B12 H12 J12 B14:H14 J14:M15 B15 D15:H15">
    <cfRule type="cellIs" dxfId="753" priority="1256" stopIfTrue="1" operator="notEqual">
      <formula>""</formula>
    </cfRule>
  </conditionalFormatting>
  <conditionalFormatting sqref="B12 P12 H12 J12 B14:H14 J14:M15 B15 D15:H15">
    <cfRule type="cellIs" dxfId="752" priority="1255" stopIfTrue="1" operator="greaterThan">
      <formula>0</formula>
    </cfRule>
  </conditionalFormatting>
  <conditionalFormatting sqref="P12">
    <cfRule type="cellIs" dxfId="751" priority="1252" stopIfTrue="1" operator="notEqual">
      <formula>""</formula>
    </cfRule>
  </conditionalFormatting>
  <conditionalFormatting sqref="Q15">
    <cfRule type="cellIs" dxfId="750" priority="1246" stopIfTrue="1" operator="notEqual">
      <formula>""</formula>
    </cfRule>
  </conditionalFormatting>
  <conditionalFormatting sqref="Q15">
    <cfRule type="cellIs" dxfId="749" priority="1245" stopIfTrue="1" operator="greaterThan">
      <formula>0</formula>
    </cfRule>
  </conditionalFormatting>
  <conditionalFormatting sqref="Q14">
    <cfRule type="cellIs" dxfId="748" priority="1231" stopIfTrue="1" operator="greaterThan">
      <formula>0</formula>
    </cfRule>
  </conditionalFormatting>
  <conditionalFormatting sqref="Q14">
    <cfRule type="cellIs" dxfId="747" priority="1230" stopIfTrue="1" operator="notEqual">
      <formula>""</formula>
    </cfRule>
  </conditionalFormatting>
  <conditionalFormatting sqref="B13:M13">
    <cfRule type="cellIs" dxfId="746" priority="1229" stopIfTrue="1" operator="notEqual">
      <formula>""</formula>
    </cfRule>
  </conditionalFormatting>
  <conditionalFormatting sqref="B13:M13">
    <cfRule type="cellIs" dxfId="745" priority="1228" stopIfTrue="1" operator="greaterThan">
      <formula>0</formula>
    </cfRule>
  </conditionalFormatting>
  <conditionalFormatting sqref="Q13">
    <cfRule type="cellIs" dxfId="744" priority="1220" stopIfTrue="1" operator="notEqual">
      <formula>""</formula>
    </cfRule>
  </conditionalFormatting>
  <conditionalFormatting sqref="Q13">
    <cfRule type="cellIs" dxfId="743" priority="1221" stopIfTrue="1" operator="greaterThan">
      <formula>0</formula>
    </cfRule>
  </conditionalFormatting>
  <conditionalFormatting sqref="Q12">
    <cfRule type="cellIs" dxfId="742" priority="1218" stopIfTrue="1" operator="notEqual">
      <formula>""</formula>
    </cfRule>
  </conditionalFormatting>
  <conditionalFormatting sqref="Q12">
    <cfRule type="cellIs" dxfId="741" priority="1219" stopIfTrue="1" operator="greaterThan">
      <formula>0</formula>
    </cfRule>
  </conditionalFormatting>
  <conditionalFormatting sqref="N12 N14:N15">
    <cfRule type="cellIs" dxfId="740" priority="1123" stopIfTrue="1" operator="notEqual">
      <formula>""</formula>
    </cfRule>
  </conditionalFormatting>
  <conditionalFormatting sqref="N12 N14:N15">
    <cfRule type="cellIs" dxfId="739" priority="1122" stopIfTrue="1" operator="greaterThan">
      <formula>0</formula>
    </cfRule>
  </conditionalFormatting>
  <conditionalFormatting sqref="N13">
    <cfRule type="cellIs" dxfId="738" priority="1121" stopIfTrue="1" operator="notEqual">
      <formula>""</formula>
    </cfRule>
  </conditionalFormatting>
  <conditionalFormatting sqref="N13">
    <cfRule type="cellIs" dxfId="737" priority="1120" stopIfTrue="1" operator="greaterThan">
      <formula>0</formula>
    </cfRule>
  </conditionalFormatting>
  <conditionalFormatting sqref="C12">
    <cfRule type="cellIs" dxfId="736" priority="796" stopIfTrue="1" operator="greaterThan">
      <formula>0</formula>
    </cfRule>
  </conditionalFormatting>
  <conditionalFormatting sqref="D12:F12">
    <cfRule type="cellIs" dxfId="735" priority="795" stopIfTrue="1" operator="greaterThan">
      <formula>0</formula>
    </cfRule>
  </conditionalFormatting>
  <conditionalFormatting sqref="G12">
    <cfRule type="cellIs" dxfId="734" priority="794" stopIfTrue="1" operator="greaterThan">
      <formula>0</formula>
    </cfRule>
  </conditionalFormatting>
  <conditionalFormatting sqref="I12">
    <cfRule type="cellIs" dxfId="733" priority="793" stopIfTrue="1" operator="greaterThan">
      <formula>0</formula>
    </cfRule>
  </conditionalFormatting>
  <conditionalFormatting sqref="C15">
    <cfRule type="cellIs" dxfId="732" priority="788" stopIfTrue="1" operator="greaterThan">
      <formula>0</formula>
    </cfRule>
  </conditionalFormatting>
  <conditionalFormatting sqref="K12:L12">
    <cfRule type="cellIs" dxfId="731" priority="792" stopIfTrue="1" operator="greaterThan">
      <formula>0</formula>
    </cfRule>
  </conditionalFormatting>
  <conditionalFormatting sqref="M12">
    <cfRule type="cellIs" dxfId="730" priority="791" stopIfTrue="1" operator="greaterThan">
      <formula>0</formula>
    </cfRule>
  </conditionalFormatting>
  <conditionalFormatting sqref="I14">
    <cfRule type="cellIs" dxfId="729" priority="790" stopIfTrue="1" operator="greaterThan">
      <formula>0</formula>
    </cfRule>
  </conditionalFormatting>
  <conditionalFormatting sqref="I15">
    <cfRule type="cellIs" dxfId="728" priority="789" stopIfTrue="1" operator="greaterThan">
      <formula>0</formula>
    </cfRule>
  </conditionalFormatting>
  <conditionalFormatting sqref="B29 H29 J29 B31:H31 J32:M32 B32 D32:H32 J31:K31 M31">
    <cfRule type="cellIs" dxfId="727" priority="787" stopIfTrue="1" operator="notEqual">
      <formula>""</formula>
    </cfRule>
  </conditionalFormatting>
  <conditionalFormatting sqref="B29 H29 J29 B31:H31 J32:M32 B32 D32:H32 J31:K31 M31">
    <cfRule type="cellIs" dxfId="726" priority="786" stopIfTrue="1" operator="greaterThan">
      <formula>0</formula>
    </cfRule>
  </conditionalFormatting>
  <conditionalFormatting sqref="Q32">
    <cfRule type="cellIs" dxfId="725" priority="783" stopIfTrue="1" operator="notEqual">
      <formula>""</formula>
    </cfRule>
  </conditionalFormatting>
  <conditionalFormatting sqref="Q32">
    <cfRule type="cellIs" dxfId="724" priority="782" stopIfTrue="1" operator="greaterThan">
      <formula>0</formula>
    </cfRule>
  </conditionalFormatting>
  <conditionalFormatting sqref="Q31">
    <cfRule type="cellIs" dxfId="723" priority="777" stopIfTrue="1" operator="greaterThan">
      <formula>0</formula>
    </cfRule>
  </conditionalFormatting>
  <conditionalFormatting sqref="Q31">
    <cfRule type="cellIs" dxfId="722" priority="776" stopIfTrue="1" operator="notEqual">
      <formula>""</formula>
    </cfRule>
  </conditionalFormatting>
  <conditionalFormatting sqref="B30:C30 J30:M30 E30:H30">
    <cfRule type="cellIs" dxfId="721" priority="775" stopIfTrue="1" operator="notEqual">
      <formula>""</formula>
    </cfRule>
  </conditionalFormatting>
  <conditionalFormatting sqref="B30:C30 J30:M30 E30:H30">
    <cfRule type="cellIs" dxfId="720" priority="774" stopIfTrue="1" operator="greaterThan">
      <formula>0</formula>
    </cfRule>
  </conditionalFormatting>
  <conditionalFormatting sqref="Q30">
    <cfRule type="cellIs" dxfId="719" priority="769" stopIfTrue="1" operator="notEqual">
      <formula>""</formula>
    </cfRule>
  </conditionalFormatting>
  <conditionalFormatting sqref="Q30">
    <cfRule type="cellIs" dxfId="718" priority="770" stopIfTrue="1" operator="greaterThan">
      <formula>0</formula>
    </cfRule>
  </conditionalFormatting>
  <conditionalFormatting sqref="Q29">
    <cfRule type="cellIs" dxfId="717" priority="767" stopIfTrue="1" operator="notEqual">
      <formula>""</formula>
    </cfRule>
  </conditionalFormatting>
  <conditionalFormatting sqref="Q29">
    <cfRule type="cellIs" dxfId="716" priority="768" stopIfTrue="1" operator="greaterThan">
      <formula>0</formula>
    </cfRule>
  </conditionalFormatting>
  <conditionalFormatting sqref="N29 N31:N32">
    <cfRule type="cellIs" dxfId="715" priority="766" stopIfTrue="1" operator="notEqual">
      <formula>""</formula>
    </cfRule>
  </conditionalFormatting>
  <conditionalFormatting sqref="N29 N31:N32">
    <cfRule type="cellIs" dxfId="714" priority="765" stopIfTrue="1" operator="greaterThan">
      <formula>0</formula>
    </cfRule>
  </conditionalFormatting>
  <conditionalFormatting sqref="N30">
    <cfRule type="cellIs" dxfId="713" priority="764" stopIfTrue="1" operator="notEqual">
      <formula>""</formula>
    </cfRule>
  </conditionalFormatting>
  <conditionalFormatting sqref="N30">
    <cfRule type="cellIs" dxfId="712" priority="763" stopIfTrue="1" operator="greaterThan">
      <formula>0</formula>
    </cfRule>
  </conditionalFormatting>
  <conditionalFormatting sqref="P48:P51">
    <cfRule type="cellIs" dxfId="711" priority="708" stopIfTrue="1" operator="greaterThan">
      <formula>0</formula>
    </cfRule>
  </conditionalFormatting>
  <conditionalFormatting sqref="F29">
    <cfRule type="cellIs" dxfId="710" priority="761" stopIfTrue="1" operator="greaterThan">
      <formula>0</formula>
    </cfRule>
  </conditionalFormatting>
  <conditionalFormatting sqref="G29">
    <cfRule type="cellIs" dxfId="709" priority="760" stopIfTrue="1" operator="greaterThan">
      <formula>0</formula>
    </cfRule>
  </conditionalFormatting>
  <conditionalFormatting sqref="L50">
    <cfRule type="cellIs" dxfId="708" priority="700" stopIfTrue="1" operator="greaterThan">
      <formula>0</formula>
    </cfRule>
  </conditionalFormatting>
  <conditionalFormatting sqref="K29:L29">
    <cfRule type="cellIs" dxfId="707" priority="758" stopIfTrue="1" operator="greaterThan">
      <formula>0</formula>
    </cfRule>
  </conditionalFormatting>
  <conditionalFormatting sqref="M29">
    <cfRule type="cellIs" dxfId="706" priority="757" stopIfTrue="1" operator="greaterThan">
      <formula>0</formula>
    </cfRule>
  </conditionalFormatting>
  <conditionalFormatting sqref="I49">
    <cfRule type="cellIs" dxfId="705" priority="710" stopIfTrue="1" operator="greaterThan">
      <formula>0</formula>
    </cfRule>
  </conditionalFormatting>
  <conditionalFormatting sqref="I32">
    <cfRule type="cellIs" dxfId="704" priority="755" stopIfTrue="1" operator="greaterThan">
      <formula>0</formula>
    </cfRule>
  </conditionalFormatting>
  <conditionalFormatting sqref="C29:E29">
    <cfRule type="cellIs" dxfId="703" priority="753" stopIfTrue="1" operator="greaterThan">
      <formula>0</formula>
    </cfRule>
  </conditionalFormatting>
  <conditionalFormatting sqref="I29">
    <cfRule type="cellIs" dxfId="702" priority="752" stopIfTrue="1" operator="greaterThan">
      <formula>0</formula>
    </cfRule>
  </conditionalFormatting>
  <conditionalFormatting sqref="I30">
    <cfRule type="cellIs" dxfId="701" priority="751" stopIfTrue="1" operator="greaterThan">
      <formula>0</formula>
    </cfRule>
  </conditionalFormatting>
  <conditionalFormatting sqref="D30">
    <cfRule type="cellIs" dxfId="700" priority="750" stopIfTrue="1" operator="greaterThan">
      <formula>0</formula>
    </cfRule>
  </conditionalFormatting>
  <conditionalFormatting sqref="P29:P32">
    <cfRule type="cellIs" dxfId="699" priority="749" stopIfTrue="1" operator="greaterThan">
      <formula>0</formula>
    </cfRule>
  </conditionalFormatting>
  <conditionalFormatting sqref="P29:P32">
    <cfRule type="cellIs" dxfId="698" priority="748" stopIfTrue="1" operator="notEqual">
      <formula>""</formula>
    </cfRule>
  </conditionalFormatting>
  <conditionalFormatting sqref="C32">
    <cfRule type="cellIs" dxfId="697" priority="747" stopIfTrue="1" operator="notEqual">
      <formula>""</formula>
    </cfRule>
  </conditionalFormatting>
  <conditionalFormatting sqref="C32">
    <cfRule type="cellIs" dxfId="696" priority="746" stopIfTrue="1" operator="greaterThan">
      <formula>0</formula>
    </cfRule>
  </conditionalFormatting>
  <conditionalFormatting sqref="I31">
    <cfRule type="cellIs" dxfId="695" priority="745" stopIfTrue="1" operator="greaterThan">
      <formula>0</formula>
    </cfRule>
  </conditionalFormatting>
  <conditionalFormatting sqref="L31">
    <cfRule type="cellIs" dxfId="694" priority="744" stopIfTrue="1" operator="notEqual">
      <formula>""</formula>
    </cfRule>
  </conditionalFormatting>
  <conditionalFormatting sqref="L31">
    <cfRule type="cellIs" dxfId="693" priority="743" stopIfTrue="1" operator="greaterThan">
      <formula>0</formula>
    </cfRule>
  </conditionalFormatting>
  <conditionalFormatting sqref="B48 H48 J48 B50:H50 J51:M51 B51 D51:H51 J50:K50 M50">
    <cfRule type="cellIs" dxfId="692" priority="742" stopIfTrue="1" operator="notEqual">
      <formula>""</formula>
    </cfRule>
  </conditionalFormatting>
  <conditionalFormatting sqref="B48 H48 J48 B50:H50 J51:M51 B51 D51:H51 J50:K50 M50">
    <cfRule type="cellIs" dxfId="691" priority="741" stopIfTrue="1" operator="greaterThan">
      <formula>0</formula>
    </cfRule>
  </conditionalFormatting>
  <conditionalFormatting sqref="Q50">
    <cfRule type="cellIs" dxfId="690" priority="732" stopIfTrue="1" operator="greaterThan">
      <formula>0</formula>
    </cfRule>
  </conditionalFormatting>
  <conditionalFormatting sqref="Q50">
    <cfRule type="cellIs" dxfId="689" priority="731" stopIfTrue="1" operator="notEqual">
      <formula>""</formula>
    </cfRule>
  </conditionalFormatting>
  <conditionalFormatting sqref="B49:C49 J49:M49 E49:H49">
    <cfRule type="cellIs" dxfId="688" priority="730" stopIfTrue="1" operator="notEqual">
      <formula>""</formula>
    </cfRule>
  </conditionalFormatting>
  <conditionalFormatting sqref="B49:C49 J49:M49 E49:H49">
    <cfRule type="cellIs" dxfId="687" priority="729" stopIfTrue="1" operator="greaterThan">
      <formula>0</formula>
    </cfRule>
  </conditionalFormatting>
  <conditionalFormatting sqref="Q49">
    <cfRule type="cellIs" dxfId="686" priority="724" stopIfTrue="1" operator="notEqual">
      <formula>""</formula>
    </cfRule>
  </conditionalFormatting>
  <conditionalFormatting sqref="Q49">
    <cfRule type="cellIs" dxfId="685" priority="725" stopIfTrue="1" operator="greaterThan">
      <formula>0</formula>
    </cfRule>
  </conditionalFormatting>
  <conditionalFormatting sqref="Q48">
    <cfRule type="cellIs" dxfId="684" priority="722" stopIfTrue="1" operator="notEqual">
      <formula>""</formula>
    </cfRule>
  </conditionalFormatting>
  <conditionalFormatting sqref="Q48">
    <cfRule type="cellIs" dxfId="683" priority="723" stopIfTrue="1" operator="greaterThan">
      <formula>0</formula>
    </cfRule>
  </conditionalFormatting>
  <conditionalFormatting sqref="N48 N50:N51">
    <cfRule type="cellIs" dxfId="682" priority="721" stopIfTrue="1" operator="notEqual">
      <formula>""</formula>
    </cfRule>
  </conditionalFormatting>
  <conditionalFormatting sqref="N48 N50:N51">
    <cfRule type="cellIs" dxfId="681" priority="720" stopIfTrue="1" operator="greaterThan">
      <formula>0</formula>
    </cfRule>
  </conditionalFormatting>
  <conditionalFormatting sqref="N49">
    <cfRule type="cellIs" dxfId="680" priority="719" stopIfTrue="1" operator="notEqual">
      <formula>""</formula>
    </cfRule>
  </conditionalFormatting>
  <conditionalFormatting sqref="N49">
    <cfRule type="cellIs" dxfId="679" priority="718" stopIfTrue="1" operator="greaterThan">
      <formula>0</formula>
    </cfRule>
  </conditionalFormatting>
  <conditionalFormatting sqref="F48">
    <cfRule type="cellIs" dxfId="678" priority="717" stopIfTrue="1" operator="greaterThan">
      <formula>0</formula>
    </cfRule>
  </conditionalFormatting>
  <conditionalFormatting sqref="G48">
    <cfRule type="cellIs" dxfId="677" priority="716" stopIfTrue="1" operator="greaterThan">
      <formula>0</formula>
    </cfRule>
  </conditionalFormatting>
  <conditionalFormatting sqref="K48:L48">
    <cfRule type="cellIs" dxfId="676" priority="715" stopIfTrue="1" operator="greaterThan">
      <formula>0</formula>
    </cfRule>
  </conditionalFormatting>
  <conditionalFormatting sqref="M48">
    <cfRule type="cellIs" dxfId="675" priority="714" stopIfTrue="1" operator="greaterThan">
      <formula>0</formula>
    </cfRule>
  </conditionalFormatting>
  <conditionalFormatting sqref="I51">
    <cfRule type="cellIs" dxfId="674" priority="713" stopIfTrue="1" operator="greaterThan">
      <formula>0</formula>
    </cfRule>
  </conditionalFormatting>
  <conditionalFormatting sqref="C48:E48">
    <cfRule type="cellIs" dxfId="673" priority="712" stopIfTrue="1" operator="greaterThan">
      <formula>0</formula>
    </cfRule>
  </conditionalFormatting>
  <conditionalFormatting sqref="I48">
    <cfRule type="cellIs" dxfId="672" priority="711" stopIfTrue="1" operator="greaterThan">
      <formula>0</formula>
    </cfRule>
  </conditionalFormatting>
  <conditionalFormatting sqref="D49">
    <cfRule type="cellIs" dxfId="671" priority="709" stopIfTrue="1" operator="greaterThan">
      <formula>0</formula>
    </cfRule>
  </conditionalFormatting>
  <conditionalFormatting sqref="C70">
    <cfRule type="cellIs" dxfId="670" priority="662" stopIfTrue="1" operator="greaterThan">
      <formula>0</formula>
    </cfRule>
  </conditionalFormatting>
  <conditionalFormatting sqref="P48:P51">
    <cfRule type="cellIs" dxfId="669" priority="707" stopIfTrue="1" operator="notEqual">
      <formula>""</formula>
    </cfRule>
  </conditionalFormatting>
  <conditionalFormatting sqref="C51">
    <cfRule type="cellIs" dxfId="668" priority="706" stopIfTrue="1" operator="notEqual">
      <formula>""</formula>
    </cfRule>
  </conditionalFormatting>
  <conditionalFormatting sqref="C51">
    <cfRule type="cellIs" dxfId="667" priority="705" stopIfTrue="1" operator="greaterThan">
      <formula>0</formula>
    </cfRule>
  </conditionalFormatting>
  <conditionalFormatting sqref="I50">
    <cfRule type="cellIs" dxfId="666" priority="704" stopIfTrue="1" operator="greaterThan">
      <formula>0</formula>
    </cfRule>
  </conditionalFormatting>
  <conditionalFormatting sqref="L50">
    <cfRule type="cellIs" dxfId="665" priority="701" stopIfTrue="1" operator="notEqual">
      <formula>""</formula>
    </cfRule>
  </conditionalFormatting>
  <conditionalFormatting sqref="I69">
    <cfRule type="cellIs" dxfId="664" priority="654" stopIfTrue="1" operator="greaterThan">
      <formula>0</formula>
    </cfRule>
  </conditionalFormatting>
  <conditionalFormatting sqref="P67:P70">
    <cfRule type="cellIs" dxfId="663" priority="665" stopIfTrue="1" operator="greaterThan">
      <formula>0</formula>
    </cfRule>
  </conditionalFormatting>
  <conditionalFormatting sqref="L69">
    <cfRule type="cellIs" dxfId="662" priority="659" stopIfTrue="1" operator="greaterThan">
      <formula>0</formula>
    </cfRule>
  </conditionalFormatting>
  <conditionalFormatting sqref="I68">
    <cfRule type="cellIs" dxfId="661" priority="667" stopIfTrue="1" operator="greaterThan">
      <formula>0</formula>
    </cfRule>
  </conditionalFormatting>
  <conditionalFormatting sqref="B67 H67 J67 J70:M70 B69:B70 J69:K69 M69 D69:H70">
    <cfRule type="cellIs" dxfId="660" priority="699" stopIfTrue="1" operator="notEqual">
      <formula>""</formula>
    </cfRule>
  </conditionalFormatting>
  <conditionalFormatting sqref="B67 H67 J67 J70:M70 B69:B70 J69:K69 M69 D69:H70">
    <cfRule type="cellIs" dxfId="659" priority="698" stopIfTrue="1" operator="greaterThan">
      <formula>0</formula>
    </cfRule>
  </conditionalFormatting>
  <conditionalFormatting sqref="Q70">
    <cfRule type="cellIs" dxfId="658" priority="695" stopIfTrue="1" operator="notEqual">
      <formula>""</formula>
    </cfRule>
  </conditionalFormatting>
  <conditionalFormatting sqref="Q70">
    <cfRule type="cellIs" dxfId="657" priority="694" stopIfTrue="1" operator="greaterThan">
      <formula>0</formula>
    </cfRule>
  </conditionalFormatting>
  <conditionalFormatting sqref="Q69">
    <cfRule type="cellIs" dxfId="656" priority="689" stopIfTrue="1" operator="greaterThan">
      <formula>0</formula>
    </cfRule>
  </conditionalFormatting>
  <conditionalFormatting sqref="Q69">
    <cfRule type="cellIs" dxfId="655" priority="688" stopIfTrue="1" operator="notEqual">
      <formula>""</formula>
    </cfRule>
  </conditionalFormatting>
  <conditionalFormatting sqref="B68:C68 F68:H68 J68:M68">
    <cfRule type="cellIs" dxfId="654" priority="687" stopIfTrue="1" operator="notEqual">
      <formula>""</formula>
    </cfRule>
  </conditionalFormatting>
  <conditionalFormatting sqref="B68:C68 F68:H68 J68:M68">
    <cfRule type="cellIs" dxfId="653" priority="686" stopIfTrue="1" operator="greaterThan">
      <formula>0</formula>
    </cfRule>
  </conditionalFormatting>
  <conditionalFormatting sqref="Q68">
    <cfRule type="cellIs" dxfId="652" priority="681" stopIfTrue="1" operator="notEqual">
      <formula>""</formula>
    </cfRule>
  </conditionalFormatting>
  <conditionalFormatting sqref="Q68">
    <cfRule type="cellIs" dxfId="651" priority="682" stopIfTrue="1" operator="greaterThan">
      <formula>0</formula>
    </cfRule>
  </conditionalFormatting>
  <conditionalFormatting sqref="Q67">
    <cfRule type="cellIs" dxfId="650" priority="679" stopIfTrue="1" operator="notEqual">
      <formula>""</formula>
    </cfRule>
  </conditionalFormatting>
  <conditionalFormatting sqref="Q67">
    <cfRule type="cellIs" dxfId="649" priority="680" stopIfTrue="1" operator="greaterThan">
      <formula>0</formula>
    </cfRule>
  </conditionalFormatting>
  <conditionalFormatting sqref="N67 N69:N70">
    <cfRule type="cellIs" dxfId="648" priority="678" stopIfTrue="1" operator="notEqual">
      <formula>""</formula>
    </cfRule>
  </conditionalFormatting>
  <conditionalFormatting sqref="N67 N69:N70">
    <cfRule type="cellIs" dxfId="647" priority="677" stopIfTrue="1" operator="greaterThan">
      <formula>0</formula>
    </cfRule>
  </conditionalFormatting>
  <conditionalFormatting sqref="N68">
    <cfRule type="cellIs" dxfId="646" priority="676" stopIfTrue="1" operator="notEqual">
      <formula>""</formula>
    </cfRule>
  </conditionalFormatting>
  <conditionalFormatting sqref="N68">
    <cfRule type="cellIs" dxfId="645" priority="675" stopIfTrue="1" operator="greaterThan">
      <formula>0</formula>
    </cfRule>
  </conditionalFormatting>
  <conditionalFormatting sqref="F67">
    <cfRule type="cellIs" dxfId="644" priority="674" stopIfTrue="1" operator="greaterThan">
      <formula>0</formula>
    </cfRule>
  </conditionalFormatting>
  <conditionalFormatting sqref="G67">
    <cfRule type="cellIs" dxfId="643" priority="673" stopIfTrue="1" operator="greaterThan">
      <formula>0</formula>
    </cfRule>
  </conditionalFormatting>
  <conditionalFormatting sqref="K67:L67">
    <cfRule type="cellIs" dxfId="642" priority="672" stopIfTrue="1" operator="greaterThan">
      <formula>0</formula>
    </cfRule>
  </conditionalFormatting>
  <conditionalFormatting sqref="M67">
    <cfRule type="cellIs" dxfId="641" priority="671" stopIfTrue="1" operator="greaterThan">
      <formula>0</formula>
    </cfRule>
  </conditionalFormatting>
  <conditionalFormatting sqref="I70">
    <cfRule type="cellIs" dxfId="640" priority="670" stopIfTrue="1" operator="greaterThan">
      <formula>0</formula>
    </cfRule>
  </conditionalFormatting>
  <conditionalFormatting sqref="C67:D67">
    <cfRule type="cellIs" dxfId="639" priority="669" stopIfTrue="1" operator="greaterThan">
      <formula>0</formula>
    </cfRule>
  </conditionalFormatting>
  <conditionalFormatting sqref="D68">
    <cfRule type="cellIs" dxfId="638" priority="666" stopIfTrue="1" operator="greaterThan">
      <formula>0</formula>
    </cfRule>
  </conditionalFormatting>
  <conditionalFormatting sqref="P67:P70">
    <cfRule type="cellIs" dxfId="637" priority="664" stopIfTrue="1" operator="notEqual">
      <formula>""</formula>
    </cfRule>
  </conditionalFormatting>
  <conditionalFormatting sqref="C70">
    <cfRule type="cellIs" dxfId="636" priority="663" stopIfTrue="1" operator="notEqual">
      <formula>""</formula>
    </cfRule>
  </conditionalFormatting>
  <conditionalFormatting sqref="L69">
    <cfRule type="cellIs" dxfId="635" priority="660" stopIfTrue="1" operator="notEqual">
      <formula>""</formula>
    </cfRule>
  </conditionalFormatting>
  <conditionalFormatting sqref="E67">
    <cfRule type="cellIs" dxfId="634" priority="658" stopIfTrue="1" operator="greaterThan">
      <formula>0</formula>
    </cfRule>
  </conditionalFormatting>
  <conditionalFormatting sqref="I67">
    <cfRule type="cellIs" dxfId="633" priority="657" stopIfTrue="1" operator="greaterThan">
      <formula>0</formula>
    </cfRule>
  </conditionalFormatting>
  <conditionalFormatting sqref="E68">
    <cfRule type="cellIs" dxfId="632" priority="656" stopIfTrue="1" operator="greaterThan">
      <formula>0</formula>
    </cfRule>
  </conditionalFormatting>
  <conditionalFormatting sqref="C69">
    <cfRule type="cellIs" dxfId="631" priority="655" stopIfTrue="1" operator="greaterThan">
      <formula>0</formula>
    </cfRule>
  </conditionalFormatting>
  <conditionalFormatting sqref="B105:C105 F105:H105 J105 B107:B108 F107:H108 J107:J108">
    <cfRule type="cellIs" dxfId="630" priority="653" stopIfTrue="1" operator="notEqual">
      <formula>""</formula>
    </cfRule>
  </conditionalFormatting>
  <conditionalFormatting sqref="B105:C105 O107:O108 O105:P105 F105:H105 J105 B107:B108 F107:H108 J107:J108">
    <cfRule type="cellIs" dxfId="629" priority="652" stopIfTrue="1" operator="greaterThan">
      <formula>0</formula>
    </cfRule>
  </conditionalFormatting>
  <conditionalFormatting sqref="O105:P105">
    <cfRule type="cellIs" dxfId="628" priority="651" stopIfTrue="1" operator="notEqual">
      <formula>""</formula>
    </cfRule>
  </conditionalFormatting>
  <conditionalFormatting sqref="O107">
    <cfRule type="cellIs" dxfId="627" priority="650" stopIfTrue="1" operator="notEqual">
      <formula>""</formula>
    </cfRule>
  </conditionalFormatting>
  <conditionalFormatting sqref="Q108 O108">
    <cfRule type="cellIs" dxfId="626" priority="649" stopIfTrue="1" operator="notEqual">
      <formula>""</formula>
    </cfRule>
  </conditionalFormatting>
  <conditionalFormatting sqref="Q108">
    <cfRule type="cellIs" dxfId="625" priority="648" stopIfTrue="1" operator="greaterThan">
      <formula>0</formula>
    </cfRule>
  </conditionalFormatting>
  <conditionalFormatting sqref="O108">
    <cfRule type="cellIs" dxfId="624" priority="647" stopIfTrue="1" operator="notEqual">
      <formula>""</formula>
    </cfRule>
  </conditionalFormatting>
  <conditionalFormatting sqref="O108">
    <cfRule type="cellIs" dxfId="623" priority="646" stopIfTrue="1" operator="notEqual">
      <formula>""</formula>
    </cfRule>
  </conditionalFormatting>
  <conditionalFormatting sqref="O108">
    <cfRule type="cellIs" dxfId="622" priority="645" stopIfTrue="1" operator="notEqual">
      <formula>""</formula>
    </cfRule>
  </conditionalFormatting>
  <conditionalFormatting sqref="O108">
    <cfRule type="cellIs" dxfId="621" priority="644" stopIfTrue="1" operator="notEqual">
      <formula>""</formula>
    </cfRule>
  </conditionalFormatting>
  <conditionalFormatting sqref="Q107">
    <cfRule type="cellIs" dxfId="620" priority="643" stopIfTrue="1" operator="greaterThan">
      <formula>0</formula>
    </cfRule>
  </conditionalFormatting>
  <conditionalFormatting sqref="Q107">
    <cfRule type="cellIs" dxfId="619" priority="642" stopIfTrue="1" operator="notEqual">
      <formula>""</formula>
    </cfRule>
  </conditionalFormatting>
  <conditionalFormatting sqref="B106 J106 H106 D106 F106">
    <cfRule type="cellIs" dxfId="618" priority="641" stopIfTrue="1" operator="notEqual">
      <formula>""</formula>
    </cfRule>
  </conditionalFormatting>
  <conditionalFormatting sqref="B106 O106 J106 H106 D106 F106">
    <cfRule type="cellIs" dxfId="617" priority="640" stopIfTrue="1" operator="greaterThan">
      <formula>0</formula>
    </cfRule>
  </conditionalFormatting>
  <conditionalFormatting sqref="O106">
    <cfRule type="cellIs" dxfId="616" priority="639" stopIfTrue="1" operator="notEqual">
      <formula>""</formula>
    </cfRule>
  </conditionalFormatting>
  <conditionalFormatting sqref="Q106">
    <cfRule type="cellIs" dxfId="615" priority="635" stopIfTrue="1" operator="notEqual">
      <formula>""</formula>
    </cfRule>
  </conditionalFormatting>
  <conditionalFormatting sqref="O106">
    <cfRule type="cellIs" dxfId="614" priority="638" stopIfTrue="1" operator="notEqual">
      <formula>""</formula>
    </cfRule>
  </conditionalFormatting>
  <conditionalFormatting sqref="O106">
    <cfRule type="cellIs" dxfId="613" priority="637" stopIfTrue="1" operator="notEqual">
      <formula>""</formula>
    </cfRule>
  </conditionalFormatting>
  <conditionalFormatting sqref="Q106">
    <cfRule type="cellIs" dxfId="612" priority="636" stopIfTrue="1" operator="greaterThan">
      <formula>0</formula>
    </cfRule>
  </conditionalFormatting>
  <conditionalFormatting sqref="Q105">
    <cfRule type="cellIs" dxfId="611" priority="633" stopIfTrue="1" operator="notEqual">
      <formula>""</formula>
    </cfRule>
  </conditionalFormatting>
  <conditionalFormatting sqref="Q105">
    <cfRule type="cellIs" dxfId="610" priority="634" stopIfTrue="1" operator="greaterThan">
      <formula>0</formula>
    </cfRule>
  </conditionalFormatting>
  <conditionalFormatting sqref="N105 N107:N108">
    <cfRule type="cellIs" dxfId="609" priority="632" stopIfTrue="1" operator="notEqual">
      <formula>""</formula>
    </cfRule>
  </conditionalFormatting>
  <conditionalFormatting sqref="N105 N107:N108">
    <cfRule type="cellIs" dxfId="608" priority="631" stopIfTrue="1" operator="greaterThan">
      <formula>0</formula>
    </cfRule>
  </conditionalFormatting>
  <conditionalFormatting sqref="N106">
    <cfRule type="cellIs" dxfId="607" priority="630" stopIfTrue="1" operator="notEqual">
      <formula>""</formula>
    </cfRule>
  </conditionalFormatting>
  <conditionalFormatting sqref="N106">
    <cfRule type="cellIs" dxfId="606" priority="629" stopIfTrue="1" operator="greaterThan">
      <formula>0</formula>
    </cfRule>
  </conditionalFormatting>
  <conditionalFormatting sqref="D105">
    <cfRule type="cellIs" dxfId="605" priority="628" stopIfTrue="1" operator="greaterThan">
      <formula>0</formula>
    </cfRule>
  </conditionalFormatting>
  <conditionalFormatting sqref="E105">
    <cfRule type="cellIs" dxfId="604" priority="627" stopIfTrue="1" operator="greaterThan">
      <formula>0</formula>
    </cfRule>
  </conditionalFormatting>
  <conditionalFormatting sqref="I105">
    <cfRule type="cellIs" dxfId="603" priority="626" stopIfTrue="1" operator="greaterThan">
      <formula>0</formula>
    </cfRule>
  </conditionalFormatting>
  <conditionalFormatting sqref="K105:L105">
    <cfRule type="cellIs" dxfId="602" priority="625" stopIfTrue="1" operator="greaterThan">
      <formula>0</formula>
    </cfRule>
  </conditionalFormatting>
  <conditionalFormatting sqref="M105">
    <cfRule type="cellIs" dxfId="601" priority="624" stopIfTrue="1" operator="greaterThan">
      <formula>0</formula>
    </cfRule>
  </conditionalFormatting>
  <conditionalFormatting sqref="G106">
    <cfRule type="cellIs" dxfId="600" priority="623" stopIfTrue="1" operator="notEqual">
      <formula>""</formula>
    </cfRule>
  </conditionalFormatting>
  <conditionalFormatting sqref="G106">
    <cfRule type="cellIs" dxfId="599" priority="622" stopIfTrue="1" operator="greaterThan">
      <formula>0</formula>
    </cfRule>
  </conditionalFormatting>
  <conditionalFormatting sqref="M104">
    <cfRule type="cellIs" dxfId="598" priority="621" stopIfTrue="1" operator="greaterThan">
      <formula>0</formula>
    </cfRule>
  </conditionalFormatting>
  <conditionalFormatting sqref="C106">
    <cfRule type="cellIs" dxfId="597" priority="620" stopIfTrue="1" operator="greaterThan">
      <formula>0</formula>
    </cfRule>
  </conditionalFormatting>
  <conditionalFormatting sqref="E106">
    <cfRule type="cellIs" dxfId="596" priority="619" stopIfTrue="1" operator="greaterThan">
      <formula>0</formula>
    </cfRule>
  </conditionalFormatting>
  <conditionalFormatting sqref="I106">
    <cfRule type="cellIs" dxfId="595" priority="618" stopIfTrue="1" operator="greaterThan">
      <formula>0</formula>
    </cfRule>
  </conditionalFormatting>
  <conditionalFormatting sqref="K106:L106">
    <cfRule type="cellIs" dxfId="594" priority="617" stopIfTrue="1" operator="greaterThan">
      <formula>0</formula>
    </cfRule>
  </conditionalFormatting>
  <conditionalFormatting sqref="M106">
    <cfRule type="cellIs" dxfId="593" priority="616" stopIfTrue="1" operator="greaterThan">
      <formula>0</formula>
    </cfRule>
  </conditionalFormatting>
  <conditionalFormatting sqref="C107">
    <cfRule type="cellIs" dxfId="592" priority="615" stopIfTrue="1" operator="greaterThan">
      <formula>0</formula>
    </cfRule>
  </conditionalFormatting>
  <conditionalFormatting sqref="E107">
    <cfRule type="cellIs" dxfId="591" priority="614" stopIfTrue="1" operator="greaterThan">
      <formula>0</formula>
    </cfRule>
  </conditionalFormatting>
  <conditionalFormatting sqref="D107">
    <cfRule type="cellIs" dxfId="590" priority="613" stopIfTrue="1" operator="greaterThan">
      <formula>0</formula>
    </cfRule>
  </conditionalFormatting>
  <conditionalFormatting sqref="I107">
    <cfRule type="cellIs" dxfId="589" priority="612" stopIfTrue="1" operator="greaterThan">
      <formula>0</formula>
    </cfRule>
  </conditionalFormatting>
  <conditionalFormatting sqref="K107:L107">
    <cfRule type="cellIs" dxfId="588" priority="611" stopIfTrue="1" operator="greaterThan">
      <formula>0</formula>
    </cfRule>
  </conditionalFormatting>
  <conditionalFormatting sqref="M107">
    <cfRule type="cellIs" dxfId="587" priority="610" stopIfTrue="1" operator="greaterThan">
      <formula>0</formula>
    </cfRule>
  </conditionalFormatting>
  <conditionalFormatting sqref="D108:E108">
    <cfRule type="cellIs" dxfId="586" priority="609" stopIfTrue="1" operator="greaterThan">
      <formula>0</formula>
    </cfRule>
  </conditionalFormatting>
  <conditionalFormatting sqref="C108">
    <cfRule type="cellIs" dxfId="585" priority="608" stopIfTrue="1" operator="greaterThan">
      <formula>0</formula>
    </cfRule>
  </conditionalFormatting>
  <conditionalFormatting sqref="I108">
    <cfRule type="cellIs" dxfId="584" priority="607" stopIfTrue="1" operator="greaterThan">
      <formula>0</formula>
    </cfRule>
  </conditionalFormatting>
  <conditionalFormatting sqref="K108:L108">
    <cfRule type="cellIs" dxfId="583" priority="606" stopIfTrue="1" operator="greaterThan">
      <formula>0</formula>
    </cfRule>
  </conditionalFormatting>
  <conditionalFormatting sqref="M108">
    <cfRule type="cellIs" dxfId="582" priority="605" stopIfTrue="1" operator="greaterThan">
      <formula>0</formula>
    </cfRule>
  </conditionalFormatting>
  <conditionalFormatting sqref="B124 F124:H124 J124 B126:B127 F126:H127 J126:J127">
    <cfRule type="cellIs" dxfId="581" priority="604" stopIfTrue="1" operator="notEqual">
      <formula>""</formula>
    </cfRule>
  </conditionalFormatting>
  <conditionalFormatting sqref="B124 O126:O127 O124:P124 F124:H124 J124 B126:B127 F126:H127 J126:J127">
    <cfRule type="cellIs" dxfId="580" priority="603" stopIfTrue="1" operator="greaterThan">
      <formula>0</formula>
    </cfRule>
  </conditionalFormatting>
  <conditionalFormatting sqref="O124:P124">
    <cfRule type="cellIs" dxfId="579" priority="602" stopIfTrue="1" operator="notEqual">
      <formula>""</formula>
    </cfRule>
  </conditionalFormatting>
  <conditionalFormatting sqref="O126">
    <cfRule type="cellIs" dxfId="578" priority="601" stopIfTrue="1" operator="notEqual">
      <formula>""</formula>
    </cfRule>
  </conditionalFormatting>
  <conditionalFormatting sqref="Q127 O127">
    <cfRule type="cellIs" dxfId="577" priority="600" stopIfTrue="1" operator="notEqual">
      <formula>""</formula>
    </cfRule>
  </conditionalFormatting>
  <conditionalFormatting sqref="Q127">
    <cfRule type="cellIs" dxfId="576" priority="599" stopIfTrue="1" operator="greaterThan">
      <formula>0</formula>
    </cfRule>
  </conditionalFormatting>
  <conditionalFormatting sqref="O127">
    <cfRule type="cellIs" dxfId="575" priority="598" stopIfTrue="1" operator="notEqual">
      <formula>""</formula>
    </cfRule>
  </conditionalFormatting>
  <conditionalFormatting sqref="O127">
    <cfRule type="cellIs" dxfId="574" priority="597" stopIfTrue="1" operator="notEqual">
      <formula>""</formula>
    </cfRule>
  </conditionalFormatting>
  <conditionalFormatting sqref="O127">
    <cfRule type="cellIs" dxfId="573" priority="596" stopIfTrue="1" operator="notEqual">
      <formula>""</formula>
    </cfRule>
  </conditionalFormatting>
  <conditionalFormatting sqref="O127">
    <cfRule type="cellIs" dxfId="572" priority="595" stopIfTrue="1" operator="notEqual">
      <formula>""</formula>
    </cfRule>
  </conditionalFormatting>
  <conditionalFormatting sqref="Q126">
    <cfRule type="cellIs" dxfId="571" priority="594" stopIfTrue="1" operator="greaterThan">
      <formula>0</formula>
    </cfRule>
  </conditionalFormatting>
  <conditionalFormatting sqref="Q126">
    <cfRule type="cellIs" dxfId="570" priority="593" stopIfTrue="1" operator="notEqual">
      <formula>""</formula>
    </cfRule>
  </conditionalFormatting>
  <conditionalFormatting sqref="B125 J125 H125 D125 F125">
    <cfRule type="cellIs" dxfId="569" priority="592" stopIfTrue="1" operator="notEqual">
      <formula>""</formula>
    </cfRule>
  </conditionalFormatting>
  <conditionalFormatting sqref="B125 O125 J125 H125 D125 F125">
    <cfRule type="cellIs" dxfId="568" priority="591" stopIfTrue="1" operator="greaterThan">
      <formula>0</formula>
    </cfRule>
  </conditionalFormatting>
  <conditionalFormatting sqref="O125">
    <cfRule type="cellIs" dxfId="567" priority="590" stopIfTrue="1" operator="notEqual">
      <formula>""</formula>
    </cfRule>
  </conditionalFormatting>
  <conditionalFormatting sqref="Q125">
    <cfRule type="cellIs" dxfId="566" priority="586" stopIfTrue="1" operator="notEqual">
      <formula>""</formula>
    </cfRule>
  </conditionalFormatting>
  <conditionalFormatting sqref="O125">
    <cfRule type="cellIs" dxfId="565" priority="589" stopIfTrue="1" operator="notEqual">
      <formula>""</formula>
    </cfRule>
  </conditionalFormatting>
  <conditionalFormatting sqref="O125">
    <cfRule type="cellIs" dxfId="564" priority="588" stopIfTrue="1" operator="notEqual">
      <formula>""</formula>
    </cfRule>
  </conditionalFormatting>
  <conditionalFormatting sqref="Q125">
    <cfRule type="cellIs" dxfId="563" priority="587" stopIfTrue="1" operator="greaterThan">
      <formula>0</formula>
    </cfRule>
  </conditionalFormatting>
  <conditionalFormatting sqref="Q124">
    <cfRule type="cellIs" dxfId="562" priority="584" stopIfTrue="1" operator="notEqual">
      <formula>""</formula>
    </cfRule>
  </conditionalFormatting>
  <conditionalFormatting sqref="Q124">
    <cfRule type="cellIs" dxfId="561" priority="585" stopIfTrue="1" operator="greaterThan">
      <formula>0</formula>
    </cfRule>
  </conditionalFormatting>
  <conditionalFormatting sqref="N124 N126:N127">
    <cfRule type="cellIs" dxfId="560" priority="583" stopIfTrue="1" operator="notEqual">
      <formula>""</formula>
    </cfRule>
  </conditionalFormatting>
  <conditionalFormatting sqref="N124 N126:N127">
    <cfRule type="cellIs" dxfId="559" priority="582" stopIfTrue="1" operator="greaterThan">
      <formula>0</formula>
    </cfRule>
  </conditionalFormatting>
  <conditionalFormatting sqref="N125">
    <cfRule type="cellIs" dxfId="558" priority="581" stopIfTrue="1" operator="notEqual">
      <formula>""</formula>
    </cfRule>
  </conditionalFormatting>
  <conditionalFormatting sqref="N125">
    <cfRule type="cellIs" dxfId="557" priority="580" stopIfTrue="1" operator="greaterThan">
      <formula>0</formula>
    </cfRule>
  </conditionalFormatting>
  <conditionalFormatting sqref="G125">
    <cfRule type="cellIs" dxfId="556" priority="579" stopIfTrue="1" operator="notEqual">
      <formula>""</formula>
    </cfRule>
  </conditionalFormatting>
  <conditionalFormatting sqref="G125">
    <cfRule type="cellIs" dxfId="555" priority="578" stopIfTrue="1" operator="greaterThan">
      <formula>0</formula>
    </cfRule>
  </conditionalFormatting>
  <conditionalFormatting sqref="M123">
    <cfRule type="cellIs" dxfId="554" priority="577" stopIfTrue="1" operator="greaterThan">
      <formula>0</formula>
    </cfRule>
  </conditionalFormatting>
  <conditionalFormatting sqref="E125">
    <cfRule type="cellIs" dxfId="553" priority="576" stopIfTrue="1" operator="greaterThan">
      <formula>0</formula>
    </cfRule>
  </conditionalFormatting>
  <conditionalFormatting sqref="K125:L125">
    <cfRule type="cellIs" dxfId="552" priority="575" stopIfTrue="1" operator="greaterThan">
      <formula>0</formula>
    </cfRule>
  </conditionalFormatting>
  <conditionalFormatting sqref="M125">
    <cfRule type="cellIs" dxfId="551" priority="574" stopIfTrue="1" operator="greaterThan">
      <formula>0</formula>
    </cfRule>
  </conditionalFormatting>
  <conditionalFormatting sqref="C126">
    <cfRule type="cellIs" dxfId="550" priority="573" stopIfTrue="1" operator="greaterThan">
      <formula>0</formula>
    </cfRule>
  </conditionalFormatting>
  <conditionalFormatting sqref="E126">
    <cfRule type="cellIs" dxfId="549" priority="572" stopIfTrue="1" operator="greaterThan">
      <formula>0</formula>
    </cfRule>
  </conditionalFormatting>
  <conditionalFormatting sqref="D126">
    <cfRule type="cellIs" dxfId="548" priority="571" stopIfTrue="1" operator="greaterThan">
      <formula>0</formula>
    </cfRule>
  </conditionalFormatting>
  <conditionalFormatting sqref="K126:L126">
    <cfRule type="cellIs" dxfId="547" priority="570" stopIfTrue="1" operator="greaterThan">
      <formula>0</formula>
    </cfRule>
  </conditionalFormatting>
  <conditionalFormatting sqref="M126">
    <cfRule type="cellIs" dxfId="546" priority="569" stopIfTrue="1" operator="greaterThan">
      <formula>0</formula>
    </cfRule>
  </conditionalFormatting>
  <conditionalFormatting sqref="C124:E124">
    <cfRule type="cellIs" dxfId="545" priority="568" stopIfTrue="1" operator="greaterThan">
      <formula>0</formula>
    </cfRule>
  </conditionalFormatting>
  <conditionalFormatting sqref="I124">
    <cfRule type="cellIs" dxfId="544" priority="567" stopIfTrue="1" operator="greaterThan">
      <formula>0</formula>
    </cfRule>
  </conditionalFormatting>
  <conditionalFormatting sqref="K124:L124">
    <cfRule type="cellIs" dxfId="543" priority="566" stopIfTrue="1" operator="greaterThan">
      <formula>0</formula>
    </cfRule>
  </conditionalFormatting>
  <conditionalFormatting sqref="M124">
    <cfRule type="cellIs" dxfId="542" priority="565" stopIfTrue="1" operator="greaterThan">
      <formula>0</formula>
    </cfRule>
  </conditionalFormatting>
  <conditionalFormatting sqref="C125">
    <cfRule type="cellIs" dxfId="541" priority="564" stopIfTrue="1" operator="greaterThan">
      <formula>0</formula>
    </cfRule>
  </conditionalFormatting>
  <conditionalFormatting sqref="I125">
    <cfRule type="cellIs" dxfId="540" priority="563" stopIfTrue="1" operator="greaterThan">
      <formula>0</formula>
    </cfRule>
  </conditionalFormatting>
  <conditionalFormatting sqref="C127:E127">
    <cfRule type="cellIs" dxfId="539" priority="562" stopIfTrue="1" operator="greaterThan">
      <formula>0</formula>
    </cfRule>
  </conditionalFormatting>
  <conditionalFormatting sqref="I127">
    <cfRule type="cellIs" dxfId="538" priority="561" stopIfTrue="1" operator="greaterThan">
      <formula>0</formula>
    </cfRule>
  </conditionalFormatting>
  <conditionalFormatting sqref="K127:L127">
    <cfRule type="cellIs" dxfId="537" priority="560" stopIfTrue="1" operator="greaterThan">
      <formula>0</formula>
    </cfRule>
  </conditionalFormatting>
  <conditionalFormatting sqref="M127">
    <cfRule type="cellIs" dxfId="536" priority="559" stopIfTrue="1" operator="greaterThan">
      <formula>0</formula>
    </cfRule>
  </conditionalFormatting>
  <conditionalFormatting sqref="I126">
    <cfRule type="cellIs" dxfId="535" priority="558" stopIfTrue="1" operator="greaterThan">
      <formula>0</formula>
    </cfRule>
  </conditionalFormatting>
  <conditionalFormatting sqref="B143 F143:H143 J143 B145:B146 F145:H146 J145:J146">
    <cfRule type="cellIs" dxfId="534" priority="557" stopIfTrue="1" operator="notEqual">
      <formula>""</formula>
    </cfRule>
  </conditionalFormatting>
  <conditionalFormatting sqref="B143 O145:O146 O143:P143 F143:H143 J143 B145:B146 F145:H146 J145:J146">
    <cfRule type="cellIs" dxfId="533" priority="556" stopIfTrue="1" operator="greaterThan">
      <formula>0</formula>
    </cfRule>
  </conditionalFormatting>
  <conditionalFormatting sqref="O143:P143">
    <cfRule type="cellIs" dxfId="532" priority="555" stopIfTrue="1" operator="notEqual">
      <formula>""</formula>
    </cfRule>
  </conditionalFormatting>
  <conditionalFormatting sqref="O145">
    <cfRule type="cellIs" dxfId="531" priority="554" stopIfTrue="1" operator="notEqual">
      <formula>""</formula>
    </cfRule>
  </conditionalFormatting>
  <conditionalFormatting sqref="Q146 O146">
    <cfRule type="cellIs" dxfId="530" priority="553" stopIfTrue="1" operator="notEqual">
      <formula>""</formula>
    </cfRule>
  </conditionalFormatting>
  <conditionalFormatting sqref="Q146">
    <cfRule type="cellIs" dxfId="529" priority="552" stopIfTrue="1" operator="greaterThan">
      <formula>0</formula>
    </cfRule>
  </conditionalFormatting>
  <conditionalFormatting sqref="O146">
    <cfRule type="cellIs" dxfId="528" priority="551" stopIfTrue="1" operator="notEqual">
      <formula>""</formula>
    </cfRule>
  </conditionalFormatting>
  <conditionalFormatting sqref="O146">
    <cfRule type="cellIs" dxfId="527" priority="550" stopIfTrue="1" operator="notEqual">
      <formula>""</formula>
    </cfRule>
  </conditionalFormatting>
  <conditionalFormatting sqref="O146">
    <cfRule type="cellIs" dxfId="526" priority="549" stopIfTrue="1" operator="notEqual">
      <formula>""</formula>
    </cfRule>
  </conditionalFormatting>
  <conditionalFormatting sqref="O146">
    <cfRule type="cellIs" dxfId="525" priority="548" stopIfTrue="1" operator="notEqual">
      <formula>""</formula>
    </cfRule>
  </conditionalFormatting>
  <conditionalFormatting sqref="Q145">
    <cfRule type="cellIs" dxfId="524" priority="547" stopIfTrue="1" operator="greaterThan">
      <formula>0</formula>
    </cfRule>
  </conditionalFormatting>
  <conditionalFormatting sqref="Q145">
    <cfRule type="cellIs" dxfId="523" priority="546" stopIfTrue="1" operator="notEqual">
      <formula>""</formula>
    </cfRule>
  </conditionalFormatting>
  <conditionalFormatting sqref="B144 J144 H144 D144 F144">
    <cfRule type="cellIs" dxfId="522" priority="545" stopIfTrue="1" operator="notEqual">
      <formula>""</formula>
    </cfRule>
  </conditionalFormatting>
  <conditionalFormatting sqref="B144 O144 J144 H144 D144 F144">
    <cfRule type="cellIs" dxfId="521" priority="544" stopIfTrue="1" operator="greaterThan">
      <formula>0</formula>
    </cfRule>
  </conditionalFormatting>
  <conditionalFormatting sqref="O144">
    <cfRule type="cellIs" dxfId="520" priority="543" stopIfTrue="1" operator="notEqual">
      <formula>""</formula>
    </cfRule>
  </conditionalFormatting>
  <conditionalFormatting sqref="Q144">
    <cfRule type="cellIs" dxfId="519" priority="539" stopIfTrue="1" operator="notEqual">
      <formula>""</formula>
    </cfRule>
  </conditionalFormatting>
  <conditionalFormatting sqref="O144">
    <cfRule type="cellIs" dxfId="518" priority="542" stopIfTrue="1" operator="notEqual">
      <formula>""</formula>
    </cfRule>
  </conditionalFormatting>
  <conditionalFormatting sqref="O144">
    <cfRule type="cellIs" dxfId="517" priority="541" stopIfTrue="1" operator="notEqual">
      <formula>""</formula>
    </cfRule>
  </conditionalFormatting>
  <conditionalFormatting sqref="Q144">
    <cfRule type="cellIs" dxfId="516" priority="540" stopIfTrue="1" operator="greaterThan">
      <formula>0</formula>
    </cfRule>
  </conditionalFormatting>
  <conditionalFormatting sqref="Q143">
    <cfRule type="cellIs" dxfId="515" priority="537" stopIfTrue="1" operator="notEqual">
      <formula>""</formula>
    </cfRule>
  </conditionalFormatting>
  <conditionalFormatting sqref="Q143">
    <cfRule type="cellIs" dxfId="514" priority="538" stopIfTrue="1" operator="greaterThan">
      <formula>0</formula>
    </cfRule>
  </conditionalFormatting>
  <conditionalFormatting sqref="N143 N145:N146">
    <cfRule type="cellIs" dxfId="513" priority="536" stopIfTrue="1" operator="notEqual">
      <formula>""</formula>
    </cfRule>
  </conditionalFormatting>
  <conditionalFormatting sqref="N143 N145:N146">
    <cfRule type="cellIs" dxfId="512" priority="535" stopIfTrue="1" operator="greaterThan">
      <formula>0</formula>
    </cfRule>
  </conditionalFormatting>
  <conditionalFormatting sqref="N144">
    <cfRule type="cellIs" dxfId="511" priority="534" stopIfTrue="1" operator="notEqual">
      <formula>""</formula>
    </cfRule>
  </conditionalFormatting>
  <conditionalFormatting sqref="N144">
    <cfRule type="cellIs" dxfId="510" priority="533" stopIfTrue="1" operator="greaterThan">
      <formula>0</formula>
    </cfRule>
  </conditionalFormatting>
  <conditionalFormatting sqref="G144">
    <cfRule type="cellIs" dxfId="509" priority="532" stopIfTrue="1" operator="notEqual">
      <formula>""</formula>
    </cfRule>
  </conditionalFormatting>
  <conditionalFormatting sqref="G144">
    <cfRule type="cellIs" dxfId="508" priority="531" stopIfTrue="1" operator="greaterThan">
      <formula>0</formula>
    </cfRule>
  </conditionalFormatting>
  <conditionalFormatting sqref="M142">
    <cfRule type="cellIs" dxfId="507" priority="530" stopIfTrue="1" operator="greaterThan">
      <formula>0</formula>
    </cfRule>
  </conditionalFormatting>
  <conditionalFormatting sqref="E144">
    <cfRule type="cellIs" dxfId="506" priority="529" stopIfTrue="1" operator="greaterThan">
      <formula>0</formula>
    </cfRule>
  </conditionalFormatting>
  <conditionalFormatting sqref="K144:L144">
    <cfRule type="cellIs" dxfId="505" priority="528" stopIfTrue="1" operator="greaterThan">
      <formula>0</formula>
    </cfRule>
  </conditionalFormatting>
  <conditionalFormatting sqref="M144">
    <cfRule type="cellIs" dxfId="504" priority="527" stopIfTrue="1" operator="greaterThan">
      <formula>0</formula>
    </cfRule>
  </conditionalFormatting>
  <conditionalFormatting sqref="D145">
    <cfRule type="cellIs" dxfId="503" priority="526" stopIfTrue="1" operator="greaterThan">
      <formula>0</formula>
    </cfRule>
  </conditionalFormatting>
  <conditionalFormatting sqref="C143:E143">
    <cfRule type="cellIs" dxfId="502" priority="525" stopIfTrue="1" operator="greaterThan">
      <formula>0</formula>
    </cfRule>
  </conditionalFormatting>
  <conditionalFormatting sqref="I143">
    <cfRule type="cellIs" dxfId="501" priority="524" stopIfTrue="1" operator="greaterThan">
      <formula>0</formula>
    </cfRule>
  </conditionalFormatting>
  <conditionalFormatting sqref="K143:L143">
    <cfRule type="cellIs" dxfId="500" priority="523" stopIfTrue="1" operator="greaterThan">
      <formula>0</formula>
    </cfRule>
  </conditionalFormatting>
  <conditionalFormatting sqref="M143">
    <cfRule type="cellIs" dxfId="499" priority="522" stopIfTrue="1" operator="greaterThan">
      <formula>0</formula>
    </cfRule>
  </conditionalFormatting>
  <conditionalFormatting sqref="C144">
    <cfRule type="cellIs" dxfId="498" priority="521" stopIfTrue="1" operator="greaterThan">
      <formula>0</formula>
    </cfRule>
  </conditionalFormatting>
  <conditionalFormatting sqref="D146:E146">
    <cfRule type="cellIs" dxfId="497" priority="520" stopIfTrue="1" operator="greaterThan">
      <formula>0</formula>
    </cfRule>
  </conditionalFormatting>
  <conditionalFormatting sqref="K146:L146">
    <cfRule type="cellIs" dxfId="496" priority="519" stopIfTrue="1" operator="greaterThan">
      <formula>0</formula>
    </cfRule>
  </conditionalFormatting>
  <conditionalFormatting sqref="M146">
    <cfRule type="cellIs" dxfId="495" priority="518" stopIfTrue="1" operator="greaterThan">
      <formula>0</formula>
    </cfRule>
  </conditionalFormatting>
  <conditionalFormatting sqref="I144">
    <cfRule type="cellIs" dxfId="494" priority="517" stopIfTrue="1" operator="greaterThan">
      <formula>0</formula>
    </cfRule>
  </conditionalFormatting>
  <conditionalFormatting sqref="C145">
    <cfRule type="cellIs" dxfId="493" priority="516" stopIfTrue="1" operator="greaterThan">
      <formula>0</formula>
    </cfRule>
  </conditionalFormatting>
  <conditionalFormatting sqref="E145">
    <cfRule type="cellIs" dxfId="492" priority="515" stopIfTrue="1" operator="greaterThan">
      <formula>0</formula>
    </cfRule>
  </conditionalFormatting>
  <conditionalFormatting sqref="I145">
    <cfRule type="cellIs" dxfId="491" priority="514" stopIfTrue="1" operator="greaterThan">
      <formula>0</formula>
    </cfRule>
  </conditionalFormatting>
  <conditionalFormatting sqref="K145:L145">
    <cfRule type="cellIs" dxfId="490" priority="513" stopIfTrue="1" operator="greaterThan">
      <formula>0</formula>
    </cfRule>
  </conditionalFormatting>
  <conditionalFormatting sqref="M145">
    <cfRule type="cellIs" dxfId="489" priority="512" stopIfTrue="1" operator="greaterThan">
      <formula>0</formula>
    </cfRule>
  </conditionalFormatting>
  <conditionalFormatting sqref="I146">
    <cfRule type="cellIs" dxfId="488" priority="511" stopIfTrue="1" operator="greaterThan">
      <formula>0</formula>
    </cfRule>
  </conditionalFormatting>
  <conditionalFormatting sqref="M89">
    <cfRule type="cellIs" dxfId="487" priority="470" stopIfTrue="1" operator="greaterThan">
      <formula>0</formula>
    </cfRule>
  </conditionalFormatting>
  <conditionalFormatting sqref="B86:C86 F86:H86 J86 B88:B89 F88:J89">
    <cfRule type="cellIs" dxfId="486" priority="510" stopIfTrue="1" operator="notEqual">
      <formula>""</formula>
    </cfRule>
  </conditionalFormatting>
  <conditionalFormatting sqref="B86:C86 O88:O89 O86:P86 F86:H86 J86 B88:B89 F88:J89">
    <cfRule type="cellIs" dxfId="485" priority="509" stopIfTrue="1" operator="greaterThan">
      <formula>0</formula>
    </cfRule>
  </conditionalFormatting>
  <conditionalFormatting sqref="O86:P86">
    <cfRule type="cellIs" dxfId="484" priority="508" stopIfTrue="1" operator="notEqual">
      <formula>""</formula>
    </cfRule>
  </conditionalFormatting>
  <conditionalFormatting sqref="O88">
    <cfRule type="cellIs" dxfId="483" priority="507" stopIfTrue="1" operator="notEqual">
      <formula>""</formula>
    </cfRule>
  </conditionalFormatting>
  <conditionalFormatting sqref="Q89 O89">
    <cfRule type="cellIs" dxfId="482" priority="506" stopIfTrue="1" operator="notEqual">
      <formula>""</formula>
    </cfRule>
  </conditionalFormatting>
  <conditionalFormatting sqref="Q89">
    <cfRule type="cellIs" dxfId="481" priority="505" stopIfTrue="1" operator="greaterThan">
      <formula>0</formula>
    </cfRule>
  </conditionalFormatting>
  <conditionalFormatting sqref="O89">
    <cfRule type="cellIs" dxfId="480" priority="504" stopIfTrue="1" operator="notEqual">
      <formula>""</formula>
    </cfRule>
  </conditionalFormatting>
  <conditionalFormatting sqref="O89">
    <cfRule type="cellIs" dxfId="479" priority="503" stopIfTrue="1" operator="notEqual">
      <formula>""</formula>
    </cfRule>
  </conditionalFormatting>
  <conditionalFormatting sqref="O89">
    <cfRule type="cellIs" dxfId="478" priority="502" stopIfTrue="1" operator="notEqual">
      <formula>""</formula>
    </cfRule>
  </conditionalFormatting>
  <conditionalFormatting sqref="O89">
    <cfRule type="cellIs" dxfId="477" priority="501" stopIfTrue="1" operator="notEqual">
      <formula>""</formula>
    </cfRule>
  </conditionalFormatting>
  <conditionalFormatting sqref="Q88">
    <cfRule type="cellIs" dxfId="476" priority="500" stopIfTrue="1" operator="greaterThan">
      <formula>0</formula>
    </cfRule>
  </conditionalFormatting>
  <conditionalFormatting sqref="Q88">
    <cfRule type="cellIs" dxfId="475" priority="499" stopIfTrue="1" operator="notEqual">
      <formula>""</formula>
    </cfRule>
  </conditionalFormatting>
  <conditionalFormatting sqref="B87:F87 J87:M87 H87">
    <cfRule type="cellIs" dxfId="474" priority="498" stopIfTrue="1" operator="notEqual">
      <formula>""</formula>
    </cfRule>
  </conditionalFormatting>
  <conditionalFormatting sqref="B87:F87 O87 J87:M87 H87">
    <cfRule type="cellIs" dxfId="473" priority="497" stopIfTrue="1" operator="greaterThan">
      <formula>0</formula>
    </cfRule>
  </conditionalFormatting>
  <conditionalFormatting sqref="O87">
    <cfRule type="cellIs" dxfId="472" priority="496" stopIfTrue="1" operator="notEqual">
      <formula>""</formula>
    </cfRule>
  </conditionalFormatting>
  <conditionalFormatting sqref="Q87">
    <cfRule type="cellIs" dxfId="471" priority="492" stopIfTrue="1" operator="notEqual">
      <formula>""</formula>
    </cfRule>
  </conditionalFormatting>
  <conditionalFormatting sqref="O87">
    <cfRule type="cellIs" dxfId="470" priority="495" stopIfTrue="1" operator="notEqual">
      <formula>""</formula>
    </cfRule>
  </conditionalFormatting>
  <conditionalFormatting sqref="O87">
    <cfRule type="cellIs" dxfId="469" priority="494" stopIfTrue="1" operator="notEqual">
      <formula>""</formula>
    </cfRule>
  </conditionalFormatting>
  <conditionalFormatting sqref="Q87">
    <cfRule type="cellIs" dxfId="468" priority="493" stopIfTrue="1" operator="greaterThan">
      <formula>0</formula>
    </cfRule>
  </conditionalFormatting>
  <conditionalFormatting sqref="Q86">
    <cfRule type="cellIs" dxfId="467" priority="490" stopIfTrue="1" operator="notEqual">
      <formula>""</formula>
    </cfRule>
  </conditionalFormatting>
  <conditionalFormatting sqref="Q86">
    <cfRule type="cellIs" dxfId="466" priority="491" stopIfTrue="1" operator="greaterThan">
      <formula>0</formula>
    </cfRule>
  </conditionalFormatting>
  <conditionalFormatting sqref="N86 N88:N89">
    <cfRule type="cellIs" dxfId="465" priority="489" stopIfTrue="1" operator="notEqual">
      <formula>""</formula>
    </cfRule>
  </conditionalFormatting>
  <conditionalFormatting sqref="N86 N88:N89">
    <cfRule type="cellIs" dxfId="464" priority="488" stopIfTrue="1" operator="greaterThan">
      <formula>0</formula>
    </cfRule>
  </conditionalFormatting>
  <conditionalFormatting sqref="N87">
    <cfRule type="cellIs" dxfId="463" priority="487" stopIfTrue="1" operator="notEqual">
      <formula>""</formula>
    </cfRule>
  </conditionalFormatting>
  <conditionalFormatting sqref="N87">
    <cfRule type="cellIs" dxfId="462" priority="486" stopIfTrue="1" operator="greaterThan">
      <formula>0</formula>
    </cfRule>
  </conditionalFormatting>
  <conditionalFormatting sqref="D86">
    <cfRule type="cellIs" dxfId="461" priority="485" stopIfTrue="1" operator="greaterThan">
      <formula>0</formula>
    </cfRule>
  </conditionalFormatting>
  <conditionalFormatting sqref="E86">
    <cfRule type="cellIs" dxfId="460" priority="484" stopIfTrue="1" operator="greaterThan">
      <formula>0</formula>
    </cfRule>
  </conditionalFormatting>
  <conditionalFormatting sqref="I86">
    <cfRule type="cellIs" dxfId="459" priority="483" stopIfTrue="1" operator="greaterThan">
      <formula>0</formula>
    </cfRule>
  </conditionalFormatting>
  <conditionalFormatting sqref="K86:L86">
    <cfRule type="cellIs" dxfId="458" priority="482" stopIfTrue="1" operator="greaterThan">
      <formula>0</formula>
    </cfRule>
  </conditionalFormatting>
  <conditionalFormatting sqref="M86">
    <cfRule type="cellIs" dxfId="457" priority="481" stopIfTrue="1" operator="greaterThan">
      <formula>0</formula>
    </cfRule>
  </conditionalFormatting>
  <conditionalFormatting sqref="I87">
    <cfRule type="cellIs" dxfId="456" priority="480" stopIfTrue="1" operator="greaterThan">
      <formula>0</formula>
    </cfRule>
  </conditionalFormatting>
  <conditionalFormatting sqref="G87">
    <cfRule type="cellIs" dxfId="455" priority="479" stopIfTrue="1" operator="notEqual">
      <formula>""</formula>
    </cfRule>
  </conditionalFormatting>
  <conditionalFormatting sqref="G87">
    <cfRule type="cellIs" dxfId="454" priority="478" stopIfTrue="1" operator="greaterThan">
      <formula>0</formula>
    </cfRule>
  </conditionalFormatting>
  <conditionalFormatting sqref="C88">
    <cfRule type="cellIs" dxfId="453" priority="477" stopIfTrue="1" operator="greaterThan">
      <formula>0</formula>
    </cfRule>
  </conditionalFormatting>
  <conditionalFormatting sqref="D88">
    <cfRule type="cellIs" dxfId="452" priority="476" stopIfTrue="1" operator="greaterThan">
      <formula>0</formula>
    </cfRule>
  </conditionalFormatting>
  <conditionalFormatting sqref="E88">
    <cfRule type="cellIs" dxfId="451" priority="475" stopIfTrue="1" operator="greaterThan">
      <formula>0</formula>
    </cfRule>
  </conditionalFormatting>
  <conditionalFormatting sqref="K88:L88">
    <cfRule type="cellIs" dxfId="450" priority="474" stopIfTrue="1" operator="greaterThan">
      <formula>0</formula>
    </cfRule>
  </conditionalFormatting>
  <conditionalFormatting sqref="M88">
    <cfRule type="cellIs" dxfId="449" priority="473" stopIfTrue="1" operator="greaterThan">
      <formula>0</formula>
    </cfRule>
  </conditionalFormatting>
  <conditionalFormatting sqref="C89:E89">
    <cfRule type="cellIs" dxfId="448" priority="472" stopIfTrue="1" operator="greaterThan">
      <formula>0</formula>
    </cfRule>
  </conditionalFormatting>
  <conditionalFormatting sqref="K89:L89">
    <cfRule type="cellIs" dxfId="447" priority="471" stopIfTrue="1" operator="greaterThan">
      <formula>0</formula>
    </cfRule>
  </conditionalFormatting>
  <conditionalFormatting sqref="B238 B240:D241 F238:H238 J238 F240:M241">
    <cfRule type="cellIs" dxfId="446" priority="469" stopIfTrue="1" operator="notEqual">
      <formula>""</formula>
    </cfRule>
  </conditionalFormatting>
  <conditionalFormatting sqref="B238 B240:D241 O240:O241 O238:P238 F238:H238 J238 F240:M241">
    <cfRule type="cellIs" dxfId="445" priority="468" stopIfTrue="1" operator="greaterThan">
      <formula>0</formula>
    </cfRule>
  </conditionalFormatting>
  <conditionalFormatting sqref="O238:P238">
    <cfRule type="cellIs" dxfId="444" priority="467" stopIfTrue="1" operator="notEqual">
      <formula>""</formula>
    </cfRule>
  </conditionalFormatting>
  <conditionalFormatting sqref="O240">
    <cfRule type="cellIs" dxfId="443" priority="466" stopIfTrue="1" operator="notEqual">
      <formula>""</formula>
    </cfRule>
  </conditionalFormatting>
  <conditionalFormatting sqref="Q241 O241">
    <cfRule type="cellIs" dxfId="442" priority="465" stopIfTrue="1" operator="notEqual">
      <formula>""</formula>
    </cfRule>
  </conditionalFormatting>
  <conditionalFormatting sqref="Q241">
    <cfRule type="cellIs" dxfId="441" priority="464" stopIfTrue="1" operator="greaterThan">
      <formula>0</formula>
    </cfRule>
  </conditionalFormatting>
  <conditionalFormatting sqref="O241">
    <cfRule type="cellIs" dxfId="440" priority="463" stopIfTrue="1" operator="notEqual">
      <formula>""</formula>
    </cfRule>
  </conditionalFormatting>
  <conditionalFormatting sqref="O241">
    <cfRule type="cellIs" dxfId="439" priority="462" stopIfTrue="1" operator="notEqual">
      <formula>""</formula>
    </cfRule>
  </conditionalFormatting>
  <conditionalFormatting sqref="O241">
    <cfRule type="cellIs" dxfId="438" priority="461" stopIfTrue="1" operator="notEqual">
      <formula>""</formula>
    </cfRule>
  </conditionalFormatting>
  <conditionalFormatting sqref="O241">
    <cfRule type="cellIs" dxfId="437" priority="460" stopIfTrue="1" operator="notEqual">
      <formula>""</formula>
    </cfRule>
  </conditionalFormatting>
  <conditionalFormatting sqref="Q240">
    <cfRule type="cellIs" dxfId="436" priority="459" stopIfTrue="1" operator="greaterThan">
      <formula>0</formula>
    </cfRule>
  </conditionalFormatting>
  <conditionalFormatting sqref="Q240">
    <cfRule type="cellIs" dxfId="435" priority="458" stopIfTrue="1" operator="notEqual">
      <formula>""</formula>
    </cfRule>
  </conditionalFormatting>
  <conditionalFormatting sqref="B239:D239 F239:M239">
    <cfRule type="cellIs" dxfId="434" priority="457" stopIfTrue="1" operator="notEqual">
      <formula>""</formula>
    </cfRule>
  </conditionalFormatting>
  <conditionalFormatting sqref="B239:D239 O239 F239:M239">
    <cfRule type="cellIs" dxfId="433" priority="456" stopIfTrue="1" operator="greaterThan">
      <formula>0</formula>
    </cfRule>
  </conditionalFormatting>
  <conditionalFormatting sqref="O239">
    <cfRule type="cellIs" dxfId="432" priority="455" stopIfTrue="1" operator="notEqual">
      <formula>""</formula>
    </cfRule>
  </conditionalFormatting>
  <conditionalFormatting sqref="Q239">
    <cfRule type="cellIs" dxfId="431" priority="451" stopIfTrue="1" operator="notEqual">
      <formula>""</formula>
    </cfRule>
  </conditionalFormatting>
  <conditionalFormatting sqref="O239">
    <cfRule type="cellIs" dxfId="430" priority="454" stopIfTrue="1" operator="notEqual">
      <formula>""</formula>
    </cfRule>
  </conditionalFormatting>
  <conditionalFormatting sqref="O239">
    <cfRule type="cellIs" dxfId="429" priority="453" stopIfTrue="1" operator="notEqual">
      <formula>""</formula>
    </cfRule>
  </conditionalFormatting>
  <conditionalFormatting sqref="Q239">
    <cfRule type="cellIs" dxfId="428" priority="452" stopIfTrue="1" operator="greaterThan">
      <formula>0</formula>
    </cfRule>
  </conditionalFormatting>
  <conditionalFormatting sqref="Q238">
    <cfRule type="cellIs" dxfId="427" priority="449" stopIfTrue="1" operator="notEqual">
      <formula>""</formula>
    </cfRule>
  </conditionalFormatting>
  <conditionalFormatting sqref="Q238">
    <cfRule type="cellIs" dxfId="426" priority="450" stopIfTrue="1" operator="greaterThan">
      <formula>0</formula>
    </cfRule>
  </conditionalFormatting>
  <conditionalFormatting sqref="N238 N240:N241">
    <cfRule type="cellIs" dxfId="425" priority="448" stopIfTrue="1" operator="notEqual">
      <formula>""</formula>
    </cfRule>
  </conditionalFormatting>
  <conditionalFormatting sqref="N238 N240:N241">
    <cfRule type="cellIs" dxfId="424" priority="447" stopIfTrue="1" operator="greaterThan">
      <formula>0</formula>
    </cfRule>
  </conditionalFormatting>
  <conditionalFormatting sqref="N239">
    <cfRule type="cellIs" dxfId="423" priority="446" stopIfTrue="1" operator="notEqual">
      <formula>""</formula>
    </cfRule>
  </conditionalFormatting>
  <conditionalFormatting sqref="N239">
    <cfRule type="cellIs" dxfId="422" priority="445" stopIfTrue="1" operator="greaterThan">
      <formula>0</formula>
    </cfRule>
  </conditionalFormatting>
  <conditionalFormatting sqref="C238:D238">
    <cfRule type="cellIs" dxfId="421" priority="444" stopIfTrue="1" operator="greaterThan">
      <formula>0</formula>
    </cfRule>
  </conditionalFormatting>
  <conditionalFormatting sqref="I238">
    <cfRule type="cellIs" dxfId="420" priority="443" stopIfTrue="1" operator="greaterThan">
      <formula>0</formula>
    </cfRule>
  </conditionalFormatting>
  <conditionalFormatting sqref="K238:L238">
    <cfRule type="cellIs" dxfId="419" priority="442" stopIfTrue="1" operator="greaterThan">
      <formula>0</formula>
    </cfRule>
  </conditionalFormatting>
  <conditionalFormatting sqref="M238">
    <cfRule type="cellIs" dxfId="418" priority="441" stopIfTrue="1" operator="greaterThan">
      <formula>0</formula>
    </cfRule>
  </conditionalFormatting>
  <conditionalFormatting sqref="B257 B259:D260 F257:H257 J257 F259:M260">
    <cfRule type="cellIs" dxfId="417" priority="440" stopIfTrue="1" operator="notEqual">
      <formula>""</formula>
    </cfRule>
  </conditionalFormatting>
  <conditionalFormatting sqref="B257 B259:D260 O259:O260 O257:P257 F257:H257 J257 F259:M260">
    <cfRule type="cellIs" dxfId="416" priority="439" stopIfTrue="1" operator="greaterThan">
      <formula>0</formula>
    </cfRule>
  </conditionalFormatting>
  <conditionalFormatting sqref="O257:P257">
    <cfRule type="cellIs" dxfId="415" priority="438" stopIfTrue="1" operator="notEqual">
      <formula>""</formula>
    </cfRule>
  </conditionalFormatting>
  <conditionalFormatting sqref="O259">
    <cfRule type="cellIs" dxfId="414" priority="437" stopIfTrue="1" operator="notEqual">
      <formula>""</formula>
    </cfRule>
  </conditionalFormatting>
  <conditionalFormatting sqref="O260">
    <cfRule type="cellIs" dxfId="413" priority="436" stopIfTrue="1" operator="notEqual">
      <formula>""</formula>
    </cfRule>
  </conditionalFormatting>
  <conditionalFormatting sqref="O260">
    <cfRule type="cellIs" dxfId="412" priority="435" stopIfTrue="1" operator="notEqual">
      <formula>""</formula>
    </cfRule>
  </conditionalFormatting>
  <conditionalFormatting sqref="O260">
    <cfRule type="cellIs" dxfId="411" priority="434" stopIfTrue="1" operator="notEqual">
      <formula>""</formula>
    </cfRule>
  </conditionalFormatting>
  <conditionalFormatting sqref="O260">
    <cfRule type="cellIs" dxfId="410" priority="433" stopIfTrue="1" operator="notEqual">
      <formula>""</formula>
    </cfRule>
  </conditionalFormatting>
  <conditionalFormatting sqref="O260">
    <cfRule type="cellIs" dxfId="409" priority="432" stopIfTrue="1" operator="notEqual">
      <formula>""</formula>
    </cfRule>
  </conditionalFormatting>
  <conditionalFormatting sqref="B258:D258 F258:M258">
    <cfRule type="cellIs" dxfId="408" priority="431" stopIfTrue="1" operator="notEqual">
      <formula>""</formula>
    </cfRule>
  </conditionalFormatting>
  <conditionalFormatting sqref="B258:D258 O258 F258:M258">
    <cfRule type="cellIs" dxfId="407" priority="430" stopIfTrue="1" operator="greaterThan">
      <formula>0</formula>
    </cfRule>
  </conditionalFormatting>
  <conditionalFormatting sqref="O258">
    <cfRule type="cellIs" dxfId="406" priority="429" stopIfTrue="1" operator="notEqual">
      <formula>""</formula>
    </cfRule>
  </conditionalFormatting>
  <conditionalFormatting sqref="O258">
    <cfRule type="cellIs" dxfId="405" priority="428" stopIfTrue="1" operator="notEqual">
      <formula>""</formula>
    </cfRule>
  </conditionalFormatting>
  <conditionalFormatting sqref="O258">
    <cfRule type="cellIs" dxfId="404" priority="427" stopIfTrue="1" operator="notEqual">
      <formula>""</formula>
    </cfRule>
  </conditionalFormatting>
  <conditionalFormatting sqref="C257:D257">
    <cfRule type="cellIs" dxfId="403" priority="426" stopIfTrue="1" operator="greaterThan">
      <formula>0</formula>
    </cfRule>
  </conditionalFormatting>
  <conditionalFormatting sqref="I257">
    <cfRule type="cellIs" dxfId="402" priority="425" stopIfTrue="1" operator="greaterThan">
      <formula>0</formula>
    </cfRule>
  </conditionalFormatting>
  <conditionalFormatting sqref="K257:L257">
    <cfRule type="cellIs" dxfId="401" priority="424" stopIfTrue="1" operator="greaterThan">
      <formula>0</formula>
    </cfRule>
  </conditionalFormatting>
  <conditionalFormatting sqref="M257">
    <cfRule type="cellIs" dxfId="400" priority="423" stopIfTrue="1" operator="greaterThan">
      <formula>0</formula>
    </cfRule>
  </conditionalFormatting>
  <conditionalFormatting sqref="N257 N259:N260">
    <cfRule type="cellIs" dxfId="399" priority="422" stopIfTrue="1" operator="notEqual">
      <formula>""</formula>
    </cfRule>
  </conditionalFormatting>
  <conditionalFormatting sqref="N257 N259:N260">
    <cfRule type="cellIs" dxfId="398" priority="421" stopIfTrue="1" operator="greaterThan">
      <formula>0</formula>
    </cfRule>
  </conditionalFormatting>
  <conditionalFormatting sqref="N258">
    <cfRule type="cellIs" dxfId="397" priority="420" stopIfTrue="1" operator="notEqual">
      <formula>""</formula>
    </cfRule>
  </conditionalFormatting>
  <conditionalFormatting sqref="N258">
    <cfRule type="cellIs" dxfId="396" priority="419" stopIfTrue="1" operator="greaterThan">
      <formula>0</formula>
    </cfRule>
  </conditionalFormatting>
  <conditionalFormatting sqref="Q260">
    <cfRule type="cellIs" dxfId="395" priority="418" stopIfTrue="1" operator="notEqual">
      <formula>""</formula>
    </cfRule>
  </conditionalFormatting>
  <conditionalFormatting sqref="Q260">
    <cfRule type="cellIs" dxfId="394" priority="417" stopIfTrue="1" operator="greaterThan">
      <formula>0</formula>
    </cfRule>
  </conditionalFormatting>
  <conditionalFormatting sqref="Q259">
    <cfRule type="cellIs" dxfId="393" priority="416" stopIfTrue="1" operator="greaterThan">
      <formula>0</formula>
    </cfRule>
  </conditionalFormatting>
  <conditionalFormatting sqref="Q259">
    <cfRule type="cellIs" dxfId="392" priority="415" stopIfTrue="1" operator="notEqual">
      <formula>""</formula>
    </cfRule>
  </conditionalFormatting>
  <conditionalFormatting sqref="Q258">
    <cfRule type="cellIs" dxfId="391" priority="413" stopIfTrue="1" operator="notEqual">
      <formula>""</formula>
    </cfRule>
  </conditionalFormatting>
  <conditionalFormatting sqref="Q258">
    <cfRule type="cellIs" dxfId="390" priority="414" stopIfTrue="1" operator="greaterThan">
      <formula>0</formula>
    </cfRule>
  </conditionalFormatting>
  <conditionalFormatting sqref="Q257">
    <cfRule type="cellIs" dxfId="389" priority="411" stopIfTrue="1" operator="notEqual">
      <formula>""</formula>
    </cfRule>
  </conditionalFormatting>
  <conditionalFormatting sqref="Q257">
    <cfRule type="cellIs" dxfId="388" priority="412" stopIfTrue="1" operator="greaterThan">
      <formula>0</formula>
    </cfRule>
  </conditionalFormatting>
  <conditionalFormatting sqref="B276 B278:D279 F276:H276 J276 F278:M279">
    <cfRule type="cellIs" dxfId="387" priority="410" stopIfTrue="1" operator="notEqual">
      <formula>""</formula>
    </cfRule>
  </conditionalFormatting>
  <conditionalFormatting sqref="B276 B278:D279 O278:O279 O276:P276 F276:H276 J276 F278:M279">
    <cfRule type="cellIs" dxfId="386" priority="409" stopIfTrue="1" operator="greaterThan">
      <formula>0</formula>
    </cfRule>
  </conditionalFormatting>
  <conditionalFormatting sqref="O276:P276">
    <cfRule type="cellIs" dxfId="385" priority="408" stopIfTrue="1" operator="notEqual">
      <formula>""</formula>
    </cfRule>
  </conditionalFormatting>
  <conditionalFormatting sqref="O278">
    <cfRule type="cellIs" dxfId="384" priority="407" stopIfTrue="1" operator="notEqual">
      <formula>""</formula>
    </cfRule>
  </conditionalFormatting>
  <conditionalFormatting sqref="O279">
    <cfRule type="cellIs" dxfId="383" priority="406" stopIfTrue="1" operator="notEqual">
      <formula>""</formula>
    </cfRule>
  </conditionalFormatting>
  <conditionalFormatting sqref="O279">
    <cfRule type="cellIs" dxfId="382" priority="405" stopIfTrue="1" operator="notEqual">
      <formula>""</formula>
    </cfRule>
  </conditionalFormatting>
  <conditionalFormatting sqref="O279">
    <cfRule type="cellIs" dxfId="381" priority="404" stopIfTrue="1" operator="notEqual">
      <formula>""</formula>
    </cfRule>
  </conditionalFormatting>
  <conditionalFormatting sqref="O279">
    <cfRule type="cellIs" dxfId="380" priority="403" stopIfTrue="1" operator="notEqual">
      <formula>""</formula>
    </cfRule>
  </conditionalFormatting>
  <conditionalFormatting sqref="O279">
    <cfRule type="cellIs" dxfId="379" priority="402" stopIfTrue="1" operator="notEqual">
      <formula>""</formula>
    </cfRule>
  </conditionalFormatting>
  <conditionalFormatting sqref="B277:D277 F277:M277">
    <cfRule type="cellIs" dxfId="378" priority="401" stopIfTrue="1" operator="notEqual">
      <formula>""</formula>
    </cfRule>
  </conditionalFormatting>
  <conditionalFormatting sqref="B277:D277 O277 F277:M277">
    <cfRule type="cellIs" dxfId="377" priority="400" stopIfTrue="1" operator="greaterThan">
      <formula>0</formula>
    </cfRule>
  </conditionalFormatting>
  <conditionalFormatting sqref="O277">
    <cfRule type="cellIs" dxfId="376" priority="399" stopIfTrue="1" operator="notEqual">
      <formula>""</formula>
    </cfRule>
  </conditionalFormatting>
  <conditionalFormatting sqref="O277">
    <cfRule type="cellIs" dxfId="375" priority="398" stopIfTrue="1" operator="notEqual">
      <formula>""</formula>
    </cfRule>
  </conditionalFormatting>
  <conditionalFormatting sqref="O277">
    <cfRule type="cellIs" dxfId="374" priority="397" stopIfTrue="1" operator="notEqual">
      <formula>""</formula>
    </cfRule>
  </conditionalFormatting>
  <conditionalFormatting sqref="C276:D276">
    <cfRule type="cellIs" dxfId="373" priority="396" stopIfTrue="1" operator="greaterThan">
      <formula>0</formula>
    </cfRule>
  </conditionalFormatting>
  <conditionalFormatting sqref="I276">
    <cfRule type="cellIs" dxfId="372" priority="395" stopIfTrue="1" operator="greaterThan">
      <formula>0</formula>
    </cfRule>
  </conditionalFormatting>
  <conditionalFormatting sqref="K276:L276">
    <cfRule type="cellIs" dxfId="371" priority="394" stopIfTrue="1" operator="greaterThan">
      <formula>0</formula>
    </cfRule>
  </conditionalFormatting>
  <conditionalFormatting sqref="M276">
    <cfRule type="cellIs" dxfId="370" priority="393" stopIfTrue="1" operator="greaterThan">
      <formula>0</formula>
    </cfRule>
  </conditionalFormatting>
  <conditionalFormatting sqref="N276 N278:N279">
    <cfRule type="cellIs" dxfId="369" priority="392" stopIfTrue="1" operator="notEqual">
      <formula>""</formula>
    </cfRule>
  </conditionalFormatting>
  <conditionalFormatting sqref="N276 N278:N279">
    <cfRule type="cellIs" dxfId="368" priority="391" stopIfTrue="1" operator="greaterThan">
      <formula>0</formula>
    </cfRule>
  </conditionalFormatting>
  <conditionalFormatting sqref="N277">
    <cfRule type="cellIs" dxfId="367" priority="390" stopIfTrue="1" operator="notEqual">
      <formula>""</formula>
    </cfRule>
  </conditionalFormatting>
  <conditionalFormatting sqref="N277">
    <cfRule type="cellIs" dxfId="366" priority="389" stopIfTrue="1" operator="greaterThan">
      <formula>0</formula>
    </cfRule>
  </conditionalFormatting>
  <conditionalFormatting sqref="Q279">
    <cfRule type="cellIs" dxfId="365" priority="388" stopIfTrue="1" operator="notEqual">
      <formula>""</formula>
    </cfRule>
  </conditionalFormatting>
  <conditionalFormatting sqref="Q279">
    <cfRule type="cellIs" dxfId="364" priority="387" stopIfTrue="1" operator="greaterThan">
      <formula>0</formula>
    </cfRule>
  </conditionalFormatting>
  <conditionalFormatting sqref="Q278">
    <cfRule type="cellIs" dxfId="363" priority="386" stopIfTrue="1" operator="greaterThan">
      <formula>0</formula>
    </cfRule>
  </conditionalFormatting>
  <conditionalFormatting sqref="Q278">
    <cfRule type="cellIs" dxfId="362" priority="385" stopIfTrue="1" operator="notEqual">
      <formula>""</formula>
    </cfRule>
  </conditionalFormatting>
  <conditionalFormatting sqref="Q277">
    <cfRule type="cellIs" dxfId="361" priority="383" stopIfTrue="1" operator="notEqual">
      <formula>""</formula>
    </cfRule>
  </conditionalFormatting>
  <conditionalFormatting sqref="Q277">
    <cfRule type="cellIs" dxfId="360" priority="384" stopIfTrue="1" operator="greaterThan">
      <formula>0</formula>
    </cfRule>
  </conditionalFormatting>
  <conditionalFormatting sqref="Q276">
    <cfRule type="cellIs" dxfId="359" priority="381" stopIfTrue="1" operator="notEqual">
      <formula>""</formula>
    </cfRule>
  </conditionalFormatting>
  <conditionalFormatting sqref="Q276">
    <cfRule type="cellIs" dxfId="358" priority="382" stopIfTrue="1" operator="greaterThan">
      <formula>0</formula>
    </cfRule>
  </conditionalFormatting>
  <conditionalFormatting sqref="B295 B297:M298 F295:H295 J295">
    <cfRule type="cellIs" dxfId="357" priority="380" stopIfTrue="1" operator="notEqual">
      <formula>""</formula>
    </cfRule>
  </conditionalFormatting>
  <conditionalFormatting sqref="B295 B297:M298 O297:O298 O295:P295 F295:H295 J295">
    <cfRule type="cellIs" dxfId="356" priority="379" stopIfTrue="1" operator="greaterThan">
      <formula>0</formula>
    </cfRule>
  </conditionalFormatting>
  <conditionalFormatting sqref="O295:P295">
    <cfRule type="cellIs" dxfId="355" priority="378" stopIfTrue="1" operator="notEqual">
      <formula>""</formula>
    </cfRule>
  </conditionalFormatting>
  <conditionalFormatting sqref="O297">
    <cfRule type="cellIs" dxfId="354" priority="377" stopIfTrue="1" operator="notEqual">
      <formula>""</formula>
    </cfRule>
  </conditionalFormatting>
  <conditionalFormatting sqref="O298">
    <cfRule type="cellIs" dxfId="353" priority="376" stopIfTrue="1" operator="notEqual">
      <formula>""</formula>
    </cfRule>
  </conditionalFormatting>
  <conditionalFormatting sqref="O298">
    <cfRule type="cellIs" dxfId="352" priority="375" stopIfTrue="1" operator="notEqual">
      <formula>""</formula>
    </cfRule>
  </conditionalFormatting>
  <conditionalFormatting sqref="O298">
    <cfRule type="cellIs" dxfId="351" priority="374" stopIfTrue="1" operator="notEqual">
      <formula>""</formula>
    </cfRule>
  </conditionalFormatting>
  <conditionalFormatting sqref="O298">
    <cfRule type="cellIs" dxfId="350" priority="373" stopIfTrue="1" operator="notEqual">
      <formula>""</formula>
    </cfRule>
  </conditionalFormatting>
  <conditionalFormatting sqref="O298">
    <cfRule type="cellIs" dxfId="349" priority="372" stopIfTrue="1" operator="notEqual">
      <formula>""</formula>
    </cfRule>
  </conditionalFormatting>
  <conditionalFormatting sqref="B296:M296">
    <cfRule type="cellIs" dxfId="348" priority="371" stopIfTrue="1" operator="notEqual">
      <formula>""</formula>
    </cfRule>
  </conditionalFormatting>
  <conditionalFormatting sqref="B296:M296 O296">
    <cfRule type="cellIs" dxfId="347" priority="370" stopIfTrue="1" operator="greaterThan">
      <formula>0</formula>
    </cfRule>
  </conditionalFormatting>
  <conditionalFormatting sqref="O296">
    <cfRule type="cellIs" dxfId="346" priority="369" stopIfTrue="1" operator="notEqual">
      <formula>""</formula>
    </cfRule>
  </conditionalFormatting>
  <conditionalFormatting sqref="O296">
    <cfRule type="cellIs" dxfId="345" priority="368" stopIfTrue="1" operator="notEqual">
      <formula>""</formula>
    </cfRule>
  </conditionalFormatting>
  <conditionalFormatting sqref="O296">
    <cfRule type="cellIs" dxfId="344" priority="367" stopIfTrue="1" operator="notEqual">
      <formula>""</formula>
    </cfRule>
  </conditionalFormatting>
  <conditionalFormatting sqref="C295:E295">
    <cfRule type="cellIs" dxfId="343" priority="366" stopIfTrue="1" operator="greaterThan">
      <formula>0</formula>
    </cfRule>
  </conditionalFormatting>
  <conditionalFormatting sqref="I295">
    <cfRule type="cellIs" dxfId="342" priority="365" stopIfTrue="1" operator="greaterThan">
      <formula>0</formula>
    </cfRule>
  </conditionalFormatting>
  <conditionalFormatting sqref="K295:L295">
    <cfRule type="cellIs" dxfId="341" priority="364" stopIfTrue="1" operator="greaterThan">
      <formula>0</formula>
    </cfRule>
  </conditionalFormatting>
  <conditionalFormatting sqref="M295">
    <cfRule type="cellIs" dxfId="340" priority="363" stopIfTrue="1" operator="greaterThan">
      <formula>0</formula>
    </cfRule>
  </conditionalFormatting>
  <conditionalFormatting sqref="N295 N297:N298">
    <cfRule type="cellIs" dxfId="339" priority="362" stopIfTrue="1" operator="notEqual">
      <formula>""</formula>
    </cfRule>
  </conditionalFormatting>
  <conditionalFormatting sqref="N295 N297:N298">
    <cfRule type="cellIs" dxfId="338" priority="361" stopIfTrue="1" operator="greaterThan">
      <formula>0</formula>
    </cfRule>
  </conditionalFormatting>
  <conditionalFormatting sqref="N296">
    <cfRule type="cellIs" dxfId="337" priority="360" stopIfTrue="1" operator="notEqual">
      <formula>""</formula>
    </cfRule>
  </conditionalFormatting>
  <conditionalFormatting sqref="N296">
    <cfRule type="cellIs" dxfId="336" priority="359" stopIfTrue="1" operator="greaterThan">
      <formula>0</formula>
    </cfRule>
  </conditionalFormatting>
  <conditionalFormatting sqref="Q298">
    <cfRule type="cellIs" dxfId="335" priority="358" stopIfTrue="1" operator="notEqual">
      <formula>""</formula>
    </cfRule>
  </conditionalFormatting>
  <conditionalFormatting sqref="Q298">
    <cfRule type="cellIs" dxfId="334" priority="357" stopIfTrue="1" operator="greaterThan">
      <formula>0</formula>
    </cfRule>
  </conditionalFormatting>
  <conditionalFormatting sqref="Q297">
    <cfRule type="cellIs" dxfId="333" priority="356" stopIfTrue="1" operator="greaterThan">
      <formula>0</formula>
    </cfRule>
  </conditionalFormatting>
  <conditionalFormatting sqref="Q297">
    <cfRule type="cellIs" dxfId="332" priority="355" stopIfTrue="1" operator="notEqual">
      <formula>""</formula>
    </cfRule>
  </conditionalFormatting>
  <conditionalFormatting sqref="Q296">
    <cfRule type="cellIs" dxfId="331" priority="353" stopIfTrue="1" operator="notEqual">
      <formula>""</formula>
    </cfRule>
  </conditionalFormatting>
  <conditionalFormatting sqref="Q296">
    <cfRule type="cellIs" dxfId="330" priority="354" stopIfTrue="1" operator="greaterThan">
      <formula>0</formula>
    </cfRule>
  </conditionalFormatting>
  <conditionalFormatting sqref="Q295">
    <cfRule type="cellIs" dxfId="329" priority="351" stopIfTrue="1" operator="notEqual">
      <formula>""</formula>
    </cfRule>
  </conditionalFormatting>
  <conditionalFormatting sqref="Q295">
    <cfRule type="cellIs" dxfId="328" priority="352" stopIfTrue="1" operator="greaterThan">
      <formula>0</formula>
    </cfRule>
  </conditionalFormatting>
  <conditionalFormatting sqref="B313:K313 M313 B315:B316 D315:H316 J315:M316">
    <cfRule type="cellIs" dxfId="327" priority="350" stopIfTrue="1" operator="notEqual">
      <formula>""</formula>
    </cfRule>
  </conditionalFormatting>
  <conditionalFormatting sqref="B313:K313 O315:O316 M313 B315:B316 D315:H316 J315:M316">
    <cfRule type="cellIs" dxfId="326" priority="349" stopIfTrue="1" operator="greaterThan">
      <formula>0</formula>
    </cfRule>
  </conditionalFormatting>
  <conditionalFormatting sqref="O315">
    <cfRule type="cellIs" dxfId="325" priority="348" stopIfTrue="1" operator="notEqual">
      <formula>""</formula>
    </cfRule>
  </conditionalFormatting>
  <conditionalFormatting sqref="Q316 O316">
    <cfRule type="cellIs" dxfId="324" priority="347" stopIfTrue="1" operator="notEqual">
      <formula>""</formula>
    </cfRule>
  </conditionalFormatting>
  <conditionalFormatting sqref="Q316">
    <cfRule type="cellIs" dxfId="323" priority="346" stopIfTrue="1" operator="greaterThan">
      <formula>0</formula>
    </cfRule>
  </conditionalFormatting>
  <conditionalFormatting sqref="O316">
    <cfRule type="cellIs" dxfId="322" priority="345" stopIfTrue="1" operator="notEqual">
      <formula>""</formula>
    </cfRule>
  </conditionalFormatting>
  <conditionalFormatting sqref="O316">
    <cfRule type="cellIs" dxfId="321" priority="344" stopIfTrue="1" operator="notEqual">
      <formula>""</formula>
    </cfRule>
  </conditionalFormatting>
  <conditionalFormatting sqref="O316">
    <cfRule type="cellIs" dxfId="320" priority="343" stopIfTrue="1" operator="notEqual">
      <formula>""</formula>
    </cfRule>
  </conditionalFormatting>
  <conditionalFormatting sqref="O316">
    <cfRule type="cellIs" dxfId="319" priority="342" stopIfTrue="1" operator="notEqual">
      <formula>""</formula>
    </cfRule>
  </conditionalFormatting>
  <conditionalFormatting sqref="Q315">
    <cfRule type="cellIs" dxfId="318" priority="341" stopIfTrue="1" operator="greaterThan">
      <formula>0</formula>
    </cfRule>
  </conditionalFormatting>
  <conditionalFormatting sqref="Q315">
    <cfRule type="cellIs" dxfId="317" priority="340" stopIfTrue="1" operator="notEqual">
      <formula>""</formula>
    </cfRule>
  </conditionalFormatting>
  <conditionalFormatting sqref="B314:M314">
    <cfRule type="cellIs" dxfId="316" priority="339" stopIfTrue="1" operator="notEqual">
      <formula>""</formula>
    </cfRule>
  </conditionalFormatting>
  <conditionalFormatting sqref="B314:M314 O314">
    <cfRule type="cellIs" dxfId="315" priority="338" stopIfTrue="1" operator="greaterThan">
      <formula>0</formula>
    </cfRule>
  </conditionalFormatting>
  <conditionalFormatting sqref="O314">
    <cfRule type="cellIs" dxfId="314" priority="337" stopIfTrue="1" operator="notEqual">
      <formula>""</formula>
    </cfRule>
  </conditionalFormatting>
  <conditionalFormatting sqref="Q314">
    <cfRule type="cellIs" dxfId="313" priority="333" stopIfTrue="1" operator="notEqual">
      <formula>""</formula>
    </cfRule>
  </conditionalFormatting>
  <conditionalFormatting sqref="O314">
    <cfRule type="cellIs" dxfId="312" priority="336" stopIfTrue="1" operator="notEqual">
      <formula>""</formula>
    </cfRule>
  </conditionalFormatting>
  <conditionalFormatting sqref="O314">
    <cfRule type="cellIs" dxfId="311" priority="335" stopIfTrue="1" operator="notEqual">
      <formula>""</formula>
    </cfRule>
  </conditionalFormatting>
  <conditionalFormatting sqref="Q314">
    <cfRule type="cellIs" dxfId="310" priority="334" stopIfTrue="1" operator="greaterThan">
      <formula>0</formula>
    </cfRule>
  </conditionalFormatting>
  <conditionalFormatting sqref="Q313">
    <cfRule type="cellIs" dxfId="309" priority="331" stopIfTrue="1" operator="notEqual">
      <formula>""</formula>
    </cfRule>
  </conditionalFormatting>
  <conditionalFormatting sqref="Q313">
    <cfRule type="cellIs" dxfId="308" priority="332" stopIfTrue="1" operator="greaterThan">
      <formula>0</formula>
    </cfRule>
  </conditionalFormatting>
  <conditionalFormatting sqref="N314">
    <cfRule type="cellIs" dxfId="307" priority="328" stopIfTrue="1" operator="notEqual">
      <formula>""</formula>
    </cfRule>
  </conditionalFormatting>
  <conditionalFormatting sqref="N314">
    <cfRule type="cellIs" dxfId="306" priority="327" stopIfTrue="1" operator="greaterThan">
      <formula>0</formula>
    </cfRule>
  </conditionalFormatting>
  <conditionalFormatting sqref="L313">
    <cfRule type="cellIs" dxfId="305" priority="326" stopIfTrue="1" operator="notEqual">
      <formula>""</formula>
    </cfRule>
  </conditionalFormatting>
  <conditionalFormatting sqref="L313">
    <cfRule type="cellIs" dxfId="304" priority="325" stopIfTrue="1" operator="greaterThan">
      <formula>0</formula>
    </cfRule>
  </conditionalFormatting>
  <conditionalFormatting sqref="P314">
    <cfRule type="cellIs" dxfId="303" priority="324" stopIfTrue="1" operator="notEqual">
      <formula>""</formula>
    </cfRule>
  </conditionalFormatting>
  <conditionalFormatting sqref="P314">
    <cfRule type="cellIs" dxfId="302" priority="323" stopIfTrue="1" operator="greaterThan">
      <formula>0</formula>
    </cfRule>
  </conditionalFormatting>
  <conditionalFormatting sqref="P315">
    <cfRule type="cellIs" dxfId="301" priority="322" stopIfTrue="1" operator="notEqual">
      <formula>""</formula>
    </cfRule>
  </conditionalFormatting>
  <conditionalFormatting sqref="P315">
    <cfRule type="cellIs" dxfId="300" priority="321" stopIfTrue="1" operator="greaterThan">
      <formula>0</formula>
    </cfRule>
  </conditionalFormatting>
  <conditionalFormatting sqref="P316">
    <cfRule type="cellIs" dxfId="299" priority="320" stopIfTrue="1" operator="notEqual">
      <formula>""</formula>
    </cfRule>
  </conditionalFormatting>
  <conditionalFormatting sqref="P316">
    <cfRule type="cellIs" dxfId="298" priority="319" stopIfTrue="1" operator="greaterThan">
      <formula>0</formula>
    </cfRule>
  </conditionalFormatting>
  <conditionalFormatting sqref="P313">
    <cfRule type="cellIs" dxfId="297" priority="318" stopIfTrue="1" operator="notEqual">
      <formula>""</formula>
    </cfRule>
  </conditionalFormatting>
  <conditionalFormatting sqref="P313">
    <cfRule type="cellIs" dxfId="296" priority="317" stopIfTrue="1" operator="greaterThan">
      <formula>0</formula>
    </cfRule>
  </conditionalFormatting>
  <conditionalFormatting sqref="O313">
    <cfRule type="cellIs" dxfId="295" priority="316" stopIfTrue="1" operator="notEqual">
      <formula>""</formula>
    </cfRule>
  </conditionalFormatting>
  <conditionalFormatting sqref="O313">
    <cfRule type="cellIs" dxfId="294" priority="315" stopIfTrue="1" operator="greaterThan">
      <formula>0</formula>
    </cfRule>
  </conditionalFormatting>
  <conditionalFormatting sqref="C315">
    <cfRule type="cellIs" dxfId="293" priority="314" stopIfTrue="1" operator="notEqual">
      <formula>""</formula>
    </cfRule>
  </conditionalFormatting>
  <conditionalFormatting sqref="C315">
    <cfRule type="cellIs" dxfId="292" priority="313" stopIfTrue="1" operator="greaterThan">
      <formula>0</formula>
    </cfRule>
  </conditionalFormatting>
  <conditionalFormatting sqref="C316">
    <cfRule type="cellIs" dxfId="291" priority="312" stopIfTrue="1" operator="notEqual">
      <formula>""</formula>
    </cfRule>
  </conditionalFormatting>
  <conditionalFormatting sqref="C316">
    <cfRule type="cellIs" dxfId="290" priority="311" stopIfTrue="1" operator="greaterThan">
      <formula>0</formula>
    </cfRule>
  </conditionalFormatting>
  <conditionalFormatting sqref="M333 B335:B336 D336:H336 J335:M336 B333:K333 E335:H335">
    <cfRule type="cellIs" dxfId="289" priority="306" stopIfTrue="1" operator="notEqual">
      <formula>""</formula>
    </cfRule>
  </conditionalFormatting>
  <conditionalFormatting sqref="O335:O336 M333 B335:B336 D336:H336 J335:M336 B333:K333 E335:H335">
    <cfRule type="cellIs" dxfId="288" priority="305" stopIfTrue="1" operator="greaterThan">
      <formula>0</formula>
    </cfRule>
  </conditionalFormatting>
  <conditionalFormatting sqref="O335">
    <cfRule type="cellIs" dxfId="287" priority="304" stopIfTrue="1" operator="notEqual">
      <formula>""</formula>
    </cfRule>
  </conditionalFormatting>
  <conditionalFormatting sqref="Q336 O336">
    <cfRule type="cellIs" dxfId="286" priority="303" stopIfTrue="1" operator="notEqual">
      <formula>""</formula>
    </cfRule>
  </conditionalFormatting>
  <conditionalFormatting sqref="Q336">
    <cfRule type="cellIs" dxfId="285" priority="302" stopIfTrue="1" operator="greaterThan">
      <formula>0</formula>
    </cfRule>
  </conditionalFormatting>
  <conditionalFormatting sqref="O336">
    <cfRule type="cellIs" dxfId="284" priority="301" stopIfTrue="1" operator="notEqual">
      <formula>""</formula>
    </cfRule>
  </conditionalFormatting>
  <conditionalFormatting sqref="O336">
    <cfRule type="cellIs" dxfId="283" priority="300" stopIfTrue="1" operator="notEqual">
      <formula>""</formula>
    </cfRule>
  </conditionalFormatting>
  <conditionalFormatting sqref="O336">
    <cfRule type="cellIs" dxfId="282" priority="299" stopIfTrue="1" operator="notEqual">
      <formula>""</formula>
    </cfRule>
  </conditionalFormatting>
  <conditionalFormatting sqref="O336">
    <cfRule type="cellIs" dxfId="281" priority="298" stopIfTrue="1" operator="notEqual">
      <formula>""</formula>
    </cfRule>
  </conditionalFormatting>
  <conditionalFormatting sqref="Q335">
    <cfRule type="cellIs" dxfId="280" priority="297" stopIfTrue="1" operator="greaterThan">
      <formula>0</formula>
    </cfRule>
  </conditionalFormatting>
  <conditionalFormatting sqref="Q335">
    <cfRule type="cellIs" dxfId="279" priority="296" stopIfTrue="1" operator="notEqual">
      <formula>""</formula>
    </cfRule>
  </conditionalFormatting>
  <conditionalFormatting sqref="B334:H334 J334:L334">
    <cfRule type="cellIs" dxfId="278" priority="295" stopIfTrue="1" operator="notEqual">
      <formula>""</formula>
    </cfRule>
  </conditionalFormatting>
  <conditionalFormatting sqref="B334:H334 J334:L334">
    <cfRule type="cellIs" dxfId="277" priority="294" stopIfTrue="1" operator="greaterThan">
      <formula>0</formula>
    </cfRule>
  </conditionalFormatting>
  <conditionalFormatting sqref="N375:N376 N373">
    <cfRule type="cellIs" dxfId="276" priority="190" stopIfTrue="1" operator="notEqual">
      <formula>""</formula>
    </cfRule>
  </conditionalFormatting>
  <conditionalFormatting sqref="Q374">
    <cfRule type="cellIs" dxfId="275" priority="191" stopIfTrue="1" operator="notEqual">
      <formula>""</formula>
    </cfRule>
  </conditionalFormatting>
  <conditionalFormatting sqref="N333 N335:N336">
    <cfRule type="cellIs" dxfId="274" priority="286" stopIfTrue="1" operator="notEqual">
      <formula>""</formula>
    </cfRule>
  </conditionalFormatting>
  <conditionalFormatting sqref="N333 N335:N336">
    <cfRule type="cellIs" dxfId="273" priority="285" stopIfTrue="1" operator="greaterThan">
      <formula>0</formula>
    </cfRule>
  </conditionalFormatting>
  <conditionalFormatting sqref="N334">
    <cfRule type="cellIs" dxfId="272" priority="284" stopIfTrue="1" operator="notEqual">
      <formula>""</formula>
    </cfRule>
  </conditionalFormatting>
  <conditionalFormatting sqref="N334">
    <cfRule type="cellIs" dxfId="271" priority="283" stopIfTrue="1" operator="greaterThan">
      <formula>0</formula>
    </cfRule>
  </conditionalFormatting>
  <conditionalFormatting sqref="L333">
    <cfRule type="cellIs" dxfId="270" priority="282" stopIfTrue="1" operator="notEqual">
      <formula>""</formula>
    </cfRule>
  </conditionalFormatting>
  <conditionalFormatting sqref="L333">
    <cfRule type="cellIs" dxfId="269" priority="281" stopIfTrue="1" operator="greaterThan">
      <formula>0</formula>
    </cfRule>
  </conditionalFormatting>
  <conditionalFormatting sqref="P334">
    <cfRule type="cellIs" dxfId="268" priority="280" stopIfTrue="1" operator="notEqual">
      <formula>""</formula>
    </cfRule>
  </conditionalFormatting>
  <conditionalFormatting sqref="P334">
    <cfRule type="cellIs" dxfId="267" priority="279" stopIfTrue="1" operator="greaterThan">
      <formula>0</formula>
    </cfRule>
  </conditionalFormatting>
  <conditionalFormatting sqref="P335">
    <cfRule type="cellIs" dxfId="266" priority="278" stopIfTrue="1" operator="notEqual">
      <formula>""</formula>
    </cfRule>
  </conditionalFormatting>
  <conditionalFormatting sqref="P335">
    <cfRule type="cellIs" dxfId="265" priority="277" stopIfTrue="1" operator="greaterThan">
      <formula>0</formula>
    </cfRule>
  </conditionalFormatting>
  <conditionalFormatting sqref="P336">
    <cfRule type="cellIs" dxfId="264" priority="276" stopIfTrue="1" operator="notEqual">
      <formula>""</formula>
    </cfRule>
  </conditionalFormatting>
  <conditionalFormatting sqref="P336">
    <cfRule type="cellIs" dxfId="263" priority="275" stopIfTrue="1" operator="greaterThan">
      <formula>0</formula>
    </cfRule>
  </conditionalFormatting>
  <conditionalFormatting sqref="P333">
    <cfRule type="cellIs" dxfId="262" priority="274" stopIfTrue="1" operator="notEqual">
      <formula>""</formula>
    </cfRule>
  </conditionalFormatting>
  <conditionalFormatting sqref="P333">
    <cfRule type="cellIs" dxfId="261" priority="273" stopIfTrue="1" operator="greaterThan">
      <formula>0</formula>
    </cfRule>
  </conditionalFormatting>
  <conditionalFormatting sqref="O333">
    <cfRule type="cellIs" dxfId="260" priority="272" stopIfTrue="1" operator="notEqual">
      <formula>""</formula>
    </cfRule>
  </conditionalFormatting>
  <conditionalFormatting sqref="O333">
    <cfRule type="cellIs" dxfId="259" priority="271" stopIfTrue="1" operator="greaterThan">
      <formula>0</formula>
    </cfRule>
  </conditionalFormatting>
  <conditionalFormatting sqref="C335">
    <cfRule type="cellIs" dxfId="258" priority="270" stopIfTrue="1" operator="notEqual">
      <formula>""</formula>
    </cfRule>
  </conditionalFormatting>
  <conditionalFormatting sqref="C335">
    <cfRule type="cellIs" dxfId="257" priority="269" stopIfTrue="1" operator="greaterThan">
      <formula>0</formula>
    </cfRule>
  </conditionalFormatting>
  <conditionalFormatting sqref="I336">
    <cfRule type="cellIs" dxfId="256" priority="266" stopIfTrue="1" operator="notEqual">
      <formula>""</formula>
    </cfRule>
  </conditionalFormatting>
  <conditionalFormatting sqref="I336">
    <cfRule type="cellIs" dxfId="255" priority="265" stopIfTrue="1" operator="greaterThan">
      <formula>0</formula>
    </cfRule>
  </conditionalFormatting>
  <conditionalFormatting sqref="C336">
    <cfRule type="cellIs" dxfId="254" priority="268" stopIfTrue="1" operator="notEqual">
      <formula>""</formula>
    </cfRule>
  </conditionalFormatting>
  <conditionalFormatting sqref="C336">
    <cfRule type="cellIs" dxfId="253" priority="267" stopIfTrue="1" operator="greaterThan">
      <formula>0</formula>
    </cfRule>
  </conditionalFormatting>
  <conditionalFormatting sqref="I335">
    <cfRule type="cellIs" dxfId="252" priority="264" stopIfTrue="1" operator="notEqual">
      <formula>""</formula>
    </cfRule>
  </conditionalFormatting>
  <conditionalFormatting sqref="I335">
    <cfRule type="cellIs" dxfId="251" priority="263" stopIfTrue="1" operator="greaterThan">
      <formula>0</formula>
    </cfRule>
  </conditionalFormatting>
  <conditionalFormatting sqref="I334">
    <cfRule type="cellIs" dxfId="250" priority="262" stopIfTrue="1" operator="notEqual">
      <formula>""</formula>
    </cfRule>
  </conditionalFormatting>
  <conditionalFormatting sqref="I334">
    <cfRule type="cellIs" dxfId="249" priority="261" stopIfTrue="1" operator="greaterThan">
      <formula>0</formula>
    </cfRule>
  </conditionalFormatting>
  <conditionalFormatting sqref="O334">
    <cfRule type="cellIs" dxfId="248" priority="260" stopIfTrue="1" operator="notEqual">
      <formula>""</formula>
    </cfRule>
  </conditionalFormatting>
  <conditionalFormatting sqref="O334">
    <cfRule type="cellIs" dxfId="247" priority="259" stopIfTrue="1" operator="greaterThan">
      <formula>0</formula>
    </cfRule>
  </conditionalFormatting>
  <conditionalFormatting sqref="Q334">
    <cfRule type="cellIs" dxfId="246" priority="258" stopIfTrue="1" operator="greaterThan">
      <formula>0</formula>
    </cfRule>
  </conditionalFormatting>
  <conditionalFormatting sqref="Q334">
    <cfRule type="cellIs" dxfId="245" priority="257" stopIfTrue="1" operator="notEqual">
      <formula>""</formula>
    </cfRule>
  </conditionalFormatting>
  <conditionalFormatting sqref="Q333">
    <cfRule type="cellIs" dxfId="244" priority="256" stopIfTrue="1" operator="greaterThan">
      <formula>0</formula>
    </cfRule>
  </conditionalFormatting>
  <conditionalFormatting sqref="Q333">
    <cfRule type="cellIs" dxfId="243" priority="255" stopIfTrue="1" operator="notEqual">
      <formula>""</formula>
    </cfRule>
  </conditionalFormatting>
  <conditionalFormatting sqref="M334">
    <cfRule type="cellIs" dxfId="242" priority="254" stopIfTrue="1" operator="notEqual">
      <formula>""</formula>
    </cfRule>
  </conditionalFormatting>
  <conditionalFormatting sqref="M334">
    <cfRule type="cellIs" dxfId="241" priority="253" stopIfTrue="1" operator="greaterThan">
      <formula>0</formula>
    </cfRule>
  </conditionalFormatting>
  <conditionalFormatting sqref="M353 B355:B356 D355:H356 J355:M356 B353:K353">
    <cfRule type="cellIs" dxfId="240" priority="252" stopIfTrue="1" operator="notEqual">
      <formula>""</formula>
    </cfRule>
  </conditionalFormatting>
  <conditionalFormatting sqref="O356 M353 B355:B356 D355:H356 J355:M356 B353:K353">
    <cfRule type="cellIs" dxfId="239" priority="251" stopIfTrue="1" operator="greaterThan">
      <formula>0</formula>
    </cfRule>
  </conditionalFormatting>
  <conditionalFormatting sqref="Q356 O356">
    <cfRule type="cellIs" dxfId="238" priority="250" stopIfTrue="1" operator="notEqual">
      <formula>""</formula>
    </cfRule>
  </conditionalFormatting>
  <conditionalFormatting sqref="Q356">
    <cfRule type="cellIs" dxfId="237" priority="249" stopIfTrue="1" operator="greaterThan">
      <formula>0</formula>
    </cfRule>
  </conditionalFormatting>
  <conditionalFormatting sqref="O356">
    <cfRule type="cellIs" dxfId="236" priority="248" stopIfTrue="1" operator="notEqual">
      <formula>""</formula>
    </cfRule>
  </conditionalFormatting>
  <conditionalFormatting sqref="O356">
    <cfRule type="cellIs" dxfId="235" priority="247" stopIfTrue="1" operator="notEqual">
      <formula>""</formula>
    </cfRule>
  </conditionalFormatting>
  <conditionalFormatting sqref="O356">
    <cfRule type="cellIs" dxfId="234" priority="246" stopIfTrue="1" operator="notEqual">
      <formula>""</formula>
    </cfRule>
  </conditionalFormatting>
  <conditionalFormatting sqref="O356">
    <cfRule type="cellIs" dxfId="233" priority="245" stopIfTrue="1" operator="notEqual">
      <formula>""</formula>
    </cfRule>
  </conditionalFormatting>
  <conditionalFormatting sqref="Q355">
    <cfRule type="cellIs" dxfId="232" priority="244" stopIfTrue="1" operator="greaterThan">
      <formula>0</formula>
    </cfRule>
  </conditionalFormatting>
  <conditionalFormatting sqref="Q355">
    <cfRule type="cellIs" dxfId="231" priority="243" stopIfTrue="1" operator="notEqual">
      <formula>""</formula>
    </cfRule>
  </conditionalFormatting>
  <conditionalFormatting sqref="B354:H354 J354:M354">
    <cfRule type="cellIs" dxfId="230" priority="242" stopIfTrue="1" operator="notEqual">
      <formula>""</formula>
    </cfRule>
  </conditionalFormatting>
  <conditionalFormatting sqref="B354:H354 J354:M354 O354:O355">
    <cfRule type="cellIs" dxfId="229" priority="241" stopIfTrue="1" operator="greaterThan">
      <formula>0</formula>
    </cfRule>
  </conditionalFormatting>
  <conditionalFormatting sqref="O354:O355">
    <cfRule type="cellIs" dxfId="228" priority="240" stopIfTrue="1" operator="notEqual">
      <formula>""</formula>
    </cfRule>
  </conditionalFormatting>
  <conditionalFormatting sqref="Q354">
    <cfRule type="cellIs" dxfId="227" priority="236" stopIfTrue="1" operator="notEqual">
      <formula>""</formula>
    </cfRule>
  </conditionalFormatting>
  <conditionalFormatting sqref="O354:O355">
    <cfRule type="cellIs" dxfId="226" priority="239" stopIfTrue="1" operator="notEqual">
      <formula>""</formula>
    </cfRule>
  </conditionalFormatting>
  <conditionalFormatting sqref="O354:O355">
    <cfRule type="cellIs" dxfId="225" priority="238" stopIfTrue="1" operator="notEqual">
      <formula>""</formula>
    </cfRule>
  </conditionalFormatting>
  <conditionalFormatting sqref="Q354">
    <cfRule type="cellIs" dxfId="224" priority="237" stopIfTrue="1" operator="greaterThan">
      <formula>0</formula>
    </cfRule>
  </conditionalFormatting>
  <conditionalFormatting sqref="Q353">
    <cfRule type="cellIs" dxfId="223" priority="234" stopIfTrue="1" operator="notEqual">
      <formula>""</formula>
    </cfRule>
  </conditionalFormatting>
  <conditionalFormatting sqref="Q353">
    <cfRule type="cellIs" dxfId="222" priority="235" stopIfTrue="1" operator="greaterThan">
      <formula>0</formula>
    </cfRule>
  </conditionalFormatting>
  <conditionalFormatting sqref="N353 N355:N356">
    <cfRule type="cellIs" dxfId="221" priority="233" stopIfTrue="1" operator="notEqual">
      <formula>""</formula>
    </cfRule>
  </conditionalFormatting>
  <conditionalFormatting sqref="N353 N355:N356">
    <cfRule type="cellIs" dxfId="220" priority="232" stopIfTrue="1" operator="greaterThan">
      <formula>0</formula>
    </cfRule>
  </conditionalFormatting>
  <conditionalFormatting sqref="N354">
    <cfRule type="cellIs" dxfId="219" priority="231" stopIfTrue="1" operator="notEqual">
      <formula>""</formula>
    </cfRule>
  </conditionalFormatting>
  <conditionalFormatting sqref="N354">
    <cfRule type="cellIs" dxfId="218" priority="230" stopIfTrue="1" operator="greaterThan">
      <formula>0</formula>
    </cfRule>
  </conditionalFormatting>
  <conditionalFormatting sqref="L353">
    <cfRule type="cellIs" dxfId="217" priority="229" stopIfTrue="1" operator="notEqual">
      <formula>""</formula>
    </cfRule>
  </conditionalFormatting>
  <conditionalFormatting sqref="L353">
    <cfRule type="cellIs" dxfId="216" priority="228" stopIfTrue="1" operator="greaterThan">
      <formula>0</formula>
    </cfRule>
  </conditionalFormatting>
  <conditionalFormatting sqref="P354">
    <cfRule type="cellIs" dxfId="215" priority="227" stopIfTrue="1" operator="notEqual">
      <formula>""</formula>
    </cfRule>
  </conditionalFormatting>
  <conditionalFormatting sqref="P354">
    <cfRule type="cellIs" dxfId="214" priority="226" stopIfTrue="1" operator="greaterThan">
      <formula>0</formula>
    </cfRule>
  </conditionalFormatting>
  <conditionalFormatting sqref="P355">
    <cfRule type="cellIs" dxfId="213" priority="225" stopIfTrue="1" operator="notEqual">
      <formula>""</formula>
    </cfRule>
  </conditionalFormatting>
  <conditionalFormatting sqref="P355">
    <cfRule type="cellIs" dxfId="212" priority="224" stopIfTrue="1" operator="greaterThan">
      <formula>0</formula>
    </cfRule>
  </conditionalFormatting>
  <conditionalFormatting sqref="P356">
    <cfRule type="cellIs" dxfId="211" priority="223" stopIfTrue="1" operator="notEqual">
      <formula>""</formula>
    </cfRule>
  </conditionalFormatting>
  <conditionalFormatting sqref="P356">
    <cfRule type="cellIs" dxfId="210" priority="222" stopIfTrue="1" operator="greaterThan">
      <formula>0</formula>
    </cfRule>
  </conditionalFormatting>
  <conditionalFormatting sqref="P353">
    <cfRule type="cellIs" dxfId="209" priority="221" stopIfTrue="1" operator="notEqual">
      <formula>""</formula>
    </cfRule>
  </conditionalFormatting>
  <conditionalFormatting sqref="P353">
    <cfRule type="cellIs" dxfId="208" priority="220" stopIfTrue="1" operator="greaterThan">
      <formula>0</formula>
    </cfRule>
  </conditionalFormatting>
  <conditionalFormatting sqref="O353">
    <cfRule type="cellIs" dxfId="207" priority="219" stopIfTrue="1" operator="notEqual">
      <formula>""</formula>
    </cfRule>
  </conditionalFormatting>
  <conditionalFormatting sqref="O353">
    <cfRule type="cellIs" dxfId="206" priority="218" stopIfTrue="1" operator="greaterThan">
      <formula>0</formula>
    </cfRule>
  </conditionalFormatting>
  <conditionalFormatting sqref="C355">
    <cfRule type="cellIs" dxfId="205" priority="217" stopIfTrue="1" operator="notEqual">
      <formula>""</formula>
    </cfRule>
  </conditionalFormatting>
  <conditionalFormatting sqref="C355">
    <cfRule type="cellIs" dxfId="204" priority="216" stopIfTrue="1" operator="greaterThan">
      <formula>0</formula>
    </cfRule>
  </conditionalFormatting>
  <conditionalFormatting sqref="I355">
    <cfRule type="cellIs" dxfId="203" priority="213" stopIfTrue="1" operator="notEqual">
      <formula>""</formula>
    </cfRule>
  </conditionalFormatting>
  <conditionalFormatting sqref="I355">
    <cfRule type="cellIs" dxfId="202" priority="212" stopIfTrue="1" operator="greaterThan">
      <formula>0</formula>
    </cfRule>
  </conditionalFormatting>
  <conditionalFormatting sqref="C356">
    <cfRule type="cellIs" dxfId="201" priority="215" stopIfTrue="1" operator="notEqual">
      <formula>""</formula>
    </cfRule>
  </conditionalFormatting>
  <conditionalFormatting sqref="C356">
    <cfRule type="cellIs" dxfId="200" priority="214" stopIfTrue="1" operator="greaterThan">
      <formula>0</formula>
    </cfRule>
  </conditionalFormatting>
  <conditionalFormatting sqref="I354">
    <cfRule type="cellIs" dxfId="199" priority="211" stopIfTrue="1" operator="notEqual">
      <formula>""</formula>
    </cfRule>
  </conditionalFormatting>
  <conditionalFormatting sqref="I354">
    <cfRule type="cellIs" dxfId="198" priority="210" stopIfTrue="1" operator="greaterThan">
      <formula>0</formula>
    </cfRule>
  </conditionalFormatting>
  <conditionalFormatting sqref="I356">
    <cfRule type="cellIs" dxfId="197" priority="209" stopIfTrue="1" operator="notEqual">
      <formula>""</formula>
    </cfRule>
  </conditionalFormatting>
  <conditionalFormatting sqref="I356">
    <cfRule type="cellIs" dxfId="196" priority="208" stopIfTrue="1" operator="greaterThan">
      <formula>0</formula>
    </cfRule>
  </conditionalFormatting>
  <conditionalFormatting sqref="B375:B376 D375:H376 J375:M376 B373:K373">
    <cfRule type="cellIs" dxfId="195" priority="207" stopIfTrue="1" operator="notEqual">
      <formula>""</formula>
    </cfRule>
  </conditionalFormatting>
  <conditionalFormatting sqref="O376 B375:B376 D375:H376 J375:M376 B373:K373">
    <cfRule type="cellIs" dxfId="194" priority="206" stopIfTrue="1" operator="greaterThan">
      <formula>0</formula>
    </cfRule>
  </conditionalFormatting>
  <conditionalFormatting sqref="Q376 O376">
    <cfRule type="cellIs" dxfId="193" priority="205" stopIfTrue="1" operator="notEqual">
      <formula>""</formula>
    </cfRule>
  </conditionalFormatting>
  <conditionalFormatting sqref="Q376">
    <cfRule type="cellIs" dxfId="192" priority="204" stopIfTrue="1" operator="greaterThan">
      <formula>0</formula>
    </cfRule>
  </conditionalFormatting>
  <conditionalFormatting sqref="O376">
    <cfRule type="cellIs" dxfId="191" priority="203" stopIfTrue="1" operator="notEqual">
      <formula>""</formula>
    </cfRule>
  </conditionalFormatting>
  <conditionalFormatting sqref="O376">
    <cfRule type="cellIs" dxfId="190" priority="202" stopIfTrue="1" operator="notEqual">
      <formula>""</formula>
    </cfRule>
  </conditionalFormatting>
  <conditionalFormatting sqref="O376">
    <cfRule type="cellIs" dxfId="189" priority="201" stopIfTrue="1" operator="notEqual">
      <formula>""</formula>
    </cfRule>
  </conditionalFormatting>
  <conditionalFormatting sqref="O376">
    <cfRule type="cellIs" dxfId="188" priority="200" stopIfTrue="1" operator="notEqual">
      <formula>""</formula>
    </cfRule>
  </conditionalFormatting>
  <conditionalFormatting sqref="Q375">
    <cfRule type="cellIs" dxfId="187" priority="199" stopIfTrue="1" operator="greaterThan">
      <formula>0</formula>
    </cfRule>
  </conditionalFormatting>
  <conditionalFormatting sqref="Q375">
    <cfRule type="cellIs" dxfId="186" priority="198" stopIfTrue="1" operator="notEqual">
      <formula>""</formula>
    </cfRule>
  </conditionalFormatting>
  <conditionalFormatting sqref="B374:H374 J374:M374">
    <cfRule type="cellIs" dxfId="185" priority="197" stopIfTrue="1" operator="notEqual">
      <formula>""</formula>
    </cfRule>
  </conditionalFormatting>
  <conditionalFormatting sqref="B374:H374 J374:M374 O374:O375">
    <cfRule type="cellIs" dxfId="184" priority="196" stopIfTrue="1" operator="greaterThan">
      <formula>0</formula>
    </cfRule>
  </conditionalFormatting>
  <conditionalFormatting sqref="O374:O375">
    <cfRule type="cellIs" dxfId="183" priority="195" stopIfTrue="1" operator="notEqual">
      <formula>""</formula>
    </cfRule>
  </conditionalFormatting>
  <conditionalFormatting sqref="O374:O375">
    <cfRule type="cellIs" dxfId="182" priority="194" stopIfTrue="1" operator="notEqual">
      <formula>""</formula>
    </cfRule>
  </conditionalFormatting>
  <conditionalFormatting sqref="O374:O375">
    <cfRule type="cellIs" dxfId="181" priority="193" stopIfTrue="1" operator="notEqual">
      <formula>""</formula>
    </cfRule>
  </conditionalFormatting>
  <conditionalFormatting sqref="Q374">
    <cfRule type="cellIs" dxfId="180" priority="192" stopIfTrue="1" operator="greaterThan">
      <formula>0</formula>
    </cfRule>
  </conditionalFormatting>
  <conditionalFormatting sqref="N375:N376 N373">
    <cfRule type="cellIs" dxfId="179" priority="189" stopIfTrue="1" operator="greaterThan">
      <formula>0</formula>
    </cfRule>
  </conditionalFormatting>
  <conditionalFormatting sqref="L373">
    <cfRule type="cellIs" dxfId="178" priority="186" stopIfTrue="1" operator="notEqual">
      <formula>""</formula>
    </cfRule>
  </conditionalFormatting>
  <conditionalFormatting sqref="L373">
    <cfRule type="cellIs" dxfId="177" priority="185" stopIfTrue="1" operator="greaterThan">
      <formula>0</formula>
    </cfRule>
  </conditionalFormatting>
  <conditionalFormatting sqref="P374">
    <cfRule type="cellIs" dxfId="176" priority="184" stopIfTrue="1" operator="notEqual">
      <formula>""</formula>
    </cfRule>
  </conditionalFormatting>
  <conditionalFormatting sqref="P374">
    <cfRule type="cellIs" dxfId="175" priority="183" stopIfTrue="1" operator="greaterThan">
      <formula>0</formula>
    </cfRule>
  </conditionalFormatting>
  <conditionalFormatting sqref="P375">
    <cfRule type="cellIs" dxfId="174" priority="182" stopIfTrue="1" operator="notEqual">
      <formula>""</formula>
    </cfRule>
  </conditionalFormatting>
  <conditionalFormatting sqref="P375">
    <cfRule type="cellIs" dxfId="173" priority="181" stopIfTrue="1" operator="greaterThan">
      <formula>0</formula>
    </cfRule>
  </conditionalFormatting>
  <conditionalFormatting sqref="P376">
    <cfRule type="cellIs" dxfId="172" priority="180" stopIfTrue="1" operator="notEqual">
      <formula>""</formula>
    </cfRule>
  </conditionalFormatting>
  <conditionalFormatting sqref="P376">
    <cfRule type="cellIs" dxfId="171" priority="179" stopIfTrue="1" operator="greaterThan">
      <formula>0</formula>
    </cfRule>
  </conditionalFormatting>
  <conditionalFormatting sqref="P373">
    <cfRule type="cellIs" dxfId="170" priority="178" stopIfTrue="1" operator="notEqual">
      <formula>""</formula>
    </cfRule>
  </conditionalFormatting>
  <conditionalFormatting sqref="P373">
    <cfRule type="cellIs" dxfId="169" priority="177" stopIfTrue="1" operator="greaterThan">
      <formula>0</formula>
    </cfRule>
  </conditionalFormatting>
  <conditionalFormatting sqref="O373">
    <cfRule type="cellIs" dxfId="168" priority="176" stopIfTrue="1" operator="notEqual">
      <formula>""</formula>
    </cfRule>
  </conditionalFormatting>
  <conditionalFormatting sqref="O373">
    <cfRule type="cellIs" dxfId="167" priority="175" stopIfTrue="1" operator="greaterThan">
      <formula>0</formula>
    </cfRule>
  </conditionalFormatting>
  <conditionalFormatting sqref="C375">
    <cfRule type="cellIs" dxfId="166" priority="174" stopIfTrue="1" operator="notEqual">
      <formula>""</formula>
    </cfRule>
  </conditionalFormatting>
  <conditionalFormatting sqref="C375">
    <cfRule type="cellIs" dxfId="165" priority="173" stopIfTrue="1" operator="greaterThan">
      <formula>0</formula>
    </cfRule>
  </conditionalFormatting>
  <conditionalFormatting sqref="C376">
    <cfRule type="cellIs" dxfId="164" priority="172" stopIfTrue="1" operator="notEqual">
      <formula>""</formula>
    </cfRule>
  </conditionalFormatting>
  <conditionalFormatting sqref="C376">
    <cfRule type="cellIs" dxfId="163" priority="171" stopIfTrue="1" operator="greaterThan">
      <formula>0</formula>
    </cfRule>
  </conditionalFormatting>
  <conditionalFormatting sqref="I375">
    <cfRule type="cellIs" dxfId="162" priority="170" stopIfTrue="1" operator="notEqual">
      <formula>""</formula>
    </cfRule>
  </conditionalFormatting>
  <conditionalFormatting sqref="I375">
    <cfRule type="cellIs" dxfId="161" priority="169" stopIfTrue="1" operator="greaterThan">
      <formula>0</formula>
    </cfRule>
  </conditionalFormatting>
  <conditionalFormatting sqref="M373">
    <cfRule type="cellIs" dxfId="160" priority="166" stopIfTrue="1" operator="notEqual">
      <formula>""</formula>
    </cfRule>
  </conditionalFormatting>
  <conditionalFormatting sqref="M373">
    <cfRule type="cellIs" dxfId="159" priority="165" stopIfTrue="1" operator="greaterThan">
      <formula>0</formula>
    </cfRule>
  </conditionalFormatting>
  <conditionalFormatting sqref="I376">
    <cfRule type="cellIs" dxfId="158" priority="163" stopIfTrue="1" operator="greaterThan">
      <formula>0</formula>
    </cfRule>
  </conditionalFormatting>
  <conditionalFormatting sqref="I376">
    <cfRule type="cellIs" dxfId="157" priority="164" stopIfTrue="1" operator="notEqual">
      <formula>""</formula>
    </cfRule>
  </conditionalFormatting>
  <conditionalFormatting sqref="Q373">
    <cfRule type="cellIs" dxfId="156" priority="161" stopIfTrue="1" operator="notEqual">
      <formula>""</formula>
    </cfRule>
  </conditionalFormatting>
  <conditionalFormatting sqref="Q373">
    <cfRule type="cellIs" dxfId="155" priority="162" stopIfTrue="1" operator="greaterThan">
      <formula>0</formula>
    </cfRule>
  </conditionalFormatting>
  <conditionalFormatting sqref="I374">
    <cfRule type="cellIs" dxfId="154" priority="160" stopIfTrue="1" operator="greaterThan">
      <formula>0</formula>
    </cfRule>
  </conditionalFormatting>
  <conditionalFormatting sqref="B162:M162 B164:M165">
    <cfRule type="cellIs" dxfId="153" priority="159" stopIfTrue="1" operator="notEqual">
      <formula>""</formula>
    </cfRule>
  </conditionalFormatting>
  <conditionalFormatting sqref="B162:M162 B164:M165 O164:O165 O162:P162">
    <cfRule type="cellIs" dxfId="152" priority="158" stopIfTrue="1" operator="greaterThan">
      <formula>0</formula>
    </cfRule>
  </conditionalFormatting>
  <conditionalFormatting sqref="O162:P162">
    <cfRule type="cellIs" dxfId="151" priority="157" stopIfTrue="1" operator="notEqual">
      <formula>""</formula>
    </cfRule>
  </conditionalFormatting>
  <conditionalFormatting sqref="O164">
    <cfRule type="cellIs" dxfId="150" priority="156" stopIfTrue="1" operator="notEqual">
      <formula>""</formula>
    </cfRule>
  </conditionalFormatting>
  <conditionalFormatting sqref="Q165 O165">
    <cfRule type="cellIs" dxfId="149" priority="155" stopIfTrue="1" operator="notEqual">
      <formula>""</formula>
    </cfRule>
  </conditionalFormatting>
  <conditionalFormatting sqref="Q165">
    <cfRule type="cellIs" dxfId="148" priority="154" stopIfTrue="1" operator="greaterThan">
      <formula>0</formula>
    </cfRule>
  </conditionalFormatting>
  <conditionalFormatting sqref="O165">
    <cfRule type="cellIs" dxfId="147" priority="153" stopIfTrue="1" operator="notEqual">
      <formula>""</formula>
    </cfRule>
  </conditionalFormatting>
  <conditionalFormatting sqref="O165">
    <cfRule type="cellIs" dxfId="146" priority="152" stopIfTrue="1" operator="notEqual">
      <formula>""</formula>
    </cfRule>
  </conditionalFormatting>
  <conditionalFormatting sqref="O165">
    <cfRule type="cellIs" dxfId="145" priority="151" stopIfTrue="1" operator="notEqual">
      <formula>""</formula>
    </cfRule>
  </conditionalFormatting>
  <conditionalFormatting sqref="O165">
    <cfRule type="cellIs" dxfId="144" priority="150" stopIfTrue="1" operator="notEqual">
      <formula>""</formula>
    </cfRule>
  </conditionalFormatting>
  <conditionalFormatting sqref="Q164">
    <cfRule type="cellIs" dxfId="143" priority="149" stopIfTrue="1" operator="greaterThan">
      <formula>0</formula>
    </cfRule>
  </conditionalFormatting>
  <conditionalFormatting sqref="Q164">
    <cfRule type="cellIs" dxfId="142" priority="148" stopIfTrue="1" operator="notEqual">
      <formula>""</formula>
    </cfRule>
  </conditionalFormatting>
  <conditionalFormatting sqref="B163:L163">
    <cfRule type="cellIs" dxfId="141" priority="147" stopIfTrue="1" operator="notEqual">
      <formula>""</formula>
    </cfRule>
  </conditionalFormatting>
  <conditionalFormatting sqref="B163:L163">
    <cfRule type="cellIs" dxfId="140" priority="146" stopIfTrue="1" operator="greaterThan">
      <formula>0</formula>
    </cfRule>
  </conditionalFormatting>
  <conditionalFormatting sqref="O182">
    <cfRule type="cellIs" dxfId="139" priority="117" stopIfTrue="1" operator="notEqual">
      <formula>""</formula>
    </cfRule>
  </conditionalFormatting>
  <conditionalFormatting sqref="Q163">
    <cfRule type="cellIs" dxfId="138" priority="141" stopIfTrue="1" operator="notEqual">
      <formula>""</formula>
    </cfRule>
  </conditionalFormatting>
  <conditionalFormatting sqref="Q182">
    <cfRule type="cellIs" dxfId="137" priority="116" stopIfTrue="1" operator="notEqual">
      <formula>""</formula>
    </cfRule>
  </conditionalFormatting>
  <conditionalFormatting sqref="O182">
    <cfRule type="cellIs" dxfId="136" priority="115" stopIfTrue="1" operator="notEqual">
      <formula>""</formula>
    </cfRule>
  </conditionalFormatting>
  <conditionalFormatting sqref="Q163">
    <cfRule type="cellIs" dxfId="135" priority="142" stopIfTrue="1" operator="greaterThan">
      <formula>0</formula>
    </cfRule>
  </conditionalFormatting>
  <conditionalFormatting sqref="Q162">
    <cfRule type="cellIs" dxfId="134" priority="139" stopIfTrue="1" operator="notEqual">
      <formula>""</formula>
    </cfRule>
  </conditionalFormatting>
  <conditionalFormatting sqref="Q162">
    <cfRule type="cellIs" dxfId="133" priority="140" stopIfTrue="1" operator="greaterThan">
      <formula>0</formula>
    </cfRule>
  </conditionalFormatting>
  <conditionalFormatting sqref="N164:N165">
    <cfRule type="cellIs" dxfId="132" priority="138" stopIfTrue="1" operator="notEqual">
      <formula>""</formula>
    </cfRule>
  </conditionalFormatting>
  <conditionalFormatting sqref="N164:N165">
    <cfRule type="cellIs" dxfId="131" priority="137" stopIfTrue="1" operator="greaterThan">
      <formula>0</formula>
    </cfRule>
  </conditionalFormatting>
  <conditionalFormatting sqref="N163">
    <cfRule type="cellIs" dxfId="130" priority="136" stopIfTrue="1" operator="notEqual">
      <formula>""</formula>
    </cfRule>
  </conditionalFormatting>
  <conditionalFormatting sqref="N163">
    <cfRule type="cellIs" dxfId="129" priority="135" stopIfTrue="1" operator="greaterThan">
      <formula>0</formula>
    </cfRule>
  </conditionalFormatting>
  <conditionalFormatting sqref="O163">
    <cfRule type="cellIs" dxfId="128" priority="134" stopIfTrue="1" operator="greaterThan">
      <formula>0</formula>
    </cfRule>
  </conditionalFormatting>
  <conditionalFormatting sqref="O163">
    <cfRule type="cellIs" dxfId="127" priority="133" stopIfTrue="1" operator="notEqual">
      <formula>""</formula>
    </cfRule>
  </conditionalFormatting>
  <conditionalFormatting sqref="M163">
    <cfRule type="cellIs" dxfId="126" priority="132" stopIfTrue="1" operator="greaterThan">
      <formula>0</formula>
    </cfRule>
  </conditionalFormatting>
  <conditionalFormatting sqref="B181:M181 B183:M184">
    <cfRule type="cellIs" dxfId="125" priority="131" stopIfTrue="1" operator="notEqual">
      <formula>""</formula>
    </cfRule>
  </conditionalFormatting>
  <conditionalFormatting sqref="B181:M181 B183:M184 O183:O184 O181:P181">
    <cfRule type="cellIs" dxfId="124" priority="130" stopIfTrue="1" operator="greaterThan">
      <formula>0</formula>
    </cfRule>
  </conditionalFormatting>
  <conditionalFormatting sqref="O181:P181">
    <cfRule type="cellIs" dxfId="123" priority="129" stopIfTrue="1" operator="notEqual">
      <formula>""</formula>
    </cfRule>
  </conditionalFormatting>
  <conditionalFormatting sqref="O183">
    <cfRule type="cellIs" dxfId="122" priority="128" stopIfTrue="1" operator="notEqual">
      <formula>""</formula>
    </cfRule>
  </conditionalFormatting>
  <conditionalFormatting sqref="Q184 O184">
    <cfRule type="cellIs" dxfId="121" priority="127" stopIfTrue="1" operator="notEqual">
      <formula>""</formula>
    </cfRule>
  </conditionalFormatting>
  <conditionalFormatting sqref="Q184">
    <cfRule type="cellIs" dxfId="120" priority="126" stopIfTrue="1" operator="greaterThan">
      <formula>0</formula>
    </cfRule>
  </conditionalFormatting>
  <conditionalFormatting sqref="O184">
    <cfRule type="cellIs" dxfId="119" priority="125" stopIfTrue="1" operator="notEqual">
      <formula>""</formula>
    </cfRule>
  </conditionalFormatting>
  <conditionalFormatting sqref="O184">
    <cfRule type="cellIs" dxfId="118" priority="124" stopIfTrue="1" operator="notEqual">
      <formula>""</formula>
    </cfRule>
  </conditionalFormatting>
  <conditionalFormatting sqref="O184">
    <cfRule type="cellIs" dxfId="117" priority="123" stopIfTrue="1" operator="notEqual">
      <formula>""</formula>
    </cfRule>
  </conditionalFormatting>
  <conditionalFormatting sqref="O184">
    <cfRule type="cellIs" dxfId="116" priority="122" stopIfTrue="1" operator="notEqual">
      <formula>""</formula>
    </cfRule>
  </conditionalFormatting>
  <conditionalFormatting sqref="Q183">
    <cfRule type="cellIs" dxfId="115" priority="121" stopIfTrue="1" operator="greaterThan">
      <formula>0</formula>
    </cfRule>
  </conditionalFormatting>
  <conditionalFormatting sqref="Q183">
    <cfRule type="cellIs" dxfId="114" priority="120" stopIfTrue="1" operator="notEqual">
      <formula>""</formula>
    </cfRule>
  </conditionalFormatting>
  <conditionalFormatting sqref="B182:M182">
    <cfRule type="cellIs" dxfId="113" priority="119" stopIfTrue="1" operator="notEqual">
      <formula>""</formula>
    </cfRule>
  </conditionalFormatting>
  <conditionalFormatting sqref="B182:M182 O182">
    <cfRule type="cellIs" dxfId="112" priority="118" stopIfTrue="1" operator="greaterThan">
      <formula>0</formula>
    </cfRule>
  </conditionalFormatting>
  <conditionalFormatting sqref="O201">
    <cfRule type="cellIs" dxfId="111" priority="92" stopIfTrue="1" operator="notEqual">
      <formula>""</formula>
    </cfRule>
  </conditionalFormatting>
  <conditionalFormatting sqref="Q201">
    <cfRule type="cellIs" dxfId="110" priority="91" stopIfTrue="1" operator="notEqual">
      <formula>""</formula>
    </cfRule>
  </conditionalFormatting>
  <conditionalFormatting sqref="O201">
    <cfRule type="cellIs" dxfId="109" priority="90" stopIfTrue="1" operator="notEqual">
      <formula>""</formula>
    </cfRule>
  </conditionalFormatting>
  <conditionalFormatting sqref="O182">
    <cfRule type="cellIs" dxfId="108" priority="114" stopIfTrue="1" operator="notEqual">
      <formula>""</formula>
    </cfRule>
  </conditionalFormatting>
  <conditionalFormatting sqref="Q182">
    <cfRule type="cellIs" dxfId="107" priority="113" stopIfTrue="1" operator="greaterThan">
      <formula>0</formula>
    </cfRule>
  </conditionalFormatting>
  <conditionalFormatting sqref="Q181">
    <cfRule type="cellIs" dxfId="106" priority="112" stopIfTrue="1" operator="notEqual">
      <formula>""</formula>
    </cfRule>
  </conditionalFormatting>
  <conditionalFormatting sqref="Q181">
    <cfRule type="cellIs" dxfId="105" priority="111" stopIfTrue="1" operator="greaterThan">
      <formula>0</formula>
    </cfRule>
  </conditionalFormatting>
  <conditionalFormatting sqref="N181 N183:N184">
    <cfRule type="cellIs" dxfId="104" priority="110" stopIfTrue="1" operator="notEqual">
      <formula>""</formula>
    </cfRule>
  </conditionalFormatting>
  <conditionalFormatting sqref="N181 N183:N184">
    <cfRule type="cellIs" dxfId="103" priority="109" stopIfTrue="1" operator="greaterThan">
      <formula>0</formula>
    </cfRule>
  </conditionalFormatting>
  <conditionalFormatting sqref="N182">
    <cfRule type="cellIs" dxfId="102" priority="108" stopIfTrue="1" operator="notEqual">
      <formula>""</formula>
    </cfRule>
  </conditionalFormatting>
  <conditionalFormatting sqref="N182">
    <cfRule type="cellIs" dxfId="101" priority="107" stopIfTrue="1" operator="greaterThan">
      <formula>0</formula>
    </cfRule>
  </conditionalFormatting>
  <conditionalFormatting sqref="B200:M200 B202:M203">
    <cfRule type="cellIs" dxfId="100" priority="106" stopIfTrue="1" operator="notEqual">
      <formula>""</formula>
    </cfRule>
  </conditionalFormatting>
  <conditionalFormatting sqref="B200:M200 B202:M203 O202:O203 O200:P200">
    <cfRule type="cellIs" dxfId="99" priority="105" stopIfTrue="1" operator="greaterThan">
      <formula>0</formula>
    </cfRule>
  </conditionalFormatting>
  <conditionalFormatting sqref="O200:P200">
    <cfRule type="cellIs" dxfId="98" priority="104" stopIfTrue="1" operator="notEqual">
      <formula>""</formula>
    </cfRule>
  </conditionalFormatting>
  <conditionalFormatting sqref="O202">
    <cfRule type="cellIs" dxfId="97" priority="103" stopIfTrue="1" operator="notEqual">
      <formula>""</formula>
    </cfRule>
  </conditionalFormatting>
  <conditionalFormatting sqref="Q203 O203">
    <cfRule type="cellIs" dxfId="96" priority="102" stopIfTrue="1" operator="notEqual">
      <formula>""</formula>
    </cfRule>
  </conditionalFormatting>
  <conditionalFormatting sqref="Q203">
    <cfRule type="cellIs" dxfId="95" priority="101" stopIfTrue="1" operator="greaterThan">
      <formula>0</formula>
    </cfRule>
  </conditionalFormatting>
  <conditionalFormatting sqref="O203">
    <cfRule type="cellIs" dxfId="94" priority="100" stopIfTrue="1" operator="notEqual">
      <formula>""</formula>
    </cfRule>
  </conditionalFormatting>
  <conditionalFormatting sqref="O203">
    <cfRule type="cellIs" dxfId="93" priority="99" stopIfTrue="1" operator="notEqual">
      <formula>""</formula>
    </cfRule>
  </conditionalFormatting>
  <conditionalFormatting sqref="O203">
    <cfRule type="cellIs" dxfId="92" priority="98" stopIfTrue="1" operator="notEqual">
      <formula>""</formula>
    </cfRule>
  </conditionalFormatting>
  <conditionalFormatting sqref="O203">
    <cfRule type="cellIs" dxfId="91" priority="97" stopIfTrue="1" operator="notEqual">
      <formula>""</formula>
    </cfRule>
  </conditionalFormatting>
  <conditionalFormatting sqref="Q202">
    <cfRule type="cellIs" dxfId="90" priority="96" stopIfTrue="1" operator="greaterThan">
      <formula>0</formula>
    </cfRule>
  </conditionalFormatting>
  <conditionalFormatting sqref="Q202">
    <cfRule type="cellIs" dxfId="89" priority="95" stopIfTrue="1" operator="notEqual">
      <formula>""</formula>
    </cfRule>
  </conditionalFormatting>
  <conditionalFormatting sqref="B201:M201">
    <cfRule type="cellIs" dxfId="88" priority="94" stopIfTrue="1" operator="notEqual">
      <formula>""</formula>
    </cfRule>
  </conditionalFormatting>
  <conditionalFormatting sqref="B201:M201 O201">
    <cfRule type="cellIs" dxfId="87" priority="93" stopIfTrue="1" operator="greaterThan">
      <formula>0</formula>
    </cfRule>
  </conditionalFormatting>
  <conditionalFormatting sqref="Q220">
    <cfRule type="cellIs" dxfId="86" priority="66" stopIfTrue="1" operator="notEqual">
      <formula>""</formula>
    </cfRule>
  </conditionalFormatting>
  <conditionalFormatting sqref="O220">
    <cfRule type="cellIs" dxfId="85" priority="65" stopIfTrue="1" operator="notEqual">
      <formula>""</formula>
    </cfRule>
  </conditionalFormatting>
  <conditionalFormatting sqref="O220">
    <cfRule type="cellIs" dxfId="84" priority="64" stopIfTrue="1" operator="notEqual">
      <formula>""</formula>
    </cfRule>
  </conditionalFormatting>
  <conditionalFormatting sqref="O201">
    <cfRule type="cellIs" dxfId="83" priority="89" stopIfTrue="1" operator="notEqual">
      <formula>""</formula>
    </cfRule>
  </conditionalFormatting>
  <conditionalFormatting sqref="Q201">
    <cfRule type="cellIs" dxfId="82" priority="88" stopIfTrue="1" operator="greaterThan">
      <formula>0</formula>
    </cfRule>
  </conditionalFormatting>
  <conditionalFormatting sqref="Q200">
    <cfRule type="cellIs" dxfId="81" priority="87" stopIfTrue="1" operator="notEqual">
      <formula>""</formula>
    </cfRule>
  </conditionalFormatting>
  <conditionalFormatting sqref="Q200">
    <cfRule type="cellIs" dxfId="80" priority="86" stopIfTrue="1" operator="greaterThan">
      <formula>0</formula>
    </cfRule>
  </conditionalFormatting>
  <conditionalFormatting sqref="N200 N202:N203">
    <cfRule type="cellIs" dxfId="79" priority="85" stopIfTrue="1" operator="notEqual">
      <formula>""</formula>
    </cfRule>
  </conditionalFormatting>
  <conditionalFormatting sqref="N200 N202:N203">
    <cfRule type="cellIs" dxfId="78" priority="84" stopIfTrue="1" operator="greaterThan">
      <formula>0</formula>
    </cfRule>
  </conditionalFormatting>
  <conditionalFormatting sqref="N201">
    <cfRule type="cellIs" dxfId="77" priority="83" stopIfTrue="1" operator="notEqual">
      <formula>""</formula>
    </cfRule>
  </conditionalFormatting>
  <conditionalFormatting sqref="N201">
    <cfRule type="cellIs" dxfId="76" priority="82" stopIfTrue="1" operator="greaterThan">
      <formula>0</formula>
    </cfRule>
  </conditionalFormatting>
  <conditionalFormatting sqref="B219:M219 B221:M221 B222:L222">
    <cfRule type="cellIs" dxfId="75" priority="81" stopIfTrue="1" operator="notEqual">
      <formula>""</formula>
    </cfRule>
  </conditionalFormatting>
  <conditionalFormatting sqref="B219:M219 B221:M221 O221:O222 O219:P219 B222:L222">
    <cfRule type="cellIs" dxfId="74" priority="80" stopIfTrue="1" operator="greaterThan">
      <formula>0</formula>
    </cfRule>
  </conditionalFormatting>
  <conditionalFormatting sqref="O219:P219">
    <cfRule type="cellIs" dxfId="73" priority="79" stopIfTrue="1" operator="notEqual">
      <formula>""</formula>
    </cfRule>
  </conditionalFormatting>
  <conditionalFormatting sqref="O221">
    <cfRule type="cellIs" dxfId="72" priority="78" stopIfTrue="1" operator="notEqual">
      <formula>""</formula>
    </cfRule>
  </conditionalFormatting>
  <conditionalFormatting sqref="Q222 O222">
    <cfRule type="cellIs" dxfId="71" priority="77" stopIfTrue="1" operator="notEqual">
      <formula>""</formula>
    </cfRule>
  </conditionalFormatting>
  <conditionalFormatting sqref="Q222">
    <cfRule type="cellIs" dxfId="70" priority="76" stopIfTrue="1" operator="greaterThan">
      <formula>0</formula>
    </cfRule>
  </conditionalFormatting>
  <conditionalFormatting sqref="O222">
    <cfRule type="cellIs" dxfId="69" priority="75" stopIfTrue="1" operator="notEqual">
      <formula>""</formula>
    </cfRule>
  </conditionalFormatting>
  <conditionalFormatting sqref="O222">
    <cfRule type="cellIs" dxfId="68" priority="74" stopIfTrue="1" operator="notEqual">
      <formula>""</formula>
    </cfRule>
  </conditionalFormatting>
  <conditionalFormatting sqref="O222">
    <cfRule type="cellIs" dxfId="67" priority="73" stopIfTrue="1" operator="notEqual">
      <formula>""</formula>
    </cfRule>
  </conditionalFormatting>
  <conditionalFormatting sqref="O222">
    <cfRule type="cellIs" dxfId="66" priority="72" stopIfTrue="1" operator="notEqual">
      <formula>""</formula>
    </cfRule>
  </conditionalFormatting>
  <conditionalFormatting sqref="Q221">
    <cfRule type="cellIs" dxfId="65" priority="71" stopIfTrue="1" operator="greaterThan">
      <formula>0</formula>
    </cfRule>
  </conditionalFormatting>
  <conditionalFormatting sqref="Q221">
    <cfRule type="cellIs" dxfId="64" priority="70" stopIfTrue="1" operator="notEqual">
      <formula>""</formula>
    </cfRule>
  </conditionalFormatting>
  <conditionalFormatting sqref="B220:M220">
    <cfRule type="cellIs" dxfId="63" priority="69" stopIfTrue="1" operator="notEqual">
      <formula>""</formula>
    </cfRule>
  </conditionalFormatting>
  <conditionalFormatting sqref="B220:M220 O220">
    <cfRule type="cellIs" dxfId="62" priority="68" stopIfTrue="1" operator="greaterThan">
      <formula>0</formula>
    </cfRule>
  </conditionalFormatting>
  <conditionalFormatting sqref="O220">
    <cfRule type="cellIs" dxfId="61" priority="67" stopIfTrue="1" operator="notEqual">
      <formula>""</formula>
    </cfRule>
  </conditionalFormatting>
  <conditionalFormatting sqref="Q220">
    <cfRule type="cellIs" dxfId="60" priority="63" stopIfTrue="1" operator="greaterThan">
      <formula>0</formula>
    </cfRule>
  </conditionalFormatting>
  <conditionalFormatting sqref="Q219">
    <cfRule type="cellIs" dxfId="59" priority="62" stopIfTrue="1" operator="notEqual">
      <formula>""</formula>
    </cfRule>
  </conditionalFormatting>
  <conditionalFormatting sqref="Q219">
    <cfRule type="cellIs" dxfId="58" priority="61" stopIfTrue="1" operator="greaterThan">
      <formula>0</formula>
    </cfRule>
  </conditionalFormatting>
  <conditionalFormatting sqref="N219 N221:N222">
    <cfRule type="cellIs" dxfId="57" priority="60" stopIfTrue="1" operator="notEqual">
      <formula>""</formula>
    </cfRule>
  </conditionalFormatting>
  <conditionalFormatting sqref="N219 N221:N222">
    <cfRule type="cellIs" dxfId="56" priority="59" stopIfTrue="1" operator="greaterThan">
      <formula>0</formula>
    </cfRule>
  </conditionalFormatting>
  <conditionalFormatting sqref="N220">
    <cfRule type="cellIs" dxfId="55" priority="58" stopIfTrue="1" operator="notEqual">
      <formula>""</formula>
    </cfRule>
  </conditionalFormatting>
  <conditionalFormatting sqref="N220">
    <cfRule type="cellIs" dxfId="54" priority="57" stopIfTrue="1" operator="greaterThan">
      <formula>0</formula>
    </cfRule>
  </conditionalFormatting>
  <conditionalFormatting sqref="M222">
    <cfRule type="cellIs" dxfId="53" priority="56" stopIfTrue="1" operator="greaterThan">
      <formula>0</formula>
    </cfRule>
  </conditionalFormatting>
  <conditionalFormatting sqref="C146">
    <cfRule type="cellIs" dxfId="52" priority="55" stopIfTrue="1" operator="greaterThan">
      <formula>0</formula>
    </cfRule>
  </conditionalFormatting>
  <conditionalFormatting sqref="Q51">
    <cfRule type="cellIs" dxfId="51" priority="54" stopIfTrue="1" operator="greaterThan">
      <formula>0</formula>
    </cfRule>
  </conditionalFormatting>
  <conditionalFormatting sqref="Q51">
    <cfRule type="cellIs" dxfId="50" priority="53" stopIfTrue="1" operator="notEqual">
      <formula>""</formula>
    </cfRule>
  </conditionalFormatting>
  <conditionalFormatting sqref="O12">
    <cfRule type="cellIs" dxfId="49" priority="52" stopIfTrue="1" operator="greaterThan">
      <formula>0</formula>
    </cfRule>
  </conditionalFormatting>
  <conditionalFormatting sqref="O12">
    <cfRule type="cellIs" dxfId="48" priority="51" stopIfTrue="1" operator="notEqual">
      <formula>""</formula>
    </cfRule>
  </conditionalFormatting>
  <conditionalFormatting sqref="O13">
    <cfRule type="cellIs" dxfId="47" priority="50" stopIfTrue="1" operator="greaterThan">
      <formula>0</formula>
    </cfRule>
  </conditionalFormatting>
  <conditionalFormatting sqref="O13">
    <cfRule type="cellIs" dxfId="46" priority="49" stopIfTrue="1" operator="notEqual">
      <formula>""</formula>
    </cfRule>
  </conditionalFormatting>
  <conditionalFormatting sqref="O14">
    <cfRule type="cellIs" dxfId="45" priority="48" stopIfTrue="1" operator="greaterThan">
      <formula>0</formula>
    </cfRule>
  </conditionalFormatting>
  <conditionalFormatting sqref="O14">
    <cfRule type="cellIs" dxfId="44" priority="47" stopIfTrue="1" operator="notEqual">
      <formula>""</formula>
    </cfRule>
  </conditionalFormatting>
  <conditionalFormatting sqref="O15">
    <cfRule type="cellIs" dxfId="43" priority="46" stopIfTrue="1" operator="greaterThan">
      <formula>0</formula>
    </cfRule>
  </conditionalFormatting>
  <conditionalFormatting sqref="O15">
    <cfRule type="cellIs" dxfId="42" priority="45" stopIfTrue="1" operator="notEqual">
      <formula>""</formula>
    </cfRule>
  </conditionalFormatting>
  <conditionalFormatting sqref="O29">
    <cfRule type="cellIs" dxfId="41" priority="44" stopIfTrue="1" operator="greaterThan">
      <formula>0</formula>
    </cfRule>
  </conditionalFormatting>
  <conditionalFormatting sqref="O29">
    <cfRule type="cellIs" dxfId="40" priority="43" stopIfTrue="1" operator="notEqual">
      <formula>""</formula>
    </cfRule>
  </conditionalFormatting>
  <conditionalFormatting sqref="O30">
    <cfRule type="cellIs" dxfId="39" priority="42" stopIfTrue="1" operator="greaterThan">
      <formula>0</formula>
    </cfRule>
  </conditionalFormatting>
  <conditionalFormatting sqref="O30">
    <cfRule type="cellIs" dxfId="38" priority="41" stopIfTrue="1" operator="notEqual">
      <formula>""</formula>
    </cfRule>
  </conditionalFormatting>
  <conditionalFormatting sqref="O31">
    <cfRule type="cellIs" dxfId="37" priority="40" stopIfTrue="1" operator="greaterThan">
      <formula>0</formula>
    </cfRule>
  </conditionalFormatting>
  <conditionalFormatting sqref="O31">
    <cfRule type="cellIs" dxfId="36" priority="39" stopIfTrue="1" operator="notEqual">
      <formula>""</formula>
    </cfRule>
  </conditionalFormatting>
  <conditionalFormatting sqref="O32">
    <cfRule type="cellIs" dxfId="35" priority="38" stopIfTrue="1" operator="greaterThan">
      <formula>0</formula>
    </cfRule>
  </conditionalFormatting>
  <conditionalFormatting sqref="O32">
    <cfRule type="cellIs" dxfId="34" priority="37" stopIfTrue="1" operator="notEqual">
      <formula>""</formula>
    </cfRule>
  </conditionalFormatting>
  <conditionalFormatting sqref="O48">
    <cfRule type="cellIs" dxfId="33" priority="36" stopIfTrue="1" operator="greaterThan">
      <formula>0</formula>
    </cfRule>
  </conditionalFormatting>
  <conditionalFormatting sqref="O48">
    <cfRule type="cellIs" dxfId="32" priority="35" stopIfTrue="1" operator="notEqual">
      <formula>""</formula>
    </cfRule>
  </conditionalFormatting>
  <conditionalFormatting sqref="O49">
    <cfRule type="cellIs" dxfId="31" priority="34" stopIfTrue="1" operator="greaterThan">
      <formula>0</formula>
    </cfRule>
  </conditionalFormatting>
  <conditionalFormatting sqref="O49">
    <cfRule type="cellIs" dxfId="30" priority="33" stopIfTrue="1" operator="notEqual">
      <formula>""</formula>
    </cfRule>
  </conditionalFormatting>
  <conditionalFormatting sqref="O50">
    <cfRule type="cellIs" dxfId="29" priority="32" stopIfTrue="1" operator="greaterThan">
      <formula>0</formula>
    </cfRule>
  </conditionalFormatting>
  <conditionalFormatting sqref="O50">
    <cfRule type="cellIs" dxfId="28" priority="31" stopIfTrue="1" operator="notEqual">
      <formula>""</formula>
    </cfRule>
  </conditionalFormatting>
  <conditionalFormatting sqref="O51">
    <cfRule type="cellIs" dxfId="27" priority="30" stopIfTrue="1" operator="greaterThan">
      <formula>0</formula>
    </cfRule>
  </conditionalFormatting>
  <conditionalFormatting sqref="O51">
    <cfRule type="cellIs" dxfId="26" priority="29" stopIfTrue="1" operator="notEqual">
      <formula>""</formula>
    </cfRule>
  </conditionalFormatting>
  <conditionalFormatting sqref="O67">
    <cfRule type="cellIs" dxfId="25" priority="28" stopIfTrue="1" operator="greaterThan">
      <formula>0</formula>
    </cfRule>
  </conditionalFormatting>
  <conditionalFormatting sqref="O67">
    <cfRule type="cellIs" dxfId="24" priority="27" stopIfTrue="1" operator="notEqual">
      <formula>""</formula>
    </cfRule>
  </conditionalFormatting>
  <conditionalFormatting sqref="O68">
    <cfRule type="cellIs" dxfId="23" priority="26" stopIfTrue="1" operator="greaterThan">
      <formula>0</formula>
    </cfRule>
  </conditionalFormatting>
  <conditionalFormatting sqref="O68">
    <cfRule type="cellIs" dxfId="22" priority="25" stopIfTrue="1" operator="notEqual">
      <formula>""</formula>
    </cfRule>
  </conditionalFormatting>
  <conditionalFormatting sqref="O69">
    <cfRule type="cellIs" dxfId="21" priority="24" stopIfTrue="1" operator="greaterThan">
      <formula>0</formula>
    </cfRule>
  </conditionalFormatting>
  <conditionalFormatting sqref="O69">
    <cfRule type="cellIs" dxfId="20" priority="23" stopIfTrue="1" operator="notEqual">
      <formula>""</formula>
    </cfRule>
  </conditionalFormatting>
  <conditionalFormatting sqref="O70">
    <cfRule type="cellIs" dxfId="19" priority="22" stopIfTrue="1" operator="greaterThan">
      <formula>0</formula>
    </cfRule>
  </conditionalFormatting>
  <conditionalFormatting sqref="O70">
    <cfRule type="cellIs" dxfId="18" priority="21" stopIfTrue="1" operator="notEqual">
      <formula>""</formula>
    </cfRule>
  </conditionalFormatting>
  <conditionalFormatting sqref="D335">
    <cfRule type="cellIs" dxfId="17" priority="20" stopIfTrue="1" operator="notEqual">
      <formula>""</formula>
    </cfRule>
  </conditionalFormatting>
  <conditionalFormatting sqref="D335">
    <cfRule type="cellIs" dxfId="16" priority="19" stopIfTrue="1" operator="greaterThan">
      <formula>0</formula>
    </cfRule>
  </conditionalFormatting>
  <conditionalFormatting sqref="I315">
    <cfRule type="cellIs" dxfId="15" priority="18" stopIfTrue="1" operator="notEqual">
      <formula>""</formula>
    </cfRule>
  </conditionalFormatting>
  <conditionalFormatting sqref="I315">
    <cfRule type="cellIs" dxfId="14" priority="17" stopIfTrue="1" operator="greaterThan">
      <formula>0</formula>
    </cfRule>
  </conditionalFormatting>
  <conditionalFormatting sqref="I316">
    <cfRule type="cellIs" dxfId="13" priority="16" stopIfTrue="1" operator="notEqual">
      <formula>""</formula>
    </cfRule>
  </conditionalFormatting>
  <conditionalFormatting sqref="I316">
    <cfRule type="cellIs" dxfId="12" priority="15" stopIfTrue="1" operator="greaterThan">
      <formula>0</formula>
    </cfRule>
  </conditionalFormatting>
  <conditionalFormatting sqref="N315">
    <cfRule type="cellIs" dxfId="11" priority="14" stopIfTrue="1" operator="notEqual">
      <formula>""</formula>
    </cfRule>
  </conditionalFormatting>
  <conditionalFormatting sqref="N315">
    <cfRule type="cellIs" dxfId="10" priority="13" stopIfTrue="1" operator="greaterThan">
      <formula>0</formula>
    </cfRule>
  </conditionalFormatting>
  <conditionalFormatting sqref="N316">
    <cfRule type="cellIs" dxfId="9" priority="12" stopIfTrue="1" operator="notEqual">
      <formula>""</formula>
    </cfRule>
  </conditionalFormatting>
  <conditionalFormatting sqref="N316">
    <cfRule type="cellIs" dxfId="8" priority="11" stopIfTrue="1" operator="greaterThan">
      <formula>0</formula>
    </cfRule>
  </conditionalFormatting>
  <conditionalFormatting sqref="N313">
    <cfRule type="cellIs" dxfId="7" priority="8" stopIfTrue="1" operator="notEqual">
      <formula>""</formula>
    </cfRule>
  </conditionalFormatting>
  <conditionalFormatting sqref="N313">
    <cfRule type="cellIs" dxfId="6" priority="7" stopIfTrue="1" operator="greaterThan">
      <formula>0</formula>
    </cfRule>
  </conditionalFormatting>
  <conditionalFormatting sqref="N374">
    <cfRule type="cellIs" dxfId="5" priority="6" stopIfTrue="1" operator="notEqual">
      <formula>""</formula>
    </cfRule>
  </conditionalFormatting>
  <conditionalFormatting sqref="N374">
    <cfRule type="cellIs" dxfId="4" priority="5" stopIfTrue="1" operator="greaterThan">
      <formula>0</formula>
    </cfRule>
  </conditionalFormatting>
  <conditionalFormatting sqref="N162">
    <cfRule type="cellIs" dxfId="3" priority="4" stopIfTrue="1" operator="notEqual">
      <formula>""</formula>
    </cfRule>
  </conditionalFormatting>
  <conditionalFormatting sqref="N162">
    <cfRule type="cellIs" dxfId="2" priority="3" stopIfTrue="1" operator="greaterThan">
      <formula>0</formula>
    </cfRule>
  </conditionalFormatting>
  <conditionalFormatting sqref="N374">
    <cfRule type="cellIs" dxfId="1" priority="2" stopIfTrue="1" operator="notEqual">
      <formula>""</formula>
    </cfRule>
  </conditionalFormatting>
  <conditionalFormatting sqref="N374">
    <cfRule type="cellIs" dxfId="0" priority="1" stopIfTrue="1" operator="greaterThan">
      <formula>0</formula>
    </cfRule>
  </conditionalFormatting>
  <dataValidations disablePrompts="1" count="1">
    <dataValidation operator="greaterThan" allowBlank="1" showInputMessage="1" showErrorMessage="1" sqref="K13:K15 K12:L12 K30:K32 K29:L29 K49:K51 K48:L48 L50 K68:K70 K67:L67 L68:L69 K105:K108 K124:K127 K143:K146 K86:K89 K238:K241 K257:K260 K276:K279 K295:K298 K313:K316 K333:K336 K353:K356 K373:K376 K162:K165 K181:K184 K200:K203 K219:K222"/>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INTRO</vt:lpstr>
      <vt:lpstr>Requisitos</vt:lpstr>
      <vt:lpstr>Proponentes</vt:lpstr>
      <vt:lpstr>Resumen</vt:lpstr>
      <vt:lpstr>E Genreal</vt:lpstr>
      <vt:lpstr>E Específica</vt:lpstr>
      <vt:lpstr>LIDERGEN</vt:lpstr>
      <vt:lpstr>MINGEN</vt:lpstr>
      <vt:lpstr>PO</vt:lpstr>
      <vt:lpstr>SUMAGEN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dc:creator>
  <cp:lastModifiedBy>Monica Francisca Olarte Gamarra</cp:lastModifiedBy>
  <dcterms:created xsi:type="dcterms:W3CDTF">2014-06-06T14:26:53Z</dcterms:created>
  <dcterms:modified xsi:type="dcterms:W3CDTF">2014-07-31T17:44:20Z</dcterms:modified>
</cp:coreProperties>
</file>