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herrera\Desktop\julio 29\"/>
    </mc:Choice>
  </mc:AlternateContent>
  <bookViews>
    <workbookView xWindow="0" yWindow="0" windowWidth="24000" windowHeight="10425" activeTab="2"/>
  </bookViews>
  <sheets>
    <sheet name="Resumen" sheetId="3" r:id="rId1"/>
    <sheet name="Pliegos" sheetId="1" r:id="rId2"/>
    <sheet name="Matriz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" i="2" l="1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W28" i="2" l="1"/>
  <c r="W27" i="2"/>
  <c r="W26" i="2"/>
  <c r="W25" i="2"/>
  <c r="W4" i="2"/>
  <c r="S4" i="2"/>
  <c r="M28" i="2" l="1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Q4" i="2" l="1"/>
  <c r="V4" i="2" s="1"/>
  <c r="P4" i="2"/>
  <c r="U4" i="2" s="1"/>
  <c r="AA28" i="2" l="1"/>
  <c r="Z28" i="2"/>
  <c r="S28" i="2"/>
  <c r="Q28" i="2"/>
  <c r="V28" i="2" s="1"/>
  <c r="P28" i="2"/>
  <c r="U28" i="2" s="1"/>
  <c r="AA27" i="2"/>
  <c r="AC27" i="2" s="1"/>
  <c r="Z27" i="2"/>
  <c r="S27" i="2"/>
  <c r="Q27" i="2"/>
  <c r="V27" i="2" s="1"/>
  <c r="P27" i="2"/>
  <c r="AA26" i="2"/>
  <c r="Z26" i="2"/>
  <c r="S26" i="2"/>
  <c r="Q26" i="2"/>
  <c r="V26" i="2" s="1"/>
  <c r="P26" i="2"/>
  <c r="U26" i="2" s="1"/>
  <c r="AA25" i="2"/>
  <c r="Z25" i="2"/>
  <c r="S25" i="2"/>
  <c r="Q25" i="2"/>
  <c r="V25" i="2" s="1"/>
  <c r="P25" i="2"/>
  <c r="AA24" i="2"/>
  <c r="Z24" i="2"/>
  <c r="S24" i="2"/>
  <c r="W24" i="2"/>
  <c r="Q24" i="2"/>
  <c r="V24" i="2" s="1"/>
  <c r="P24" i="2"/>
  <c r="U24" i="2" s="1"/>
  <c r="AA23" i="2"/>
  <c r="Z23" i="2"/>
  <c r="S23" i="2"/>
  <c r="W23" i="2"/>
  <c r="Q23" i="2"/>
  <c r="V23" i="2" s="1"/>
  <c r="P23" i="2"/>
  <c r="AA22" i="2"/>
  <c r="Z22" i="2"/>
  <c r="S22" i="2"/>
  <c r="W22" i="2"/>
  <c r="Q22" i="2"/>
  <c r="V22" i="2" s="1"/>
  <c r="P22" i="2"/>
  <c r="U22" i="2" s="1"/>
  <c r="AA21" i="2"/>
  <c r="AC21" i="2" s="1"/>
  <c r="Z21" i="2"/>
  <c r="S21" i="2"/>
  <c r="W21" i="2"/>
  <c r="Q21" i="2"/>
  <c r="V21" i="2" s="1"/>
  <c r="P21" i="2"/>
  <c r="AA20" i="2"/>
  <c r="Z20" i="2"/>
  <c r="S20" i="2"/>
  <c r="W20" i="2"/>
  <c r="Q20" i="2"/>
  <c r="V20" i="2" s="1"/>
  <c r="P20" i="2"/>
  <c r="U20" i="2" s="1"/>
  <c r="AA19" i="2"/>
  <c r="Z19" i="2"/>
  <c r="S19" i="2"/>
  <c r="W19" i="2"/>
  <c r="Q19" i="2"/>
  <c r="V19" i="2" s="1"/>
  <c r="P19" i="2"/>
  <c r="AA18" i="2"/>
  <c r="Z18" i="2"/>
  <c r="S18" i="2"/>
  <c r="W18" i="2"/>
  <c r="Q18" i="2"/>
  <c r="V18" i="2" s="1"/>
  <c r="P18" i="2"/>
  <c r="U18" i="2" s="1"/>
  <c r="AA17" i="2"/>
  <c r="Z17" i="2"/>
  <c r="S17" i="2"/>
  <c r="W17" i="2"/>
  <c r="Q17" i="2"/>
  <c r="V17" i="2" s="1"/>
  <c r="P17" i="2"/>
  <c r="AA16" i="2"/>
  <c r="Z16" i="2"/>
  <c r="S16" i="2"/>
  <c r="W16" i="2"/>
  <c r="Q16" i="2"/>
  <c r="V16" i="2" s="1"/>
  <c r="P16" i="2"/>
  <c r="U16" i="2" s="1"/>
  <c r="AA15" i="2"/>
  <c r="Z15" i="2"/>
  <c r="S15" i="2"/>
  <c r="W15" i="2"/>
  <c r="Q15" i="2"/>
  <c r="V15" i="2" s="1"/>
  <c r="P15" i="2"/>
  <c r="AA14" i="2"/>
  <c r="Z14" i="2"/>
  <c r="S14" i="2"/>
  <c r="W14" i="2"/>
  <c r="Q14" i="2"/>
  <c r="V14" i="2" s="1"/>
  <c r="P14" i="2"/>
  <c r="U14" i="2" s="1"/>
  <c r="AA13" i="2"/>
  <c r="Z13" i="2"/>
  <c r="S13" i="2"/>
  <c r="W13" i="2"/>
  <c r="Q13" i="2"/>
  <c r="V13" i="2" s="1"/>
  <c r="P13" i="2"/>
  <c r="AA12" i="2"/>
  <c r="Z12" i="2"/>
  <c r="S12" i="2"/>
  <c r="W12" i="2"/>
  <c r="Q12" i="2"/>
  <c r="V12" i="2" s="1"/>
  <c r="P12" i="2"/>
  <c r="U12" i="2" s="1"/>
  <c r="AA11" i="2"/>
  <c r="Z11" i="2"/>
  <c r="S11" i="2"/>
  <c r="W11" i="2"/>
  <c r="Q11" i="2"/>
  <c r="V11" i="2" s="1"/>
  <c r="P11" i="2"/>
  <c r="AA10" i="2"/>
  <c r="Z10" i="2"/>
  <c r="S10" i="2"/>
  <c r="W10" i="2"/>
  <c r="Q10" i="2"/>
  <c r="V10" i="2" s="1"/>
  <c r="P10" i="2"/>
  <c r="U10" i="2" s="1"/>
  <c r="AA9" i="2"/>
  <c r="Z9" i="2"/>
  <c r="S9" i="2"/>
  <c r="W9" i="2"/>
  <c r="Q9" i="2"/>
  <c r="V9" i="2" s="1"/>
  <c r="P9" i="2"/>
  <c r="Z8" i="2"/>
  <c r="S8" i="2"/>
  <c r="W8" i="2"/>
  <c r="Q8" i="2"/>
  <c r="V8" i="2" s="1"/>
  <c r="P8" i="2"/>
  <c r="U8" i="2" s="1"/>
  <c r="AA8" i="2"/>
  <c r="AA7" i="2"/>
  <c r="Z7" i="2"/>
  <c r="S7" i="2"/>
  <c r="W7" i="2"/>
  <c r="Q7" i="2"/>
  <c r="V7" i="2" s="1"/>
  <c r="P7" i="2"/>
  <c r="U7" i="2" s="1"/>
  <c r="AA6" i="2"/>
  <c r="Z6" i="2"/>
  <c r="S6" i="2"/>
  <c r="W6" i="2"/>
  <c r="Q6" i="2"/>
  <c r="V6" i="2" s="1"/>
  <c r="P6" i="2"/>
  <c r="AB27" i="2" l="1"/>
  <c r="AD27" i="2" s="1"/>
  <c r="AC25" i="2"/>
  <c r="AB25" i="2"/>
  <c r="AD25" i="2" s="1"/>
  <c r="AB23" i="2"/>
  <c r="AC23" i="2"/>
  <c r="AB21" i="2"/>
  <c r="AD21" i="2" s="1"/>
  <c r="AB19" i="2"/>
  <c r="AC19" i="2"/>
  <c r="AB17" i="2"/>
  <c r="AC17" i="2"/>
  <c r="AB15" i="2"/>
  <c r="AC15" i="2"/>
  <c r="AB13" i="2"/>
  <c r="AC13" i="2"/>
  <c r="AB9" i="2"/>
  <c r="AB11" i="2"/>
  <c r="AC11" i="2"/>
  <c r="AC9" i="2"/>
  <c r="AB6" i="2"/>
  <c r="AC6" i="2"/>
  <c r="U11" i="2"/>
  <c r="U21" i="2"/>
  <c r="U27" i="2"/>
  <c r="U9" i="2"/>
  <c r="U13" i="2"/>
  <c r="U19" i="2"/>
  <c r="U15" i="2"/>
  <c r="U25" i="2"/>
  <c r="U6" i="2"/>
  <c r="U17" i="2"/>
  <c r="U23" i="2"/>
  <c r="T27" i="2"/>
  <c r="T25" i="2"/>
  <c r="T23" i="2"/>
  <c r="T21" i="2"/>
  <c r="T19" i="2"/>
  <c r="T17" i="2"/>
  <c r="T15" i="2"/>
  <c r="T13" i="2"/>
  <c r="T11" i="2"/>
  <c r="T9" i="2"/>
  <c r="T6" i="2"/>
  <c r="X15" i="2" l="1"/>
  <c r="Y15" i="2" s="1"/>
  <c r="X25" i="2"/>
  <c r="Y25" i="2" s="1"/>
  <c r="AD23" i="2"/>
  <c r="AD19" i="2"/>
  <c r="AD15" i="2"/>
  <c r="AD17" i="2"/>
  <c r="AD13" i="2"/>
  <c r="AD9" i="2"/>
  <c r="AD11" i="2"/>
  <c r="AD6" i="2"/>
  <c r="Q5" i="2"/>
  <c r="V5" i="2" s="1"/>
  <c r="P5" i="2"/>
  <c r="U5" i="2" s="1"/>
  <c r="S5" i="2"/>
  <c r="T4" i="2" s="1"/>
  <c r="X4" i="2" s="1"/>
  <c r="C3" i="1"/>
  <c r="D3" i="1" s="1"/>
  <c r="X13" i="2" s="1"/>
  <c r="Y13" i="2" s="1"/>
  <c r="X27" i="2" l="1"/>
  <c r="Y27" i="2" s="1"/>
  <c r="X17" i="2"/>
  <c r="Y17" i="2" s="1"/>
  <c r="X6" i="2"/>
  <c r="Y6" i="2" s="1"/>
  <c r="X19" i="2"/>
  <c r="Y19" i="2" s="1"/>
  <c r="X9" i="2"/>
  <c r="Y9" i="2" s="1"/>
  <c r="X21" i="2"/>
  <c r="Y21" i="2" s="1"/>
  <c r="X11" i="2"/>
  <c r="Y11" i="2" s="1"/>
  <c r="X23" i="2"/>
  <c r="Y23" i="2" s="1"/>
  <c r="Z4" i="2"/>
  <c r="AA4" i="2"/>
  <c r="W5" i="2"/>
  <c r="Y4" i="2" s="1"/>
  <c r="Z5" i="2"/>
  <c r="AA5" i="2"/>
  <c r="AC4" i="2" l="1"/>
  <c r="AB4" i="2"/>
  <c r="AD4" i="2" l="1"/>
</calcChain>
</file>

<file path=xl/sharedStrings.xml><?xml version="1.0" encoding="utf-8"?>
<sst xmlns="http://schemas.openxmlformats.org/spreadsheetml/2006/main" count="232" uniqueCount="110">
  <si>
    <t>Módulo</t>
  </si>
  <si>
    <t>Presupuesto</t>
  </si>
  <si>
    <t>KT</t>
  </si>
  <si>
    <t>KT Líder</t>
  </si>
  <si>
    <t>Liquidez</t>
  </si>
  <si>
    <t>Endeudamiento</t>
  </si>
  <si>
    <t xml:space="preserve">Cobertura de Intereses </t>
  </si>
  <si>
    <t>N°.</t>
  </si>
  <si>
    <t>PROPONENTE</t>
  </si>
  <si>
    <t>MIEMBRO ESTRUCTURA</t>
  </si>
  <si>
    <t>PART. %</t>
  </si>
  <si>
    <t>FECHA DE CORTE</t>
  </si>
  <si>
    <t>MONEDA</t>
  </si>
  <si>
    <t>ACTIVO</t>
  </si>
  <si>
    <t>PASIVO</t>
  </si>
  <si>
    <t>HÁBIL/NO HÁBIL</t>
  </si>
  <si>
    <t>ACTIVO CTE.
$ COP</t>
  </si>
  <si>
    <t>ACTIVO TOTAL 
$ COP</t>
  </si>
  <si>
    <t>PASIVO CTE. 
$ COP</t>
  </si>
  <si>
    <t>PASIVO TOTAL 
$ COP</t>
  </si>
  <si>
    <t>KW</t>
  </si>
  <si>
    <t>Módulo &gt; al que aplica</t>
  </si>
  <si>
    <t>FOLIO RUP ó FORMATO 2</t>
  </si>
  <si>
    <t>UTILIDAD OPERACIONAL</t>
  </si>
  <si>
    <t>GASTO INTERESES</t>
  </si>
  <si>
    <t>PATRIMONIO
$ COP</t>
  </si>
  <si>
    <t>LIQUIDEZ INTEGRANTE</t>
  </si>
  <si>
    <t>ENDEUDAMIENTO
INTEGRANTE</t>
  </si>
  <si>
    <t>COBERTURA INTERESES
INTEGRANTE</t>
  </si>
  <si>
    <t>CAPITAL DE TRABAJO
INTEGRANTE</t>
  </si>
  <si>
    <t>CAPITAL DE TRABAJO
ESTRUCTURA PLURAL</t>
  </si>
  <si>
    <t>CUMPLE LIQUIDEZ</t>
  </si>
  <si>
    <t>CUMPLE ENDEUDAMIENTO</t>
  </si>
  <si>
    <t>CUMPLE COBERTURA INTERESES</t>
  </si>
  <si>
    <t>CUMPLE CAPITAL DE TRABAJO</t>
  </si>
  <si>
    <t>RENTABILIDAD ACTIVO</t>
  </si>
  <si>
    <t>RENTABILIAD PATRIMONIO</t>
  </si>
  <si>
    <t>CUMPLE ROA</t>
  </si>
  <si>
    <t>CUMPLE ROE</t>
  </si>
  <si>
    <t>Rentabilidad Activo (ROA) &gt; 0</t>
  </si>
  <si>
    <t>Rentabilidad Patrimonio (ROE) &gt; 0</t>
  </si>
  <si>
    <t>P&amp;G</t>
  </si>
  <si>
    <t>CAPACIDAD 
FINANCIERA</t>
  </si>
  <si>
    <t>CAPACIDAD 
ORGANIZACIONAL</t>
  </si>
  <si>
    <t>Unión Temporal Aeropuertos</t>
  </si>
  <si>
    <t>AFA Consultores y Constructores S.A.</t>
  </si>
  <si>
    <t>INCGROUP S.A.S.</t>
  </si>
  <si>
    <t>30-39</t>
  </si>
  <si>
    <t>40-50</t>
  </si>
  <si>
    <t>COP</t>
  </si>
  <si>
    <t>Consorcio Aero - Nororiente</t>
  </si>
  <si>
    <t>Ardanuy Ingenieria S.A.</t>
  </si>
  <si>
    <t>Planes S.A.</t>
  </si>
  <si>
    <t>IV Ingenieros Consultores Colombia S.A.</t>
  </si>
  <si>
    <t>38-66</t>
  </si>
  <si>
    <t>67-90</t>
  </si>
  <si>
    <t>91-142</t>
  </si>
  <si>
    <t>Consorcio Interventoria de Aeropuertos de Nororiente</t>
  </si>
  <si>
    <t>Ingenieria Consultoria y Planeación S.A. INCOPLAN S.A.</t>
  </si>
  <si>
    <t>SEG Ingenieria S.A.S.</t>
  </si>
  <si>
    <t>47-85</t>
  </si>
  <si>
    <t>86-134</t>
  </si>
  <si>
    <t>Consorcio Aeropistas Nororiente</t>
  </si>
  <si>
    <t>Arredondo Madrid Ingenieros Civiles (A.I.M) LTDA</t>
  </si>
  <si>
    <t>CELQO S.A.S.</t>
  </si>
  <si>
    <t>24-70</t>
  </si>
  <si>
    <t>71-77</t>
  </si>
  <si>
    <t>Consorcio Unido INXI</t>
  </si>
  <si>
    <t>Ingenieria y Consultoria INGECON S.A.S.</t>
  </si>
  <si>
    <t>Ingenieria y Desarrollo XIMA de Colombia S.A.S.</t>
  </si>
  <si>
    <t>45-72</t>
  </si>
  <si>
    <t>73-87</t>
  </si>
  <si>
    <t>Consorcio Nororiente</t>
  </si>
  <si>
    <t>C&amp;M Consultores S.A.</t>
  </si>
  <si>
    <t>Euroestudios S.A.S.</t>
  </si>
  <si>
    <t>22-31</t>
  </si>
  <si>
    <t>32-87</t>
  </si>
  <si>
    <t>Consorcio Aeropuerto 2014</t>
  </si>
  <si>
    <t xml:space="preserve">EPYPSA Colombia </t>
  </si>
  <si>
    <t>CB Ingenieros S.A.</t>
  </si>
  <si>
    <t>26-44</t>
  </si>
  <si>
    <t>46-56</t>
  </si>
  <si>
    <t>Consorcio Cinco</t>
  </si>
  <si>
    <t>Velnec S.A.</t>
  </si>
  <si>
    <t>Diego Ignacio Arenas</t>
  </si>
  <si>
    <t>26-47</t>
  </si>
  <si>
    <t>48-90</t>
  </si>
  <si>
    <t>Consorcio Diconsultoria Serinco</t>
  </si>
  <si>
    <t>Serinco España Sucursal en Colombia</t>
  </si>
  <si>
    <t>Diconsultoria S.A.</t>
  </si>
  <si>
    <t>29-52</t>
  </si>
  <si>
    <t>54-64</t>
  </si>
  <si>
    <t>Consorcio Intersa - Omicron</t>
  </si>
  <si>
    <t>Omicron - Amepro S.A.</t>
  </si>
  <si>
    <t>Intersa S.A.</t>
  </si>
  <si>
    <t>50-101</t>
  </si>
  <si>
    <t>En el RUP de SERINCO España aparece la rentabilidad del Patromonio y del activo en cero (folio 56), sin embargo, el calculo a partir de las cifras registradas en el RUP (activo total, utilidad operacional y patrimonio), folio 55 del mismo, da en 0,55% y 0,46% respectivamente, entendiense que son valores positivos.</t>
  </si>
  <si>
    <t>157-163</t>
  </si>
  <si>
    <t>Consorcio Aero Norte</t>
  </si>
  <si>
    <t>ICEACSA Consultores Sucursal Colombia</t>
  </si>
  <si>
    <t>Diego Fonseca Chaves</t>
  </si>
  <si>
    <t>29-67</t>
  </si>
  <si>
    <t>69-85</t>
  </si>
  <si>
    <t>Consorcio UG-PEB</t>
  </si>
  <si>
    <t>Consultores de Ingenieria UG21, Sucursal en Colombia</t>
  </si>
  <si>
    <t>Paulo Emilio Bravo Consultores S.A.S.</t>
  </si>
  <si>
    <t>37-46</t>
  </si>
  <si>
    <t>47-65</t>
  </si>
  <si>
    <t>HÁBIL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</si>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</sst>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&quot;$&quot;\ #,##0_);\(&quot;$&quot;\ #,##0\)"/>
    <numFmt numFmtId="167" formatCode="_(&quot;$&quot;\ * #,##0.00_);_(&quot;$&quot;\ * \(#,##0.00\);_(&quot;$&quot;\ * &quot;-&quot;??_);_(@_)"/>
    <numFmt numFmtId="168" formatCode="_-* #,##0\ _€_-;\-* #,##0\ _€_-;_-* &quot;-&quot;??\ _€_-;_-@_-"/>
    <numFmt numFmtId="169" formatCode="_(&quot;$&quot;\ * #,##0_);_(&quot;$&quot;\ * \(#,##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0" fontId="2" fillId="0" borderId="0" xfId="0" applyFont="1" applyAlignment="1">
      <alignment horizontal="center"/>
    </xf>
    <xf numFmtId="10" fontId="0" fillId="2" borderId="0" xfId="0" applyNumberFormat="1" applyFill="1" applyAlignment="1">
      <alignment horizontal="center"/>
    </xf>
    <xf numFmtId="9" fontId="0" fillId="0" borderId="0" xfId="0" applyNumberFormat="1"/>
    <xf numFmtId="9" fontId="0" fillId="2" borderId="0" xfId="0" applyNumberFormat="1" applyFill="1" applyAlignment="1">
      <alignment horizontal="center"/>
    </xf>
    <xf numFmtId="43" fontId="0" fillId="0" borderId="0" xfId="1" applyNumberFormat="1" applyFont="1"/>
    <xf numFmtId="169" fontId="5" fillId="0" borderId="5" xfId="5" applyNumberFormat="1" applyFont="1" applyFill="1" applyBorder="1" applyAlignment="1">
      <alignment horizontal="center" vertical="center" wrapText="1"/>
    </xf>
    <xf numFmtId="169" fontId="5" fillId="0" borderId="12" xfId="5" applyNumberFormat="1" applyFont="1" applyFill="1" applyBorder="1" applyAlignment="1">
      <alignment horizontal="center" vertical="center" wrapText="1"/>
    </xf>
    <xf numFmtId="169" fontId="5" fillId="0" borderId="5" xfId="5" applyNumberFormat="1" applyFont="1" applyFill="1" applyBorder="1" applyAlignment="1">
      <alignment horizontal="center" vertical="center" wrapText="1"/>
    </xf>
    <xf numFmtId="169" fontId="5" fillId="0" borderId="12" xfId="5" applyNumberFormat="1" applyFont="1" applyFill="1" applyBorder="1" applyAlignment="1">
      <alignment horizontal="center" vertical="center" wrapText="1"/>
    </xf>
    <xf numFmtId="3" fontId="4" fillId="0" borderId="9" xfId="5" applyNumberFormat="1" applyFont="1" applyFill="1" applyBorder="1" applyAlignment="1">
      <alignment horizontal="right" vertical="center" wrapText="1"/>
    </xf>
    <xf numFmtId="2" fontId="4" fillId="3" borderId="9" xfId="7" applyNumberFormat="1" applyFont="1" applyFill="1" applyBorder="1" applyAlignment="1">
      <alignment horizontal="center" vertical="center"/>
    </xf>
    <xf numFmtId="10" fontId="4" fillId="3" borderId="9" xfId="6" applyNumberFormat="1" applyFont="1" applyFill="1" applyBorder="1" applyAlignment="1">
      <alignment horizontal="center" vertical="center"/>
    </xf>
    <xf numFmtId="2" fontId="4" fillId="3" borderId="12" xfId="7" applyNumberFormat="1" applyFont="1" applyFill="1" applyBorder="1" applyAlignment="1">
      <alignment horizontal="center" vertical="center"/>
    </xf>
    <xf numFmtId="10" fontId="4" fillId="3" borderId="12" xfId="6" applyNumberFormat="1" applyFont="1" applyFill="1" applyBorder="1" applyAlignment="1">
      <alignment horizontal="center" vertical="center"/>
    </xf>
    <xf numFmtId="37" fontId="4" fillId="0" borderId="12" xfId="5" applyNumberFormat="1" applyFont="1" applyFill="1" applyBorder="1" applyAlignment="1">
      <alignment horizontal="right" vertical="center"/>
    </xf>
    <xf numFmtId="2" fontId="4" fillId="3" borderId="7" xfId="7" applyNumberFormat="1" applyFont="1" applyFill="1" applyBorder="1" applyAlignment="1">
      <alignment horizontal="center" vertical="center"/>
    </xf>
    <xf numFmtId="10" fontId="4" fillId="3" borderId="7" xfId="6" applyNumberFormat="1" applyFont="1" applyFill="1" applyBorder="1" applyAlignment="1">
      <alignment horizontal="center" vertical="center"/>
    </xf>
    <xf numFmtId="37" fontId="4" fillId="0" borderId="7" xfId="5" applyNumberFormat="1" applyFont="1" applyFill="1" applyBorder="1" applyAlignment="1">
      <alignment horizontal="right" vertical="center"/>
    </xf>
    <xf numFmtId="37" fontId="4" fillId="0" borderId="9" xfId="5" applyNumberFormat="1" applyFont="1" applyFill="1" applyBorder="1" applyAlignment="1">
      <alignment horizontal="right" vertical="center"/>
    </xf>
    <xf numFmtId="3" fontId="4" fillId="0" borderId="7" xfId="5" applyNumberFormat="1" applyFont="1" applyFill="1" applyBorder="1" applyAlignment="1">
      <alignment horizontal="right" vertical="center" wrapText="1"/>
    </xf>
    <xf numFmtId="3" fontId="4" fillId="0" borderId="12" xfId="5" applyNumberFormat="1" applyFont="1" applyFill="1" applyBorder="1" applyAlignment="1">
      <alignment horizontal="right" vertical="center" wrapText="1"/>
    </xf>
    <xf numFmtId="3" fontId="4" fillId="4" borderId="9" xfId="5" applyNumberFormat="1" applyFont="1" applyFill="1" applyBorder="1" applyAlignment="1">
      <alignment horizontal="right" vertical="center" wrapText="1"/>
    </xf>
    <xf numFmtId="3" fontId="4" fillId="4" borderId="7" xfId="5" applyNumberFormat="1" applyFont="1" applyFill="1" applyBorder="1" applyAlignment="1">
      <alignment horizontal="right" vertical="center" wrapText="1"/>
    </xf>
    <xf numFmtId="3" fontId="4" fillId="4" borderId="12" xfId="5" applyNumberFormat="1" applyFont="1" applyFill="1" applyBorder="1" applyAlignment="1">
      <alignment horizontal="right" vertical="center" wrapText="1"/>
    </xf>
    <xf numFmtId="168" fontId="4" fillId="4" borderId="9" xfId="6" applyNumberFormat="1" applyFont="1" applyFill="1" applyBorder="1" applyAlignment="1">
      <alignment horizontal="left" vertical="center" shrinkToFit="1"/>
    </xf>
    <xf numFmtId="165" fontId="4" fillId="4" borderId="9" xfId="3" applyNumberFormat="1" applyFont="1" applyFill="1" applyBorder="1" applyAlignment="1">
      <alignment horizontal="center" vertical="center"/>
    </xf>
    <xf numFmtId="0" fontId="4" fillId="4" borderId="9" xfId="7" applyNumberFormat="1" applyFont="1" applyFill="1" applyBorder="1" applyAlignment="1">
      <alignment horizontal="center" vertical="center"/>
    </xf>
    <xf numFmtId="15" fontId="4" fillId="4" borderId="9" xfId="7" applyNumberFormat="1" applyFont="1" applyFill="1" applyBorder="1" applyAlignment="1">
      <alignment horizontal="center" vertical="center"/>
    </xf>
    <xf numFmtId="168" fontId="4" fillId="4" borderId="9" xfId="6" applyNumberFormat="1" applyFont="1" applyFill="1" applyBorder="1" applyAlignment="1">
      <alignment horizontal="center" vertical="center" wrapText="1"/>
    </xf>
    <xf numFmtId="168" fontId="4" fillId="4" borderId="7" xfId="6" applyNumberFormat="1" applyFont="1" applyFill="1" applyBorder="1" applyAlignment="1">
      <alignment horizontal="left" vertical="center" shrinkToFit="1"/>
    </xf>
    <xf numFmtId="165" fontId="4" fillId="4" borderId="7" xfId="3" applyNumberFormat="1" applyFont="1" applyFill="1" applyBorder="1" applyAlignment="1">
      <alignment horizontal="center" vertical="center"/>
    </xf>
    <xf numFmtId="0" fontId="4" fillId="4" borderId="7" xfId="7" applyNumberFormat="1" applyFont="1" applyFill="1" applyBorder="1" applyAlignment="1">
      <alignment horizontal="center" vertical="center"/>
    </xf>
    <xf numFmtId="15" fontId="4" fillId="4" borderId="7" xfId="7" applyNumberFormat="1" applyFont="1" applyFill="1" applyBorder="1" applyAlignment="1">
      <alignment horizontal="center" vertical="center"/>
    </xf>
    <xf numFmtId="168" fontId="4" fillId="4" borderId="7" xfId="6" applyNumberFormat="1" applyFont="1" applyFill="1" applyBorder="1" applyAlignment="1">
      <alignment horizontal="center" vertical="center" wrapText="1"/>
    </xf>
    <xf numFmtId="168" fontId="4" fillId="4" borderId="12" xfId="6" applyNumberFormat="1" applyFont="1" applyFill="1" applyBorder="1" applyAlignment="1">
      <alignment horizontal="left" vertical="center" shrinkToFit="1"/>
    </xf>
    <xf numFmtId="165" fontId="4" fillId="4" borderId="12" xfId="3" applyNumberFormat="1" applyFont="1" applyFill="1" applyBorder="1" applyAlignment="1">
      <alignment horizontal="center" vertical="center"/>
    </xf>
    <xf numFmtId="0" fontId="4" fillId="4" borderId="12" xfId="7" applyNumberFormat="1" applyFont="1" applyFill="1" applyBorder="1" applyAlignment="1">
      <alignment horizontal="center" vertical="center"/>
    </xf>
    <xf numFmtId="15" fontId="4" fillId="4" borderId="12" xfId="7" applyNumberFormat="1" applyFont="1" applyFill="1" applyBorder="1" applyAlignment="1">
      <alignment horizontal="center" vertical="center"/>
    </xf>
    <xf numFmtId="168" fontId="4" fillId="4" borderId="12" xfId="6" applyNumberFormat="1" applyFont="1" applyFill="1" applyBorder="1" applyAlignment="1">
      <alignment horizontal="center" vertical="center" wrapText="1"/>
    </xf>
    <xf numFmtId="39" fontId="5" fillId="0" borderId="4" xfId="5" applyNumberFormat="1" applyFont="1" applyFill="1" applyBorder="1" applyAlignment="1">
      <alignment horizontal="center" vertical="center"/>
    </xf>
    <xf numFmtId="39" fontId="5" fillId="0" borderId="1" xfId="5" applyNumberFormat="1" applyFont="1" applyFill="1" applyBorder="1" applyAlignment="1">
      <alignment horizontal="center" vertical="center"/>
    </xf>
    <xf numFmtId="39" fontId="5" fillId="0" borderId="5" xfId="5" applyNumberFormat="1" applyFont="1" applyFill="1" applyBorder="1" applyAlignment="1">
      <alignment horizontal="center" vertical="center"/>
    </xf>
    <xf numFmtId="10" fontId="5" fillId="0" borderId="4" xfId="12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168" fontId="4" fillId="4" borderId="12" xfId="6" applyNumberFormat="1" applyFont="1" applyFill="1" applyBorder="1" applyAlignment="1">
      <alignment horizontal="left" vertical="center" wrapText="1" shrinkToFit="1"/>
    </xf>
    <xf numFmtId="168" fontId="4" fillId="4" borderId="9" xfId="6" applyNumberFormat="1" applyFont="1" applyFill="1" applyBorder="1" applyAlignment="1">
      <alignment horizontal="left" vertical="center" wrapText="1" shrinkToFit="1"/>
    </xf>
    <xf numFmtId="10" fontId="5" fillId="0" borderId="5" xfId="12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10" fontId="5" fillId="0" borderId="1" xfId="12" applyNumberFormat="1" applyFont="1" applyFill="1" applyBorder="1" applyAlignment="1">
      <alignment horizontal="center" vertical="center"/>
    </xf>
    <xf numFmtId="0" fontId="4" fillId="4" borderId="23" xfId="7" applyNumberFormat="1" applyFont="1" applyFill="1" applyBorder="1" applyAlignment="1">
      <alignment horizontal="center" vertical="center"/>
    </xf>
    <xf numFmtId="0" fontId="4" fillId="4" borderId="27" xfId="7" applyNumberFormat="1" applyFont="1" applyFill="1" applyBorder="1" applyAlignment="1">
      <alignment horizontal="center" vertical="center"/>
    </xf>
    <xf numFmtId="0" fontId="4" fillId="4" borderId="28" xfId="7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68" fontId="5" fillId="0" borderId="3" xfId="2" applyNumberFormat="1" applyFont="1" applyFill="1" applyBorder="1" applyAlignment="1">
      <alignment horizontal="center" vertical="center"/>
    </xf>
    <xf numFmtId="168" fontId="5" fillId="0" borderId="14" xfId="2" applyNumberFormat="1" applyFont="1" applyFill="1" applyBorder="1" applyAlignment="1">
      <alignment horizontal="center" vertical="center"/>
    </xf>
    <xf numFmtId="168" fontId="5" fillId="0" borderId="13" xfId="2" applyNumberFormat="1" applyFont="1" applyFill="1" applyBorder="1" applyAlignment="1">
      <alignment horizontal="center" vertical="center" wrapText="1"/>
    </xf>
    <xf numFmtId="168" fontId="5" fillId="0" borderId="15" xfId="2" applyNumberFormat="1" applyFont="1" applyFill="1" applyBorder="1" applyAlignment="1">
      <alignment horizontal="center" vertical="center" wrapText="1"/>
    </xf>
    <xf numFmtId="168" fontId="5" fillId="0" borderId="4" xfId="2" applyNumberFormat="1" applyFont="1" applyFill="1" applyBorder="1" applyAlignment="1">
      <alignment horizontal="center" vertical="center" wrapText="1"/>
    </xf>
    <xf numFmtId="168" fontId="5" fillId="0" borderId="5" xfId="2" applyNumberFormat="1" applyFont="1" applyFill="1" applyBorder="1" applyAlignment="1">
      <alignment horizontal="center" vertical="center" wrapText="1"/>
    </xf>
    <xf numFmtId="165" fontId="5" fillId="0" borderId="4" xfId="3" applyNumberFormat="1" applyFont="1" applyFill="1" applyBorder="1" applyAlignment="1">
      <alignment horizontal="center" vertical="center"/>
    </xf>
    <xf numFmtId="165" fontId="5" fillId="0" borderId="5" xfId="3" applyNumberFormat="1" applyFont="1" applyFill="1" applyBorder="1" applyAlignment="1">
      <alignment horizontal="center" vertical="center"/>
    </xf>
    <xf numFmtId="0" fontId="5" fillId="0" borderId="25" xfId="4" applyNumberFormat="1" applyFont="1" applyFill="1" applyBorder="1" applyAlignment="1">
      <alignment horizontal="center" vertical="center" wrapText="1"/>
    </xf>
    <xf numFmtId="0" fontId="5" fillId="0" borderId="26" xfId="4" applyNumberFormat="1" applyFont="1" applyFill="1" applyBorder="1" applyAlignment="1">
      <alignment horizontal="center" vertical="center" wrapText="1"/>
    </xf>
    <xf numFmtId="168" fontId="5" fillId="3" borderId="17" xfId="2" applyNumberFormat="1" applyFont="1" applyFill="1" applyBorder="1" applyAlignment="1">
      <alignment horizontal="center" vertical="center" wrapText="1"/>
    </xf>
    <xf numFmtId="168" fontId="5" fillId="3" borderId="18" xfId="2" applyNumberFormat="1" applyFont="1" applyFill="1" applyBorder="1" applyAlignment="1">
      <alignment horizontal="center" vertical="center" wrapText="1"/>
    </xf>
    <xf numFmtId="0" fontId="4" fillId="0" borderId="8" xfId="6" applyNumberFormat="1" applyFont="1" applyFill="1" applyBorder="1" applyAlignment="1">
      <alignment horizontal="center" vertical="center"/>
    </xf>
    <xf numFmtId="0" fontId="4" fillId="0" borderId="11" xfId="6" applyNumberFormat="1" applyFont="1" applyFill="1" applyBorder="1" applyAlignment="1">
      <alignment horizontal="center" vertical="center"/>
    </xf>
    <xf numFmtId="168" fontId="4" fillId="4" borderId="9" xfId="6" applyNumberFormat="1" applyFont="1" applyFill="1" applyBorder="1" applyAlignment="1">
      <alignment vertical="center" wrapText="1"/>
    </xf>
    <xf numFmtId="168" fontId="4" fillId="4" borderId="12" xfId="6" applyNumberFormat="1" applyFont="1" applyFill="1" applyBorder="1" applyAlignment="1">
      <alignment vertical="center" wrapText="1"/>
    </xf>
    <xf numFmtId="0" fontId="4" fillId="4" borderId="9" xfId="6" applyNumberFormat="1" applyFont="1" applyFill="1" applyBorder="1" applyAlignment="1">
      <alignment horizontal="center" vertical="center" wrapText="1"/>
    </xf>
    <xf numFmtId="0" fontId="4" fillId="4" borderId="12" xfId="6" applyNumberFormat="1" applyFont="1" applyFill="1" applyBorder="1" applyAlignment="1">
      <alignment horizontal="center" vertical="center" wrapText="1"/>
    </xf>
    <xf numFmtId="168" fontId="5" fillId="3" borderId="29" xfId="6" applyNumberFormat="1" applyFont="1" applyFill="1" applyBorder="1" applyAlignment="1">
      <alignment horizontal="center" vertical="center" wrapText="1"/>
    </xf>
    <xf numFmtId="168" fontId="5" fillId="3" borderId="30" xfId="6" applyNumberFormat="1" applyFont="1" applyFill="1" applyBorder="1" applyAlignment="1">
      <alignment horizontal="center" vertical="center" wrapText="1"/>
    </xf>
    <xf numFmtId="168" fontId="5" fillId="3" borderId="16" xfId="6" applyNumberFormat="1" applyFont="1" applyFill="1" applyBorder="1" applyAlignment="1">
      <alignment horizontal="center" vertical="center" wrapText="1"/>
    </xf>
    <xf numFmtId="168" fontId="5" fillId="3" borderId="18" xfId="6" applyNumberFormat="1" applyFont="1" applyFill="1" applyBorder="1" applyAlignment="1">
      <alignment horizontal="center" vertical="center" wrapText="1"/>
    </xf>
    <xf numFmtId="168" fontId="5" fillId="3" borderId="31" xfId="2" applyNumberFormat="1" applyFont="1" applyFill="1" applyBorder="1" applyAlignment="1">
      <alignment horizontal="center" vertical="center" wrapText="1"/>
    </xf>
    <xf numFmtId="168" fontId="5" fillId="3" borderId="30" xfId="2" applyNumberFormat="1" applyFont="1" applyFill="1" applyBorder="1" applyAlignment="1">
      <alignment horizontal="center" vertical="center" wrapText="1"/>
    </xf>
    <xf numFmtId="168" fontId="5" fillId="3" borderId="17" xfId="6" applyNumberFormat="1" applyFont="1" applyFill="1" applyBorder="1" applyAlignment="1">
      <alignment horizontal="center" vertical="center" wrapText="1"/>
    </xf>
    <xf numFmtId="0" fontId="4" fillId="0" borderId="19" xfId="6" applyNumberFormat="1" applyFont="1" applyFill="1" applyBorder="1" applyAlignment="1">
      <alignment horizontal="center" vertical="center"/>
    </xf>
    <xf numFmtId="0" fontId="4" fillId="0" borderId="21" xfId="6" applyNumberFormat="1" applyFont="1" applyFill="1" applyBorder="1" applyAlignment="1">
      <alignment horizontal="center" vertical="center"/>
    </xf>
    <xf numFmtId="0" fontId="4" fillId="0" borderId="10" xfId="6" applyNumberFormat="1" applyFont="1" applyFill="1" applyBorder="1" applyAlignment="1">
      <alignment horizontal="center" vertical="center"/>
    </xf>
    <xf numFmtId="168" fontId="4" fillId="4" borderId="7" xfId="6" applyNumberFormat="1" applyFont="1" applyFill="1" applyBorder="1" applyAlignment="1">
      <alignment vertical="center" wrapText="1"/>
    </xf>
    <xf numFmtId="0" fontId="4" fillId="4" borderId="7" xfId="6" applyNumberFormat="1" applyFont="1" applyFill="1" applyBorder="1" applyAlignment="1">
      <alignment horizontal="center" vertical="center" wrapText="1"/>
    </xf>
    <xf numFmtId="168" fontId="5" fillId="3" borderId="31" xfId="6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37" fontId="4" fillId="0" borderId="4" xfId="5" applyNumberFormat="1" applyFont="1" applyFill="1" applyBorder="1" applyAlignment="1">
      <alignment horizontal="center" vertical="center"/>
    </xf>
    <xf numFmtId="37" fontId="4" fillId="0" borderId="5" xfId="5" applyNumberFormat="1" applyFont="1" applyFill="1" applyBorder="1" applyAlignment="1">
      <alignment horizontal="center" vertical="center"/>
    </xf>
    <xf numFmtId="37" fontId="5" fillId="0" borderId="4" xfId="5" applyNumberFormat="1" applyFont="1" applyFill="1" applyBorder="1" applyAlignment="1">
      <alignment horizontal="center" vertical="center"/>
    </xf>
    <xf numFmtId="37" fontId="5" fillId="0" borderId="5" xfId="5" applyNumberFormat="1" applyFont="1" applyFill="1" applyBorder="1" applyAlignment="1">
      <alignment horizontal="center" vertical="center"/>
    </xf>
    <xf numFmtId="10" fontId="5" fillId="3" borderId="1" xfId="6" applyNumberFormat="1" applyFont="1" applyFill="1" applyBorder="1" applyAlignment="1">
      <alignment horizontal="center" vertical="center"/>
    </xf>
    <xf numFmtId="10" fontId="5" fillId="3" borderId="5" xfId="6" applyNumberFormat="1" applyFont="1" applyFill="1" applyBorder="1" applyAlignment="1">
      <alignment horizontal="center" vertical="center"/>
    </xf>
    <xf numFmtId="37" fontId="4" fillId="0" borderId="1" xfId="5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wrapText="1"/>
    </xf>
    <xf numFmtId="0" fontId="6" fillId="0" borderId="20" xfId="0" applyFont="1" applyBorder="1" applyAlignment="1">
      <alignment horizontal="center"/>
    </xf>
    <xf numFmtId="168" fontId="5" fillId="3" borderId="19" xfId="2" applyNumberFormat="1" applyFont="1" applyFill="1" applyBorder="1" applyAlignment="1">
      <alignment horizontal="center" vertical="center" wrapText="1"/>
    </xf>
    <xf numFmtId="168" fontId="5" fillId="3" borderId="21" xfId="2" applyNumberFormat="1" applyFont="1" applyFill="1" applyBorder="1" applyAlignment="1">
      <alignment horizontal="center" vertical="center" wrapText="1"/>
    </xf>
    <xf numFmtId="168" fontId="5" fillId="3" borderId="4" xfId="2" applyNumberFormat="1" applyFont="1" applyFill="1" applyBorder="1" applyAlignment="1">
      <alignment horizontal="center" vertical="center" wrapText="1"/>
    </xf>
    <xf numFmtId="168" fontId="5" fillId="3" borderId="5" xfId="2" applyNumberFormat="1" applyFont="1" applyFill="1" applyBorder="1" applyAlignment="1">
      <alignment horizontal="center" vertical="center" wrapText="1"/>
    </xf>
    <xf numFmtId="168" fontId="5" fillId="3" borderId="22" xfId="2" applyNumberFormat="1" applyFont="1" applyFill="1" applyBorder="1" applyAlignment="1">
      <alignment horizontal="center" vertical="center" wrapText="1"/>
    </xf>
    <xf numFmtId="168" fontId="5" fillId="3" borderId="6" xfId="2" applyNumberFormat="1" applyFont="1" applyFill="1" applyBorder="1" applyAlignment="1">
      <alignment horizontal="center" vertical="center" wrapText="1"/>
    </xf>
    <xf numFmtId="168" fontId="5" fillId="3" borderId="2" xfId="2" applyNumberFormat="1" applyFont="1" applyFill="1" applyBorder="1" applyAlignment="1">
      <alignment horizontal="center" vertical="center" wrapText="1"/>
    </xf>
    <xf numFmtId="2" fontId="5" fillId="3" borderId="13" xfId="4" applyNumberFormat="1" applyFont="1" applyFill="1" applyBorder="1" applyAlignment="1">
      <alignment horizontal="center" vertical="center" wrapText="1"/>
    </xf>
    <xf numFmtId="2" fontId="5" fillId="3" borderId="15" xfId="4" applyNumberFormat="1" applyFont="1" applyFill="1" applyBorder="1" applyAlignment="1">
      <alignment horizontal="center" vertical="center" wrapText="1"/>
    </xf>
    <xf numFmtId="37" fontId="5" fillId="0" borderId="1" xfId="5" applyNumberFormat="1" applyFont="1" applyFill="1" applyBorder="1" applyAlignment="1">
      <alignment horizontal="center" vertical="center"/>
    </xf>
    <xf numFmtId="168" fontId="5" fillId="3" borderId="16" xfId="2" applyNumberFormat="1" applyFont="1" applyFill="1" applyBorder="1" applyAlignment="1">
      <alignment horizontal="center" vertical="center" wrapText="1"/>
    </xf>
    <xf numFmtId="166" fontId="5" fillId="3" borderId="13" xfId="2" applyNumberFormat="1" applyFont="1" applyFill="1" applyBorder="1" applyAlignment="1">
      <alignment horizontal="center" vertical="center" wrapText="1"/>
    </xf>
    <xf numFmtId="166" fontId="5" fillId="3" borderId="15" xfId="2" applyNumberFormat="1" applyFont="1" applyFill="1" applyBorder="1" applyAlignment="1">
      <alignment horizontal="center" vertical="center" wrapText="1"/>
    </xf>
    <xf numFmtId="168" fontId="5" fillId="0" borderId="5" xfId="2" applyNumberFormat="1" applyFont="1" applyFill="1" applyBorder="1" applyAlignment="1">
      <alignment horizontal="center" vertical="center"/>
    </xf>
    <xf numFmtId="168" fontId="5" fillId="0" borderId="9" xfId="2" applyNumberFormat="1" applyFont="1" applyFill="1" applyBorder="1" applyAlignment="1">
      <alignment horizontal="center" vertical="center"/>
    </xf>
    <xf numFmtId="168" fontId="3" fillId="0" borderId="9" xfId="2" applyNumberFormat="1" applyFont="1" applyBorder="1" applyAlignment="1">
      <alignment horizontal="center" vertical="center"/>
    </xf>
    <xf numFmtId="0" fontId="5" fillId="0" borderId="4" xfId="4" applyNumberFormat="1" applyFont="1" applyFill="1" applyBorder="1" applyAlignment="1">
      <alignment horizontal="center" vertical="center" wrapText="1"/>
    </xf>
    <xf numFmtId="0" fontId="5" fillId="0" borderId="5" xfId="4" applyNumberFormat="1" applyFont="1" applyFill="1" applyBorder="1" applyAlignment="1">
      <alignment horizontal="center" vertical="center" wrapText="1"/>
    </xf>
  </cellXfs>
  <cellStyles count="13">
    <cellStyle name="Millares" xfId="1" builtinId="3"/>
    <cellStyle name="Millares 2" xfId="7"/>
    <cellStyle name="Millares 3" xfId="4"/>
    <cellStyle name="Moneda 2" xfId="5"/>
    <cellStyle name="Normal" xfId="0" builtinId="0"/>
    <cellStyle name="Normal 2" xfId="6"/>
    <cellStyle name="Normal 3" xfId="8"/>
    <cellStyle name="Normal 4" xfId="2"/>
    <cellStyle name="Normal 9" xfId="10"/>
    <cellStyle name="Porcentaje" xfId="12" builtinId="5"/>
    <cellStyle name="Porcentaje 2" xfId="3"/>
    <cellStyle name="Porcentual 2" xfId="9"/>
    <cellStyle name="Porcentual 9" xfId="11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workbookViewId="0">
      <selection activeCell="G30" sqref="G30"/>
    </sheetView>
  </sheetViews>
  <sheetFormatPr baseColWidth="10" defaultRowHeight="15" x14ac:dyDescent="0.25"/>
  <cols>
    <col min="1" max="1" width="4.42578125" bestFit="1" customWidth="1"/>
    <col min="2" max="2" width="26.42578125" customWidth="1"/>
    <col min="3" max="3" width="12" style="50" customWidth="1"/>
    <col min="4" max="4" width="20.140625" bestFit="1" customWidth="1"/>
    <col min="5" max="5" width="7.140625" bestFit="1" customWidth="1"/>
    <col min="6" max="6" width="9.5703125" customWidth="1"/>
    <col min="7" max="7" width="13.5703125" customWidth="1"/>
    <col min="8" max="8" width="15.85546875" customWidth="1"/>
    <col min="9" max="9" width="106.85546875" customWidth="1"/>
  </cols>
  <sheetData>
    <row r="1" spans="1:9" ht="34.5" customHeight="1" thickBot="1" x14ac:dyDescent="0.3">
      <c r="C1"/>
      <c r="G1" s="55" t="s">
        <v>42</v>
      </c>
      <c r="H1" s="55" t="s">
        <v>43</v>
      </c>
    </row>
    <row r="2" spans="1:9" ht="18.75" customHeight="1" x14ac:dyDescent="0.25">
      <c r="A2" s="58" t="s">
        <v>7</v>
      </c>
      <c r="B2" s="60" t="s">
        <v>8</v>
      </c>
      <c r="C2" s="62" t="s">
        <v>21</v>
      </c>
      <c r="D2" s="62" t="s">
        <v>9</v>
      </c>
      <c r="E2" s="64" t="s">
        <v>10</v>
      </c>
      <c r="F2" s="66" t="s">
        <v>22</v>
      </c>
      <c r="G2" s="80" t="s">
        <v>15</v>
      </c>
      <c r="H2" s="68" t="s">
        <v>15</v>
      </c>
      <c r="I2" s="56" t="s">
        <v>109</v>
      </c>
    </row>
    <row r="3" spans="1:9" ht="20.25" customHeight="1" thickBot="1" x14ac:dyDescent="0.3">
      <c r="A3" s="59"/>
      <c r="B3" s="61"/>
      <c r="C3" s="63"/>
      <c r="D3" s="63"/>
      <c r="E3" s="65"/>
      <c r="F3" s="67"/>
      <c r="G3" s="81"/>
      <c r="H3" s="69"/>
      <c r="I3" s="57"/>
    </row>
    <row r="4" spans="1:9" ht="25.5" x14ac:dyDescent="0.25">
      <c r="A4" s="70">
        <v>1</v>
      </c>
      <c r="B4" s="72" t="s">
        <v>44</v>
      </c>
      <c r="C4" s="74">
        <v>1</v>
      </c>
      <c r="D4" s="48" t="s">
        <v>45</v>
      </c>
      <c r="E4" s="28">
        <v>0.6</v>
      </c>
      <c r="F4" s="52" t="s">
        <v>47</v>
      </c>
      <c r="G4" s="76" t="s">
        <v>108</v>
      </c>
      <c r="H4" s="78" t="s">
        <v>108</v>
      </c>
      <c r="I4" s="89"/>
    </row>
    <row r="5" spans="1:9" ht="15.75" thickBot="1" x14ac:dyDescent="0.3">
      <c r="A5" s="71"/>
      <c r="B5" s="73"/>
      <c r="C5" s="75"/>
      <c r="D5" s="37" t="s">
        <v>46</v>
      </c>
      <c r="E5" s="38">
        <v>0.4</v>
      </c>
      <c r="F5" s="53" t="s">
        <v>48</v>
      </c>
      <c r="G5" s="77"/>
      <c r="H5" s="79"/>
      <c r="I5" s="90"/>
    </row>
    <row r="6" spans="1:9" x14ac:dyDescent="0.25">
      <c r="A6" s="70">
        <v>2</v>
      </c>
      <c r="B6" s="72" t="s">
        <v>50</v>
      </c>
      <c r="C6" s="74">
        <v>1</v>
      </c>
      <c r="D6" s="27" t="s">
        <v>51</v>
      </c>
      <c r="E6" s="28">
        <v>0.51</v>
      </c>
      <c r="F6" s="52" t="s">
        <v>54</v>
      </c>
      <c r="G6" s="76" t="s">
        <v>108</v>
      </c>
      <c r="H6" s="78" t="s">
        <v>108</v>
      </c>
      <c r="I6" s="89"/>
    </row>
    <row r="7" spans="1:9" x14ac:dyDescent="0.25">
      <c r="A7" s="85"/>
      <c r="B7" s="86"/>
      <c r="C7" s="87"/>
      <c r="D7" s="32" t="s">
        <v>52</v>
      </c>
      <c r="E7" s="33">
        <v>0.25</v>
      </c>
      <c r="F7" s="54" t="s">
        <v>56</v>
      </c>
      <c r="G7" s="88"/>
      <c r="H7" s="82"/>
      <c r="I7" s="91"/>
    </row>
    <row r="8" spans="1:9" ht="26.25" thickBot="1" x14ac:dyDescent="0.3">
      <c r="A8" s="71"/>
      <c r="B8" s="73"/>
      <c r="C8" s="75"/>
      <c r="D8" s="47" t="s">
        <v>53</v>
      </c>
      <c r="E8" s="38">
        <v>0.24</v>
      </c>
      <c r="F8" s="53" t="s">
        <v>55</v>
      </c>
      <c r="G8" s="77"/>
      <c r="H8" s="79"/>
      <c r="I8" s="90"/>
    </row>
    <row r="9" spans="1:9" ht="38.25" x14ac:dyDescent="0.25">
      <c r="A9" s="83">
        <v>3</v>
      </c>
      <c r="B9" s="72" t="s">
        <v>57</v>
      </c>
      <c r="C9" s="74">
        <v>1</v>
      </c>
      <c r="D9" s="48" t="s">
        <v>58</v>
      </c>
      <c r="E9" s="28">
        <v>0.51</v>
      </c>
      <c r="F9" s="52" t="s">
        <v>60</v>
      </c>
      <c r="G9" s="76" t="s">
        <v>108</v>
      </c>
      <c r="H9" s="78" t="s">
        <v>108</v>
      </c>
      <c r="I9" s="89"/>
    </row>
    <row r="10" spans="1:9" ht="15.75" thickBot="1" x14ac:dyDescent="0.3">
      <c r="A10" s="84"/>
      <c r="B10" s="73"/>
      <c r="C10" s="75"/>
      <c r="D10" s="37" t="s">
        <v>59</v>
      </c>
      <c r="E10" s="38">
        <v>0.49</v>
      </c>
      <c r="F10" s="53" t="s">
        <v>61</v>
      </c>
      <c r="G10" s="77"/>
      <c r="H10" s="79"/>
      <c r="I10" s="90"/>
    </row>
    <row r="11" spans="1:9" ht="38.25" x14ac:dyDescent="0.25">
      <c r="A11" s="83">
        <v>4</v>
      </c>
      <c r="B11" s="72" t="s">
        <v>62</v>
      </c>
      <c r="C11" s="74">
        <v>1</v>
      </c>
      <c r="D11" s="48" t="s">
        <v>63</v>
      </c>
      <c r="E11" s="28">
        <v>0.6</v>
      </c>
      <c r="F11" s="52" t="s">
        <v>65</v>
      </c>
      <c r="G11" s="76" t="s">
        <v>108</v>
      </c>
      <c r="H11" s="78" t="s">
        <v>108</v>
      </c>
      <c r="I11" s="89"/>
    </row>
    <row r="12" spans="1:9" ht="15.75" thickBot="1" x14ac:dyDescent="0.3">
      <c r="A12" s="84"/>
      <c r="B12" s="73"/>
      <c r="C12" s="75"/>
      <c r="D12" s="37" t="s">
        <v>64</v>
      </c>
      <c r="E12" s="38">
        <v>0.4</v>
      </c>
      <c r="F12" s="53" t="s">
        <v>66</v>
      </c>
      <c r="G12" s="77"/>
      <c r="H12" s="79"/>
      <c r="I12" s="90"/>
    </row>
    <row r="13" spans="1:9" ht="25.5" x14ac:dyDescent="0.25">
      <c r="A13" s="83">
        <v>5</v>
      </c>
      <c r="B13" s="72" t="s">
        <v>67</v>
      </c>
      <c r="C13" s="74">
        <v>1</v>
      </c>
      <c r="D13" s="48" t="s">
        <v>68</v>
      </c>
      <c r="E13" s="28">
        <v>0.51</v>
      </c>
      <c r="F13" s="52" t="s">
        <v>70</v>
      </c>
      <c r="G13" s="76" t="s">
        <v>108</v>
      </c>
      <c r="H13" s="78" t="s">
        <v>108</v>
      </c>
      <c r="I13" s="89"/>
    </row>
    <row r="14" spans="1:9" ht="26.25" thickBot="1" x14ac:dyDescent="0.3">
      <c r="A14" s="84"/>
      <c r="B14" s="73"/>
      <c r="C14" s="75"/>
      <c r="D14" s="47" t="s">
        <v>69</v>
      </c>
      <c r="E14" s="38">
        <v>0.49</v>
      </c>
      <c r="F14" s="53" t="s">
        <v>71</v>
      </c>
      <c r="G14" s="77"/>
      <c r="H14" s="79"/>
      <c r="I14" s="90"/>
    </row>
    <row r="15" spans="1:9" x14ac:dyDescent="0.25">
      <c r="A15" s="83">
        <v>6</v>
      </c>
      <c r="B15" s="72" t="s">
        <v>72</v>
      </c>
      <c r="C15" s="74">
        <v>1</v>
      </c>
      <c r="D15" s="27" t="s">
        <v>73</v>
      </c>
      <c r="E15" s="28">
        <v>0.51</v>
      </c>
      <c r="F15" s="52" t="s">
        <v>76</v>
      </c>
      <c r="G15" s="76" t="s">
        <v>108</v>
      </c>
      <c r="H15" s="78" t="s">
        <v>108</v>
      </c>
      <c r="I15" s="89"/>
    </row>
    <row r="16" spans="1:9" ht="15.75" thickBot="1" x14ac:dyDescent="0.3">
      <c r="A16" s="84"/>
      <c r="B16" s="73"/>
      <c r="C16" s="75"/>
      <c r="D16" s="37" t="s">
        <v>74</v>
      </c>
      <c r="E16" s="38">
        <v>0.49</v>
      </c>
      <c r="F16" s="53" t="s">
        <v>75</v>
      </c>
      <c r="G16" s="77"/>
      <c r="H16" s="79"/>
      <c r="I16" s="90"/>
    </row>
    <row r="17" spans="1:9" x14ac:dyDescent="0.25">
      <c r="A17" s="83">
        <v>7</v>
      </c>
      <c r="B17" s="72" t="s">
        <v>77</v>
      </c>
      <c r="C17" s="74">
        <v>1</v>
      </c>
      <c r="D17" s="27" t="s">
        <v>78</v>
      </c>
      <c r="E17" s="28">
        <v>0.6</v>
      </c>
      <c r="F17" s="52" t="s">
        <v>80</v>
      </c>
      <c r="G17" s="76" t="s">
        <v>108</v>
      </c>
      <c r="H17" s="78" t="s">
        <v>108</v>
      </c>
      <c r="I17" s="89"/>
    </row>
    <row r="18" spans="1:9" ht="15.75" thickBot="1" x14ac:dyDescent="0.3">
      <c r="A18" s="84"/>
      <c r="B18" s="73"/>
      <c r="C18" s="75"/>
      <c r="D18" s="37" t="s">
        <v>79</v>
      </c>
      <c r="E18" s="38">
        <v>0.4</v>
      </c>
      <c r="F18" s="53" t="s">
        <v>81</v>
      </c>
      <c r="G18" s="77"/>
      <c r="H18" s="79"/>
      <c r="I18" s="90"/>
    </row>
    <row r="19" spans="1:9" x14ac:dyDescent="0.25">
      <c r="A19" s="83">
        <v>8</v>
      </c>
      <c r="B19" s="72" t="s">
        <v>82</v>
      </c>
      <c r="C19" s="74">
        <v>1</v>
      </c>
      <c r="D19" s="27" t="s">
        <v>83</v>
      </c>
      <c r="E19" s="28">
        <v>0.75</v>
      </c>
      <c r="F19" s="52" t="s">
        <v>85</v>
      </c>
      <c r="G19" s="76" t="s">
        <v>108</v>
      </c>
      <c r="H19" s="78" t="s">
        <v>108</v>
      </c>
      <c r="I19" s="89"/>
    </row>
    <row r="20" spans="1:9" ht="15.75" thickBot="1" x14ac:dyDescent="0.3">
      <c r="A20" s="84"/>
      <c r="B20" s="73"/>
      <c r="C20" s="75"/>
      <c r="D20" s="37" t="s">
        <v>84</v>
      </c>
      <c r="E20" s="38">
        <v>0.25</v>
      </c>
      <c r="F20" s="53" t="s">
        <v>86</v>
      </c>
      <c r="G20" s="77"/>
      <c r="H20" s="79"/>
      <c r="I20" s="90"/>
    </row>
    <row r="21" spans="1:9" ht="25.5" x14ac:dyDescent="0.25">
      <c r="A21" s="83">
        <v>9</v>
      </c>
      <c r="B21" s="72" t="s">
        <v>87</v>
      </c>
      <c r="C21" s="74">
        <v>1</v>
      </c>
      <c r="D21" s="48" t="s">
        <v>88</v>
      </c>
      <c r="E21" s="28">
        <v>0.51</v>
      </c>
      <c r="F21" s="52" t="s">
        <v>91</v>
      </c>
      <c r="G21" s="76" t="s">
        <v>108</v>
      </c>
      <c r="H21" s="78" t="s">
        <v>108</v>
      </c>
      <c r="I21" s="92" t="s">
        <v>96</v>
      </c>
    </row>
    <row r="22" spans="1:9" ht="15.75" thickBot="1" x14ac:dyDescent="0.3">
      <c r="A22" s="84"/>
      <c r="B22" s="73"/>
      <c r="C22" s="75"/>
      <c r="D22" s="37" t="s">
        <v>89</v>
      </c>
      <c r="E22" s="38">
        <v>0.49</v>
      </c>
      <c r="F22" s="53" t="s">
        <v>90</v>
      </c>
      <c r="G22" s="77"/>
      <c r="H22" s="79"/>
      <c r="I22" s="93"/>
    </row>
    <row r="23" spans="1:9" x14ac:dyDescent="0.25">
      <c r="A23" s="83">
        <v>10</v>
      </c>
      <c r="B23" s="72" t="s">
        <v>92</v>
      </c>
      <c r="C23" s="74">
        <v>1</v>
      </c>
      <c r="D23" s="27" t="s">
        <v>93</v>
      </c>
      <c r="E23" s="28">
        <v>0.51</v>
      </c>
      <c r="F23" s="52" t="s">
        <v>97</v>
      </c>
      <c r="G23" s="76" t="s">
        <v>108</v>
      </c>
      <c r="H23" s="78" t="s">
        <v>108</v>
      </c>
      <c r="I23" s="89"/>
    </row>
    <row r="24" spans="1:9" ht="15.75" thickBot="1" x14ac:dyDescent="0.3">
      <c r="A24" s="84"/>
      <c r="B24" s="73"/>
      <c r="C24" s="75"/>
      <c r="D24" s="37" t="s">
        <v>94</v>
      </c>
      <c r="E24" s="38">
        <v>0.49</v>
      </c>
      <c r="F24" s="53" t="s">
        <v>95</v>
      </c>
      <c r="G24" s="77"/>
      <c r="H24" s="79"/>
      <c r="I24" s="90"/>
    </row>
    <row r="25" spans="1:9" ht="25.5" x14ac:dyDescent="0.25">
      <c r="A25" s="83">
        <v>11</v>
      </c>
      <c r="B25" s="72" t="s">
        <v>98</v>
      </c>
      <c r="C25" s="74">
        <v>1</v>
      </c>
      <c r="D25" s="48" t="s">
        <v>99</v>
      </c>
      <c r="E25" s="28">
        <v>0.51</v>
      </c>
      <c r="F25" s="52" t="s">
        <v>102</v>
      </c>
      <c r="G25" s="76" t="s">
        <v>108</v>
      </c>
      <c r="H25" s="78" t="s">
        <v>108</v>
      </c>
      <c r="I25" s="89"/>
    </row>
    <row r="26" spans="1:9" ht="15.75" thickBot="1" x14ac:dyDescent="0.3">
      <c r="A26" s="84"/>
      <c r="B26" s="73"/>
      <c r="C26" s="75"/>
      <c r="D26" s="37" t="s">
        <v>100</v>
      </c>
      <c r="E26" s="38">
        <v>0.49</v>
      </c>
      <c r="F26" s="53" t="s">
        <v>101</v>
      </c>
      <c r="G26" s="77"/>
      <c r="H26" s="79"/>
      <c r="I26" s="90"/>
    </row>
    <row r="27" spans="1:9" ht="38.25" x14ac:dyDescent="0.25">
      <c r="A27" s="83">
        <v>12</v>
      </c>
      <c r="B27" s="72" t="s">
        <v>103</v>
      </c>
      <c r="C27" s="74">
        <v>1</v>
      </c>
      <c r="D27" s="48" t="s">
        <v>104</v>
      </c>
      <c r="E27" s="28">
        <v>0.51</v>
      </c>
      <c r="F27" s="52" t="s">
        <v>106</v>
      </c>
      <c r="G27" s="76" t="s">
        <v>108</v>
      </c>
      <c r="H27" s="78" t="s">
        <v>108</v>
      </c>
      <c r="I27" s="89"/>
    </row>
    <row r="28" spans="1:9" ht="26.25" thickBot="1" x14ac:dyDescent="0.3">
      <c r="A28" s="84"/>
      <c r="B28" s="73"/>
      <c r="C28" s="75"/>
      <c r="D28" s="47" t="s">
        <v>105</v>
      </c>
      <c r="E28" s="38">
        <v>0.49</v>
      </c>
      <c r="F28" s="53" t="s">
        <v>107</v>
      </c>
      <c r="G28" s="77"/>
      <c r="H28" s="79"/>
      <c r="I28" s="90"/>
    </row>
  </sheetData>
  <mergeCells count="81">
    <mergeCell ref="I23:I24"/>
    <mergeCell ref="I25:I26"/>
    <mergeCell ref="I27:I28"/>
    <mergeCell ref="H27:H28"/>
    <mergeCell ref="I4:I5"/>
    <mergeCell ref="I6:I8"/>
    <mergeCell ref="I9:I10"/>
    <mergeCell ref="I11:I12"/>
    <mergeCell ref="I13:I14"/>
    <mergeCell ref="I15:I16"/>
    <mergeCell ref="I17:I18"/>
    <mergeCell ref="I19:I20"/>
    <mergeCell ref="I21:I22"/>
    <mergeCell ref="H25:H26"/>
    <mergeCell ref="H19:H20"/>
    <mergeCell ref="H17:H18"/>
    <mergeCell ref="A27:A28"/>
    <mergeCell ref="B27:B28"/>
    <mergeCell ref="C27:C28"/>
    <mergeCell ref="G27:G28"/>
    <mergeCell ref="H23:H24"/>
    <mergeCell ref="A25:A26"/>
    <mergeCell ref="B25:B26"/>
    <mergeCell ref="C25:C26"/>
    <mergeCell ref="G25:G26"/>
    <mergeCell ref="A23:A24"/>
    <mergeCell ref="B23:B24"/>
    <mergeCell ref="C23:C24"/>
    <mergeCell ref="G23:G24"/>
    <mergeCell ref="A21:A22"/>
    <mergeCell ref="B21:B22"/>
    <mergeCell ref="C21:C22"/>
    <mergeCell ref="G21:G22"/>
    <mergeCell ref="H21:H22"/>
    <mergeCell ref="A19:A20"/>
    <mergeCell ref="B19:B20"/>
    <mergeCell ref="C19:C20"/>
    <mergeCell ref="G19:G20"/>
    <mergeCell ref="H15:H16"/>
    <mergeCell ref="A17:A18"/>
    <mergeCell ref="B17:B18"/>
    <mergeCell ref="C17:C18"/>
    <mergeCell ref="G17:G18"/>
    <mergeCell ref="A15:A16"/>
    <mergeCell ref="B15:B16"/>
    <mergeCell ref="C15:C16"/>
    <mergeCell ref="G15:G16"/>
    <mergeCell ref="A13:A14"/>
    <mergeCell ref="B13:B14"/>
    <mergeCell ref="C13:C14"/>
    <mergeCell ref="G13:G14"/>
    <mergeCell ref="H13:H14"/>
    <mergeCell ref="A11:A12"/>
    <mergeCell ref="B11:B12"/>
    <mergeCell ref="C11:C12"/>
    <mergeCell ref="G11:G12"/>
    <mergeCell ref="H11:H12"/>
    <mergeCell ref="H6:H8"/>
    <mergeCell ref="A9:A10"/>
    <mergeCell ref="B9:B10"/>
    <mergeCell ref="C9:C10"/>
    <mergeCell ref="G9:G10"/>
    <mergeCell ref="A6:A8"/>
    <mergeCell ref="B6:B8"/>
    <mergeCell ref="C6:C8"/>
    <mergeCell ref="G6:G8"/>
    <mergeCell ref="H9:H10"/>
    <mergeCell ref="A4:A5"/>
    <mergeCell ref="B4:B5"/>
    <mergeCell ref="C4:C5"/>
    <mergeCell ref="G4:G5"/>
    <mergeCell ref="H4:H5"/>
    <mergeCell ref="I2:I3"/>
    <mergeCell ref="A2:A3"/>
    <mergeCell ref="B2:B3"/>
    <mergeCell ref="C2:C3"/>
    <mergeCell ref="D2:D3"/>
    <mergeCell ref="E2:E3"/>
    <mergeCell ref="F2:F3"/>
    <mergeCell ref="H2:H3"/>
    <mergeCell ref="G2:G3"/>
  </mergeCells>
  <conditionalFormatting sqref="G4:H28">
    <cfRule type="containsText" dxfId="17" priority="7" operator="containsText" text="ERROR">
      <formula>NOT(ISERROR(SEARCH("ERROR",G4)))</formula>
    </cfRule>
    <cfRule type="containsText" dxfId="16" priority="8" operator="containsText" text="NO HÁBIL">
      <formula>NOT(ISERROR(SEARCH("NO HÁBIL",G4)))</formula>
    </cfRule>
    <cfRule type="containsText" dxfId="15" priority="9" operator="containsText" text="HÁBIL">
      <formula>NOT(ISERROR(SEARCH("HÁBIL",G4)))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3" sqref="A3"/>
    </sheetView>
  </sheetViews>
  <sheetFormatPr baseColWidth="10" defaultRowHeight="15" x14ac:dyDescent="0.25"/>
  <cols>
    <col min="1" max="1" width="31.28515625" bestFit="1" customWidth="1"/>
    <col min="2" max="3" width="15.140625" bestFit="1" customWidth="1"/>
    <col min="4" max="4" width="14.140625" bestFit="1" customWidth="1"/>
    <col min="5" max="5" width="15.140625" bestFit="1" customWidth="1"/>
  </cols>
  <sheetData>
    <row r="1" spans="1:5" x14ac:dyDescent="0.25">
      <c r="C1" s="3" t="s">
        <v>2</v>
      </c>
      <c r="D1" s="3" t="s">
        <v>3</v>
      </c>
      <c r="E1" s="1"/>
    </row>
    <row r="2" spans="1:5" x14ac:dyDescent="0.25">
      <c r="A2" s="3" t="s">
        <v>0</v>
      </c>
      <c r="B2" s="3" t="s">
        <v>1</v>
      </c>
      <c r="C2" s="4">
        <v>0.5</v>
      </c>
      <c r="D2" s="6">
        <v>0.5</v>
      </c>
      <c r="E2" s="46"/>
    </row>
    <row r="3" spans="1:5" x14ac:dyDescent="0.25">
      <c r="A3" s="1">
        <v>1</v>
      </c>
      <c r="B3" s="2">
        <v>4632514805</v>
      </c>
      <c r="C3" s="2">
        <f t="shared" ref="C3" si="0">+B3*$C$2</f>
        <v>2316257402.5</v>
      </c>
      <c r="D3" s="2">
        <f t="shared" ref="D3" si="1">+C3*$D$2</f>
        <v>1158128701.25</v>
      </c>
    </row>
    <row r="6" spans="1:5" x14ac:dyDescent="0.25">
      <c r="A6" t="s">
        <v>4</v>
      </c>
      <c r="B6" s="7">
        <v>1.1000000000000001</v>
      </c>
    </row>
    <row r="7" spans="1:5" x14ac:dyDescent="0.25">
      <c r="A7" t="s">
        <v>5</v>
      </c>
      <c r="B7" s="5">
        <v>0.8</v>
      </c>
    </row>
    <row r="8" spans="1:5" x14ac:dyDescent="0.25">
      <c r="A8" t="s">
        <v>6</v>
      </c>
      <c r="B8" s="7">
        <v>1</v>
      </c>
    </row>
    <row r="9" spans="1:5" x14ac:dyDescent="0.25">
      <c r="A9" t="s">
        <v>39</v>
      </c>
      <c r="B9" s="5">
        <v>0</v>
      </c>
    </row>
    <row r="10" spans="1:5" x14ac:dyDescent="0.25">
      <c r="A10" t="s">
        <v>40</v>
      </c>
      <c r="B10" s="5">
        <v>0</v>
      </c>
    </row>
  </sheetData>
  <sortState ref="A3:D11">
    <sortCondition descending="1" ref="B3:B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showGridLines="0" tabSelected="1" topLeftCell="P1" workbookViewId="0">
      <selection activeCell="V27" sqref="V27"/>
    </sheetView>
  </sheetViews>
  <sheetFormatPr baseColWidth="10" defaultRowHeight="15" outlineLevelCol="1" x14ac:dyDescent="0.25"/>
  <cols>
    <col min="1" max="1" width="4.42578125" bestFit="1" customWidth="1"/>
    <col min="2" max="2" width="26.42578125" customWidth="1"/>
    <col min="3" max="3" width="12" style="50" customWidth="1"/>
    <col min="4" max="4" width="20.140625" bestFit="1" customWidth="1"/>
    <col min="5" max="5" width="7.140625" bestFit="1" customWidth="1"/>
    <col min="6" max="6" width="9.5703125" bestFit="1" customWidth="1"/>
    <col min="7" max="7" width="9.42578125" customWidth="1"/>
    <col min="8" max="8" width="8.140625" bestFit="1" customWidth="1"/>
    <col min="9" max="11" width="12.140625" customWidth="1"/>
    <col min="12" max="13" width="12.28515625" customWidth="1"/>
    <col min="14" max="14" width="12.140625" customWidth="1"/>
    <col min="15" max="15" width="10" customWidth="1"/>
    <col min="16" max="16" width="10.7109375" customWidth="1" outlineLevel="1"/>
    <col min="17" max="17" width="14.5703125" customWidth="1" outlineLevel="1"/>
    <col min="18" max="18" width="10.7109375" customWidth="1" outlineLevel="1"/>
    <col min="19" max="19" width="12.140625" bestFit="1" customWidth="1" outlineLevel="1"/>
    <col min="20" max="20" width="13" bestFit="1" customWidth="1" outlineLevel="1"/>
    <col min="21" max="21" width="11.7109375" customWidth="1" outlineLevel="1" collapsed="1"/>
    <col min="22" max="22" width="14.85546875" customWidth="1" outlineLevel="1"/>
    <col min="23" max="24" width="11.7109375" customWidth="1" outlineLevel="1"/>
    <col min="25" max="25" width="11.7109375" customWidth="1"/>
    <col min="26" max="27" width="13" customWidth="1" outlineLevel="1"/>
    <col min="28" max="29" width="8.42578125" customWidth="1" outlineLevel="1"/>
    <col min="30" max="30" width="15.85546875" customWidth="1"/>
    <col min="31" max="31" width="106.85546875" customWidth="1"/>
  </cols>
  <sheetData>
    <row r="1" spans="1:30" ht="34.5" customHeight="1" thickBot="1" x14ac:dyDescent="0.3">
      <c r="C1"/>
      <c r="U1" s="101" t="s">
        <v>42</v>
      </c>
      <c r="V1" s="102"/>
      <c r="W1" s="102"/>
      <c r="X1" s="102"/>
      <c r="Y1" s="102"/>
      <c r="Z1" s="101" t="s">
        <v>43</v>
      </c>
      <c r="AA1" s="102"/>
      <c r="AB1" s="102"/>
      <c r="AC1" s="102"/>
      <c r="AD1" s="102"/>
    </row>
    <row r="2" spans="1:30" ht="15" customHeight="1" x14ac:dyDescent="0.25">
      <c r="A2" s="58" t="s">
        <v>7</v>
      </c>
      <c r="B2" s="60" t="s">
        <v>8</v>
      </c>
      <c r="C2" s="62" t="s">
        <v>21</v>
      </c>
      <c r="D2" s="62" t="s">
        <v>9</v>
      </c>
      <c r="E2" s="64" t="s">
        <v>10</v>
      </c>
      <c r="F2" s="119" t="s">
        <v>22</v>
      </c>
      <c r="G2" s="105" t="s">
        <v>11</v>
      </c>
      <c r="H2" s="105" t="s">
        <v>12</v>
      </c>
      <c r="I2" s="117" t="s">
        <v>13</v>
      </c>
      <c r="J2" s="118"/>
      <c r="K2" s="117" t="s">
        <v>14</v>
      </c>
      <c r="L2" s="117"/>
      <c r="M2" s="62" t="s">
        <v>25</v>
      </c>
      <c r="N2" s="117" t="s">
        <v>41</v>
      </c>
      <c r="O2" s="117"/>
      <c r="P2" s="110" t="s">
        <v>26</v>
      </c>
      <c r="Q2" s="114" t="s">
        <v>27</v>
      </c>
      <c r="R2" s="114" t="s">
        <v>28</v>
      </c>
      <c r="S2" s="114" t="s">
        <v>29</v>
      </c>
      <c r="T2" s="114" t="s">
        <v>30</v>
      </c>
      <c r="U2" s="110" t="s">
        <v>31</v>
      </c>
      <c r="V2" s="114" t="s">
        <v>32</v>
      </c>
      <c r="W2" s="114" t="s">
        <v>33</v>
      </c>
      <c r="X2" s="114" t="s">
        <v>34</v>
      </c>
      <c r="Y2" s="108" t="s">
        <v>15</v>
      </c>
      <c r="Z2" s="103" t="s">
        <v>35</v>
      </c>
      <c r="AA2" s="105" t="s">
        <v>36</v>
      </c>
      <c r="AB2" s="105" t="s">
        <v>37</v>
      </c>
      <c r="AC2" s="105" t="s">
        <v>38</v>
      </c>
      <c r="AD2" s="113" t="s">
        <v>15</v>
      </c>
    </row>
    <row r="3" spans="1:30" ht="39" thickBot="1" x14ac:dyDescent="0.3">
      <c r="A3" s="59"/>
      <c r="B3" s="61"/>
      <c r="C3" s="63"/>
      <c r="D3" s="63"/>
      <c r="E3" s="65"/>
      <c r="F3" s="120"/>
      <c r="G3" s="106"/>
      <c r="H3" s="106"/>
      <c r="I3" s="8" t="s">
        <v>16</v>
      </c>
      <c r="J3" s="8" t="s">
        <v>17</v>
      </c>
      <c r="K3" s="8" t="s">
        <v>18</v>
      </c>
      <c r="L3" s="9" t="s">
        <v>19</v>
      </c>
      <c r="M3" s="116"/>
      <c r="N3" s="10" t="s">
        <v>23</v>
      </c>
      <c r="O3" s="11" t="s">
        <v>24</v>
      </c>
      <c r="P3" s="111"/>
      <c r="Q3" s="115"/>
      <c r="R3" s="115"/>
      <c r="S3" s="115" t="s">
        <v>20</v>
      </c>
      <c r="T3" s="115" t="s">
        <v>20</v>
      </c>
      <c r="U3" s="111"/>
      <c r="V3" s="115"/>
      <c r="W3" s="115"/>
      <c r="X3" s="115"/>
      <c r="Y3" s="109"/>
      <c r="Z3" s="104"/>
      <c r="AA3" s="106"/>
      <c r="AB3" s="107"/>
      <c r="AC3" s="107"/>
      <c r="AD3" s="69"/>
    </row>
    <row r="4" spans="1:30" ht="25.5" x14ac:dyDescent="0.25">
      <c r="A4" s="70">
        <v>1</v>
      </c>
      <c r="B4" s="72" t="s">
        <v>44</v>
      </c>
      <c r="C4" s="74">
        <v>1</v>
      </c>
      <c r="D4" s="48" t="s">
        <v>45</v>
      </c>
      <c r="E4" s="28">
        <v>0.6</v>
      </c>
      <c r="F4" s="29" t="s">
        <v>47</v>
      </c>
      <c r="G4" s="30">
        <v>41639</v>
      </c>
      <c r="H4" s="31" t="s">
        <v>49</v>
      </c>
      <c r="I4" s="24">
        <v>4933096892.4300003</v>
      </c>
      <c r="J4" s="24">
        <v>6488885346.7299995</v>
      </c>
      <c r="K4" s="24">
        <v>1787811316.79</v>
      </c>
      <c r="L4" s="24">
        <v>2649996215.79</v>
      </c>
      <c r="M4" s="12">
        <f>+J4-L4</f>
        <v>3838889130.9399996</v>
      </c>
      <c r="N4" s="24">
        <v>608822325.08000004</v>
      </c>
      <c r="O4" s="24">
        <v>211125397.03</v>
      </c>
      <c r="P4" s="13">
        <f>+I4/K4</f>
        <v>2.7592939177090199</v>
      </c>
      <c r="Q4" s="14">
        <f>+L4/J4</f>
        <v>0.40839005070808282</v>
      </c>
      <c r="R4" s="13">
        <f>IF(O4=0,"Indeterminado",+N4/O4)</f>
        <v>2.8837000836687072</v>
      </c>
      <c r="S4" s="21">
        <f>I4-K4</f>
        <v>3145285575.6400003</v>
      </c>
      <c r="T4" s="94">
        <f>+SUM(S4:S5)</f>
        <v>4695736715.8999996</v>
      </c>
      <c r="U4" s="45" t="str">
        <f>IF(P4&lt;Pliegos!$B$6,"NO","SI")</f>
        <v>SI</v>
      </c>
      <c r="V4" s="45" t="str">
        <f>IF(Q4&lt;=Pliegos!$B$7,"SI","NO")</f>
        <v>SI</v>
      </c>
      <c r="W4" s="45" t="str">
        <f>IF(O4=0,"SI",IF(R4&lt;Pliegos!$B$8,"NO","SI"))</f>
        <v>SI</v>
      </c>
      <c r="X4" s="96" t="str">
        <f>IF(AND(S4&gt;=VLOOKUP(C4,Pliegos!$A$3:$D$3,4,),Matriz!T4&gt;=VLOOKUP(C4,Pliegos!$A$3:$D$3,3,)),"SI","NO")</f>
        <v>SI</v>
      </c>
      <c r="Y4" s="78" t="str">
        <f>IF(ISERROR(SUM(U4:X5)),"ERROR",IF(COUNTIF(U4:X5,"NO")&gt;0,"NO HÁBIL","HÁBIL"))</f>
        <v>HÁBIL</v>
      </c>
      <c r="Z4" s="14">
        <f t="shared" ref="Z4:Z17" si="0">+N4/J4</f>
        <v>9.3825409534598905E-2</v>
      </c>
      <c r="AA4" s="14">
        <f t="shared" ref="AA4:AA17" si="1">+N4/M4</f>
        <v>0.15859335977512909</v>
      </c>
      <c r="AB4" s="98" t="str">
        <f>IF(MAX(Z4:Z5)&gt;Pliegos!$B$9,"SI","NO")</f>
        <v>SI</v>
      </c>
      <c r="AC4" s="98" t="str">
        <f>IF(MAX(AA4:AA5)&gt;Pliegos!$B$10,"SI","NO")</f>
        <v>SI</v>
      </c>
      <c r="AD4" s="78" t="str">
        <f>IF(ISERROR(SUM(AB4:AC5)),"ERROR",IF(COUNTIF(AB4:AC5,"NO")&gt;0,"NO HÁBIL","HÁBIL"))</f>
        <v>HÁBIL</v>
      </c>
    </row>
    <row r="5" spans="1:30" ht="15.75" thickBot="1" x14ac:dyDescent="0.3">
      <c r="A5" s="71"/>
      <c r="B5" s="73"/>
      <c r="C5" s="75"/>
      <c r="D5" s="37" t="s">
        <v>46</v>
      </c>
      <c r="E5" s="38">
        <v>0.4</v>
      </c>
      <c r="F5" s="39" t="s">
        <v>48</v>
      </c>
      <c r="G5" s="40">
        <v>41639</v>
      </c>
      <c r="H5" s="41" t="s">
        <v>49</v>
      </c>
      <c r="I5" s="26">
        <v>3085536053.8899999</v>
      </c>
      <c r="J5" s="26">
        <v>3360873199.7800002</v>
      </c>
      <c r="K5" s="26">
        <v>1535084913.6300001</v>
      </c>
      <c r="L5" s="26">
        <v>1999527620.6300001</v>
      </c>
      <c r="M5" s="23">
        <f t="shared" ref="M5:M28" si="2">+J5-L5</f>
        <v>1361345579.1500001</v>
      </c>
      <c r="N5" s="26">
        <v>423142103.06</v>
      </c>
      <c r="O5" s="26">
        <v>53274478</v>
      </c>
      <c r="P5" s="15">
        <f t="shared" ref="P5" si="3">+I5/K5</f>
        <v>2.0100100173570614</v>
      </c>
      <c r="Q5" s="16">
        <f t="shared" ref="Q5" si="4">+L5/J5</f>
        <v>0.59494289185348836</v>
      </c>
      <c r="R5" s="15">
        <f t="shared" ref="R5:R28" si="5">IF(O5=0,"Indeterminado",+N5/O5)</f>
        <v>7.9426794770283813</v>
      </c>
      <c r="S5" s="17">
        <f t="shared" ref="S5" si="6">I5-K5</f>
        <v>1550451140.2599998</v>
      </c>
      <c r="T5" s="95"/>
      <c r="U5" s="44" t="str">
        <f>IF(P5&lt;Pliegos!$B$6,"NO","SI")</f>
        <v>SI</v>
      </c>
      <c r="V5" s="49" t="str">
        <f>IF(Q5&lt;=Pliegos!$B$7,"SI","NO")</f>
        <v>SI</v>
      </c>
      <c r="W5" s="44" t="str">
        <f>IF(O5=0,"SI",IF(R5&lt;Pliegos!$B$8,"NO","SI"))</f>
        <v>SI</v>
      </c>
      <c r="X5" s="97"/>
      <c r="Y5" s="79"/>
      <c r="Z5" s="16">
        <f t="shared" si="0"/>
        <v>0.12590243008504412</v>
      </c>
      <c r="AA5" s="16">
        <f t="shared" si="1"/>
        <v>0.31082636880798659</v>
      </c>
      <c r="AB5" s="99"/>
      <c r="AC5" s="99"/>
      <c r="AD5" s="79"/>
    </row>
    <row r="6" spans="1:30" x14ac:dyDescent="0.25">
      <c r="A6" s="70">
        <v>2</v>
      </c>
      <c r="B6" s="72" t="s">
        <v>50</v>
      </c>
      <c r="C6" s="74">
        <v>1</v>
      </c>
      <c r="D6" s="27" t="s">
        <v>51</v>
      </c>
      <c r="E6" s="28">
        <v>0.51</v>
      </c>
      <c r="F6" s="29" t="s">
        <v>54</v>
      </c>
      <c r="G6" s="30">
        <v>41639</v>
      </c>
      <c r="H6" s="31" t="s">
        <v>49</v>
      </c>
      <c r="I6" s="24">
        <v>11890445835</v>
      </c>
      <c r="J6" s="24">
        <v>14801716437</v>
      </c>
      <c r="K6" s="24">
        <v>2332730529</v>
      </c>
      <c r="L6" s="24">
        <v>3793181201</v>
      </c>
      <c r="M6" s="12">
        <f t="shared" si="2"/>
        <v>11008535236</v>
      </c>
      <c r="N6" s="24">
        <v>375781861</v>
      </c>
      <c r="O6" s="24">
        <v>29468528</v>
      </c>
      <c r="P6" s="13">
        <f>+I6/K6</f>
        <v>5.0972221982696055</v>
      </c>
      <c r="Q6" s="14">
        <f>+L6/J6</f>
        <v>0.25626630648849258</v>
      </c>
      <c r="R6" s="13">
        <f t="shared" si="5"/>
        <v>12.751972579017181</v>
      </c>
      <c r="S6" s="21">
        <f>I6-K6</f>
        <v>9557715306</v>
      </c>
      <c r="T6" s="94">
        <f>+SUM(S6:S8)</f>
        <v>12186432164.77</v>
      </c>
      <c r="U6" s="42" t="str">
        <f>IF(P6&lt;Pliegos!$B$6,"NO","SI")</f>
        <v>SI</v>
      </c>
      <c r="V6" s="45" t="str">
        <f>IF(Q6&lt;=Pliegos!$B$7,"SI","NO")</f>
        <v>SI</v>
      </c>
      <c r="W6" s="42" t="str">
        <f>IF(O6=0,"SI",IF(R6&lt;Pliegos!$B$8,"NO","SI"))</f>
        <v>SI</v>
      </c>
      <c r="X6" s="96" t="str">
        <f>IF(AND(S6&gt;=VLOOKUP(C6,Pliegos!$A$3:$D$3,4,),Matriz!T6&gt;=VLOOKUP(C6,Pliegos!$A$3:$D$3,3,)),"SI","NO")</f>
        <v>SI</v>
      </c>
      <c r="Y6" s="78" t="str">
        <f>IF(ISERROR(SUM(U6:X8)),"ERROR",IF(COUNTIF(U6:X8,"NO")&gt;0,"NO HÁBIL","HÁBIL"))</f>
        <v>HÁBIL</v>
      </c>
      <c r="Z6" s="14">
        <f t="shared" si="0"/>
        <v>2.5387721930725162E-2</v>
      </c>
      <c r="AA6" s="14">
        <f t="shared" si="1"/>
        <v>3.4135500586047265E-2</v>
      </c>
      <c r="AB6" s="98" t="str">
        <f>IF(MAX(Z6:Z8)&gt;Pliegos!$B$9,"SI","NO")</f>
        <v>SI</v>
      </c>
      <c r="AC6" s="98" t="str">
        <f>IF(MAX(AA6:AA8)&gt;Pliegos!$B$10,"SI","NO")</f>
        <v>SI</v>
      </c>
      <c r="AD6" s="78" t="str">
        <f>IF(ISERROR(SUM(AB6:AC8)),"ERROR",IF(COUNTIF(AB6:AC8,"NO")&gt;0,"NO HÁBIL","HÁBIL"))</f>
        <v>HÁBIL</v>
      </c>
    </row>
    <row r="7" spans="1:30" x14ac:dyDescent="0.25">
      <c r="A7" s="85"/>
      <c r="B7" s="86"/>
      <c r="C7" s="87"/>
      <c r="D7" s="32" t="s">
        <v>52</v>
      </c>
      <c r="E7" s="33">
        <v>0.25</v>
      </c>
      <c r="F7" s="34" t="s">
        <v>56</v>
      </c>
      <c r="G7" s="35">
        <v>41639</v>
      </c>
      <c r="H7" s="36" t="s">
        <v>49</v>
      </c>
      <c r="I7" s="25">
        <v>1311180656</v>
      </c>
      <c r="J7" s="25">
        <v>1415661991</v>
      </c>
      <c r="K7" s="25">
        <v>154356167</v>
      </c>
      <c r="L7" s="25">
        <v>408114140</v>
      </c>
      <c r="M7" s="22">
        <f t="shared" si="2"/>
        <v>1007547851</v>
      </c>
      <c r="N7" s="25">
        <v>128635549</v>
      </c>
      <c r="O7" s="25">
        <v>49930422</v>
      </c>
      <c r="P7" s="18">
        <f t="shared" ref="P7:P8" si="7">+I7/K7</f>
        <v>8.4945142230695581</v>
      </c>
      <c r="Q7" s="19">
        <f t="shared" ref="Q7:Q8" si="8">+L7/J7</f>
        <v>0.28828501619353003</v>
      </c>
      <c r="R7" s="18">
        <f t="shared" si="5"/>
        <v>2.5762960505320782</v>
      </c>
      <c r="S7" s="20">
        <f t="shared" ref="S7:S8" si="9">I7-K7</f>
        <v>1156824489</v>
      </c>
      <c r="T7" s="100"/>
      <c r="U7" s="43" t="str">
        <f>IF(P7&lt;Pliegos!$B$6,"NO","SI")</f>
        <v>SI</v>
      </c>
      <c r="V7" s="51" t="str">
        <f>IF(Q7&lt;=Pliegos!$B$7,"SI","NO")</f>
        <v>SI</v>
      </c>
      <c r="W7" s="43" t="str">
        <f>IF(O7=0,"SI",IF(R7&lt;Pliegos!$B$8,"NO","SI"))</f>
        <v>SI</v>
      </c>
      <c r="X7" s="112"/>
      <c r="Y7" s="82"/>
      <c r="Z7" s="19">
        <f t="shared" si="0"/>
        <v>9.0866004609711948E-2</v>
      </c>
      <c r="AA7" s="19">
        <f t="shared" si="1"/>
        <v>0.12767190051800328</v>
      </c>
      <c r="AB7" s="98"/>
      <c r="AC7" s="98"/>
      <c r="AD7" s="82"/>
    </row>
    <row r="8" spans="1:30" ht="26.25" thickBot="1" x14ac:dyDescent="0.3">
      <c r="A8" s="71"/>
      <c r="B8" s="73"/>
      <c r="C8" s="75"/>
      <c r="D8" s="47" t="s">
        <v>53</v>
      </c>
      <c r="E8" s="38">
        <v>0.24</v>
      </c>
      <c r="F8" s="39" t="s">
        <v>55</v>
      </c>
      <c r="G8" s="40">
        <v>41639</v>
      </c>
      <c r="H8" s="41" t="s">
        <v>49</v>
      </c>
      <c r="I8" s="26">
        <v>4828817939.5200005</v>
      </c>
      <c r="J8" s="26">
        <v>7159894062.3299999</v>
      </c>
      <c r="K8" s="26">
        <v>3356925569.75</v>
      </c>
      <c r="L8" s="26">
        <v>4045770650.6900001</v>
      </c>
      <c r="M8" s="23">
        <f t="shared" si="2"/>
        <v>3114123411.6399999</v>
      </c>
      <c r="N8" s="26">
        <v>771644802.01999998</v>
      </c>
      <c r="O8" s="26">
        <v>32985674.370000001</v>
      </c>
      <c r="P8" s="15">
        <f t="shared" si="7"/>
        <v>1.4384644041659871</v>
      </c>
      <c r="Q8" s="16">
        <f t="shared" si="8"/>
        <v>0.5650601273524164</v>
      </c>
      <c r="R8" s="15">
        <f t="shared" si="5"/>
        <v>23.393331097750721</v>
      </c>
      <c r="S8" s="17">
        <f t="shared" si="9"/>
        <v>1471892369.7700005</v>
      </c>
      <c r="T8" s="95"/>
      <c r="U8" s="44" t="str">
        <f>IF(P8&lt;Pliegos!$B$6,"NO","SI")</f>
        <v>SI</v>
      </c>
      <c r="V8" s="49" t="str">
        <f>IF(Q8&lt;=Pliegos!$B$7,"SI","NO")</f>
        <v>SI</v>
      </c>
      <c r="W8" s="44" t="str">
        <f>IF(O8=0,"SI",IF(R8&lt;Pliegos!$B$8,"NO","SI"))</f>
        <v>SI</v>
      </c>
      <c r="X8" s="97"/>
      <c r="Y8" s="79"/>
      <c r="Z8" s="16">
        <f t="shared" si="0"/>
        <v>0.10777321498090552</v>
      </c>
      <c r="AA8" s="16">
        <f t="shared" si="1"/>
        <v>0.247788767502193</v>
      </c>
      <c r="AB8" s="99"/>
      <c r="AC8" s="99"/>
      <c r="AD8" s="79"/>
    </row>
    <row r="9" spans="1:30" ht="38.25" x14ac:dyDescent="0.25">
      <c r="A9" s="83">
        <v>3</v>
      </c>
      <c r="B9" s="72" t="s">
        <v>57</v>
      </c>
      <c r="C9" s="74">
        <v>1</v>
      </c>
      <c r="D9" s="48" t="s">
        <v>58</v>
      </c>
      <c r="E9" s="28">
        <v>0.51</v>
      </c>
      <c r="F9" s="29" t="s">
        <v>60</v>
      </c>
      <c r="G9" s="30">
        <v>41639</v>
      </c>
      <c r="H9" s="31" t="s">
        <v>49</v>
      </c>
      <c r="I9" s="24">
        <v>5718584447</v>
      </c>
      <c r="J9" s="24">
        <v>7846736907</v>
      </c>
      <c r="K9" s="24">
        <v>2264648491</v>
      </c>
      <c r="L9" s="24">
        <v>2278353906</v>
      </c>
      <c r="M9" s="12">
        <f t="shared" si="2"/>
        <v>5568383001</v>
      </c>
      <c r="N9" s="24">
        <v>833361202</v>
      </c>
      <c r="O9" s="24">
        <v>22167177</v>
      </c>
      <c r="P9" s="13">
        <f>+I9/K9</f>
        <v>2.5251532278525248</v>
      </c>
      <c r="Q9" s="14">
        <f>+L9/J9</f>
        <v>0.29035686209480299</v>
      </c>
      <c r="R9" s="13">
        <f t="shared" si="5"/>
        <v>37.594376676831693</v>
      </c>
      <c r="S9" s="21">
        <f>I9-K9</f>
        <v>3453935956</v>
      </c>
      <c r="T9" s="94">
        <f>+SUM(S9:S10)</f>
        <v>3659199701</v>
      </c>
      <c r="U9" s="42" t="str">
        <f>IF(P9&lt;Pliegos!$B$6,"NO","SI")</f>
        <v>SI</v>
      </c>
      <c r="V9" s="45" t="str">
        <f>IF(Q9&lt;=Pliegos!$B$7,"SI","NO")</f>
        <v>SI</v>
      </c>
      <c r="W9" s="42" t="str">
        <f>IF(O9=0,"SI",IF(R9&lt;Pliegos!$B$8,"NO","SI"))</f>
        <v>SI</v>
      </c>
      <c r="X9" s="96" t="str">
        <f>IF(AND(S9&gt;=VLOOKUP(C9,Pliegos!$A$3:$D$3,4,),Matriz!T9&gt;=VLOOKUP(C9,Pliegos!$A$3:$D$3,3,)),"SI","NO")</f>
        <v>SI</v>
      </c>
      <c r="Y9" s="78" t="str">
        <f>IF(ISERROR(SUM(U9:X10)),"ERROR",IF(COUNTIF(U9:X10,"NO")&gt;0,"NO HÁBIL","HÁBIL"))</f>
        <v>HÁBIL</v>
      </c>
      <c r="Z9" s="14">
        <f t="shared" si="0"/>
        <v>0.10620480995820904</v>
      </c>
      <c r="AA9" s="14">
        <f t="shared" si="1"/>
        <v>0.14965946161575822</v>
      </c>
      <c r="AB9" s="98" t="str">
        <f>IF(MAX(Z9:Z10)&gt;Pliegos!$B$9,"SI","NO")</f>
        <v>SI</v>
      </c>
      <c r="AC9" s="98" t="str">
        <f>IF(MAX(AA9:AA10)&gt;Pliegos!$B$10,"SI","NO")</f>
        <v>SI</v>
      </c>
      <c r="AD9" s="78" t="str">
        <f>IF(ISERROR(SUM(AB9:AC10)),"ERROR",IF(COUNTIF(AB9:AC10,"NO")&gt;0,"NO HÁBIL","HÁBIL"))</f>
        <v>HÁBIL</v>
      </c>
    </row>
    <row r="10" spans="1:30" ht="15.75" thickBot="1" x14ac:dyDescent="0.3">
      <c r="A10" s="84"/>
      <c r="B10" s="73"/>
      <c r="C10" s="75"/>
      <c r="D10" s="37" t="s">
        <v>59</v>
      </c>
      <c r="E10" s="38">
        <v>0.49</v>
      </c>
      <c r="F10" s="39" t="s">
        <v>61</v>
      </c>
      <c r="G10" s="40">
        <v>41639</v>
      </c>
      <c r="H10" s="41" t="s">
        <v>49</v>
      </c>
      <c r="I10" s="26">
        <v>286058449</v>
      </c>
      <c r="J10" s="26">
        <v>341750932</v>
      </c>
      <c r="K10" s="26">
        <v>80794704</v>
      </c>
      <c r="L10" s="26">
        <v>80794704</v>
      </c>
      <c r="M10" s="23">
        <f t="shared" si="2"/>
        <v>260956228</v>
      </c>
      <c r="N10" s="26">
        <v>22619241</v>
      </c>
      <c r="O10" s="26">
        <v>367217.36</v>
      </c>
      <c r="P10" s="15">
        <f t="shared" ref="P10" si="10">+I10/K10</f>
        <v>3.5405594034975363</v>
      </c>
      <c r="Q10" s="16">
        <f t="shared" ref="Q10" si="11">+L10/J10</f>
        <v>0.23641399754836659</v>
      </c>
      <c r="R10" s="15">
        <f t="shared" si="5"/>
        <v>61.596328125663781</v>
      </c>
      <c r="S10" s="17">
        <f t="shared" ref="S10" si="12">I10-K10</f>
        <v>205263745</v>
      </c>
      <c r="T10" s="95"/>
      <c r="U10" s="44" t="str">
        <f>IF(P10&lt;Pliegos!$B$6,"NO","SI")</f>
        <v>SI</v>
      </c>
      <c r="V10" s="49" t="str">
        <f>IF(Q10&lt;=Pliegos!$B$7,"SI","NO")</f>
        <v>SI</v>
      </c>
      <c r="W10" s="44" t="str">
        <f>IF(O10=0,"SI",IF(R10&lt;Pliegos!$B$8,"NO","SI"))</f>
        <v>SI</v>
      </c>
      <c r="X10" s="97"/>
      <c r="Y10" s="79"/>
      <c r="Z10" s="16">
        <f t="shared" si="0"/>
        <v>6.6186333033906697E-2</v>
      </c>
      <c r="AA10" s="16">
        <f t="shared" si="1"/>
        <v>8.6678295334648991E-2</v>
      </c>
      <c r="AB10" s="99"/>
      <c r="AC10" s="99"/>
      <c r="AD10" s="79"/>
    </row>
    <row r="11" spans="1:30" ht="38.25" x14ac:dyDescent="0.25">
      <c r="A11" s="83">
        <v>4</v>
      </c>
      <c r="B11" s="72" t="s">
        <v>62</v>
      </c>
      <c r="C11" s="74">
        <v>1</v>
      </c>
      <c r="D11" s="48" t="s">
        <v>63</v>
      </c>
      <c r="E11" s="28">
        <v>0.6</v>
      </c>
      <c r="F11" s="29" t="s">
        <v>65</v>
      </c>
      <c r="G11" s="30">
        <v>41639</v>
      </c>
      <c r="H11" s="31" t="s">
        <v>49</v>
      </c>
      <c r="I11" s="24">
        <v>10457859347</v>
      </c>
      <c r="J11" s="24">
        <v>13538468924</v>
      </c>
      <c r="K11" s="24">
        <v>2881103150</v>
      </c>
      <c r="L11" s="24">
        <v>6231601260</v>
      </c>
      <c r="M11" s="12">
        <f t="shared" si="2"/>
        <v>7306867664</v>
      </c>
      <c r="N11" s="24">
        <v>3285346481</v>
      </c>
      <c r="O11" s="24">
        <v>226511027</v>
      </c>
      <c r="P11" s="13">
        <f>+I11/K11</f>
        <v>3.6298108059754819</v>
      </c>
      <c r="Q11" s="14">
        <f>+L11/J11</f>
        <v>0.46028847833399217</v>
      </c>
      <c r="R11" s="13">
        <f t="shared" si="5"/>
        <v>14.504134851677662</v>
      </c>
      <c r="S11" s="21">
        <f>I11-K11</f>
        <v>7576756197</v>
      </c>
      <c r="T11" s="94">
        <f>+SUM(S11:S12)</f>
        <v>8097099018</v>
      </c>
      <c r="U11" s="42" t="str">
        <f>IF(P11&lt;Pliegos!$B$6,"NO","SI")</f>
        <v>SI</v>
      </c>
      <c r="V11" s="45" t="str">
        <f>IF(Q11&lt;=Pliegos!$B$7,"SI","NO")</f>
        <v>SI</v>
      </c>
      <c r="W11" s="42" t="str">
        <f>IF(O11=0,"SI",IF(R11&lt;Pliegos!$B$8,"NO","SI"))</f>
        <v>SI</v>
      </c>
      <c r="X11" s="96" t="str">
        <f>IF(AND(S11&gt;=VLOOKUP(C11,Pliegos!$A$3:$D$3,4,),Matriz!T11&gt;=VLOOKUP(C11,Pliegos!$A$3:$D$3,3,)),"SI","NO")</f>
        <v>SI</v>
      </c>
      <c r="Y11" s="78" t="str">
        <f>IF(ISERROR(SUM(U11:X12)),"ERROR",IF(COUNTIF(U11:X12,"NO")&gt;0,"NO HÁBIL","HÁBIL"))</f>
        <v>HÁBIL</v>
      </c>
      <c r="Z11" s="14">
        <f t="shared" si="0"/>
        <v>0.24266750542049698</v>
      </c>
      <c r="AA11" s="14">
        <f t="shared" si="1"/>
        <v>0.44962446729211764</v>
      </c>
      <c r="AB11" s="98" t="str">
        <f>IF(MAX(Z11:Z12)&gt;Pliegos!$B$9,"SI","NO")</f>
        <v>SI</v>
      </c>
      <c r="AC11" s="98" t="str">
        <f>IF(MAX(AA11:AA12)&gt;Pliegos!$B$10,"SI","NO")</f>
        <v>SI</v>
      </c>
      <c r="AD11" s="78" t="str">
        <f>IF(ISERROR(SUM(AB11:AC12)),"ERROR",IF(COUNTIF(AB11:AC12,"NO")&gt;0,"NO HÁBIL","HÁBIL"))</f>
        <v>HÁBIL</v>
      </c>
    </row>
    <row r="12" spans="1:30" ht="15.75" thickBot="1" x14ac:dyDescent="0.3">
      <c r="A12" s="84"/>
      <c r="B12" s="73"/>
      <c r="C12" s="75"/>
      <c r="D12" s="37" t="s">
        <v>64</v>
      </c>
      <c r="E12" s="38">
        <v>0.4</v>
      </c>
      <c r="F12" s="39" t="s">
        <v>66</v>
      </c>
      <c r="G12" s="40">
        <v>41639</v>
      </c>
      <c r="H12" s="41" t="s">
        <v>49</v>
      </c>
      <c r="I12" s="26">
        <v>897435326</v>
      </c>
      <c r="J12" s="26">
        <v>1461230895</v>
      </c>
      <c r="K12" s="26">
        <v>377092505</v>
      </c>
      <c r="L12" s="26">
        <v>377092505</v>
      </c>
      <c r="M12" s="23">
        <f t="shared" si="2"/>
        <v>1084138390</v>
      </c>
      <c r="N12" s="26">
        <v>32021198</v>
      </c>
      <c r="O12" s="26">
        <v>19124898</v>
      </c>
      <c r="P12" s="15">
        <f t="shared" ref="P12" si="13">+I12/K12</f>
        <v>2.3798811010576832</v>
      </c>
      <c r="Q12" s="16">
        <f t="shared" ref="Q12" si="14">+L12/J12</f>
        <v>0.25806496857568839</v>
      </c>
      <c r="R12" s="15">
        <f t="shared" si="5"/>
        <v>1.6743199362422743</v>
      </c>
      <c r="S12" s="17">
        <f t="shared" ref="S12" si="15">I12-K12</f>
        <v>520342821</v>
      </c>
      <c r="T12" s="95"/>
      <c r="U12" s="44" t="str">
        <f>IF(P12&lt;Pliegos!$B$6,"NO","SI")</f>
        <v>SI</v>
      </c>
      <c r="V12" s="49" t="str">
        <f>IF(Q12&lt;=Pliegos!$B$7,"SI","NO")</f>
        <v>SI</v>
      </c>
      <c r="W12" s="44" t="str">
        <f>IF(O12=0,"SI",IF(R12&lt;Pliegos!$B$8,"NO","SI"))</f>
        <v>SI</v>
      </c>
      <c r="X12" s="97"/>
      <c r="Y12" s="79"/>
      <c r="Z12" s="16">
        <f t="shared" si="0"/>
        <v>2.1913852293685591E-2</v>
      </c>
      <c r="AA12" s="16">
        <f t="shared" si="1"/>
        <v>2.9536079798816089E-2</v>
      </c>
      <c r="AB12" s="99"/>
      <c r="AC12" s="99"/>
      <c r="AD12" s="79"/>
    </row>
    <row r="13" spans="1:30" ht="25.5" x14ac:dyDescent="0.25">
      <c r="A13" s="83">
        <v>5</v>
      </c>
      <c r="B13" s="72" t="s">
        <v>67</v>
      </c>
      <c r="C13" s="74">
        <v>1</v>
      </c>
      <c r="D13" s="48" t="s">
        <v>68</v>
      </c>
      <c r="E13" s="28">
        <v>0.51</v>
      </c>
      <c r="F13" s="29" t="s">
        <v>70</v>
      </c>
      <c r="G13" s="30">
        <v>41639</v>
      </c>
      <c r="H13" s="31" t="s">
        <v>49</v>
      </c>
      <c r="I13" s="24">
        <v>2377545634</v>
      </c>
      <c r="J13" s="24">
        <v>2504059174</v>
      </c>
      <c r="K13" s="24">
        <v>475011446</v>
      </c>
      <c r="L13" s="24">
        <v>475011446</v>
      </c>
      <c r="M13" s="12">
        <f t="shared" si="2"/>
        <v>2029047728</v>
      </c>
      <c r="N13" s="24">
        <v>445298582</v>
      </c>
      <c r="O13" s="24">
        <v>51257257</v>
      </c>
      <c r="P13" s="13">
        <f>+I13/K13</f>
        <v>5.0052386190289821</v>
      </c>
      <c r="Q13" s="14">
        <f>+L13/J13</f>
        <v>0.1896965738398321</v>
      </c>
      <c r="R13" s="13">
        <f t="shared" si="5"/>
        <v>8.6875226663026464</v>
      </c>
      <c r="S13" s="21">
        <f>I13-K13</f>
        <v>1902534188</v>
      </c>
      <c r="T13" s="94">
        <f>+SUM(S13:S14)</f>
        <v>2915372234</v>
      </c>
      <c r="U13" s="42" t="str">
        <f>IF(P13&lt;Pliegos!$B$6,"NO","SI")</f>
        <v>SI</v>
      </c>
      <c r="V13" s="45" t="str">
        <f>IF(Q13&lt;=Pliegos!$B$7,"SI","NO")</f>
        <v>SI</v>
      </c>
      <c r="W13" s="42" t="str">
        <f>IF(O13=0,"SI",IF(R13&lt;Pliegos!$B$8,"NO","SI"))</f>
        <v>SI</v>
      </c>
      <c r="X13" s="96" t="str">
        <f>IF(AND(S13&gt;=VLOOKUP(C13,Pliegos!$A$3:$D$3,4,),Matriz!T13&gt;=VLOOKUP(C13,Pliegos!$A$3:$D$3,3,)),"SI","NO")</f>
        <v>SI</v>
      </c>
      <c r="Y13" s="78" t="str">
        <f>IF(ISERROR(SUM(U13:X14)),"ERROR",IF(COUNTIF(U13:X14,"NO")&gt;0,"NO HÁBIL","HÁBIL"))</f>
        <v>HÁBIL</v>
      </c>
      <c r="Z13" s="14">
        <f t="shared" si="0"/>
        <v>0.17783069450738148</v>
      </c>
      <c r="AA13" s="14">
        <f t="shared" si="1"/>
        <v>0.21946185683809602</v>
      </c>
      <c r="AB13" s="98" t="str">
        <f>IF(MAX(Z13:Z14)&gt;Pliegos!$B$9,"SI","NO")</f>
        <v>SI</v>
      </c>
      <c r="AC13" s="98" t="str">
        <f>IF(MAX(AA13:AA14)&gt;Pliegos!$B$10,"SI","NO")</f>
        <v>SI</v>
      </c>
      <c r="AD13" s="78" t="str">
        <f>IF(ISERROR(SUM(AB13:AC14)),"ERROR",IF(COUNTIF(AB13:AC14,"NO")&gt;0,"NO HÁBIL","HÁBIL"))</f>
        <v>HÁBIL</v>
      </c>
    </row>
    <row r="14" spans="1:30" ht="26.25" thickBot="1" x14ac:dyDescent="0.3">
      <c r="A14" s="84"/>
      <c r="B14" s="73"/>
      <c r="C14" s="75"/>
      <c r="D14" s="47" t="s">
        <v>69</v>
      </c>
      <c r="E14" s="38">
        <v>0.49</v>
      </c>
      <c r="F14" s="39" t="s">
        <v>71</v>
      </c>
      <c r="G14" s="40">
        <v>41639</v>
      </c>
      <c r="H14" s="41" t="s">
        <v>49</v>
      </c>
      <c r="I14" s="26">
        <v>1057093124</v>
      </c>
      <c r="J14" s="26">
        <v>1057093124</v>
      </c>
      <c r="K14" s="26">
        <v>44255078</v>
      </c>
      <c r="L14" s="26">
        <v>44255078</v>
      </c>
      <c r="M14" s="23">
        <f t="shared" si="2"/>
        <v>1012838046</v>
      </c>
      <c r="N14" s="26">
        <v>77639652</v>
      </c>
      <c r="O14" s="26">
        <v>39300</v>
      </c>
      <c r="P14" s="15">
        <f t="shared" ref="P14" si="16">+I14/K14</f>
        <v>23.886369017358867</v>
      </c>
      <c r="Q14" s="16">
        <f t="shared" ref="Q14" si="17">+L14/J14</f>
        <v>4.1864881149297872E-2</v>
      </c>
      <c r="R14" s="15">
        <f t="shared" si="5"/>
        <v>1975.5636641221374</v>
      </c>
      <c r="S14" s="17">
        <f t="shared" ref="S14" si="18">I14-K14</f>
        <v>1012838046</v>
      </c>
      <c r="T14" s="95"/>
      <c r="U14" s="44" t="str">
        <f>IF(P14&lt;Pliegos!$B$6,"NO","SI")</f>
        <v>SI</v>
      </c>
      <c r="V14" s="49" t="str">
        <f>IF(Q14&lt;=Pliegos!$B$7,"SI","NO")</f>
        <v>SI</v>
      </c>
      <c r="W14" s="44" t="str">
        <f>IF(O14=0,"SI",IF(R14&lt;Pliegos!$B$8,"NO","SI"))</f>
        <v>SI</v>
      </c>
      <c r="X14" s="97"/>
      <c r="Y14" s="79"/>
      <c r="Z14" s="16">
        <f t="shared" si="0"/>
        <v>7.3446369328573929E-2</v>
      </c>
      <c r="AA14" s="16">
        <f t="shared" si="1"/>
        <v>7.6655544592368133E-2</v>
      </c>
      <c r="AB14" s="99"/>
      <c r="AC14" s="99"/>
      <c r="AD14" s="79"/>
    </row>
    <row r="15" spans="1:30" x14ac:dyDescent="0.25">
      <c r="A15" s="83">
        <v>6</v>
      </c>
      <c r="B15" s="72" t="s">
        <v>72</v>
      </c>
      <c r="C15" s="74">
        <v>1</v>
      </c>
      <c r="D15" s="27" t="s">
        <v>73</v>
      </c>
      <c r="E15" s="28">
        <v>0.51</v>
      </c>
      <c r="F15" s="29" t="s">
        <v>76</v>
      </c>
      <c r="G15" s="30">
        <v>41639</v>
      </c>
      <c r="H15" s="31" t="s">
        <v>49</v>
      </c>
      <c r="I15" s="24">
        <v>13027692461</v>
      </c>
      <c r="J15" s="24">
        <v>15317705407</v>
      </c>
      <c r="K15" s="24">
        <v>4294980056</v>
      </c>
      <c r="L15" s="24">
        <v>4294980056</v>
      </c>
      <c r="M15" s="12">
        <f t="shared" si="2"/>
        <v>11022725351</v>
      </c>
      <c r="N15" s="24">
        <v>7798827071</v>
      </c>
      <c r="O15" s="24">
        <v>41427343</v>
      </c>
      <c r="P15" s="13">
        <f>+I15/K15</f>
        <v>3.0332370095177921</v>
      </c>
      <c r="Q15" s="14">
        <f>+L15/J15</f>
        <v>0.28039317520999246</v>
      </c>
      <c r="R15" s="13">
        <f t="shared" si="5"/>
        <v>188.25313201959392</v>
      </c>
      <c r="S15" s="21">
        <f>I15-K15</f>
        <v>8732712405</v>
      </c>
      <c r="T15" s="94">
        <f>+SUM(S15:S16)</f>
        <v>8834577151.0300007</v>
      </c>
      <c r="U15" s="42" t="str">
        <f>IF(P15&lt;Pliegos!$B$6,"NO","SI")</f>
        <v>SI</v>
      </c>
      <c r="V15" s="45" t="str">
        <f>IF(Q15&lt;=Pliegos!$B$7,"SI","NO")</f>
        <v>SI</v>
      </c>
      <c r="W15" s="42" t="str">
        <f>IF(O15=0,"SI",IF(R15&lt;Pliegos!$B$8,"NO","SI"))</f>
        <v>SI</v>
      </c>
      <c r="X15" s="96" t="str">
        <f>IF(AND(S15&gt;=VLOOKUP(C15,Pliegos!$A$3:$D$3,4,),Matriz!T15&gt;=VLOOKUP(C15,Pliegos!$A$3:$D$3,3,)),"SI","NO")</f>
        <v>SI</v>
      </c>
      <c r="Y15" s="78" t="str">
        <f>IF(ISERROR(SUM(U15:X16)),"ERROR",IF(COUNTIF(U15:X16,"NO")&gt;0,"NO HÁBIL","HÁBIL"))</f>
        <v>HÁBIL</v>
      </c>
      <c r="Z15" s="14">
        <f t="shared" si="0"/>
        <v>0.50913807674066069</v>
      </c>
      <c r="AA15" s="14">
        <f t="shared" si="1"/>
        <v>0.70752257927686435</v>
      </c>
      <c r="AB15" s="98" t="str">
        <f>IF(MAX(Z15:Z16)&gt;Pliegos!$B$9,"SI","NO")</f>
        <v>SI</v>
      </c>
      <c r="AC15" s="98" t="str">
        <f>IF(MAX(AA15:AA16)&gt;Pliegos!$B$10,"SI","NO")</f>
        <v>SI</v>
      </c>
      <c r="AD15" s="78" t="str">
        <f>IF(ISERROR(SUM(AB15:AC16)),"ERROR",IF(COUNTIF(AB15:AC16,"NO")&gt;0,"NO HÁBIL","HÁBIL"))</f>
        <v>HÁBIL</v>
      </c>
    </row>
    <row r="16" spans="1:30" ht="15.75" thickBot="1" x14ac:dyDescent="0.3">
      <c r="A16" s="84"/>
      <c r="B16" s="73"/>
      <c r="C16" s="75"/>
      <c r="D16" s="37" t="s">
        <v>74</v>
      </c>
      <c r="E16" s="38">
        <v>0.49</v>
      </c>
      <c r="F16" s="39" t="s">
        <v>75</v>
      </c>
      <c r="G16" s="40">
        <v>41639</v>
      </c>
      <c r="H16" s="41" t="s">
        <v>49</v>
      </c>
      <c r="I16" s="26">
        <v>1068329944.03</v>
      </c>
      <c r="J16" s="26">
        <v>1366336142</v>
      </c>
      <c r="K16" s="26">
        <v>966465198</v>
      </c>
      <c r="L16" s="26">
        <v>1067628448</v>
      </c>
      <c r="M16" s="23">
        <f t="shared" si="2"/>
        <v>298707694</v>
      </c>
      <c r="N16" s="26">
        <v>206211782</v>
      </c>
      <c r="O16" s="26">
        <v>32364</v>
      </c>
      <c r="P16" s="15">
        <f t="shared" ref="P16" si="19">+I16/K16</f>
        <v>1.1053992903632728</v>
      </c>
      <c r="Q16" s="16">
        <f t="shared" ref="Q16" si="20">+L16/J16</f>
        <v>0.78138052209995623</v>
      </c>
      <c r="R16" s="15">
        <f t="shared" si="5"/>
        <v>6371.6407736991723</v>
      </c>
      <c r="S16" s="17">
        <f t="shared" ref="S16" si="21">I16-K16</f>
        <v>101864746.02999997</v>
      </c>
      <c r="T16" s="95"/>
      <c r="U16" s="44" t="str">
        <f>IF(P16&lt;Pliegos!$B$6,"NO","SI")</f>
        <v>SI</v>
      </c>
      <c r="V16" s="49" t="str">
        <f>IF(Q16&lt;=Pliegos!$B$7,"SI","NO")</f>
        <v>SI</v>
      </c>
      <c r="W16" s="44" t="str">
        <f>IF(O16=0,"SI",IF(R16&lt;Pliegos!$B$8,"NO","SI"))</f>
        <v>SI</v>
      </c>
      <c r="X16" s="97"/>
      <c r="Y16" s="79"/>
      <c r="Z16" s="16">
        <f t="shared" si="0"/>
        <v>0.15092317011987524</v>
      </c>
      <c r="AA16" s="16">
        <f t="shared" si="1"/>
        <v>0.69034640266078984</v>
      </c>
      <c r="AB16" s="99"/>
      <c r="AC16" s="99"/>
      <c r="AD16" s="79"/>
    </row>
    <row r="17" spans="1:31" x14ac:dyDescent="0.25">
      <c r="A17" s="83">
        <v>7</v>
      </c>
      <c r="B17" s="72" t="s">
        <v>77</v>
      </c>
      <c r="C17" s="74">
        <v>1</v>
      </c>
      <c r="D17" s="27" t="s">
        <v>78</v>
      </c>
      <c r="E17" s="28">
        <v>0.6</v>
      </c>
      <c r="F17" s="29" t="s">
        <v>80</v>
      </c>
      <c r="G17" s="30">
        <v>41639</v>
      </c>
      <c r="H17" s="31" t="s">
        <v>49</v>
      </c>
      <c r="I17" s="24">
        <v>7988638439</v>
      </c>
      <c r="J17" s="24">
        <v>12414216938</v>
      </c>
      <c r="K17" s="24">
        <v>5820471452</v>
      </c>
      <c r="L17" s="24">
        <v>7478463622</v>
      </c>
      <c r="M17" s="12">
        <f t="shared" si="2"/>
        <v>4935753316</v>
      </c>
      <c r="N17" s="24">
        <v>1204119850</v>
      </c>
      <c r="O17" s="24">
        <v>185394992</v>
      </c>
      <c r="P17" s="13">
        <f>+I17/K17</f>
        <v>1.3725071078658047</v>
      </c>
      <c r="Q17" s="14">
        <f>+L17/J17</f>
        <v>0.60241122411099268</v>
      </c>
      <c r="R17" s="13">
        <f t="shared" si="5"/>
        <v>6.4948887616122875</v>
      </c>
      <c r="S17" s="21">
        <f>I17-K17</f>
        <v>2168166987</v>
      </c>
      <c r="T17" s="94">
        <f>+SUM(S17:S18)</f>
        <v>2639729084</v>
      </c>
      <c r="U17" s="42" t="str">
        <f>IF(P17&lt;Pliegos!$B$6,"NO","SI")</f>
        <v>SI</v>
      </c>
      <c r="V17" s="45" t="str">
        <f>IF(Q17&lt;=Pliegos!$B$7,"SI","NO")</f>
        <v>SI</v>
      </c>
      <c r="W17" s="42" t="str">
        <f>IF(O17=0,"SI",IF(R17&lt;Pliegos!$B$8,"NO","SI"))</f>
        <v>SI</v>
      </c>
      <c r="X17" s="96" t="str">
        <f>IF(AND(S17&gt;=VLOOKUP(C17,Pliegos!$A$3:$D$3,4,),Matriz!T17&gt;=VLOOKUP(C17,Pliegos!$A$3:$D$3,3,)),"SI","NO")</f>
        <v>SI</v>
      </c>
      <c r="Y17" s="78" t="str">
        <f>IF(ISERROR(SUM(U17:X18)),"ERROR",IF(COUNTIF(U17:X18,"NO")&gt;0,"NO HÁBIL","HÁBIL"))</f>
        <v>HÁBIL</v>
      </c>
      <c r="Z17" s="14">
        <f t="shared" si="0"/>
        <v>9.6995231838923418E-2</v>
      </c>
      <c r="AA17" s="14">
        <f t="shared" si="1"/>
        <v>0.24395867720873754</v>
      </c>
      <c r="AB17" s="98" t="str">
        <f>IF(MAX(Z17:Z18)&gt;Pliegos!$B$9,"SI","NO")</f>
        <v>SI</v>
      </c>
      <c r="AC17" s="98" t="str">
        <f>IF(MAX(AA17:AA18)&gt;Pliegos!$B$10,"SI","NO")</f>
        <v>SI</v>
      </c>
      <c r="AD17" s="78" t="str">
        <f>IF(ISERROR(SUM(AB17:AC18)),"ERROR",IF(COUNTIF(AB17:AC18,"NO")&gt;0,"NO HÁBIL","HÁBIL"))</f>
        <v>HÁBIL</v>
      </c>
    </row>
    <row r="18" spans="1:31" ht="15.75" thickBot="1" x14ac:dyDescent="0.3">
      <c r="A18" s="84"/>
      <c r="B18" s="73"/>
      <c r="C18" s="75"/>
      <c r="D18" s="37" t="s">
        <v>79</v>
      </c>
      <c r="E18" s="38">
        <v>0.4</v>
      </c>
      <c r="F18" s="39" t="s">
        <v>81</v>
      </c>
      <c r="G18" s="40">
        <v>41639</v>
      </c>
      <c r="H18" s="41" t="s">
        <v>49</v>
      </c>
      <c r="I18" s="26">
        <v>639867914</v>
      </c>
      <c r="J18" s="26">
        <v>718061207</v>
      </c>
      <c r="K18" s="26">
        <v>168305817</v>
      </c>
      <c r="L18" s="26">
        <v>225463968</v>
      </c>
      <c r="M18" s="23">
        <f t="shared" si="2"/>
        <v>492597239</v>
      </c>
      <c r="N18" s="26">
        <v>114706405</v>
      </c>
      <c r="O18" s="26">
        <v>6339188</v>
      </c>
      <c r="P18" s="15">
        <f t="shared" ref="P18" si="22">+I18/K18</f>
        <v>3.801816986515683</v>
      </c>
      <c r="Q18" s="16">
        <f t="shared" ref="Q18" si="23">+L18/J18</f>
        <v>0.3139899019778129</v>
      </c>
      <c r="R18" s="15">
        <f t="shared" si="5"/>
        <v>18.094810407894514</v>
      </c>
      <c r="S18" s="17">
        <f t="shared" ref="S18" si="24">I18-K18</f>
        <v>471562097</v>
      </c>
      <c r="T18" s="95"/>
      <c r="U18" s="44" t="str">
        <f>IF(P18&lt;Pliegos!$B$6,"NO","SI")</f>
        <v>SI</v>
      </c>
      <c r="V18" s="49" t="str">
        <f>IF(Q18&lt;=Pliegos!$B$7,"SI","NO")</f>
        <v>SI</v>
      </c>
      <c r="W18" s="44" t="str">
        <f>IF(O18=0,"SI",IF(R18&lt;Pliegos!$B$8,"NO","SI"))</f>
        <v>SI</v>
      </c>
      <c r="X18" s="97"/>
      <c r="Y18" s="79"/>
      <c r="Z18" s="16">
        <f t="shared" ref="Z18:Z28" si="25">+N18/J18</f>
        <v>0.15974460656248765</v>
      </c>
      <c r="AA18" s="16">
        <f t="shared" ref="AA18:AA28" si="26">+N18/M18</f>
        <v>0.23286043022259001</v>
      </c>
      <c r="AB18" s="99"/>
      <c r="AC18" s="99"/>
      <c r="AD18" s="79"/>
    </row>
    <row r="19" spans="1:31" x14ac:dyDescent="0.25">
      <c r="A19" s="83">
        <v>8</v>
      </c>
      <c r="B19" s="72" t="s">
        <v>82</v>
      </c>
      <c r="C19" s="74">
        <v>1</v>
      </c>
      <c r="D19" s="27" t="s">
        <v>83</v>
      </c>
      <c r="E19" s="28">
        <v>0.75</v>
      </c>
      <c r="F19" s="29" t="s">
        <v>85</v>
      </c>
      <c r="G19" s="30">
        <v>41639</v>
      </c>
      <c r="H19" s="31" t="s">
        <v>49</v>
      </c>
      <c r="I19" s="24">
        <v>4051093717</v>
      </c>
      <c r="J19" s="24">
        <v>4129009201</v>
      </c>
      <c r="K19" s="24">
        <v>1956228609</v>
      </c>
      <c r="L19" s="24">
        <v>2462210841</v>
      </c>
      <c r="M19" s="12">
        <f t="shared" si="2"/>
        <v>1666798360</v>
      </c>
      <c r="N19" s="24">
        <v>854233776</v>
      </c>
      <c r="O19" s="24">
        <v>103738165</v>
      </c>
      <c r="P19" s="13">
        <f>+I19/K19</f>
        <v>2.0708692728253624</v>
      </c>
      <c r="Q19" s="14">
        <f>+L19/J19</f>
        <v>0.59632001798486667</v>
      </c>
      <c r="R19" s="13">
        <f t="shared" si="5"/>
        <v>8.2345178941617103</v>
      </c>
      <c r="S19" s="21">
        <f>I19-K19</f>
        <v>2094865108</v>
      </c>
      <c r="T19" s="94">
        <f>+SUM(S19:S20)</f>
        <v>2979518499</v>
      </c>
      <c r="U19" s="42" t="str">
        <f>IF(P19&lt;Pliegos!$B$6,"NO","SI")</f>
        <v>SI</v>
      </c>
      <c r="V19" s="45" t="str">
        <f>IF(Q19&lt;=Pliegos!$B$7,"SI","NO")</f>
        <v>SI</v>
      </c>
      <c r="W19" s="42" t="str">
        <f>IF(O19=0,"SI",IF(R19&lt;Pliegos!$B$8,"NO","SI"))</f>
        <v>SI</v>
      </c>
      <c r="X19" s="96" t="str">
        <f>IF(AND(S19&gt;=VLOOKUP(C19,Pliegos!$A$3:$D$3,4,),Matriz!T19&gt;=VLOOKUP(C19,Pliegos!$A$3:$D$3,3,)),"SI","NO")</f>
        <v>SI</v>
      </c>
      <c r="Y19" s="78" t="str">
        <f>IF(ISERROR(SUM(U19:X20)),"ERROR",IF(COUNTIF(U19:X20,"NO")&gt;0,"NO HÁBIL","HÁBIL"))</f>
        <v>HÁBIL</v>
      </c>
      <c r="Z19" s="14">
        <f t="shared" si="25"/>
        <v>0.20688589790333092</v>
      </c>
      <c r="AA19" s="14">
        <f t="shared" si="26"/>
        <v>0.51249976991818014</v>
      </c>
      <c r="AB19" s="98" t="str">
        <f>IF(MAX(Z19:Z20)&gt;Pliegos!$B$9,"SI","NO")</f>
        <v>SI</v>
      </c>
      <c r="AC19" s="98" t="str">
        <f>IF(MAX(AA19:AA20)&gt;Pliegos!$B$10,"SI","NO")</f>
        <v>SI</v>
      </c>
      <c r="AD19" s="78" t="str">
        <f>IF(ISERROR(SUM(AB19:AC20)),"ERROR",IF(COUNTIF(AB19:AC20,"NO")&gt;0,"NO HÁBIL","HÁBIL"))</f>
        <v>HÁBIL</v>
      </c>
    </row>
    <row r="20" spans="1:31" ht="15.75" thickBot="1" x14ac:dyDescent="0.3">
      <c r="A20" s="84"/>
      <c r="B20" s="73"/>
      <c r="C20" s="75"/>
      <c r="D20" s="37" t="s">
        <v>84</v>
      </c>
      <c r="E20" s="38">
        <v>0.25</v>
      </c>
      <c r="F20" s="39" t="s">
        <v>86</v>
      </c>
      <c r="G20" s="40">
        <v>41639</v>
      </c>
      <c r="H20" s="41" t="s">
        <v>49</v>
      </c>
      <c r="I20" s="26">
        <v>1082500270</v>
      </c>
      <c r="J20" s="26">
        <v>1667375424</v>
      </c>
      <c r="K20" s="26">
        <v>197846879</v>
      </c>
      <c r="L20" s="26">
        <v>376820989</v>
      </c>
      <c r="M20" s="23">
        <f t="shared" si="2"/>
        <v>1290554435</v>
      </c>
      <c r="N20" s="26">
        <v>421393845</v>
      </c>
      <c r="O20" s="26">
        <v>23718589</v>
      </c>
      <c r="P20" s="15">
        <f t="shared" ref="P20" si="27">+I20/K20</f>
        <v>5.4714043277882594</v>
      </c>
      <c r="Q20" s="16">
        <f t="shared" ref="Q20" si="28">+L20/J20</f>
        <v>0.22599648739934888</v>
      </c>
      <c r="R20" s="15">
        <f t="shared" si="5"/>
        <v>17.766396011162385</v>
      </c>
      <c r="S20" s="17">
        <f t="shared" ref="S20" si="29">I20-K20</f>
        <v>884653391</v>
      </c>
      <c r="T20" s="95"/>
      <c r="U20" s="44" t="str">
        <f>IF(P20&lt;Pliegos!$B$6,"NO","SI")</f>
        <v>SI</v>
      </c>
      <c r="V20" s="49" t="str">
        <f>IF(Q20&lt;=Pliegos!$B$7,"SI","NO")</f>
        <v>SI</v>
      </c>
      <c r="W20" s="44" t="str">
        <f>IF(O20=0,"SI",IF(R20&lt;Pliegos!$B$8,"NO","SI"))</f>
        <v>SI</v>
      </c>
      <c r="X20" s="97"/>
      <c r="Y20" s="79"/>
      <c r="Z20" s="16">
        <f t="shared" si="25"/>
        <v>0.25272883295178039</v>
      </c>
      <c r="AA20" s="16">
        <f t="shared" si="26"/>
        <v>0.32652155815496464</v>
      </c>
      <c r="AB20" s="99"/>
      <c r="AC20" s="99"/>
      <c r="AD20" s="79"/>
    </row>
    <row r="21" spans="1:31" ht="25.5" x14ac:dyDescent="0.25">
      <c r="A21" s="83">
        <v>9</v>
      </c>
      <c r="B21" s="72" t="s">
        <v>87</v>
      </c>
      <c r="C21" s="74">
        <v>1</v>
      </c>
      <c r="D21" s="48" t="s">
        <v>88</v>
      </c>
      <c r="E21" s="28">
        <v>0.51</v>
      </c>
      <c r="F21" s="29" t="s">
        <v>91</v>
      </c>
      <c r="G21" s="30">
        <v>41639</v>
      </c>
      <c r="H21" s="31" t="s">
        <v>49</v>
      </c>
      <c r="I21" s="24">
        <v>2960309872.8200002</v>
      </c>
      <c r="J21" s="24">
        <v>4206969283.1399999</v>
      </c>
      <c r="K21" s="24">
        <v>681062349.41999996</v>
      </c>
      <c r="L21" s="24">
        <v>688365452.22000003</v>
      </c>
      <c r="M21" s="12">
        <f t="shared" si="2"/>
        <v>3518603830.9200001</v>
      </c>
      <c r="N21" s="24">
        <v>19180238.780000001</v>
      </c>
      <c r="O21" s="24">
        <v>6808947.5700000003</v>
      </c>
      <c r="P21" s="13">
        <f>+I21/K21</f>
        <v>4.3466062620273052</v>
      </c>
      <c r="Q21" s="14">
        <f>+L21/J21</f>
        <v>0.16362502454646341</v>
      </c>
      <c r="R21" s="13">
        <f t="shared" si="5"/>
        <v>2.8169167970256526</v>
      </c>
      <c r="S21" s="21">
        <f>I21-K21</f>
        <v>2279247523.4000001</v>
      </c>
      <c r="T21" s="94">
        <f>+SUM(S21:S22)</f>
        <v>6256040721.3999996</v>
      </c>
      <c r="U21" s="42" t="str">
        <f>IF(P21&lt;Pliegos!$B$6,"NO","SI")</f>
        <v>SI</v>
      </c>
      <c r="V21" s="45" t="str">
        <f>IF(Q21&lt;=Pliegos!$B$7,"SI","NO")</f>
        <v>SI</v>
      </c>
      <c r="W21" s="42" t="str">
        <f>IF(O21=0,"SI",IF(R21&lt;Pliegos!$B$8,"NO","SI"))</f>
        <v>SI</v>
      </c>
      <c r="X21" s="96" t="str">
        <f>IF(AND(S21&gt;=VLOOKUP(C21,Pliegos!$A$3:$D$3,4,),Matriz!T21&gt;=VLOOKUP(C21,Pliegos!$A$3:$D$3,3,)),"SI","NO")</f>
        <v>SI</v>
      </c>
      <c r="Y21" s="78" t="str">
        <f>IF(ISERROR(SUM(U21:X22)),"ERROR",IF(COUNTIF(U21:X22,"NO")&gt;0,"NO HÁBIL","HÁBIL"))</f>
        <v>HÁBIL</v>
      </c>
      <c r="Z21" s="14">
        <f t="shared" si="25"/>
        <v>4.5591582655160829E-3</v>
      </c>
      <c r="AA21" s="14">
        <f t="shared" si="26"/>
        <v>5.4510935875906764E-3</v>
      </c>
      <c r="AB21" s="98" t="str">
        <f>IF(MAX(Z21:Z22)&gt;Pliegos!$B$9,"SI","NO")</f>
        <v>SI</v>
      </c>
      <c r="AC21" s="98" t="str">
        <f>IF(MAX(AA21:AA22)&gt;Pliegos!$B$10,"SI","NO")</f>
        <v>SI</v>
      </c>
      <c r="AD21" s="78" t="str">
        <f>IF(ISERROR(SUM(AB21:AC22)),"ERROR",IF(COUNTIF(AB21:AC22,"NO")&gt;0,"NO HÁBIL","HÁBIL"))</f>
        <v>HÁBIL</v>
      </c>
      <c r="AE21" t="s">
        <v>96</v>
      </c>
    </row>
    <row r="22" spans="1:31" ht="15.75" thickBot="1" x14ac:dyDescent="0.3">
      <c r="A22" s="84"/>
      <c r="B22" s="73"/>
      <c r="C22" s="75"/>
      <c r="D22" s="37" t="s">
        <v>89</v>
      </c>
      <c r="E22" s="38">
        <v>0.49</v>
      </c>
      <c r="F22" s="39" t="s">
        <v>90</v>
      </c>
      <c r="G22" s="40">
        <v>41639</v>
      </c>
      <c r="H22" s="41" t="s">
        <v>49</v>
      </c>
      <c r="I22" s="26">
        <v>4668125562</v>
      </c>
      <c r="J22" s="26">
        <v>4982651359</v>
      </c>
      <c r="K22" s="26">
        <v>691332364</v>
      </c>
      <c r="L22" s="26">
        <v>980645779</v>
      </c>
      <c r="M22" s="23">
        <f t="shared" si="2"/>
        <v>4002005580</v>
      </c>
      <c r="N22" s="26">
        <v>1727803854</v>
      </c>
      <c r="O22" s="26">
        <v>44089010</v>
      </c>
      <c r="P22" s="15">
        <f t="shared" ref="P22" si="30">+I22/K22</f>
        <v>6.7523608109282733</v>
      </c>
      <c r="Q22" s="16">
        <f t="shared" ref="Q22" si="31">+L22/J22</f>
        <v>0.19681204008558448</v>
      </c>
      <c r="R22" s="15">
        <f t="shared" si="5"/>
        <v>39.188991859876189</v>
      </c>
      <c r="S22" s="17">
        <f t="shared" ref="S22" si="32">I22-K22</f>
        <v>3976793198</v>
      </c>
      <c r="T22" s="95"/>
      <c r="U22" s="44" t="str">
        <f>IF(P22&lt;Pliegos!$B$6,"NO","SI")</f>
        <v>SI</v>
      </c>
      <c r="V22" s="49" t="str">
        <f>IF(Q22&lt;=Pliegos!$B$7,"SI","NO")</f>
        <v>SI</v>
      </c>
      <c r="W22" s="44" t="str">
        <f>IF(O22=0,"SI",IF(R22&lt;Pliegos!$B$8,"NO","SI"))</f>
        <v>SI</v>
      </c>
      <c r="X22" s="97"/>
      <c r="Y22" s="79"/>
      <c r="Z22" s="16">
        <f t="shared" si="25"/>
        <v>0.34676394744720085</v>
      </c>
      <c r="AA22" s="16">
        <f t="shared" si="26"/>
        <v>0.4317344939833892</v>
      </c>
      <c r="AB22" s="99"/>
      <c r="AC22" s="99"/>
      <c r="AD22" s="79"/>
    </row>
    <row r="23" spans="1:31" x14ac:dyDescent="0.25">
      <c r="A23" s="83">
        <v>10</v>
      </c>
      <c r="B23" s="72" t="s">
        <v>92</v>
      </c>
      <c r="C23" s="74">
        <v>1</v>
      </c>
      <c r="D23" s="27" t="s">
        <v>93</v>
      </c>
      <c r="E23" s="28">
        <v>0.51</v>
      </c>
      <c r="F23" s="29" t="s">
        <v>97</v>
      </c>
      <c r="G23" s="30">
        <v>41639</v>
      </c>
      <c r="H23" s="31" t="s">
        <v>49</v>
      </c>
      <c r="I23" s="24">
        <v>12259591835.559999</v>
      </c>
      <c r="J23" s="24">
        <v>13136283028.309999</v>
      </c>
      <c r="K23" s="24">
        <v>3252446244.9099998</v>
      </c>
      <c r="L23" s="24">
        <v>3252446244.9099998</v>
      </c>
      <c r="M23" s="12">
        <f t="shared" si="2"/>
        <v>9883836783.3999996</v>
      </c>
      <c r="N23" s="24">
        <v>523579437.63</v>
      </c>
      <c r="O23" s="24">
        <v>42393619.909999996</v>
      </c>
      <c r="P23" s="13">
        <f>+I23/K23</f>
        <v>3.7693449522020437</v>
      </c>
      <c r="Q23" s="14">
        <f>+L23/J23</f>
        <v>0.24759258291715044</v>
      </c>
      <c r="R23" s="13">
        <f t="shared" si="5"/>
        <v>12.350430058615865</v>
      </c>
      <c r="S23" s="21">
        <f>I23-K23</f>
        <v>9007145590.6499996</v>
      </c>
      <c r="T23" s="94">
        <f>+SUM(S23:S24)</f>
        <v>10215926590.65</v>
      </c>
      <c r="U23" s="42" t="str">
        <f>IF(P23&lt;Pliegos!$B$6,"NO","SI")</f>
        <v>SI</v>
      </c>
      <c r="V23" s="45" t="str">
        <f>IF(Q23&lt;=Pliegos!$B$7,"SI","NO")</f>
        <v>SI</v>
      </c>
      <c r="W23" s="42" t="str">
        <f>IF(O23=0,"SI",IF(R23&lt;Pliegos!$B$8,"NO","SI"))</f>
        <v>SI</v>
      </c>
      <c r="X23" s="96" t="str">
        <f>IF(AND(S23&gt;=VLOOKUP(C23,Pliegos!$A$3:$D$3,4,),Matriz!T23&gt;=VLOOKUP(C23,Pliegos!$A$3:$D$3,3,)),"SI","NO")</f>
        <v>SI</v>
      </c>
      <c r="Y23" s="78" t="str">
        <f>IF(ISERROR(SUM(U23:X24)),"ERROR",IF(COUNTIF(U23:X24,"NO")&gt;0,"NO HÁBIL","HÁBIL"))</f>
        <v>HÁBIL</v>
      </c>
      <c r="Z23" s="14">
        <f t="shared" si="25"/>
        <v>3.9857502803619112E-2</v>
      </c>
      <c r="AA23" s="14">
        <f t="shared" si="26"/>
        <v>5.2973298639386351E-2</v>
      </c>
      <c r="AB23" s="98" t="str">
        <f>IF(MAX(Z23:Z24)&gt;Pliegos!$B$9,"SI","NO")</f>
        <v>SI</v>
      </c>
      <c r="AC23" s="98" t="str">
        <f>IF(MAX(AA23:AA24)&gt;Pliegos!$B$10,"SI","NO")</f>
        <v>SI</v>
      </c>
      <c r="AD23" s="78" t="str">
        <f>IF(ISERROR(SUM(AB23:AC24)),"ERROR",IF(COUNTIF(AB23:AC24,"NO")&gt;0,"NO HÁBIL","HÁBIL"))</f>
        <v>HÁBIL</v>
      </c>
    </row>
    <row r="24" spans="1:31" ht="15.75" thickBot="1" x14ac:dyDescent="0.3">
      <c r="A24" s="84"/>
      <c r="B24" s="73"/>
      <c r="C24" s="75"/>
      <c r="D24" s="37" t="s">
        <v>94</v>
      </c>
      <c r="E24" s="38">
        <v>0.49</v>
      </c>
      <c r="F24" s="39" t="s">
        <v>95</v>
      </c>
      <c r="G24" s="40">
        <v>41639</v>
      </c>
      <c r="H24" s="41" t="s">
        <v>49</v>
      </c>
      <c r="I24" s="26">
        <v>1763858000</v>
      </c>
      <c r="J24" s="26">
        <v>2518160000</v>
      </c>
      <c r="K24" s="26">
        <v>555077000</v>
      </c>
      <c r="L24" s="26">
        <v>1410431000</v>
      </c>
      <c r="M24" s="23">
        <f t="shared" si="2"/>
        <v>1107729000</v>
      </c>
      <c r="N24" s="26">
        <v>244908000</v>
      </c>
      <c r="O24" s="26">
        <v>68259000</v>
      </c>
      <c r="P24" s="15">
        <f t="shared" ref="P24" si="33">+I24/K24</f>
        <v>3.1776816549775977</v>
      </c>
      <c r="Q24" s="16">
        <f t="shared" ref="Q24" si="34">+L24/J24</f>
        <v>0.56010380595355336</v>
      </c>
      <c r="R24" s="15">
        <f t="shared" si="5"/>
        <v>3.5879224717619653</v>
      </c>
      <c r="S24" s="17">
        <f t="shared" ref="S24" si="35">I24-K24</f>
        <v>1208781000</v>
      </c>
      <c r="T24" s="95"/>
      <c r="U24" s="44" t="str">
        <f>IF(P24&lt;Pliegos!$B$6,"NO","SI")</f>
        <v>SI</v>
      </c>
      <c r="V24" s="49" t="str">
        <f>IF(Q24&lt;=Pliegos!$B$7,"SI","NO")</f>
        <v>SI</v>
      </c>
      <c r="W24" s="44" t="str">
        <f>IF(O24=0,"SI",IF(R24&lt;Pliegos!$B$8,"NO","SI"))</f>
        <v>SI</v>
      </c>
      <c r="X24" s="97"/>
      <c r="Y24" s="79"/>
      <c r="Z24" s="16">
        <f t="shared" si="25"/>
        <v>9.7256727134097914E-2</v>
      </c>
      <c r="AA24" s="16">
        <f t="shared" si="26"/>
        <v>0.22109017638790715</v>
      </c>
      <c r="AB24" s="99"/>
      <c r="AC24" s="99"/>
      <c r="AD24" s="79"/>
    </row>
    <row r="25" spans="1:31" ht="25.5" x14ac:dyDescent="0.25">
      <c r="A25" s="83">
        <v>11</v>
      </c>
      <c r="B25" s="72" t="s">
        <v>98</v>
      </c>
      <c r="C25" s="74">
        <v>1</v>
      </c>
      <c r="D25" s="48" t="s">
        <v>99</v>
      </c>
      <c r="E25" s="28">
        <v>0.51</v>
      </c>
      <c r="F25" s="29" t="s">
        <v>102</v>
      </c>
      <c r="G25" s="30">
        <v>41639</v>
      </c>
      <c r="H25" s="31" t="s">
        <v>49</v>
      </c>
      <c r="I25" s="24">
        <v>9015527521.1200008</v>
      </c>
      <c r="J25" s="24">
        <v>9705150094.6599998</v>
      </c>
      <c r="K25" s="24">
        <v>2558678249</v>
      </c>
      <c r="L25" s="24">
        <v>4901916070.6199999</v>
      </c>
      <c r="M25" s="12">
        <f t="shared" si="2"/>
        <v>4803234024.04</v>
      </c>
      <c r="N25" s="24">
        <v>143735815.53</v>
      </c>
      <c r="O25" s="24">
        <v>0</v>
      </c>
      <c r="P25" s="13">
        <f>+I25/K25</f>
        <v>3.5235096576302669</v>
      </c>
      <c r="Q25" s="14">
        <f>+L25/J25</f>
        <v>0.50508400414303212</v>
      </c>
      <c r="R25" s="13" t="str">
        <f t="shared" si="5"/>
        <v>Indeterminado</v>
      </c>
      <c r="S25" s="21">
        <f>I25-K25</f>
        <v>6456849272.1200008</v>
      </c>
      <c r="T25" s="94">
        <f>+SUM(S25:S26)</f>
        <v>10321257389.120001</v>
      </c>
      <c r="U25" s="42" t="str">
        <f>IF(P25&lt;Pliegos!$B$6,"NO","SI")</f>
        <v>SI</v>
      </c>
      <c r="V25" s="45" t="str">
        <f>IF(Q25&lt;=Pliegos!$B$7,"SI","NO")</f>
        <v>SI</v>
      </c>
      <c r="W25" s="42" t="str">
        <f>IF(O25=0,"SI",IF(R25&lt;Pliegos!$B$8,"NO","SI"))</f>
        <v>SI</v>
      </c>
      <c r="X25" s="96" t="str">
        <f>IF(AND(S25&gt;=VLOOKUP(C25,Pliegos!$A$3:$D$3,4,),Matriz!T25&gt;=VLOOKUP(C25,Pliegos!$A$3:$D$3,3,)),"SI","NO")</f>
        <v>SI</v>
      </c>
      <c r="Y25" s="78" t="str">
        <f>IF(ISERROR(SUM(U25:X26)),"ERROR",IF(COUNTIF(U25:X26,"NO")&gt;0,"NO HÁBIL","HÁBIL"))</f>
        <v>HÁBIL</v>
      </c>
      <c r="Z25" s="14">
        <f t="shared" si="25"/>
        <v>1.4810261987507725E-2</v>
      </c>
      <c r="AA25" s="14">
        <f t="shared" si="26"/>
        <v>2.992479958515613E-2</v>
      </c>
      <c r="AB25" s="98" t="str">
        <f>IF(MAX(Z25:Z26)&gt;Pliegos!$B$9,"SI","NO")</f>
        <v>SI</v>
      </c>
      <c r="AC25" s="98" t="str">
        <f>IF(MAX(AA25:AA26)&gt;Pliegos!$B$10,"SI","NO")</f>
        <v>SI</v>
      </c>
      <c r="AD25" s="78" t="str">
        <f>IF(ISERROR(SUM(AB25:AC26)),"ERROR",IF(COUNTIF(AB25:AC26,"NO")&gt;0,"NO HÁBIL","HÁBIL"))</f>
        <v>HÁBIL</v>
      </c>
    </row>
    <row r="26" spans="1:31" ht="15.75" thickBot="1" x14ac:dyDescent="0.3">
      <c r="A26" s="84"/>
      <c r="B26" s="73"/>
      <c r="C26" s="75"/>
      <c r="D26" s="37" t="s">
        <v>100</v>
      </c>
      <c r="E26" s="38">
        <v>0.49</v>
      </c>
      <c r="F26" s="39" t="s">
        <v>101</v>
      </c>
      <c r="G26" s="40">
        <v>41639</v>
      </c>
      <c r="H26" s="41" t="s">
        <v>49</v>
      </c>
      <c r="I26" s="26">
        <v>3867661014</v>
      </c>
      <c r="J26" s="26">
        <v>3901828912</v>
      </c>
      <c r="K26" s="26">
        <v>3252897</v>
      </c>
      <c r="L26" s="26">
        <v>67248366</v>
      </c>
      <c r="M26" s="23">
        <f t="shared" si="2"/>
        <v>3834580546</v>
      </c>
      <c r="N26" s="26">
        <v>500046920</v>
      </c>
      <c r="O26" s="26">
        <v>0</v>
      </c>
      <c r="P26" s="15">
        <f t="shared" ref="P26" si="36">+I26/K26</f>
        <v>1188.9896956466805</v>
      </c>
      <c r="Q26" s="16">
        <f t="shared" ref="Q26" si="37">+L26/J26</f>
        <v>1.7235088343617255E-2</v>
      </c>
      <c r="R26" s="15" t="str">
        <f t="shared" si="5"/>
        <v>Indeterminado</v>
      </c>
      <c r="S26" s="17">
        <f t="shared" ref="S26" si="38">I26-K26</f>
        <v>3864408117</v>
      </c>
      <c r="T26" s="95"/>
      <c r="U26" s="44" t="str">
        <f>IF(P26&lt;Pliegos!$B$6,"NO","SI")</f>
        <v>SI</v>
      </c>
      <c r="V26" s="49" t="str">
        <f>IF(Q26&lt;=Pliegos!$B$7,"SI","NO")</f>
        <v>SI</v>
      </c>
      <c r="W26" s="44" t="str">
        <f>IF(O26=0,"SI",IF(R26&lt;Pliegos!$B$8,"NO","SI"))</f>
        <v>SI</v>
      </c>
      <c r="X26" s="97"/>
      <c r="Y26" s="79"/>
      <c r="Z26" s="16">
        <f t="shared" si="25"/>
        <v>0.12815705949128506</v>
      </c>
      <c r="AA26" s="16">
        <f t="shared" si="26"/>
        <v>0.13040459419260819</v>
      </c>
      <c r="AB26" s="99"/>
      <c r="AC26" s="99"/>
      <c r="AD26" s="79"/>
    </row>
    <row r="27" spans="1:31" ht="38.25" x14ac:dyDescent="0.25">
      <c r="A27" s="83">
        <v>12</v>
      </c>
      <c r="B27" s="72" t="s">
        <v>103</v>
      </c>
      <c r="C27" s="74">
        <v>1</v>
      </c>
      <c r="D27" s="48" t="s">
        <v>104</v>
      </c>
      <c r="E27" s="28">
        <v>0.51</v>
      </c>
      <c r="F27" s="29" t="s">
        <v>106</v>
      </c>
      <c r="G27" s="30">
        <v>41639</v>
      </c>
      <c r="H27" s="31" t="s">
        <v>49</v>
      </c>
      <c r="I27" s="24">
        <v>5741513326</v>
      </c>
      <c r="J27" s="24">
        <v>7355952299</v>
      </c>
      <c r="K27" s="24">
        <v>2684217497</v>
      </c>
      <c r="L27" s="24">
        <v>4066156601</v>
      </c>
      <c r="M27" s="12">
        <f t="shared" si="2"/>
        <v>3289795698</v>
      </c>
      <c r="N27" s="24">
        <v>564475475</v>
      </c>
      <c r="O27" s="24">
        <v>93286231</v>
      </c>
      <c r="P27" s="13">
        <f>+I27/K27</f>
        <v>2.1389896058784239</v>
      </c>
      <c r="Q27" s="14">
        <f>+L27/J27</f>
        <v>0.5527709310394483</v>
      </c>
      <c r="R27" s="13">
        <f t="shared" si="5"/>
        <v>6.0510052657181532</v>
      </c>
      <c r="S27" s="21">
        <f>I27-K27</f>
        <v>3057295829</v>
      </c>
      <c r="T27" s="94">
        <f>+SUM(S27:S28)</f>
        <v>4331175969</v>
      </c>
      <c r="U27" s="42" t="str">
        <f>IF(P27&lt;Pliegos!$B$6,"NO","SI")</f>
        <v>SI</v>
      </c>
      <c r="V27" s="45" t="str">
        <f>IF(Q27&lt;=Pliegos!$B$7,"SI","NO")</f>
        <v>SI</v>
      </c>
      <c r="W27" s="42" t="str">
        <f>IF(O27=0,"SI",IF(R27&lt;Pliegos!$B$8,"NO","SI"))</f>
        <v>SI</v>
      </c>
      <c r="X27" s="96" t="str">
        <f>IF(AND(S27&gt;=VLOOKUP(C27,Pliegos!$A$3:$D$3,4,),Matriz!T27&gt;=VLOOKUP(C27,Pliegos!$A$3:$D$3,3,)),"SI","NO")</f>
        <v>SI</v>
      </c>
      <c r="Y27" s="78" t="str">
        <f>IF(ISERROR(SUM(U27:X28)),"ERROR",IF(COUNTIF(U27:X28,"NO")&gt;0,"NO HÁBIL","HÁBIL"))</f>
        <v>HÁBIL</v>
      </c>
      <c r="Z27" s="14">
        <f t="shared" si="25"/>
        <v>7.6737239728530762E-2</v>
      </c>
      <c r="AA27" s="14">
        <f t="shared" si="26"/>
        <v>0.17158374769082696</v>
      </c>
      <c r="AB27" s="98" t="str">
        <f>IF(MAX(Z27:Z28)&gt;Pliegos!$B$9,"SI","NO")</f>
        <v>SI</v>
      </c>
      <c r="AC27" s="98" t="str">
        <f>IF(MAX(AA27:AA28)&gt;Pliegos!$B$10,"SI","NO")</f>
        <v>SI</v>
      </c>
      <c r="AD27" s="78" t="str">
        <f>IF(ISERROR(SUM(AB27:AC28)),"ERROR",IF(COUNTIF(AB27:AC28,"NO")&gt;0,"NO HÁBIL","HÁBIL"))</f>
        <v>HÁBIL</v>
      </c>
    </row>
    <row r="28" spans="1:31" ht="26.25" thickBot="1" x14ac:dyDescent="0.3">
      <c r="A28" s="84"/>
      <c r="B28" s="73"/>
      <c r="C28" s="75"/>
      <c r="D28" s="47" t="s">
        <v>105</v>
      </c>
      <c r="E28" s="38">
        <v>0.49</v>
      </c>
      <c r="F28" s="39" t="s">
        <v>107</v>
      </c>
      <c r="G28" s="40">
        <v>41639</v>
      </c>
      <c r="H28" s="41" t="s">
        <v>49</v>
      </c>
      <c r="I28" s="26">
        <v>1566246031</v>
      </c>
      <c r="J28" s="26">
        <v>2559638750</v>
      </c>
      <c r="K28" s="26">
        <v>292365891</v>
      </c>
      <c r="L28" s="26">
        <v>292365891</v>
      </c>
      <c r="M28" s="23">
        <f t="shared" si="2"/>
        <v>2267272859</v>
      </c>
      <c r="N28" s="26">
        <v>1132968030</v>
      </c>
      <c r="O28" s="26">
        <v>5557082.79</v>
      </c>
      <c r="P28" s="15">
        <f t="shared" ref="P28" si="39">+I28/K28</f>
        <v>5.3571434945535419</v>
      </c>
      <c r="Q28" s="16">
        <f t="shared" ref="Q28" si="40">+L28/J28</f>
        <v>0.11422154434878749</v>
      </c>
      <c r="R28" s="15">
        <f t="shared" si="5"/>
        <v>203.87819883460833</v>
      </c>
      <c r="S28" s="17">
        <f t="shared" ref="S28" si="41">I28-K28</f>
        <v>1273880140</v>
      </c>
      <c r="T28" s="95"/>
      <c r="U28" s="44" t="str">
        <f>IF(P28&lt;Pliegos!$B$6,"NO","SI")</f>
        <v>SI</v>
      </c>
      <c r="V28" s="49" t="str">
        <f>IF(Q28&lt;=Pliegos!$B$7,"SI","NO")</f>
        <v>SI</v>
      </c>
      <c r="W28" s="44" t="str">
        <f>IF(O28=0,"SI",IF(R28&lt;Pliegos!$B$8,"NO","SI"))</f>
        <v>SI</v>
      </c>
      <c r="X28" s="97"/>
      <c r="Y28" s="79"/>
      <c r="Z28" s="16">
        <f t="shared" si="25"/>
        <v>0.44262809742195064</v>
      </c>
      <c r="AA28" s="16">
        <f t="shared" si="26"/>
        <v>0.49970519670918884</v>
      </c>
      <c r="AB28" s="99"/>
      <c r="AC28" s="99"/>
      <c r="AD28" s="79"/>
    </row>
  </sheetData>
  <mergeCells count="137">
    <mergeCell ref="AB4:AB5"/>
    <mergeCell ref="AC4:AC5"/>
    <mergeCell ref="AD2:AD3"/>
    <mergeCell ref="X2:X3"/>
    <mergeCell ref="AD4:AD5"/>
    <mergeCell ref="V2:V3"/>
    <mergeCell ref="W2:W3"/>
    <mergeCell ref="B2:B3"/>
    <mergeCell ref="T2:T3"/>
    <mergeCell ref="X4:X5"/>
    <mergeCell ref="G2:G3"/>
    <mergeCell ref="C2:C3"/>
    <mergeCell ref="R2:R3"/>
    <mergeCell ref="S2:S3"/>
    <mergeCell ref="M2:M3"/>
    <mergeCell ref="D2:D3"/>
    <mergeCell ref="H2:H3"/>
    <mergeCell ref="Q2:Q3"/>
    <mergeCell ref="P2:P3"/>
    <mergeCell ref="I2:J2"/>
    <mergeCell ref="K2:L2"/>
    <mergeCell ref="F2:F3"/>
    <mergeCell ref="N2:O2"/>
    <mergeCell ref="A6:A8"/>
    <mergeCell ref="B6:B8"/>
    <mergeCell ref="C6:C8"/>
    <mergeCell ref="T6:T8"/>
    <mergeCell ref="U1:Y1"/>
    <mergeCell ref="Z1:AD1"/>
    <mergeCell ref="Z2:Z3"/>
    <mergeCell ref="AA2:AA3"/>
    <mergeCell ref="AB2:AB3"/>
    <mergeCell ref="AC2:AC3"/>
    <mergeCell ref="Y2:Y3"/>
    <mergeCell ref="Y4:Y5"/>
    <mergeCell ref="A4:A5"/>
    <mergeCell ref="B4:B5"/>
    <mergeCell ref="C4:C5"/>
    <mergeCell ref="T4:T5"/>
    <mergeCell ref="U2:U3"/>
    <mergeCell ref="X6:X8"/>
    <mergeCell ref="Y6:Y8"/>
    <mergeCell ref="AB6:AB8"/>
    <mergeCell ref="AC6:AC8"/>
    <mergeCell ref="AD6:AD8"/>
    <mergeCell ref="A2:A3"/>
    <mergeCell ref="E2:E3"/>
    <mergeCell ref="AD9:AD10"/>
    <mergeCell ref="A9:A10"/>
    <mergeCell ref="B9:B10"/>
    <mergeCell ref="C9:C10"/>
    <mergeCell ref="T9:T10"/>
    <mergeCell ref="A11:A12"/>
    <mergeCell ref="B11:B12"/>
    <mergeCell ref="C11:C12"/>
    <mergeCell ref="T11:T12"/>
    <mergeCell ref="X9:X10"/>
    <mergeCell ref="Y9:Y10"/>
    <mergeCell ref="AB9:AB10"/>
    <mergeCell ref="AC9:AC10"/>
    <mergeCell ref="X11:X12"/>
    <mergeCell ref="Y11:Y12"/>
    <mergeCell ref="AB11:AB12"/>
    <mergeCell ref="AC11:AC12"/>
    <mergeCell ref="AD11:AD12"/>
    <mergeCell ref="AD13:AD14"/>
    <mergeCell ref="X13:X14"/>
    <mergeCell ref="Y13:Y14"/>
    <mergeCell ref="AB13:AB14"/>
    <mergeCell ref="AC13:AC14"/>
    <mergeCell ref="A13:A14"/>
    <mergeCell ref="B13:B14"/>
    <mergeCell ref="C13:C14"/>
    <mergeCell ref="A15:A16"/>
    <mergeCell ref="B15:B16"/>
    <mergeCell ref="C15:C16"/>
    <mergeCell ref="X15:X16"/>
    <mergeCell ref="Y15:Y16"/>
    <mergeCell ref="AB15:AB16"/>
    <mergeCell ref="AC15:AC16"/>
    <mergeCell ref="AD15:AD16"/>
    <mergeCell ref="T13:T14"/>
    <mergeCell ref="T15:T16"/>
    <mergeCell ref="AD17:AD18"/>
    <mergeCell ref="A17:A18"/>
    <mergeCell ref="B17:B18"/>
    <mergeCell ref="C17:C18"/>
    <mergeCell ref="T17:T18"/>
    <mergeCell ref="A19:A20"/>
    <mergeCell ref="B19:B20"/>
    <mergeCell ref="C19:C20"/>
    <mergeCell ref="T19:T20"/>
    <mergeCell ref="X17:X18"/>
    <mergeCell ref="Y17:Y18"/>
    <mergeCell ref="AB17:AB18"/>
    <mergeCell ref="AC17:AC18"/>
    <mergeCell ref="X19:X20"/>
    <mergeCell ref="Y19:Y20"/>
    <mergeCell ref="AB19:AB20"/>
    <mergeCell ref="AC19:AC20"/>
    <mergeCell ref="AD19:AD20"/>
    <mergeCell ref="AD21:AD22"/>
    <mergeCell ref="X21:X22"/>
    <mergeCell ref="Y21:Y22"/>
    <mergeCell ref="AB21:AB22"/>
    <mergeCell ref="AC21:AC22"/>
    <mergeCell ref="A21:A22"/>
    <mergeCell ref="B21:B22"/>
    <mergeCell ref="C21:C22"/>
    <mergeCell ref="A23:A24"/>
    <mergeCell ref="B23:B24"/>
    <mergeCell ref="C23:C24"/>
    <mergeCell ref="X23:X24"/>
    <mergeCell ref="Y23:Y24"/>
    <mergeCell ref="AB23:AB24"/>
    <mergeCell ref="AC23:AC24"/>
    <mergeCell ref="AD23:AD24"/>
    <mergeCell ref="T21:T22"/>
    <mergeCell ref="T23:T24"/>
    <mergeCell ref="AD25:AD26"/>
    <mergeCell ref="A25:A26"/>
    <mergeCell ref="B25:B26"/>
    <mergeCell ref="C25:C26"/>
    <mergeCell ref="T25:T26"/>
    <mergeCell ref="A27:A28"/>
    <mergeCell ref="B27:B28"/>
    <mergeCell ref="C27:C28"/>
    <mergeCell ref="T27:T28"/>
    <mergeCell ref="X25:X26"/>
    <mergeCell ref="Y25:Y26"/>
    <mergeCell ref="AB25:AB26"/>
    <mergeCell ref="AC25:AC26"/>
    <mergeCell ref="X27:X28"/>
    <mergeCell ref="Y27:Y28"/>
    <mergeCell ref="AB27:AB28"/>
    <mergeCell ref="AC27:AC28"/>
    <mergeCell ref="AD27:AD28"/>
  </mergeCells>
  <conditionalFormatting sqref="U5:U28 AB4:AC28">
    <cfRule type="containsText" dxfId="14" priority="792" operator="containsText" text="NO">
      <formula>NOT(ISERROR(SEARCH("NO",U4)))</formula>
    </cfRule>
    <cfRule type="containsText" dxfId="13" priority="793" operator="containsText" text="SI">
      <formula>NOT(ISERROR(SEARCH("SI",U4)))</formula>
    </cfRule>
  </conditionalFormatting>
  <conditionalFormatting sqref="V5:W28">
    <cfRule type="containsText" dxfId="12" priority="790" operator="containsText" text="SI">
      <formula>NOT(ISERROR(SEARCH("SI",V5)))</formula>
    </cfRule>
    <cfRule type="containsText" dxfId="11" priority="791" operator="containsText" text="NO">
      <formula>NOT(ISERROR(SEARCH("NO",V5)))</formula>
    </cfRule>
  </conditionalFormatting>
  <conditionalFormatting sqref="X4:X28">
    <cfRule type="containsText" dxfId="10" priority="782" operator="containsText" text="NO">
      <formula>NOT(ISERROR(SEARCH("NO",X4)))</formula>
    </cfRule>
    <cfRule type="cellIs" dxfId="9" priority="783" operator="equal">
      <formula>"SI"</formula>
    </cfRule>
  </conditionalFormatting>
  <conditionalFormatting sqref="AD4:AD28 Y4:Y28">
    <cfRule type="containsText" dxfId="8" priority="471" operator="containsText" text="ERROR">
      <formula>NOT(ISERROR(SEARCH("ERROR",Y4)))</formula>
    </cfRule>
    <cfRule type="containsText" dxfId="7" priority="780" operator="containsText" text="NO HÁBIL">
      <formula>NOT(ISERROR(SEARCH("NO HÁBIL",Y4)))</formula>
    </cfRule>
    <cfRule type="containsText" dxfId="6" priority="781" operator="containsText" text="HÁBIL">
      <formula>NOT(ISERROR(SEARCH("HÁBIL",Y4)))</formula>
    </cfRule>
  </conditionalFormatting>
  <conditionalFormatting sqref="W4">
    <cfRule type="containsText" dxfId="5" priority="5" operator="containsText" text="SI">
      <formula>NOT(ISERROR(SEARCH("SI",W4)))</formula>
    </cfRule>
    <cfRule type="containsText" dxfId="4" priority="6" operator="containsText" text="NO">
      <formula>NOT(ISERROR(SEARCH("NO",W4)))</formula>
    </cfRule>
  </conditionalFormatting>
  <conditionalFormatting sqref="V4">
    <cfRule type="containsText" dxfId="3" priority="1" operator="containsText" text="SI">
      <formula>NOT(ISERROR(SEARCH("SI",V4)))</formula>
    </cfRule>
    <cfRule type="containsText" dxfId="2" priority="2" operator="containsText" text="NO">
      <formula>NOT(ISERROR(SEARCH("NO",V4)))</formula>
    </cfRule>
  </conditionalFormatting>
  <conditionalFormatting sqref="U4">
    <cfRule type="containsText" dxfId="1" priority="3" operator="containsText" text="SI">
      <formula>NOT(ISERROR(SEARCH("SI",U4)))</formula>
    </cfRule>
    <cfRule type="containsText" dxfId="0" priority="4" operator="containsText" text="NO">
      <formula>NOT(ISERROR(SEARCH("NO",U4)))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Pliegos</vt:lpstr>
      <vt:lpstr>Matriz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Valencia Barrera</dc:creator>
  <cp:lastModifiedBy>Juan Fernando Herrera Urrego</cp:lastModifiedBy>
  <dcterms:created xsi:type="dcterms:W3CDTF">2014-05-27T20:50:42Z</dcterms:created>
  <dcterms:modified xsi:type="dcterms:W3CDTF">2014-07-30T15:51:48Z</dcterms:modified>
</cp:coreProperties>
</file>