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jalzate\Documents\ANI\CONCURSOS DE MERITOS\GACHANCIPÁ\EVALUACIÓN\"/>
    </mc:Choice>
  </mc:AlternateContent>
  <bookViews>
    <workbookView xWindow="0" yWindow="0" windowWidth="24000" windowHeight="9135" activeTab="2"/>
  </bookViews>
  <sheets>
    <sheet name="Pliegos" sheetId="1" r:id="rId1"/>
    <sheet name="Matriz" sheetId="2" r:id="rId2"/>
    <sheet name="Resumen" sheetId="5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2" l="1"/>
  <c r="W15" i="5"/>
  <c r="S15" i="5"/>
  <c r="R15" i="5"/>
  <c r="P15" i="5"/>
  <c r="U15" i="5" s="1"/>
  <c r="L15" i="5"/>
  <c r="J15" i="5"/>
  <c r="Z15" i="5" s="1"/>
  <c r="S14" i="5"/>
  <c r="R14" i="5"/>
  <c r="W14" i="5" s="1"/>
  <c r="P14" i="5"/>
  <c r="U14" i="5" s="1"/>
  <c r="J14" i="5"/>
  <c r="Q14" i="5" s="1"/>
  <c r="V14" i="5" s="1"/>
  <c r="Z13" i="5"/>
  <c r="V13" i="5"/>
  <c r="S13" i="5"/>
  <c r="R13" i="5"/>
  <c r="W13" i="5" s="1"/>
  <c r="Q13" i="5"/>
  <c r="P13" i="5"/>
  <c r="U13" i="5" s="1"/>
  <c r="M13" i="5"/>
  <c r="AA13" i="5" s="1"/>
  <c r="Z12" i="5"/>
  <c r="S12" i="5"/>
  <c r="R12" i="5"/>
  <c r="W12" i="5" s="1"/>
  <c r="Q12" i="5"/>
  <c r="V12" i="5" s="1"/>
  <c r="P12" i="5"/>
  <c r="U12" i="5" s="1"/>
  <c r="M12" i="5"/>
  <c r="AA12" i="5" s="1"/>
  <c r="Z11" i="5"/>
  <c r="AB11" i="5" s="1"/>
  <c r="V11" i="5"/>
  <c r="S11" i="5"/>
  <c r="R11" i="5"/>
  <c r="W11" i="5" s="1"/>
  <c r="Q11" i="5"/>
  <c r="P11" i="5"/>
  <c r="U11" i="5" s="1"/>
  <c r="M11" i="5"/>
  <c r="AA11" i="5" s="1"/>
  <c r="Z10" i="5"/>
  <c r="S10" i="5"/>
  <c r="R10" i="5"/>
  <c r="W10" i="5" s="1"/>
  <c r="Q10" i="5"/>
  <c r="V10" i="5" s="1"/>
  <c r="P10" i="5"/>
  <c r="U10" i="5" s="1"/>
  <c r="M10" i="5"/>
  <c r="AA10" i="5" s="1"/>
  <c r="Z9" i="5"/>
  <c r="AB9" i="5" s="1"/>
  <c r="V9" i="5"/>
  <c r="S9" i="5"/>
  <c r="R9" i="5"/>
  <c r="W9" i="5" s="1"/>
  <c r="Q9" i="5"/>
  <c r="P9" i="5"/>
  <c r="U9" i="5" s="1"/>
  <c r="M9" i="5"/>
  <c r="AA9" i="5" s="1"/>
  <c r="AC9" i="5" s="1"/>
  <c r="G9" i="5"/>
  <c r="G10" i="5" s="1"/>
  <c r="G11" i="5" s="1"/>
  <c r="G12" i="5" s="1"/>
  <c r="G13" i="5" s="1"/>
  <c r="G14" i="5" s="1"/>
  <c r="G15" i="5" s="1"/>
  <c r="AB8" i="5"/>
  <c r="AA8" i="5"/>
  <c r="AC8" i="5" s="1"/>
  <c r="Z8" i="5"/>
  <c r="W8" i="5"/>
  <c r="S8" i="5"/>
  <c r="Q8" i="5"/>
  <c r="V8" i="5" s="1"/>
  <c r="P8" i="5"/>
  <c r="U8" i="5" s="1"/>
  <c r="M8" i="5"/>
  <c r="AA7" i="5"/>
  <c r="Z7" i="5"/>
  <c r="S7" i="5"/>
  <c r="R7" i="5"/>
  <c r="W7" i="5" s="1"/>
  <c r="Q7" i="5"/>
  <c r="V7" i="5" s="1"/>
  <c r="P7" i="5"/>
  <c r="U7" i="5" s="1"/>
  <c r="M7" i="5"/>
  <c r="AB6" i="5"/>
  <c r="Z6" i="5"/>
  <c r="W6" i="5"/>
  <c r="T6" i="5"/>
  <c r="X6" i="5" s="1"/>
  <c r="S6" i="5"/>
  <c r="Q6" i="5"/>
  <c r="V6" i="5" s="1"/>
  <c r="P6" i="5"/>
  <c r="U6" i="5" s="1"/>
  <c r="M6" i="5"/>
  <c r="AA6" i="5" s="1"/>
  <c r="AC6" i="5" s="1"/>
  <c r="L6" i="5"/>
  <c r="W5" i="5"/>
  <c r="U5" i="5"/>
  <c r="T5" i="5"/>
  <c r="X5" i="5" s="1"/>
  <c r="S5" i="5"/>
  <c r="P5" i="5"/>
  <c r="M5" i="5"/>
  <c r="AA5" i="5" s="1"/>
  <c r="AC5" i="5" s="1"/>
  <c r="L5" i="5"/>
  <c r="J5" i="5"/>
  <c r="Z5" i="5" s="1"/>
  <c r="AB5" i="5" s="1"/>
  <c r="W8" i="2"/>
  <c r="L15" i="2"/>
  <c r="J15" i="2"/>
  <c r="J14" i="2"/>
  <c r="Z8" i="2"/>
  <c r="G9" i="2"/>
  <c r="G10" i="2" s="1"/>
  <c r="G11" i="2" s="1"/>
  <c r="G12" i="2" s="1"/>
  <c r="G13" i="2" s="1"/>
  <c r="G14" i="2" s="1"/>
  <c r="G15" i="2" s="1"/>
  <c r="L6" i="2"/>
  <c r="L5" i="2"/>
  <c r="J5" i="2"/>
  <c r="Y6" i="5" l="1"/>
  <c r="AC11" i="5"/>
  <c r="X11" i="5"/>
  <c r="Y11" i="5" s="1"/>
  <c r="X8" i="5"/>
  <c r="Y8" i="5" s="1"/>
  <c r="AD8" i="5"/>
  <c r="AD9" i="5"/>
  <c r="AD5" i="5"/>
  <c r="AD6" i="5"/>
  <c r="AD11" i="5"/>
  <c r="T8" i="5"/>
  <c r="Q5" i="5"/>
  <c r="V5" i="5" s="1"/>
  <c r="Y5" i="5" s="1"/>
  <c r="T9" i="5"/>
  <c r="X9" i="5" s="1"/>
  <c r="Y9" i="5" s="1"/>
  <c r="T11" i="5"/>
  <c r="T13" i="5"/>
  <c r="X13" i="5" s="1"/>
  <c r="Y13" i="5" s="1"/>
  <c r="Q15" i="5"/>
  <c r="V15" i="5" s="1"/>
  <c r="M14" i="5"/>
  <c r="AA14" i="5" s="1"/>
  <c r="AC13" i="5" s="1"/>
  <c r="Z14" i="5"/>
  <c r="AB13" i="5" s="1"/>
  <c r="M15" i="5"/>
  <c r="AA15" i="5" s="1"/>
  <c r="Z15" i="2"/>
  <c r="W15" i="2"/>
  <c r="S15" i="2"/>
  <c r="Q15" i="2"/>
  <c r="V15" i="2" s="1"/>
  <c r="P15" i="2"/>
  <c r="U15" i="2" s="1"/>
  <c r="M15" i="2"/>
  <c r="AA15" i="2" s="1"/>
  <c r="Z14" i="2"/>
  <c r="S14" i="2"/>
  <c r="R14" i="2"/>
  <c r="W14" i="2" s="1"/>
  <c r="Q14" i="2"/>
  <c r="V14" i="2" s="1"/>
  <c r="P14" i="2"/>
  <c r="U14" i="2" s="1"/>
  <c r="M14" i="2"/>
  <c r="AA14" i="2" s="1"/>
  <c r="S13" i="2"/>
  <c r="R13" i="2"/>
  <c r="W13" i="2" s="1"/>
  <c r="Q13" i="2"/>
  <c r="V13" i="2" s="1"/>
  <c r="P13" i="2"/>
  <c r="U13" i="2" s="1"/>
  <c r="M13" i="2"/>
  <c r="AA13" i="2" s="1"/>
  <c r="Z13" i="2"/>
  <c r="AB13" i="2" s="1"/>
  <c r="Z12" i="2"/>
  <c r="S12" i="2"/>
  <c r="R12" i="2"/>
  <c r="W12" i="2" s="1"/>
  <c r="Q12" i="2"/>
  <c r="V12" i="2" s="1"/>
  <c r="P12" i="2"/>
  <c r="U12" i="2" s="1"/>
  <c r="M12" i="2"/>
  <c r="AA12" i="2" s="1"/>
  <c r="S11" i="2"/>
  <c r="R11" i="2"/>
  <c r="W11" i="2" s="1"/>
  <c r="Q11" i="2"/>
  <c r="V11" i="2" s="1"/>
  <c r="P11" i="2"/>
  <c r="U11" i="2" s="1"/>
  <c r="M11" i="2"/>
  <c r="AA11" i="2" s="1"/>
  <c r="Z11" i="2"/>
  <c r="AB11" i="2" s="1"/>
  <c r="AD13" i="5" l="1"/>
  <c r="AC13" i="2"/>
  <c r="AD13" i="2" s="1"/>
  <c r="T13" i="2"/>
  <c r="AC11" i="2"/>
  <c r="AD11" i="2" s="1"/>
  <c r="T11" i="2"/>
  <c r="Q5" i="2"/>
  <c r="P5" i="2"/>
  <c r="R7" i="2"/>
  <c r="W7" i="2" s="1"/>
  <c r="R10" i="2" l="1"/>
  <c r="Z10" i="2" l="1"/>
  <c r="W10" i="2"/>
  <c r="S10" i="2"/>
  <c r="Q10" i="2"/>
  <c r="V10" i="2" s="1"/>
  <c r="P10" i="2"/>
  <c r="U10" i="2" s="1"/>
  <c r="M10" i="2"/>
  <c r="AA10" i="2" s="1"/>
  <c r="Z9" i="2"/>
  <c r="S9" i="2"/>
  <c r="R9" i="2"/>
  <c r="W9" i="2" s="1"/>
  <c r="Q9" i="2"/>
  <c r="V9" i="2" s="1"/>
  <c r="P9" i="2"/>
  <c r="U9" i="2" s="1"/>
  <c r="M9" i="2"/>
  <c r="AA9" i="2" s="1"/>
  <c r="S8" i="2"/>
  <c r="Q8" i="2"/>
  <c r="V8" i="2" s="1"/>
  <c r="P8" i="2"/>
  <c r="U8" i="2" s="1"/>
  <c r="M8" i="2"/>
  <c r="AA8" i="2" l="1"/>
  <c r="AC8" i="2" s="1"/>
  <c r="AC9" i="2"/>
  <c r="T9" i="2"/>
  <c r="AB9" i="2"/>
  <c r="AB8" i="2"/>
  <c r="T8" i="2"/>
  <c r="AD8" i="2" l="1"/>
  <c r="AD9" i="2"/>
  <c r="Q7" i="2"/>
  <c r="P7" i="2"/>
  <c r="Q6" i="2"/>
  <c r="P6" i="2"/>
  <c r="C3" i="1" l="1"/>
  <c r="D3" i="1" s="1"/>
  <c r="X13" i="2" l="1"/>
  <c r="X11" i="2"/>
  <c r="Y11" i="2" s="1"/>
  <c r="X8" i="2"/>
  <c r="Y8" i="2" s="1"/>
  <c r="X9" i="2"/>
  <c r="Y9" i="2" s="1"/>
  <c r="W5" i="2"/>
  <c r="S5" i="2"/>
  <c r="M7" i="2" l="1"/>
  <c r="M6" i="2"/>
  <c r="M5" i="2"/>
  <c r="V5" i="2" l="1"/>
  <c r="U5" i="2"/>
  <c r="AA7" i="2" l="1"/>
  <c r="Z7" i="2"/>
  <c r="S7" i="2"/>
  <c r="V7" i="2"/>
  <c r="U7" i="2"/>
  <c r="AA6" i="2"/>
  <c r="Z6" i="2"/>
  <c r="S6" i="2"/>
  <c r="W6" i="2"/>
  <c r="V6" i="2"/>
  <c r="AB6" i="2" l="1"/>
  <c r="AC6" i="2"/>
  <c r="U6" i="2"/>
  <c r="T6" i="2"/>
  <c r="X6" i="2" s="1"/>
  <c r="Y6" i="2" l="1"/>
  <c r="AD6" i="2"/>
  <c r="T5" i="2"/>
  <c r="X5" i="2" s="1"/>
  <c r="Y5" i="2" s="1"/>
  <c r="Z5" i="2" l="1"/>
  <c r="AA5" i="2"/>
  <c r="AC5" i="2" l="1"/>
  <c r="AB5" i="2"/>
  <c r="AD5" i="2" l="1"/>
</calcChain>
</file>

<file path=xl/comments1.xml><?xml version="1.0" encoding="utf-8"?>
<comments xmlns="http://schemas.openxmlformats.org/spreadsheetml/2006/main">
  <authors>
    <author>Edna Patricia Pazos Monsalve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Edna Patricia Pazos Monsalve: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Edna Patricia Pazos Monsalve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Edna Patricia Pazos Monsalve: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<sst xmlns="http://schemas.openxmlformats.org/spreadsheetml/2006/main" count="145" uniqueCount="62">
  <si>
    <t>Módulo</t>
  </si>
  <si>
    <t>Presupuesto</t>
  </si>
  <si>
    <t>KT</t>
  </si>
  <si>
    <t>KT Líder</t>
  </si>
  <si>
    <t>Liquidez</t>
  </si>
  <si>
    <t>Endeudamiento</t>
  </si>
  <si>
    <t xml:space="preserve">Cobertura de Intereses </t>
  </si>
  <si>
    <t>N°.</t>
  </si>
  <si>
    <t>PROPONENTE</t>
  </si>
  <si>
    <t>MIEMBRO ESTRUCTURA</t>
  </si>
  <si>
    <t>PART. %</t>
  </si>
  <si>
    <t>FECHA DE CORTE</t>
  </si>
  <si>
    <t>MONEDA</t>
  </si>
  <si>
    <t>ACTIVO</t>
  </si>
  <si>
    <t>PASIVO</t>
  </si>
  <si>
    <t>HÁBIL/NO HÁBIL</t>
  </si>
  <si>
    <t>ACTIVO CTE.
$ COP</t>
  </si>
  <si>
    <t>ACTIVO TOTAL 
$ COP</t>
  </si>
  <si>
    <t>PASIVO CTE. 
$ COP</t>
  </si>
  <si>
    <t>PASIVO TOTAL 
$ COP</t>
  </si>
  <si>
    <t>KW</t>
  </si>
  <si>
    <t>Módulo &gt; al que aplica</t>
  </si>
  <si>
    <t>FOLIO RUP ó FORMATO 2</t>
  </si>
  <si>
    <t>UTILIDAD OPERACIONAL</t>
  </si>
  <si>
    <t>GASTO INTERESES</t>
  </si>
  <si>
    <t>PATRIMONIO
$ COP</t>
  </si>
  <si>
    <t>LIQUIDEZ INTEGRANTE</t>
  </si>
  <si>
    <t>ENDEUDAMIENTO
INTEGRANTE</t>
  </si>
  <si>
    <t>COBERTURA INTERESES
INTEGRANTE</t>
  </si>
  <si>
    <t>CAPITAL DE TRABAJO
INTEGRANTE</t>
  </si>
  <si>
    <t>CAPITAL DE TRABAJO
ESTRUCTURA PLURAL</t>
  </si>
  <si>
    <t>CUMPLE LIQUIDEZ</t>
  </si>
  <si>
    <t>CUMPLE ENDEUDAMIENTO</t>
  </si>
  <si>
    <t>CUMPLE COBERTURA INTERESES</t>
  </si>
  <si>
    <t>CUMPLE CAPITAL DE TRABAJO</t>
  </si>
  <si>
    <t>RENTABILIDAD ACTIVO</t>
  </si>
  <si>
    <t>CUMPLE ROA</t>
  </si>
  <si>
    <t>CUMPLE ROE</t>
  </si>
  <si>
    <t>Rentabilidad Activo (ROA) &gt; 0</t>
  </si>
  <si>
    <t>Rentabilidad Patrimonio (ROE) &gt; 0</t>
  </si>
  <si>
    <t>P&amp;G</t>
  </si>
  <si>
    <t>CAPACIDAD 
FINANCIERA</t>
  </si>
  <si>
    <t>CAPACIDAD 
ORGANIZACIONAL</t>
  </si>
  <si>
    <t>RENTABILIDAD PATRIMONIO</t>
  </si>
  <si>
    <t>$COP</t>
  </si>
  <si>
    <t>EVALUACION FINANCIERA CONCURSO DE MERITOS VJ-VE-CM-015 DE 2015</t>
  </si>
  <si>
    <t>CONSULTORIA COLOMBIANA SA</t>
  </si>
  <si>
    <t>CONSORCIO FERROCARRILES
GACHANCIPÁ</t>
  </si>
  <si>
    <t xml:space="preserve">ARDANUY COLOMBIA SAS </t>
  </si>
  <si>
    <t>CONSULTORES DE INGENIERÍA UG21 SL SUCURSAL COLOMBIA</t>
  </si>
  <si>
    <t>LKS COLOMBIA SAS</t>
  </si>
  <si>
    <t>CONSORCIO GACHANCIPA TRN
INCOPLAN</t>
  </si>
  <si>
    <t xml:space="preserve">TRN INGENIERÍA Y PLANIFICACIÓN DE INFRAESTRUCTURAS SA
SUCURSAL COLOMBIA
</t>
  </si>
  <si>
    <t xml:space="preserve">INGENIERÍA Y CONSULTORÍA DE
PLANEACIÓN SA - INCOPLAN SA </t>
  </si>
  <si>
    <t xml:space="preserve">CONSORCIO FERRUM 2015
</t>
  </si>
  <si>
    <t xml:space="preserve">IV INGENIEROS CONSULTORES SUCURSAL COLOMBIA SA </t>
  </si>
  <si>
    <t xml:space="preserve">PLANES SA </t>
  </si>
  <si>
    <t xml:space="preserve">CONSORCIO VÍAS FERREAS 2015
EPYPSA B&amp;C GINPROSA
</t>
  </si>
  <si>
    <t xml:space="preserve">ESTUDIOS, PROYECTOS Y PLANIFICACIÓN SA - EPYPSA
COLOMBIA
</t>
  </si>
  <si>
    <t>B&amp;C SA</t>
  </si>
  <si>
    <t>GINPROSA COLOMBIA SAS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</si>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</sst>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_-;\-* #,##0_-;_-* &quot;-&quot;??_-;_-@_-"/>
    <numFmt numFmtId="168" formatCode="0.0%"/>
    <numFmt numFmtId="169" formatCode="_-* #,##0\ _€_-;\-* #,##0\ _€_-;_-* &quot;-&quot;??\ _€_-;_-@_-"/>
    <numFmt numFmtId="170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167" fontId="0" fillId="0" borderId="0" xfId="1" applyNumberFormat="1" applyFont="1"/>
    <xf numFmtId="0" fontId="2" fillId="0" borderId="0" xfId="0" applyFont="1" applyAlignment="1">
      <alignment horizontal="center"/>
    </xf>
    <xf numFmtId="10" fontId="0" fillId="2" borderId="0" xfId="0" applyNumberFormat="1" applyFill="1" applyAlignment="1">
      <alignment horizontal="center"/>
    </xf>
    <xf numFmtId="9" fontId="0" fillId="0" borderId="0" xfId="0" applyNumberFormat="1"/>
    <xf numFmtId="9" fontId="0" fillId="2" borderId="0" xfId="0" applyNumberFormat="1" applyFill="1" applyAlignment="1">
      <alignment horizontal="center"/>
    </xf>
    <xf numFmtId="43" fontId="0" fillId="0" borderId="0" xfId="1" applyNumberFormat="1" applyFont="1"/>
    <xf numFmtId="170" fontId="5" fillId="0" borderId="5" xfId="5" applyNumberFormat="1" applyFont="1" applyFill="1" applyBorder="1" applyAlignment="1">
      <alignment horizontal="center" vertical="center" wrapText="1"/>
    </xf>
    <xf numFmtId="170" fontId="5" fillId="0" borderId="11" xfId="5" applyNumberFormat="1" applyFont="1" applyFill="1" applyBorder="1" applyAlignment="1">
      <alignment horizontal="center" vertical="center" wrapText="1"/>
    </xf>
    <xf numFmtId="170" fontId="5" fillId="0" borderId="5" xfId="5" applyNumberFormat="1" applyFont="1" applyFill="1" applyBorder="1" applyAlignment="1">
      <alignment horizontal="center" vertical="center" wrapText="1"/>
    </xf>
    <xf numFmtId="170" fontId="5" fillId="0" borderId="11" xfId="5" applyNumberFormat="1" applyFont="1" applyFill="1" applyBorder="1" applyAlignment="1">
      <alignment horizontal="center" vertical="center" wrapText="1"/>
    </xf>
    <xf numFmtId="3" fontId="4" fillId="0" borderId="9" xfId="5" applyNumberFormat="1" applyFont="1" applyFill="1" applyBorder="1" applyAlignment="1">
      <alignment horizontal="right" vertical="center" wrapText="1"/>
    </xf>
    <xf numFmtId="2" fontId="4" fillId="3" borderId="9" xfId="7" applyNumberFormat="1" applyFont="1" applyFill="1" applyBorder="1" applyAlignment="1">
      <alignment horizontal="center" vertical="center"/>
    </xf>
    <xf numFmtId="10" fontId="4" fillId="3" borderId="9" xfId="6" applyNumberFormat="1" applyFont="1" applyFill="1" applyBorder="1" applyAlignment="1">
      <alignment horizontal="center" vertical="center"/>
    </xf>
    <xf numFmtId="10" fontId="4" fillId="3" borderId="11" xfId="6" applyNumberFormat="1" applyFont="1" applyFill="1" applyBorder="1" applyAlignment="1">
      <alignment horizontal="center" vertical="center"/>
    </xf>
    <xf numFmtId="37" fontId="4" fillId="0" borderId="11" xfId="5" applyNumberFormat="1" applyFont="1" applyFill="1" applyBorder="1" applyAlignment="1">
      <alignment horizontal="right" vertical="center"/>
    </xf>
    <xf numFmtId="37" fontId="4" fillId="0" borderId="9" xfId="5" applyNumberFormat="1" applyFont="1" applyFill="1" applyBorder="1" applyAlignment="1">
      <alignment horizontal="right" vertical="center"/>
    </xf>
    <xf numFmtId="3" fontId="4" fillId="0" borderId="11" xfId="5" applyNumberFormat="1" applyFont="1" applyFill="1" applyBorder="1" applyAlignment="1">
      <alignment horizontal="right" vertical="center" wrapText="1"/>
    </xf>
    <xf numFmtId="3" fontId="4" fillId="4" borderId="9" xfId="5" applyNumberFormat="1" applyFont="1" applyFill="1" applyBorder="1" applyAlignment="1">
      <alignment horizontal="right" vertical="center" wrapText="1"/>
    </xf>
    <xf numFmtId="3" fontId="4" fillId="4" borderId="11" xfId="5" applyNumberFormat="1" applyFont="1" applyFill="1" applyBorder="1" applyAlignment="1">
      <alignment horizontal="right" vertical="center" wrapText="1"/>
    </xf>
    <xf numFmtId="168" fontId="4" fillId="4" borderId="9" xfId="3" applyNumberFormat="1" applyFont="1" applyFill="1" applyBorder="1" applyAlignment="1">
      <alignment horizontal="center" vertical="center"/>
    </xf>
    <xf numFmtId="0" fontId="4" fillId="4" borderId="9" xfId="7" applyNumberFormat="1" applyFont="1" applyFill="1" applyBorder="1" applyAlignment="1">
      <alignment horizontal="center" vertical="center"/>
    </xf>
    <xf numFmtId="15" fontId="4" fillId="4" borderId="9" xfId="7" applyNumberFormat="1" applyFont="1" applyFill="1" applyBorder="1" applyAlignment="1">
      <alignment horizontal="center" vertical="center"/>
    </xf>
    <xf numFmtId="168" fontId="4" fillId="4" borderId="7" xfId="3" applyNumberFormat="1" applyFont="1" applyFill="1" applyBorder="1" applyAlignment="1">
      <alignment horizontal="center" vertical="center"/>
    </xf>
    <xf numFmtId="0" fontId="4" fillId="4" borderId="11" xfId="7" applyNumberFormat="1" applyFont="1" applyFill="1" applyBorder="1" applyAlignment="1">
      <alignment horizontal="center" vertical="center"/>
    </xf>
    <xf numFmtId="39" fontId="5" fillId="0" borderId="4" xfId="5" applyNumberFormat="1" applyFont="1" applyFill="1" applyBorder="1" applyAlignment="1">
      <alignment horizontal="center" vertical="center"/>
    </xf>
    <xf numFmtId="39" fontId="5" fillId="0" borderId="5" xfId="5" applyNumberFormat="1" applyFont="1" applyFill="1" applyBorder="1" applyAlignment="1">
      <alignment horizontal="center" vertical="center"/>
    </xf>
    <xf numFmtId="10" fontId="5" fillId="0" borderId="4" xfId="12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39" fontId="5" fillId="0" borderId="4" xfId="5" applyNumberFormat="1" applyFont="1" applyFill="1" applyBorder="1" applyAlignment="1">
      <alignment vertical="center"/>
    </xf>
    <xf numFmtId="39" fontId="5" fillId="0" borderId="5" xfId="5" applyNumberFormat="1" applyFont="1" applyFill="1" applyBorder="1" applyAlignment="1">
      <alignment vertical="center"/>
    </xf>
    <xf numFmtId="10" fontId="5" fillId="0" borderId="4" xfId="12" applyNumberFormat="1" applyFont="1" applyFill="1" applyBorder="1" applyAlignment="1">
      <alignment vertical="center"/>
    </xf>
    <xf numFmtId="10" fontId="5" fillId="0" borderId="5" xfId="12" applyNumberFormat="1" applyFont="1" applyFill="1" applyBorder="1" applyAlignment="1">
      <alignment vertical="center"/>
    </xf>
    <xf numFmtId="169" fontId="4" fillId="4" borderId="4" xfId="6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37" fontId="4" fillId="0" borderId="4" xfId="5" applyNumberFormat="1" applyFont="1" applyFill="1" applyBorder="1" applyAlignment="1">
      <alignment horizontal="center" vertical="center"/>
    </xf>
    <xf numFmtId="169" fontId="5" fillId="3" borderId="15" xfId="6" applyNumberFormat="1" applyFont="1" applyFill="1" applyBorder="1" applyAlignment="1">
      <alignment horizontal="center" vertical="center" wrapText="1"/>
    </xf>
    <xf numFmtId="37" fontId="5" fillId="0" borderId="4" xfId="5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center" vertical="center" wrapText="1"/>
    </xf>
    <xf numFmtId="10" fontId="5" fillId="3" borderId="4" xfId="6" applyNumberFormat="1" applyFont="1" applyFill="1" applyBorder="1" applyAlignment="1">
      <alignment horizontal="center" vertical="center"/>
    </xf>
    <xf numFmtId="168" fontId="4" fillId="4" borderId="11" xfId="3" applyNumberFormat="1" applyFont="1" applyFill="1" applyBorder="1" applyAlignment="1">
      <alignment horizontal="center" vertical="center"/>
    </xf>
    <xf numFmtId="169" fontId="4" fillId="4" borderId="4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9" fontId="4" fillId="4" borderId="11" xfId="6" applyNumberFormat="1" applyFont="1" applyFill="1" applyBorder="1" applyAlignment="1">
      <alignment horizontal="left" vertical="center" wrapText="1" shrinkToFit="1"/>
    </xf>
    <xf numFmtId="0" fontId="4" fillId="0" borderId="17" xfId="6" applyNumberFormat="1" applyFont="1" applyFill="1" applyBorder="1" applyAlignment="1">
      <alignment horizontal="center" vertical="center"/>
    </xf>
    <xf numFmtId="169" fontId="4" fillId="4" borderId="4" xfId="6" applyNumberFormat="1" applyFont="1" applyFill="1" applyBorder="1" applyAlignment="1">
      <alignment horizontal="left" vertical="center" wrapText="1" shrinkToFit="1"/>
    </xf>
    <xf numFmtId="0" fontId="4" fillId="0" borderId="8" xfId="6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center" vertical="center" wrapText="1"/>
    </xf>
    <xf numFmtId="169" fontId="4" fillId="4" borderId="11" xfId="6" applyNumberFormat="1" applyFont="1" applyFill="1" applyBorder="1" applyAlignment="1">
      <alignment horizontal="center" vertical="center" wrapText="1"/>
    </xf>
    <xf numFmtId="169" fontId="4" fillId="4" borderId="4" xfId="6" applyNumberFormat="1" applyFont="1" applyFill="1" applyBorder="1" applyAlignment="1">
      <alignment horizontal="center" vertical="center" wrapText="1"/>
    </xf>
    <xf numFmtId="169" fontId="4" fillId="4" borderId="5" xfId="6" applyNumberFormat="1" applyFont="1" applyFill="1" applyBorder="1" applyAlignment="1">
      <alignment horizontal="center" vertical="center" wrapText="1"/>
    </xf>
    <xf numFmtId="37" fontId="4" fillId="0" borderId="4" xfId="5" applyNumberFormat="1" applyFont="1" applyFill="1" applyBorder="1" applyAlignment="1">
      <alignment horizontal="center" vertical="center"/>
    </xf>
    <xf numFmtId="37" fontId="5" fillId="0" borderId="4" xfId="5" applyNumberFormat="1" applyFont="1" applyFill="1" applyBorder="1" applyAlignment="1">
      <alignment horizontal="center" vertical="center"/>
    </xf>
    <xf numFmtId="169" fontId="5" fillId="3" borderId="15" xfId="6" applyNumberFormat="1" applyFont="1" applyFill="1" applyBorder="1" applyAlignment="1">
      <alignment horizontal="center" vertical="center" wrapText="1"/>
    </xf>
    <xf numFmtId="10" fontId="5" fillId="3" borderId="1" xfId="6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39" fontId="5" fillId="0" borderId="1" xfId="5" applyNumberFormat="1" applyFont="1" applyFill="1" applyBorder="1" applyAlignment="1">
      <alignment horizontal="center" vertical="center"/>
    </xf>
    <xf numFmtId="39" fontId="5" fillId="0" borderId="9" xfId="5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168" fontId="4" fillId="4" borderId="5" xfId="3" applyNumberFormat="1" applyFont="1" applyFill="1" applyBorder="1" applyAlignment="1">
      <alignment horizontal="center" vertical="center"/>
    </xf>
    <xf numFmtId="0" fontId="4" fillId="4" borderId="5" xfId="7" applyNumberFormat="1" applyFont="1" applyFill="1" applyBorder="1" applyAlignment="1">
      <alignment horizontal="center" vertical="center"/>
    </xf>
    <xf numFmtId="3" fontId="4" fillId="4" borderId="5" xfId="5" applyNumberFormat="1" applyFont="1" applyFill="1" applyBorder="1" applyAlignment="1">
      <alignment horizontal="right" vertical="center" wrapText="1"/>
    </xf>
    <xf numFmtId="3" fontId="4" fillId="0" borderId="5" xfId="5" applyNumberFormat="1" applyFont="1" applyFill="1" applyBorder="1" applyAlignment="1">
      <alignment horizontal="right" vertical="center" wrapText="1"/>
    </xf>
    <xf numFmtId="2" fontId="4" fillId="3" borderId="5" xfId="7" applyNumberFormat="1" applyFont="1" applyFill="1" applyBorder="1" applyAlignment="1">
      <alignment horizontal="center" vertical="center"/>
    </xf>
    <xf numFmtId="10" fontId="4" fillId="3" borderId="5" xfId="6" applyNumberFormat="1" applyFont="1" applyFill="1" applyBorder="1" applyAlignment="1">
      <alignment horizontal="center" vertical="center"/>
    </xf>
    <xf numFmtId="37" fontId="4" fillId="0" borderId="5" xfId="5" applyNumberFormat="1" applyFont="1" applyFill="1" applyBorder="1" applyAlignment="1">
      <alignment horizontal="right" vertical="center"/>
    </xf>
    <xf numFmtId="0" fontId="0" fillId="0" borderId="25" xfId="0" applyBorder="1"/>
    <xf numFmtId="0" fontId="4" fillId="4" borderId="7" xfId="7" applyNumberFormat="1" applyFont="1" applyFill="1" applyBorder="1" applyAlignment="1">
      <alignment horizontal="center" vertical="center"/>
    </xf>
    <xf numFmtId="3" fontId="4" fillId="4" borderId="7" xfId="5" applyNumberFormat="1" applyFont="1" applyFill="1" applyBorder="1" applyAlignment="1">
      <alignment horizontal="right" vertical="center" wrapText="1"/>
    </xf>
    <xf numFmtId="3" fontId="4" fillId="0" borderId="7" xfId="5" applyNumberFormat="1" applyFont="1" applyFill="1" applyBorder="1" applyAlignment="1">
      <alignment horizontal="right" vertical="center" wrapText="1"/>
    </xf>
    <xf numFmtId="37" fontId="4" fillId="0" borderId="7" xfId="5" applyNumberFormat="1" applyFont="1" applyFill="1" applyBorder="1" applyAlignment="1">
      <alignment horizontal="right" vertical="center"/>
    </xf>
    <xf numFmtId="39" fontId="5" fillId="0" borderId="20" xfId="5" applyNumberFormat="1" applyFont="1" applyFill="1" applyBorder="1" applyAlignment="1">
      <alignment vertical="center"/>
    </xf>
    <xf numFmtId="10" fontId="5" fillId="0" borderId="20" xfId="12" applyNumberFormat="1" applyFont="1" applyFill="1" applyBorder="1" applyAlignment="1">
      <alignment vertical="center"/>
    </xf>
    <xf numFmtId="39" fontId="5" fillId="0" borderId="20" xfId="5" applyNumberFormat="1" applyFont="1" applyFill="1" applyBorder="1" applyAlignment="1">
      <alignment horizontal="center" vertical="center"/>
    </xf>
    <xf numFmtId="10" fontId="4" fillId="3" borderId="7" xfId="6" applyNumberFormat="1" applyFont="1" applyFill="1" applyBorder="1" applyAlignment="1">
      <alignment horizontal="center" vertical="center"/>
    </xf>
    <xf numFmtId="15" fontId="4" fillId="4" borderId="20" xfId="7" applyNumberFormat="1" applyFont="1" applyFill="1" applyBorder="1" applyAlignment="1">
      <alignment horizontal="center" vertical="center"/>
    </xf>
    <xf numFmtId="169" fontId="4" fillId="4" borderId="20" xfId="6" applyNumberFormat="1" applyFont="1" applyFill="1" applyBorder="1" applyAlignment="1">
      <alignment horizontal="center" vertical="center" wrapText="1"/>
    </xf>
    <xf numFmtId="2" fontId="4" fillId="3" borderId="20" xfId="7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left" vertical="top" wrapText="1" shrinkToFit="1"/>
    </xf>
    <xf numFmtId="169" fontId="5" fillId="3" borderId="15" xfId="6" applyNumberFormat="1" applyFont="1" applyFill="1" applyBorder="1" applyAlignment="1">
      <alignment horizontal="center" vertical="center" wrapText="1"/>
    </xf>
    <xf numFmtId="10" fontId="5" fillId="3" borderId="4" xfId="6" applyNumberFormat="1" applyFont="1" applyFill="1" applyBorder="1" applyAlignment="1">
      <alignment horizontal="center" vertical="center"/>
    </xf>
    <xf numFmtId="169" fontId="4" fillId="4" borderId="20" xfId="6" applyNumberFormat="1" applyFont="1" applyFill="1" applyBorder="1" applyAlignment="1">
      <alignment horizontal="center" vertical="center" wrapText="1"/>
    </xf>
    <xf numFmtId="169" fontId="4" fillId="4" borderId="5" xfId="6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center" vertical="center" wrapText="1"/>
    </xf>
    <xf numFmtId="169" fontId="4" fillId="4" borderId="11" xfId="6" applyNumberFormat="1" applyFont="1" applyFill="1" applyBorder="1" applyAlignment="1">
      <alignment horizontal="center" vertical="center" wrapText="1"/>
    </xf>
    <xf numFmtId="37" fontId="4" fillId="0" borderId="4" xfId="5" applyNumberFormat="1" applyFont="1" applyFill="1" applyBorder="1" applyAlignment="1">
      <alignment horizontal="center" vertical="center"/>
    </xf>
    <xf numFmtId="37" fontId="5" fillId="0" borderId="4" xfId="5" applyNumberFormat="1" applyFont="1" applyFill="1" applyBorder="1" applyAlignment="1">
      <alignment horizontal="center" vertical="center"/>
    </xf>
    <xf numFmtId="10" fontId="5" fillId="3" borderId="1" xfId="6" applyNumberFormat="1" applyFont="1" applyFill="1" applyBorder="1" applyAlignment="1">
      <alignment horizontal="center" vertical="center"/>
    </xf>
    <xf numFmtId="3" fontId="4" fillId="4" borderId="1" xfId="5" applyNumberFormat="1" applyFont="1" applyFill="1" applyBorder="1" applyAlignment="1">
      <alignment horizontal="right" vertical="center" wrapText="1"/>
    </xf>
    <xf numFmtId="39" fontId="5" fillId="0" borderId="11" xfId="5" applyNumberFormat="1" applyFont="1" applyFill="1" applyBorder="1" applyAlignment="1">
      <alignment horizontal="center" vertical="center"/>
    </xf>
    <xf numFmtId="10" fontId="4" fillId="3" borderId="30" xfId="6" applyNumberFormat="1" applyFont="1" applyFill="1" applyBorder="1" applyAlignment="1">
      <alignment horizontal="center" vertical="center"/>
    </xf>
    <xf numFmtId="10" fontId="4" fillId="3" borderId="31" xfId="6" applyNumberFormat="1" applyFont="1" applyFill="1" applyBorder="1" applyAlignment="1">
      <alignment horizontal="center" vertical="center"/>
    </xf>
    <xf numFmtId="10" fontId="4" fillId="3" borderId="24" xfId="6" applyNumberFormat="1" applyFont="1" applyFill="1" applyBorder="1" applyAlignment="1">
      <alignment horizontal="center" vertical="center"/>
    </xf>
    <xf numFmtId="169" fontId="4" fillId="3" borderId="9" xfId="6" applyNumberFormat="1" applyFont="1" applyFill="1" applyBorder="1" applyAlignment="1">
      <alignment horizontal="center" vertical="center" wrapText="1"/>
    </xf>
    <xf numFmtId="169" fontId="4" fillId="3" borderId="4" xfId="6" applyNumberFormat="1" applyFont="1" applyFill="1" applyBorder="1" applyAlignment="1">
      <alignment horizontal="center" vertical="center" wrapText="1"/>
    </xf>
    <xf numFmtId="169" fontId="4" fillId="3" borderId="9" xfId="6" applyNumberFormat="1" applyFont="1" applyFill="1" applyBorder="1" applyAlignment="1">
      <alignment horizontal="left" vertical="center" wrapText="1"/>
    </xf>
    <xf numFmtId="168" fontId="4" fillId="3" borderId="9" xfId="3" applyNumberFormat="1" applyFont="1" applyFill="1" applyBorder="1" applyAlignment="1">
      <alignment horizontal="center" vertical="center"/>
    </xf>
    <xf numFmtId="169" fontId="4" fillId="3" borderId="4" xfId="6" applyNumberFormat="1" applyFont="1" applyFill="1" applyBorder="1" applyAlignment="1">
      <alignment horizontal="left" vertical="center" shrinkToFit="1"/>
    </xf>
    <xf numFmtId="169" fontId="4" fillId="3" borderId="11" xfId="6" applyNumberFormat="1" applyFont="1" applyFill="1" applyBorder="1" applyAlignment="1">
      <alignment horizontal="left" vertical="center" wrapText="1" shrinkToFit="1"/>
    </xf>
    <xf numFmtId="168" fontId="4" fillId="3" borderId="11" xfId="3" applyNumberFormat="1" applyFont="1" applyFill="1" applyBorder="1" applyAlignment="1">
      <alignment horizontal="center" vertical="center"/>
    </xf>
    <xf numFmtId="169" fontId="4" fillId="3" borderId="4" xfId="6" applyNumberFormat="1" applyFont="1" applyFill="1" applyBorder="1" applyAlignment="1">
      <alignment horizontal="left" vertical="center" wrapText="1" shrinkToFit="1"/>
    </xf>
    <xf numFmtId="169" fontId="4" fillId="3" borderId="9" xfId="6" applyNumberFormat="1" applyFont="1" applyFill="1" applyBorder="1" applyAlignment="1">
      <alignment horizontal="left" vertical="top" wrapText="1" shrinkToFit="1"/>
    </xf>
    <xf numFmtId="0" fontId="0" fillId="3" borderId="25" xfId="0" applyFill="1" applyBorder="1"/>
    <xf numFmtId="168" fontId="4" fillId="3" borderId="7" xfId="3" applyNumberFormat="1" applyFont="1" applyFill="1" applyBorder="1" applyAlignment="1">
      <alignment horizontal="center" vertical="center"/>
    </xf>
    <xf numFmtId="0" fontId="0" fillId="3" borderId="18" xfId="0" applyFill="1" applyBorder="1"/>
    <xf numFmtId="168" fontId="4" fillId="3" borderId="5" xfId="3" applyNumberFormat="1" applyFont="1" applyFill="1" applyBorder="1" applyAlignment="1">
      <alignment horizontal="center" vertical="center"/>
    </xf>
    <xf numFmtId="10" fontId="5" fillId="3" borderId="23" xfId="6" applyNumberFormat="1" applyFont="1" applyFill="1" applyBorder="1" applyAlignment="1">
      <alignment horizontal="center" vertical="center"/>
    </xf>
    <xf numFmtId="10" fontId="5" fillId="3" borderId="28" xfId="6" applyNumberFormat="1" applyFont="1" applyFill="1" applyBorder="1" applyAlignment="1">
      <alignment horizontal="center" vertical="center"/>
    </xf>
    <xf numFmtId="10" fontId="5" fillId="3" borderId="24" xfId="6" applyNumberFormat="1" applyFont="1" applyFill="1" applyBorder="1" applyAlignment="1">
      <alignment horizontal="center" vertical="center"/>
    </xf>
    <xf numFmtId="169" fontId="5" fillId="3" borderId="6" xfId="6" applyNumberFormat="1" applyFont="1" applyFill="1" applyBorder="1" applyAlignment="1">
      <alignment horizontal="center" vertical="center" wrapText="1"/>
    </xf>
    <xf numFmtId="169" fontId="5" fillId="3" borderId="27" xfId="6" applyNumberFormat="1" applyFont="1" applyFill="1" applyBorder="1" applyAlignment="1">
      <alignment horizontal="center" vertical="center" wrapText="1"/>
    </xf>
    <xf numFmtId="169" fontId="5" fillId="3" borderId="2" xfId="6" applyNumberFormat="1" applyFont="1" applyFill="1" applyBorder="1" applyAlignment="1">
      <alignment horizontal="center" vertical="center" wrapText="1"/>
    </xf>
    <xf numFmtId="169" fontId="5" fillId="3" borderId="15" xfId="6" applyNumberFormat="1" applyFont="1" applyFill="1" applyBorder="1" applyAlignment="1">
      <alignment horizontal="center" vertical="center" wrapText="1"/>
    </xf>
    <xf numFmtId="169" fontId="5" fillId="3" borderId="16" xfId="6" applyNumberFormat="1" applyFont="1" applyFill="1" applyBorder="1" applyAlignment="1">
      <alignment horizontal="center" vertical="center" wrapText="1"/>
    </xf>
    <xf numFmtId="10" fontId="5" fillId="3" borderId="4" xfId="6" applyNumberFormat="1" applyFont="1" applyFill="1" applyBorder="1" applyAlignment="1">
      <alignment horizontal="center" vertical="center"/>
    </xf>
    <xf numFmtId="10" fontId="5" fillId="3" borderId="5" xfId="6" applyNumberFormat="1" applyFont="1" applyFill="1" applyBorder="1" applyAlignment="1">
      <alignment horizontal="center" vertical="center"/>
    </xf>
    <xf numFmtId="169" fontId="4" fillId="4" borderId="17" xfId="6" applyNumberFormat="1" applyFont="1" applyFill="1" applyBorder="1" applyAlignment="1">
      <alignment horizontal="center" vertical="center" wrapText="1"/>
    </xf>
    <xf numFmtId="169" fontId="4" fillId="4" borderId="22" xfId="6" applyNumberFormat="1" applyFont="1" applyFill="1" applyBorder="1" applyAlignment="1">
      <alignment horizontal="center" vertical="center" wrapText="1"/>
    </xf>
    <xf numFmtId="169" fontId="4" fillId="4" borderId="23" xfId="6" applyNumberFormat="1" applyFont="1" applyFill="1" applyBorder="1" applyAlignment="1">
      <alignment horizontal="center" vertical="center" wrapText="1"/>
    </xf>
    <xf numFmtId="169" fontId="4" fillId="4" borderId="24" xfId="6" applyNumberFormat="1" applyFont="1" applyFill="1" applyBorder="1" applyAlignment="1">
      <alignment horizontal="center" vertical="center" wrapText="1"/>
    </xf>
    <xf numFmtId="169" fontId="4" fillId="4" borderId="21" xfId="6" applyNumberFormat="1" applyFont="1" applyFill="1" applyBorder="1" applyAlignment="1">
      <alignment horizontal="center" vertical="center" wrapText="1"/>
    </xf>
    <xf numFmtId="169" fontId="4" fillId="4" borderId="26" xfId="6" applyNumberFormat="1" applyFont="1" applyFill="1" applyBorder="1" applyAlignment="1">
      <alignment horizontal="center" vertical="center" wrapText="1"/>
    </xf>
    <xf numFmtId="169" fontId="4" fillId="4" borderId="4" xfId="6" applyNumberFormat="1" applyFont="1" applyFill="1" applyBorder="1" applyAlignment="1">
      <alignment horizontal="center" vertical="center" wrapText="1"/>
    </xf>
    <xf numFmtId="169" fontId="4" fillId="4" borderId="1" xfId="6" applyNumberFormat="1" applyFont="1" applyFill="1" applyBorder="1" applyAlignment="1">
      <alignment horizontal="center" vertical="center" wrapText="1"/>
    </xf>
    <xf numFmtId="169" fontId="4" fillId="4" borderId="5" xfId="6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0" xfId="6" applyNumberFormat="1" applyFont="1" applyFill="1" applyBorder="1" applyAlignment="1">
      <alignment horizontal="center" vertical="center"/>
    </xf>
    <xf numFmtId="169" fontId="4" fillId="4" borderId="9" xfId="6" applyNumberFormat="1" applyFont="1" applyFill="1" applyBorder="1" applyAlignment="1">
      <alignment horizontal="center" vertical="center" wrapText="1"/>
    </xf>
    <xf numFmtId="169" fontId="4" fillId="4" borderId="11" xfId="6" applyNumberFormat="1" applyFont="1" applyFill="1" applyBorder="1" applyAlignment="1">
      <alignment horizontal="center" vertical="center" wrapText="1"/>
    </xf>
    <xf numFmtId="37" fontId="4" fillId="0" borderId="4" xfId="5" applyNumberFormat="1" applyFont="1" applyFill="1" applyBorder="1" applyAlignment="1">
      <alignment horizontal="center" vertical="center"/>
    </xf>
    <xf numFmtId="37" fontId="4" fillId="0" borderId="5" xfId="5" applyNumberFormat="1" applyFont="1" applyFill="1" applyBorder="1" applyAlignment="1">
      <alignment horizontal="center" vertical="center"/>
    </xf>
    <xf numFmtId="37" fontId="5" fillId="0" borderId="4" xfId="5" applyNumberFormat="1" applyFont="1" applyFill="1" applyBorder="1" applyAlignment="1">
      <alignment horizontal="center" vertical="center"/>
    </xf>
    <xf numFmtId="37" fontId="5" fillId="0" borderId="5" xfId="5" applyNumberFormat="1" applyFont="1" applyFill="1" applyBorder="1" applyAlignment="1">
      <alignment horizontal="center" vertical="center"/>
    </xf>
    <xf numFmtId="37" fontId="5" fillId="0" borderId="1" xfId="5" applyNumberFormat="1" applyFont="1" applyFill="1" applyBorder="1" applyAlignment="1">
      <alignment horizontal="center" vertical="center"/>
    </xf>
    <xf numFmtId="169" fontId="5" fillId="3" borderId="29" xfId="6" applyNumberFormat="1" applyFont="1" applyFill="1" applyBorder="1" applyAlignment="1">
      <alignment horizontal="center" vertical="center" wrapText="1"/>
    </xf>
    <xf numFmtId="10" fontId="5" fillId="3" borderId="1" xfId="6" applyNumberFormat="1" applyFont="1" applyFill="1" applyBorder="1" applyAlignment="1">
      <alignment horizontal="center" vertical="center"/>
    </xf>
    <xf numFmtId="169" fontId="5" fillId="0" borderId="3" xfId="2" applyNumberFormat="1" applyFont="1" applyFill="1" applyBorder="1" applyAlignment="1">
      <alignment horizontal="center" vertical="center"/>
    </xf>
    <xf numFmtId="169" fontId="5" fillId="0" borderId="13" xfId="2" applyNumberFormat="1" applyFont="1" applyFill="1" applyBorder="1" applyAlignment="1">
      <alignment horizontal="center" vertical="center"/>
    </xf>
    <xf numFmtId="168" fontId="5" fillId="0" borderId="4" xfId="3" applyNumberFormat="1" applyFont="1" applyFill="1" applyBorder="1" applyAlignment="1">
      <alignment horizontal="center" vertical="center"/>
    </xf>
    <xf numFmtId="168" fontId="5" fillId="0" borderId="5" xfId="3" applyNumberFormat="1" applyFont="1" applyFill="1" applyBorder="1" applyAlignment="1">
      <alignment horizontal="center" vertical="center"/>
    </xf>
    <xf numFmtId="169" fontId="5" fillId="3" borderId="17" xfId="2" applyNumberFormat="1" applyFont="1" applyFill="1" applyBorder="1" applyAlignment="1">
      <alignment horizontal="center" vertical="center" wrapText="1"/>
    </xf>
    <xf numFmtId="169" fontId="5" fillId="3" borderId="19" xfId="2" applyNumberFormat="1" applyFont="1" applyFill="1" applyBorder="1" applyAlignment="1">
      <alignment horizontal="center" vertical="center" wrapText="1"/>
    </xf>
    <xf numFmtId="169" fontId="5" fillId="3" borderId="4" xfId="2" applyNumberFormat="1" applyFont="1" applyFill="1" applyBorder="1" applyAlignment="1">
      <alignment horizontal="center" vertical="center" wrapText="1"/>
    </xf>
    <xf numFmtId="169" fontId="5" fillId="3" borderId="5" xfId="2" applyNumberFormat="1" applyFont="1" applyFill="1" applyBorder="1" applyAlignment="1">
      <alignment horizontal="center" vertical="center" wrapText="1"/>
    </xf>
    <xf numFmtId="169" fontId="5" fillId="3" borderId="6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2" fontId="5" fillId="3" borderId="12" xfId="4" applyNumberFormat="1" applyFont="1" applyFill="1" applyBorder="1" applyAlignment="1">
      <alignment horizontal="center" vertical="center" wrapText="1"/>
    </xf>
    <xf numFmtId="2" fontId="5" fillId="3" borderId="14" xfId="4" applyNumberFormat="1" applyFont="1" applyFill="1" applyBorder="1" applyAlignment="1">
      <alignment horizontal="center" vertical="center" wrapText="1"/>
    </xf>
    <xf numFmtId="169" fontId="5" fillId="0" borderId="12" xfId="2" applyNumberFormat="1" applyFont="1" applyFill="1" applyBorder="1" applyAlignment="1">
      <alignment horizontal="center" vertical="center" wrapText="1"/>
    </xf>
    <xf numFmtId="169" fontId="5" fillId="0" borderId="14" xfId="2" applyNumberFormat="1" applyFont="1" applyFill="1" applyBorder="1" applyAlignment="1">
      <alignment horizontal="center" vertical="center" wrapText="1"/>
    </xf>
    <xf numFmtId="164" fontId="5" fillId="3" borderId="12" xfId="2" applyNumberFormat="1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169" fontId="5" fillId="0" borderId="4" xfId="2" applyNumberFormat="1" applyFont="1" applyFill="1" applyBorder="1" applyAlignment="1">
      <alignment horizontal="center" vertical="center" wrapText="1"/>
    </xf>
    <xf numFmtId="169" fontId="5" fillId="0" borderId="5" xfId="2" applyNumberFormat="1" applyFont="1" applyFill="1" applyBorder="1" applyAlignment="1">
      <alignment horizontal="center" vertical="center" wrapText="1"/>
    </xf>
    <xf numFmtId="169" fontId="5" fillId="0" borderId="5" xfId="2" applyNumberFormat="1" applyFont="1" applyFill="1" applyBorder="1" applyAlignment="1">
      <alignment horizontal="center" vertical="center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0" borderId="9" xfId="2" applyNumberFormat="1" applyFont="1" applyFill="1" applyBorder="1" applyAlignment="1">
      <alignment horizontal="center" vertical="center"/>
    </xf>
    <xf numFmtId="169" fontId="3" fillId="0" borderId="9" xfId="2" applyNumberFormat="1" applyFont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 wrapText="1"/>
    </xf>
    <xf numFmtId="0" fontId="5" fillId="0" borderId="5" xfId="4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169" fontId="5" fillId="3" borderId="15" xfId="2" applyNumberFormat="1" applyFont="1" applyFill="1" applyBorder="1" applyAlignment="1">
      <alignment horizontal="center" vertical="center" wrapText="1"/>
    </xf>
    <xf numFmtId="169" fontId="5" fillId="3" borderId="16" xfId="2" applyNumberFormat="1" applyFont="1" applyFill="1" applyBorder="1" applyAlignment="1">
      <alignment horizontal="center" vertical="center" wrapText="1"/>
    </xf>
    <xf numFmtId="169" fontId="4" fillId="3" borderId="4" xfId="6" applyNumberFormat="1" applyFont="1" applyFill="1" applyBorder="1" applyAlignment="1">
      <alignment horizontal="center" vertical="center" wrapText="1"/>
    </xf>
    <xf numFmtId="169" fontId="4" fillId="3" borderId="1" xfId="6" applyNumberFormat="1" applyFont="1" applyFill="1" applyBorder="1" applyAlignment="1">
      <alignment horizontal="center" vertical="center" wrapText="1"/>
    </xf>
    <xf numFmtId="169" fontId="4" fillId="3" borderId="5" xfId="6" applyNumberFormat="1" applyFont="1" applyFill="1" applyBorder="1" applyAlignment="1">
      <alignment horizontal="center" vertical="center" wrapText="1"/>
    </xf>
    <xf numFmtId="169" fontId="4" fillId="3" borderId="23" xfId="6" applyNumberFormat="1" applyFont="1" applyFill="1" applyBorder="1" applyAlignment="1">
      <alignment horizontal="center" vertical="center" wrapText="1"/>
    </xf>
    <xf numFmtId="169" fontId="4" fillId="3" borderId="24" xfId="6" applyNumberFormat="1" applyFont="1" applyFill="1" applyBorder="1" applyAlignment="1">
      <alignment horizontal="center" vertical="center" wrapText="1"/>
    </xf>
    <xf numFmtId="169" fontId="5" fillId="3" borderId="4" xfId="6" applyNumberFormat="1" applyFont="1" applyFill="1" applyBorder="1" applyAlignment="1">
      <alignment horizontal="center" vertical="center" wrapText="1"/>
    </xf>
    <xf numFmtId="169" fontId="5" fillId="3" borderId="1" xfId="6" applyNumberFormat="1" applyFont="1" applyFill="1" applyBorder="1" applyAlignment="1">
      <alignment horizontal="center" vertical="center" wrapText="1"/>
    </xf>
    <xf numFmtId="169" fontId="5" fillId="3" borderId="5" xfId="6" applyNumberFormat="1" applyFont="1" applyFill="1" applyBorder="1" applyAlignment="1">
      <alignment horizontal="center" vertical="center" wrapText="1"/>
    </xf>
    <xf numFmtId="169" fontId="4" fillId="3" borderId="9" xfId="6" applyNumberFormat="1" applyFont="1" applyFill="1" applyBorder="1" applyAlignment="1">
      <alignment horizontal="center" vertical="center" wrapText="1"/>
    </xf>
    <xf numFmtId="169" fontId="4" fillId="3" borderId="11" xfId="6" applyNumberFormat="1" applyFont="1" applyFill="1" applyBorder="1" applyAlignment="1">
      <alignment horizontal="center" vertical="center" wrapText="1"/>
    </xf>
  </cellXfs>
  <cellStyles count="15">
    <cellStyle name="Millares" xfId="1" builtinId="3"/>
    <cellStyle name="Millares 2" xfId="7"/>
    <cellStyle name="Millares 2 9" xfId="13"/>
    <cellStyle name="Millares 3" xfId="4"/>
    <cellStyle name="Millares 9" xfId="14"/>
    <cellStyle name="Moneda 2" xfId="5"/>
    <cellStyle name="Normal" xfId="0" builtinId="0"/>
    <cellStyle name="Normal 2" xfId="6"/>
    <cellStyle name="Normal 3" xfId="8"/>
    <cellStyle name="Normal 4" xfId="2"/>
    <cellStyle name="Normal 9" xfId="10"/>
    <cellStyle name="Porcentaje" xfId="12" builtinId="5"/>
    <cellStyle name="Porcentaje 2" xfId="3"/>
    <cellStyle name="Porcentual 2" xfId="9"/>
    <cellStyle name="Porcentual 9" xfId="11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6" sqref="A16"/>
    </sheetView>
  </sheetViews>
  <sheetFormatPr baseColWidth="10" defaultRowHeight="15" x14ac:dyDescent="0.25"/>
  <cols>
    <col min="1" max="1" width="31.28515625" bestFit="1" customWidth="1"/>
    <col min="2" max="3" width="15.140625" bestFit="1" customWidth="1"/>
    <col min="4" max="4" width="14.140625" bestFit="1" customWidth="1"/>
    <col min="5" max="5" width="15.140625" bestFit="1" customWidth="1"/>
  </cols>
  <sheetData>
    <row r="1" spans="1:5" x14ac:dyDescent="0.25">
      <c r="C1" s="3" t="s">
        <v>2</v>
      </c>
      <c r="D1" s="3" t="s">
        <v>3</v>
      </c>
      <c r="E1" s="1"/>
    </row>
    <row r="2" spans="1:5" x14ac:dyDescent="0.25">
      <c r="A2" s="3" t="s">
        <v>0</v>
      </c>
      <c r="B2" s="3" t="s">
        <v>1</v>
      </c>
      <c r="C2" s="4">
        <v>7.1400000000000005E-2</v>
      </c>
      <c r="D2" s="6">
        <v>0.5</v>
      </c>
      <c r="E2" s="29"/>
    </row>
    <row r="3" spans="1:5" x14ac:dyDescent="0.25">
      <c r="A3" s="1">
        <v>1</v>
      </c>
      <c r="B3" s="2">
        <v>488244000</v>
      </c>
      <c r="C3" s="2">
        <f>+B3*$C$2</f>
        <v>34860621.600000001</v>
      </c>
      <c r="D3" s="2">
        <f>+C3*$D$2</f>
        <v>17430310.800000001</v>
      </c>
    </row>
    <row r="6" spans="1:5" x14ac:dyDescent="0.25">
      <c r="A6" t="s">
        <v>4</v>
      </c>
      <c r="B6" s="7">
        <v>1.1000000000000001</v>
      </c>
    </row>
    <row r="7" spans="1:5" x14ac:dyDescent="0.25">
      <c r="A7" t="s">
        <v>5</v>
      </c>
      <c r="B7" s="5">
        <v>0.8</v>
      </c>
    </row>
    <row r="8" spans="1:5" x14ac:dyDescent="0.25">
      <c r="A8" t="s">
        <v>6</v>
      </c>
      <c r="B8" s="7">
        <v>1</v>
      </c>
    </row>
    <row r="9" spans="1:5" x14ac:dyDescent="0.25">
      <c r="A9" t="s">
        <v>38</v>
      </c>
      <c r="B9" s="5">
        <v>0</v>
      </c>
    </row>
    <row r="10" spans="1:5" x14ac:dyDescent="0.25">
      <c r="A10" t="s">
        <v>39</v>
      </c>
      <c r="B10" s="5">
        <v>0</v>
      </c>
    </row>
  </sheetData>
  <sortState ref="A3:D11">
    <sortCondition descending="1" ref="B3:B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"/>
  <sheetViews>
    <sheetView showGridLines="0" workbookViewId="0">
      <pane xSplit="5" ySplit="4" topLeftCell="Y5" activePane="bottomRight" state="frozen"/>
      <selection pane="topRight" activeCell="F1" sqref="F1"/>
      <selection pane="bottomLeft" activeCell="A4" sqref="A4"/>
      <selection pane="bottomRight" sqref="A1:AD15"/>
    </sheetView>
  </sheetViews>
  <sheetFormatPr baseColWidth="10" defaultRowHeight="15" outlineLevelCol="1" x14ac:dyDescent="0.25"/>
  <cols>
    <col min="1" max="1" width="4.42578125" bestFit="1" customWidth="1"/>
    <col min="2" max="2" width="34" style="35" customWidth="1"/>
    <col min="3" max="3" width="0.140625" customWidth="1"/>
    <col min="4" max="4" width="46.5703125" customWidth="1"/>
    <col min="5" max="5" width="7.140625" bestFit="1" customWidth="1"/>
    <col min="6" max="6" width="9.5703125" bestFit="1" customWidth="1"/>
    <col min="7" max="7" width="9.42578125" customWidth="1"/>
    <col min="8" max="8" width="8.140625" bestFit="1" customWidth="1"/>
    <col min="9" max="9" width="12.5703125" customWidth="1"/>
    <col min="10" max="11" width="12.5703125" bestFit="1" customWidth="1"/>
    <col min="12" max="13" width="12.28515625" customWidth="1"/>
    <col min="14" max="14" width="12.5703125" bestFit="1" customWidth="1"/>
    <col min="15" max="15" width="11.7109375" customWidth="1"/>
    <col min="16" max="16" width="10.7109375" customWidth="1" outlineLevel="1"/>
    <col min="17" max="17" width="14.5703125" customWidth="1" outlineLevel="1"/>
    <col min="18" max="18" width="10.7109375" customWidth="1" outlineLevel="1"/>
    <col min="19" max="20" width="13.85546875" bestFit="1" customWidth="1" outlineLevel="1"/>
    <col min="21" max="21" width="11.7109375" customWidth="1" outlineLevel="1" collapsed="1"/>
    <col min="22" max="22" width="14.85546875" customWidth="1" outlineLevel="1"/>
    <col min="23" max="24" width="11.7109375" customWidth="1" outlineLevel="1"/>
    <col min="25" max="25" width="11.7109375" customWidth="1"/>
    <col min="26" max="27" width="13" customWidth="1" outlineLevel="1"/>
    <col min="28" max="29" width="8.42578125" customWidth="1" outlineLevel="1"/>
    <col min="30" max="30" width="15.85546875" customWidth="1"/>
  </cols>
  <sheetData>
    <row r="1" spans="1:30" x14ac:dyDescent="0.25">
      <c r="B1" s="43" t="s">
        <v>45</v>
      </c>
    </row>
    <row r="2" spans="1:30" ht="34.5" customHeight="1" thickBot="1" x14ac:dyDescent="0.3">
      <c r="U2" s="165" t="s">
        <v>41</v>
      </c>
      <c r="V2" s="165"/>
      <c r="W2" s="165"/>
      <c r="X2" s="165"/>
      <c r="Y2" s="165"/>
      <c r="Z2" s="165" t="s">
        <v>42</v>
      </c>
      <c r="AA2" s="165"/>
      <c r="AB2" s="165"/>
      <c r="AC2" s="165"/>
      <c r="AD2" s="165"/>
    </row>
    <row r="3" spans="1:30" ht="15" customHeight="1" x14ac:dyDescent="0.25">
      <c r="A3" s="141" t="s">
        <v>7</v>
      </c>
      <c r="B3" s="153" t="s">
        <v>8</v>
      </c>
      <c r="C3" s="157" t="s">
        <v>21</v>
      </c>
      <c r="D3" s="157" t="s">
        <v>9</v>
      </c>
      <c r="E3" s="143" t="s">
        <v>10</v>
      </c>
      <c r="F3" s="163" t="s">
        <v>22</v>
      </c>
      <c r="G3" s="147" t="s">
        <v>11</v>
      </c>
      <c r="H3" s="147" t="s">
        <v>12</v>
      </c>
      <c r="I3" s="161" t="s">
        <v>13</v>
      </c>
      <c r="J3" s="162"/>
      <c r="K3" s="161" t="s">
        <v>14</v>
      </c>
      <c r="L3" s="161"/>
      <c r="M3" s="157" t="s">
        <v>25</v>
      </c>
      <c r="N3" s="161" t="s">
        <v>40</v>
      </c>
      <c r="O3" s="161"/>
      <c r="P3" s="151" t="s">
        <v>26</v>
      </c>
      <c r="Q3" s="155" t="s">
        <v>27</v>
      </c>
      <c r="R3" s="155" t="s">
        <v>28</v>
      </c>
      <c r="S3" s="155" t="s">
        <v>29</v>
      </c>
      <c r="T3" s="155" t="s">
        <v>30</v>
      </c>
      <c r="U3" s="151" t="s">
        <v>31</v>
      </c>
      <c r="V3" s="155" t="s">
        <v>32</v>
      </c>
      <c r="W3" s="155" t="s">
        <v>33</v>
      </c>
      <c r="X3" s="155" t="s">
        <v>34</v>
      </c>
      <c r="Y3" s="149" t="s">
        <v>15</v>
      </c>
      <c r="Z3" s="145" t="s">
        <v>35</v>
      </c>
      <c r="AA3" s="147" t="s">
        <v>43</v>
      </c>
      <c r="AB3" s="147" t="s">
        <v>36</v>
      </c>
      <c r="AC3" s="147" t="s">
        <v>37</v>
      </c>
      <c r="AD3" s="166" t="s">
        <v>15</v>
      </c>
    </row>
    <row r="4" spans="1:30" ht="39" thickBot="1" x14ac:dyDescent="0.3">
      <c r="A4" s="142"/>
      <c r="B4" s="154"/>
      <c r="C4" s="158"/>
      <c r="D4" s="158"/>
      <c r="E4" s="144"/>
      <c r="F4" s="164"/>
      <c r="G4" s="148"/>
      <c r="H4" s="160"/>
      <c r="I4" s="8" t="s">
        <v>16</v>
      </c>
      <c r="J4" s="8" t="s">
        <v>17</v>
      </c>
      <c r="K4" s="8" t="s">
        <v>18</v>
      </c>
      <c r="L4" s="9" t="s">
        <v>19</v>
      </c>
      <c r="M4" s="159"/>
      <c r="N4" s="10" t="s">
        <v>23</v>
      </c>
      <c r="O4" s="11" t="s">
        <v>24</v>
      </c>
      <c r="P4" s="152"/>
      <c r="Q4" s="156"/>
      <c r="R4" s="156"/>
      <c r="S4" s="156" t="s">
        <v>20</v>
      </c>
      <c r="T4" s="156" t="s">
        <v>20</v>
      </c>
      <c r="U4" s="152"/>
      <c r="V4" s="156"/>
      <c r="W4" s="156"/>
      <c r="X4" s="156"/>
      <c r="Y4" s="150"/>
      <c r="Z4" s="146"/>
      <c r="AA4" s="148"/>
      <c r="AB4" s="148"/>
      <c r="AC4" s="148"/>
      <c r="AD4" s="167"/>
    </row>
    <row r="5" spans="1:30" ht="15.75" thickBot="1" x14ac:dyDescent="0.3">
      <c r="A5" s="47">
        <v>1</v>
      </c>
      <c r="B5" s="48" t="s">
        <v>46</v>
      </c>
      <c r="C5" s="50">
        <v>1</v>
      </c>
      <c r="D5" s="60" t="s">
        <v>46</v>
      </c>
      <c r="E5" s="21">
        <v>1</v>
      </c>
      <c r="F5" s="22">
        <v>24</v>
      </c>
      <c r="G5" s="23">
        <v>42004</v>
      </c>
      <c r="H5" s="49" t="s">
        <v>44</v>
      </c>
      <c r="I5" s="19">
        <v>5129570421</v>
      </c>
      <c r="J5" s="19">
        <f>+I5</f>
        <v>5129570421</v>
      </c>
      <c r="K5" s="19">
        <v>120985819</v>
      </c>
      <c r="L5" s="19">
        <f>+K5</f>
        <v>120985819</v>
      </c>
      <c r="M5" s="12">
        <f>+J5-L5</f>
        <v>5008584602</v>
      </c>
      <c r="N5" s="19">
        <v>70479129</v>
      </c>
      <c r="O5" s="19">
        <v>0</v>
      </c>
      <c r="P5" s="13">
        <f t="shared" ref="P5:P7" si="0">+I5/K5</f>
        <v>42.398112963966462</v>
      </c>
      <c r="Q5" s="14">
        <f t="shared" ref="Q5:Q7" si="1">+L5/J5</f>
        <v>2.3585955366690149E-2</v>
      </c>
      <c r="R5" s="13">
        <v>0</v>
      </c>
      <c r="S5" s="17">
        <f>I5-K5</f>
        <v>5008584602</v>
      </c>
      <c r="T5" s="52">
        <f>+SUM(S5:S5)</f>
        <v>5008584602</v>
      </c>
      <c r="U5" s="30" t="str">
        <f>IF(P5&lt;Pliegos!$B$6,"NO","SI")</f>
        <v>SI</v>
      </c>
      <c r="V5" s="32" t="str">
        <f>IF(Q5&lt;=Pliegos!$B$7,"SI","NO")</f>
        <v>SI</v>
      </c>
      <c r="W5" s="28" t="str">
        <f>IF(O5=0,"SI",IF(R5&lt;Pliegos!$B$8,"NO","SI"))</f>
        <v>SI</v>
      </c>
      <c r="X5" s="53" t="str">
        <f>IF(AND(S5&gt;=VLOOKUP(C5,Pliegos!$A$3:$D$3,4,),Matriz!T5&gt;=VLOOKUP(C5,Pliegos!$A$3:$D$3,3,)),"SI","NO")</f>
        <v>SI</v>
      </c>
      <c r="Y5" s="54" t="str">
        <f>IF(ISERROR(SUM(U5:X5)),"ERROR",IF(COUNTIF(U5:X5,"NO")&gt;0,"NO HÁBIL","HÁBIL"))</f>
        <v>HÁBIL</v>
      </c>
      <c r="Z5" s="14">
        <f t="shared" ref="Z5:Z7" si="2">+N5/J5</f>
        <v>1.3739772186665921E-2</v>
      </c>
      <c r="AA5" s="14">
        <f t="shared" ref="AA5:AA7" si="3">+N5/M5</f>
        <v>1.4071665869806146E-2</v>
      </c>
      <c r="AB5" s="55" t="str">
        <f>IF(MAX(Z5:Z5)&gt;Pliegos!$B$9,"SI","NO")</f>
        <v>SI</v>
      </c>
      <c r="AC5" s="55" t="str">
        <f>IF(MAX(AA5:AA5)&gt;Pliegos!$B$10,"SI","NO")</f>
        <v>SI</v>
      </c>
      <c r="AD5" s="54" t="str">
        <f>IF(ISERROR(SUM(AB5:AC5)),"ERROR",IF(COUNTIF(AB5:AC5,"NO")&gt;0,"NO HÁBIL","HÁBIL"))</f>
        <v>HÁBIL</v>
      </c>
    </row>
    <row r="6" spans="1:30" x14ac:dyDescent="0.25">
      <c r="A6" s="130">
        <v>2</v>
      </c>
      <c r="B6" s="132" t="s">
        <v>47</v>
      </c>
      <c r="C6" s="127">
        <v>1</v>
      </c>
      <c r="D6" s="34" t="s">
        <v>48</v>
      </c>
      <c r="E6" s="21">
        <v>0.7</v>
      </c>
      <c r="F6" s="22">
        <v>77</v>
      </c>
      <c r="G6" s="23">
        <v>42004</v>
      </c>
      <c r="H6" s="80" t="s">
        <v>44</v>
      </c>
      <c r="I6" s="19">
        <v>95747242</v>
      </c>
      <c r="J6" s="19">
        <v>95747242</v>
      </c>
      <c r="K6" s="19">
        <v>19999933</v>
      </c>
      <c r="L6" s="19">
        <f>+K6</f>
        <v>19999933</v>
      </c>
      <c r="M6" s="12">
        <f t="shared" ref="M6:M7" si="4">+J6-L6</f>
        <v>75747309</v>
      </c>
      <c r="N6" s="19">
        <v>14632410</v>
      </c>
      <c r="O6" s="19">
        <v>0</v>
      </c>
      <c r="P6" s="13">
        <f t="shared" si="0"/>
        <v>4.787378137716761</v>
      </c>
      <c r="Q6" s="14">
        <f t="shared" si="1"/>
        <v>0.20888260154793806</v>
      </c>
      <c r="R6" s="13">
        <v>0</v>
      </c>
      <c r="S6" s="17">
        <f>I6-K6</f>
        <v>75747309</v>
      </c>
      <c r="T6" s="134">
        <f>+SUM(S6:S7)</f>
        <v>4255763653</v>
      </c>
      <c r="U6" s="30" t="str">
        <f>IF(P6&lt;Pliegos!$B$6,"NO","SI")</f>
        <v>SI</v>
      </c>
      <c r="V6" s="32" t="str">
        <f>IF(Q6&lt;=Pliegos!$B$7,"SI","NO")</f>
        <v>SI</v>
      </c>
      <c r="W6" s="59" t="str">
        <f>IF(O6=0,"SI",IF(R6&lt;Pliegos!$B$8,"NO","SI"))</f>
        <v>SI</v>
      </c>
      <c r="X6" s="136" t="str">
        <f>IF(AND(S6&gt;=VLOOKUP(C6,Pliegos!$A$3:$D$3,4,),Matriz!T6&gt;=VLOOKUP(C6,Pliegos!$A$3:$D$3,3,)),"SI","NO")</f>
        <v>SI</v>
      </c>
      <c r="Y6" s="117" t="str">
        <f>IF(ISERROR(SUM(U6:X7)),"ERROR",IF(COUNTIF(U6:X7,"NO")&gt;0,"NO HÁBIL","HÁBIL"))</f>
        <v>HÁBIL</v>
      </c>
      <c r="Z6" s="14">
        <f t="shared" si="2"/>
        <v>0.15282330534387611</v>
      </c>
      <c r="AA6" s="14">
        <f t="shared" si="3"/>
        <v>0.1931739911710923</v>
      </c>
      <c r="AB6" s="119" t="str">
        <f>IF(MAX(Z6:Z7)&gt;Pliegos!$B$9,"SI","NO")</f>
        <v>SI</v>
      </c>
      <c r="AC6" s="119" t="str">
        <f>IF(MAX(AA6:AA7)&gt;Pliegos!$B$10,"SI","NO")</f>
        <v>SI</v>
      </c>
      <c r="AD6" s="117" t="str">
        <f>IF(ISERROR(SUM(AB6:AC7)),"ERROR",IF(COUNTIF(AB6:AC7,"NO")&gt;0,"NO HÁBIL","HÁBIL"))</f>
        <v>HÁBIL</v>
      </c>
    </row>
    <row r="7" spans="1:30" ht="24" customHeight="1" thickBot="1" x14ac:dyDescent="0.3">
      <c r="A7" s="131"/>
      <c r="B7" s="133"/>
      <c r="C7" s="129"/>
      <c r="D7" s="44" t="s">
        <v>49</v>
      </c>
      <c r="E7" s="41">
        <v>0.3</v>
      </c>
      <c r="F7" s="25">
        <v>48</v>
      </c>
      <c r="G7" s="79">
        <v>42004</v>
      </c>
      <c r="H7" s="51" t="s">
        <v>44</v>
      </c>
      <c r="I7" s="20">
        <v>8268515546</v>
      </c>
      <c r="J7" s="20">
        <v>9969099205</v>
      </c>
      <c r="K7" s="20">
        <v>4088499202</v>
      </c>
      <c r="L7" s="20">
        <v>5944328510</v>
      </c>
      <c r="M7" s="18">
        <f t="shared" si="4"/>
        <v>4024770695</v>
      </c>
      <c r="N7" s="20">
        <v>1100414292</v>
      </c>
      <c r="O7" s="20">
        <v>253912418</v>
      </c>
      <c r="P7" s="67">
        <f t="shared" si="0"/>
        <v>2.0223840430139335</v>
      </c>
      <c r="Q7" s="68">
        <f t="shared" si="1"/>
        <v>0.59627538935700664</v>
      </c>
      <c r="R7" s="81">
        <f t="shared" ref="R7:R10" si="5">+N7/O7</f>
        <v>4.3338340860508842</v>
      </c>
      <c r="S7" s="69">
        <f t="shared" ref="S7" si="6">I7-K7</f>
        <v>4180016344</v>
      </c>
      <c r="T7" s="135"/>
      <c r="U7" s="31" t="str">
        <f>IF(P7&lt;Pliegos!$B$6,"NO","SI")</f>
        <v>SI</v>
      </c>
      <c r="V7" s="33" t="str">
        <f>IF(Q7&lt;=Pliegos!$B$7,"SI","NO")</f>
        <v>SI</v>
      </c>
      <c r="W7" s="94" t="str">
        <f>IF(O7=0,"SI",IF(R7&lt;Pliegos!$B$8,"NO","SI"))</f>
        <v>SI</v>
      </c>
      <c r="X7" s="137"/>
      <c r="Y7" s="118"/>
      <c r="Z7" s="15">
        <f t="shared" si="2"/>
        <v>0.11038251996209321</v>
      </c>
      <c r="AA7" s="15">
        <f t="shared" si="3"/>
        <v>0.2734104313985023</v>
      </c>
      <c r="AB7" s="120"/>
      <c r="AC7" s="120"/>
      <c r="AD7" s="118"/>
    </row>
    <row r="8" spans="1:30" ht="15.75" thickBot="1" x14ac:dyDescent="0.3">
      <c r="A8" s="45">
        <v>3</v>
      </c>
      <c r="B8" s="39" t="s">
        <v>50</v>
      </c>
      <c r="C8" s="42">
        <v>1</v>
      </c>
      <c r="D8" s="60" t="s">
        <v>50</v>
      </c>
      <c r="E8" s="21">
        <v>1</v>
      </c>
      <c r="F8" s="22">
        <v>18</v>
      </c>
      <c r="G8" s="23">
        <v>42004</v>
      </c>
      <c r="H8" s="39" t="s">
        <v>44</v>
      </c>
      <c r="I8" s="19">
        <v>1868743500</v>
      </c>
      <c r="J8" s="19">
        <v>1912027909</v>
      </c>
      <c r="K8" s="19">
        <v>691488804</v>
      </c>
      <c r="L8" s="19">
        <v>890821844</v>
      </c>
      <c r="M8" s="12">
        <f t="shared" ref="M8" si="7">+J8-L8</f>
        <v>1021206065</v>
      </c>
      <c r="N8" s="19">
        <v>103510606</v>
      </c>
      <c r="O8" s="93">
        <v>0</v>
      </c>
      <c r="P8" s="13">
        <f t="shared" ref="P8" si="8">+I8/K8</f>
        <v>2.702492779622792</v>
      </c>
      <c r="Q8" s="14">
        <f t="shared" ref="Q8" si="9">+L8/J8</f>
        <v>0.46590420558552631</v>
      </c>
      <c r="R8" s="13">
        <v>0</v>
      </c>
      <c r="S8" s="17">
        <f>I8-K8</f>
        <v>1177254696</v>
      </c>
      <c r="T8" s="36">
        <f>+SUM(S8:S8)</f>
        <v>1177254696</v>
      </c>
      <c r="U8" s="30" t="str">
        <f>IF(P8&lt;Pliegos!$B$6,"NO","SI")</f>
        <v>SI</v>
      </c>
      <c r="V8" s="32" t="str">
        <f>IF(Q8&lt;=Pliegos!$B$7,"SI","NO")</f>
        <v>SI</v>
      </c>
      <c r="W8" s="58" t="str">
        <f>IF(O8=0,"SI",IF(R8&lt;Pliegos!$B$8,"NO","SI"))</f>
        <v>SI</v>
      </c>
      <c r="X8" s="38" t="str">
        <f>IF(AND(S8&gt;=VLOOKUP(C8,Pliegos!$A$3:$D$3,4,),Matriz!T8&gt;=VLOOKUP(C8,Pliegos!$A$3:$D$3,3,)),"SI","NO")</f>
        <v>SI</v>
      </c>
      <c r="Y8" s="37" t="str">
        <f>IF(ISERROR(SUM(U8:X8)),"ERROR",IF(COUNTIF(U8:X8,"NO")&gt;0,"NO HÁBIL","HÁBIL"))</f>
        <v>HÁBIL</v>
      </c>
      <c r="Z8" s="14">
        <f t="shared" ref="Z8" si="10">+N8/J8</f>
        <v>5.4136556016139196E-2</v>
      </c>
      <c r="AA8" s="14">
        <f t="shared" ref="AA8" si="11">+N8/M8</f>
        <v>0.10136113517892199</v>
      </c>
      <c r="AB8" s="40" t="str">
        <f>IF(MAX(Z8:Z8)&gt;Pliegos!$B$9,"SI","NO")</f>
        <v>SI</v>
      </c>
      <c r="AC8" s="40" t="str">
        <f>IF(MAX(AA8:AA8)&gt;Pliegos!$B$10,"SI","NO")</f>
        <v>SI</v>
      </c>
      <c r="AD8" s="37" t="str">
        <f>IF(ISERROR(SUM(AB8:AC8)),"ERROR",IF(COUNTIF(AB8:AC8,"NO")&gt;0,"NO HÁBIL","HÁBIL"))</f>
        <v>HÁBIL</v>
      </c>
    </row>
    <row r="9" spans="1:30" ht="45.75" customHeight="1" thickBot="1" x14ac:dyDescent="0.3">
      <c r="A9" s="130">
        <v>4</v>
      </c>
      <c r="B9" s="132" t="s">
        <v>51</v>
      </c>
      <c r="C9" s="127">
        <v>1</v>
      </c>
      <c r="D9" s="46" t="s">
        <v>52</v>
      </c>
      <c r="E9" s="21">
        <v>0.51</v>
      </c>
      <c r="F9" s="22" t="s">
        <v>61</v>
      </c>
      <c r="G9" s="23">
        <f>G8</f>
        <v>42004</v>
      </c>
      <c r="H9" s="48" t="s">
        <v>44</v>
      </c>
      <c r="I9" s="19">
        <v>7043403924</v>
      </c>
      <c r="J9" s="19">
        <v>10187652313</v>
      </c>
      <c r="K9" s="19">
        <v>2044346222</v>
      </c>
      <c r="L9" s="19">
        <v>2051873212</v>
      </c>
      <c r="M9" s="12">
        <f t="shared" ref="M9:M10" si="12">+J9-L9</f>
        <v>8135779101</v>
      </c>
      <c r="N9" s="19">
        <v>816327821</v>
      </c>
      <c r="O9" s="19">
        <v>7604200</v>
      </c>
      <c r="P9" s="13">
        <f t="shared" ref="P9:P10" si="13">+I9/K9</f>
        <v>3.4453087486861116</v>
      </c>
      <c r="Q9" s="14">
        <f t="shared" ref="Q9:Q10" si="14">+L9/J9</f>
        <v>0.20140785619290305</v>
      </c>
      <c r="R9" s="13">
        <f t="shared" si="5"/>
        <v>107.35222916283107</v>
      </c>
      <c r="S9" s="17">
        <f>I9-K9</f>
        <v>4999057702</v>
      </c>
      <c r="T9" s="134">
        <f>+SUM(S9:S10)</f>
        <v>11022188755</v>
      </c>
      <c r="U9" s="30" t="str">
        <f>IF(P9&lt;Pliegos!$B$6,"NO","SI")</f>
        <v>SI</v>
      </c>
      <c r="V9" s="32" t="str">
        <f>IF(Q9&lt;=Pliegos!$B$7,"SI","NO")</f>
        <v>SI</v>
      </c>
      <c r="W9" s="26" t="str">
        <f>IF(O9=0,"SI",IF(R9&lt;Pliegos!$B$8,"NO","SI"))</f>
        <v>SI</v>
      </c>
      <c r="X9" s="136" t="str">
        <f>IF(AND(S9&gt;=VLOOKUP(C9,Pliegos!$A$3:$D$3,4,),Matriz!T9&gt;=VLOOKUP(C9,Pliegos!$A$3:$D$3,3,)),"SI","NO")</f>
        <v>SI</v>
      </c>
      <c r="Y9" s="117" t="str">
        <f>IF(ISERROR(SUM(U9:X10)),"ERROR",IF(COUNTIF(U9:X10,"NO")&gt;0,"NO HÁBIL","HÁBIL"))</f>
        <v>HÁBIL</v>
      </c>
      <c r="Z9" s="14">
        <f t="shared" ref="Z9:Z10" si="15">+N9/J9</f>
        <v>8.0129140249350791E-2</v>
      </c>
      <c r="AA9" s="14">
        <f t="shared" ref="AA9:AA10" si="16">+N9/M9</f>
        <v>0.10033800215884205</v>
      </c>
      <c r="AB9" s="119" t="str">
        <f>IF(MAX(Z9:Z10)&gt;Pliegos!$B$9,"SI","NO")</f>
        <v>SI</v>
      </c>
      <c r="AC9" s="119" t="str">
        <f>IF(MAX(AA9:AA10)&gt;Pliegos!$B$10,"SI","NO")</f>
        <v>SI</v>
      </c>
      <c r="AD9" s="117" t="str">
        <f>IF(ISERROR(SUM(AB9:AC10)),"ERROR",IF(COUNTIF(AB9:AC10,"NO")&gt;0,"NO HÁBIL","HÁBIL"))</f>
        <v>HÁBIL</v>
      </c>
    </row>
    <row r="10" spans="1:30" ht="26.25" thickBot="1" x14ac:dyDescent="0.3">
      <c r="A10" s="131"/>
      <c r="B10" s="133"/>
      <c r="C10" s="129"/>
      <c r="D10" s="44" t="s">
        <v>53</v>
      </c>
      <c r="E10" s="41">
        <v>0.49</v>
      </c>
      <c r="F10" s="25" t="s">
        <v>61</v>
      </c>
      <c r="G10" s="23">
        <f t="shared" ref="G10:G15" si="17">G9</f>
        <v>42004</v>
      </c>
      <c r="H10" s="80" t="s">
        <v>44</v>
      </c>
      <c r="I10" s="20">
        <v>7044204316</v>
      </c>
      <c r="J10" s="20">
        <v>9231898575</v>
      </c>
      <c r="K10" s="20">
        <v>1021073263</v>
      </c>
      <c r="L10" s="20">
        <v>1812571809</v>
      </c>
      <c r="M10" s="18">
        <f t="shared" si="12"/>
        <v>7419326766</v>
      </c>
      <c r="N10" s="20">
        <v>1878376317</v>
      </c>
      <c r="O10" s="20">
        <v>7839366</v>
      </c>
      <c r="P10" s="67">
        <f t="shared" si="13"/>
        <v>6.8988235920540406</v>
      </c>
      <c r="Q10" s="68">
        <f t="shared" si="14"/>
        <v>0.19633792488886828</v>
      </c>
      <c r="R10" s="81">
        <f t="shared" si="5"/>
        <v>239.60819242270358</v>
      </c>
      <c r="S10" s="16">
        <f t="shared" ref="S10" si="18">I10-K10</f>
        <v>6023131053</v>
      </c>
      <c r="T10" s="135"/>
      <c r="U10" s="31" t="str">
        <f>IF(P10&lt;Pliegos!$B$6,"NO","SI")</f>
        <v>SI</v>
      </c>
      <c r="V10" s="33" t="str">
        <f>IF(Q10&lt;=Pliegos!$B$7,"SI","NO")</f>
        <v>SI</v>
      </c>
      <c r="W10" s="27" t="str">
        <f>IF(O10=0,"SI",IF(R10&lt;Pliegos!$B$8,"NO","SI"))</f>
        <v>SI</v>
      </c>
      <c r="X10" s="137"/>
      <c r="Y10" s="118"/>
      <c r="Z10" s="15">
        <f t="shared" si="15"/>
        <v>0.20346587451541623</v>
      </c>
      <c r="AA10" s="15">
        <f t="shared" si="16"/>
        <v>0.25317341805295546</v>
      </c>
      <c r="AB10" s="120"/>
      <c r="AC10" s="120"/>
      <c r="AD10" s="118"/>
    </row>
    <row r="11" spans="1:30" ht="25.5" customHeight="1" thickBot="1" x14ac:dyDescent="0.3">
      <c r="A11" s="130">
        <v>5</v>
      </c>
      <c r="B11" s="132" t="s">
        <v>54</v>
      </c>
      <c r="C11" s="127">
        <v>1</v>
      </c>
      <c r="D11" s="46" t="s">
        <v>55</v>
      </c>
      <c r="E11" s="21">
        <v>0.6</v>
      </c>
      <c r="F11" s="22">
        <v>98</v>
      </c>
      <c r="G11" s="23">
        <f t="shared" si="17"/>
        <v>42004</v>
      </c>
      <c r="H11" s="48" t="s">
        <v>44</v>
      </c>
      <c r="I11" s="19">
        <v>5454686075</v>
      </c>
      <c r="J11" s="19">
        <v>7982009726</v>
      </c>
      <c r="K11" s="19">
        <v>2760529291</v>
      </c>
      <c r="L11" s="19">
        <v>4481236937</v>
      </c>
      <c r="M11" s="12">
        <f t="shared" ref="M11:M14" si="19">+J11-L11</f>
        <v>3500772789</v>
      </c>
      <c r="N11" s="19">
        <v>310374786</v>
      </c>
      <c r="O11" s="19">
        <v>26154078</v>
      </c>
      <c r="P11" s="13">
        <f t="shared" ref="P11:P14" si="20">+I11/K11</f>
        <v>1.9759566010705301</v>
      </c>
      <c r="Q11" s="14">
        <f t="shared" ref="Q11:Q14" si="21">+L11/J11</f>
        <v>0.56141712310912817</v>
      </c>
      <c r="R11" s="13">
        <f t="shared" ref="R11:R14" si="22">+N11/O11</f>
        <v>11.867166030475248</v>
      </c>
      <c r="S11" s="17">
        <f>I11-K11</f>
        <v>2694156784</v>
      </c>
      <c r="T11" s="134">
        <f>+SUM(S11:S12)</f>
        <v>3991021296</v>
      </c>
      <c r="U11" s="30" t="str">
        <f>IF(P11&lt;Pliegos!$B$6,"NO","SI")</f>
        <v>SI</v>
      </c>
      <c r="V11" s="32" t="str">
        <f>IF(Q11&lt;=Pliegos!$B$7,"SI","NO")</f>
        <v>SI</v>
      </c>
      <c r="W11" s="26" t="str">
        <f>IF(O11=0,"SI",IF(R11&lt;Pliegos!$B$8,"NO","SI"))</f>
        <v>SI</v>
      </c>
      <c r="X11" s="136" t="str">
        <f>IF(AND(S11&gt;=VLOOKUP(C11,Pliegos!$A$3:$D$3,4,),Matriz!T11&gt;=VLOOKUP(C11,Pliegos!$A$3:$D$3,3,)),"SI","NO")</f>
        <v>SI</v>
      </c>
      <c r="Y11" s="117" t="str">
        <f>IF(ISERROR(SUM(U11:X12)),"ERROR",IF(COUNTIF(U11:X12,"NO")&gt;0,"NO HÁBIL","HÁBIL"))</f>
        <v>HÁBIL</v>
      </c>
      <c r="Z11" s="14">
        <f t="shared" ref="Z11:Z14" si="23">+N11/J11</f>
        <v>3.8884290630341933E-2</v>
      </c>
      <c r="AA11" s="14">
        <f t="shared" ref="AA11:AA14" si="24">+N11/M11</f>
        <v>8.865893467158116E-2</v>
      </c>
      <c r="AB11" s="119" t="str">
        <f>IF(MAX(Z11:Z12)&gt;Pliegos!$B$9,"SI","NO")</f>
        <v>SI</v>
      </c>
      <c r="AC11" s="119" t="str">
        <f>IF(MAX(AA11:AA12)&gt;Pliegos!$B$10,"SI","NO")</f>
        <v>SI</v>
      </c>
      <c r="AD11" s="117" t="str">
        <f>IF(ISERROR(SUM(AB11:AC12)),"ERROR",IF(COUNTIF(AB11:AC12,"NO")&gt;0,"NO HÁBIL","HÁBIL"))</f>
        <v>HÁBIL</v>
      </c>
    </row>
    <row r="12" spans="1:30" ht="15.75" thickBot="1" x14ac:dyDescent="0.3">
      <c r="A12" s="131"/>
      <c r="B12" s="133"/>
      <c r="C12" s="129"/>
      <c r="D12" s="44" t="s">
        <v>56</v>
      </c>
      <c r="E12" s="41">
        <v>0.4</v>
      </c>
      <c r="F12" s="25">
        <v>41</v>
      </c>
      <c r="G12" s="23">
        <f t="shared" si="17"/>
        <v>42004</v>
      </c>
      <c r="H12" s="80" t="s">
        <v>44</v>
      </c>
      <c r="I12" s="20">
        <v>1728699492</v>
      </c>
      <c r="J12" s="20">
        <v>1908572400</v>
      </c>
      <c r="K12" s="20">
        <v>431834980</v>
      </c>
      <c r="L12" s="20">
        <v>793949172</v>
      </c>
      <c r="M12" s="18">
        <f t="shared" si="19"/>
        <v>1114623228</v>
      </c>
      <c r="N12" s="20">
        <v>108701743</v>
      </c>
      <c r="O12" s="20">
        <v>75096872</v>
      </c>
      <c r="P12" s="67">
        <f t="shared" si="20"/>
        <v>4.0031483600517959</v>
      </c>
      <c r="Q12" s="68">
        <f t="shared" si="21"/>
        <v>0.41599112090272289</v>
      </c>
      <c r="R12" s="81">
        <f t="shared" si="22"/>
        <v>1.4474869605754019</v>
      </c>
      <c r="S12" s="16">
        <f t="shared" ref="S12" si="25">I12-K12</f>
        <v>1296864512</v>
      </c>
      <c r="T12" s="135"/>
      <c r="U12" s="31" t="str">
        <f>IF(P12&lt;Pliegos!$B$6,"NO","SI")</f>
        <v>SI</v>
      </c>
      <c r="V12" s="33" t="str">
        <f>IF(Q12&lt;=Pliegos!$B$7,"SI","NO")</f>
        <v>SI</v>
      </c>
      <c r="W12" s="27" t="str">
        <f>IF(O12=0,"SI",IF(R12&lt;Pliegos!$B$8,"NO","SI"))</f>
        <v>SI</v>
      </c>
      <c r="X12" s="137"/>
      <c r="Y12" s="118"/>
      <c r="Z12" s="15">
        <f t="shared" si="23"/>
        <v>5.6954477074068553E-2</v>
      </c>
      <c r="AA12" s="15">
        <f t="shared" si="24"/>
        <v>9.7523306772501608E-2</v>
      </c>
      <c r="AB12" s="120"/>
      <c r="AC12" s="120"/>
      <c r="AD12" s="118"/>
    </row>
    <row r="13" spans="1:30" ht="27" customHeight="1" thickBot="1" x14ac:dyDescent="0.3">
      <c r="A13" s="121">
        <v>6</v>
      </c>
      <c r="B13" s="127" t="s">
        <v>57</v>
      </c>
      <c r="C13" s="123">
        <v>1</v>
      </c>
      <c r="D13" s="82" t="s">
        <v>58</v>
      </c>
      <c r="E13" s="21">
        <v>0.51</v>
      </c>
      <c r="F13" s="22">
        <v>25</v>
      </c>
      <c r="G13" s="23">
        <f t="shared" si="17"/>
        <v>42004</v>
      </c>
      <c r="H13" s="48" t="s">
        <v>44</v>
      </c>
      <c r="I13" s="19">
        <v>11192968408</v>
      </c>
      <c r="J13" s="19">
        <v>14624926458</v>
      </c>
      <c r="K13" s="19">
        <v>7915952186</v>
      </c>
      <c r="L13" s="19">
        <v>9638321810</v>
      </c>
      <c r="M13" s="12">
        <f t="shared" si="19"/>
        <v>4986604648</v>
      </c>
      <c r="N13" s="19">
        <v>1338655456</v>
      </c>
      <c r="O13" s="19">
        <v>110360256</v>
      </c>
      <c r="P13" s="13">
        <f t="shared" si="20"/>
        <v>1.413976252635238</v>
      </c>
      <c r="Q13" s="14">
        <f t="shared" si="21"/>
        <v>0.65903386507135076</v>
      </c>
      <c r="R13" s="13">
        <f t="shared" si="22"/>
        <v>12.129869071706395</v>
      </c>
      <c r="S13" s="17">
        <f>I13-K13</f>
        <v>3277016222</v>
      </c>
      <c r="T13" s="125">
        <f>+SUM(S13:S14)</f>
        <v>4586308925</v>
      </c>
      <c r="U13" s="30" t="str">
        <f>IF(P13&lt;Pliegos!$B$6,"NO","SI")</f>
        <v>SI</v>
      </c>
      <c r="V13" s="32" t="str">
        <f>IF(Q13&lt;=Pliegos!$B$7,"SI","NO")</f>
        <v>SI</v>
      </c>
      <c r="W13" s="26" t="str">
        <f>IF(O13=0,"SI",IF(R13&lt;Pliegos!$B$8,"NO","SI"))</f>
        <v>SI</v>
      </c>
      <c r="X13" s="136" t="str">
        <f>IF(AND(S13&gt;=VLOOKUP(C13,Pliegos!$A$3:$D$3,4,),Matriz!T13&gt;=VLOOKUP(C13,Pliegos!$A$3:$D$3,3,)),"SI","NO")</f>
        <v>SI</v>
      </c>
      <c r="Y13" s="117" t="str">
        <f>IF(ISERROR(SUM(U13:X14)),"ERROR",IF(COUNTIF(U13:X14,"NO")&gt;0,"NO HÁBIL","HÁBIL"))</f>
        <v>HÁBIL</v>
      </c>
      <c r="Z13" s="14">
        <f t="shared" si="23"/>
        <v>9.153245726358783E-2</v>
      </c>
      <c r="AA13" s="14">
        <f t="shared" si="24"/>
        <v>0.2684502884215817</v>
      </c>
      <c r="AB13" s="119" t="str">
        <f>IF(MAX(Z13:Z14)&gt;Pliegos!$B$9,"SI","NO")</f>
        <v>SI</v>
      </c>
      <c r="AC13" s="111" t="str">
        <f>IF(MAX(AA13:AA14)&gt;Pliegos!$B$10,"SI","NO")</f>
        <v>SI</v>
      </c>
      <c r="AD13" s="114" t="str">
        <f>IF(ISERROR(SUM(AB13:AC14)),"ERROR",IF(COUNTIF(AB13:AC14,"NO")&gt;0,"NO HÁBIL","HÁBIL"))</f>
        <v>HÁBIL</v>
      </c>
    </row>
    <row r="14" spans="1:30" ht="15.75" thickBot="1" x14ac:dyDescent="0.3">
      <c r="A14" s="122"/>
      <c r="B14" s="128"/>
      <c r="C14" s="124"/>
      <c r="D14" s="70" t="s">
        <v>59</v>
      </c>
      <c r="E14" s="24">
        <v>0.25</v>
      </c>
      <c r="F14" s="71">
        <v>39</v>
      </c>
      <c r="G14" s="23">
        <f t="shared" si="17"/>
        <v>42004</v>
      </c>
      <c r="H14" s="80" t="s">
        <v>44</v>
      </c>
      <c r="I14" s="72">
        <v>2283817289</v>
      </c>
      <c r="J14" s="72">
        <f>I14</f>
        <v>2283817289</v>
      </c>
      <c r="K14" s="72">
        <v>974524586</v>
      </c>
      <c r="L14" s="72">
        <v>1336414368</v>
      </c>
      <c r="M14" s="73">
        <f t="shared" si="19"/>
        <v>947402921</v>
      </c>
      <c r="N14" s="72">
        <v>476630806</v>
      </c>
      <c r="O14" s="72">
        <v>59148148</v>
      </c>
      <c r="P14" s="13">
        <f t="shared" si="20"/>
        <v>2.3435194163485167</v>
      </c>
      <c r="Q14" s="14">
        <f t="shared" si="21"/>
        <v>0.58516693714371826</v>
      </c>
      <c r="R14" s="13">
        <f t="shared" si="22"/>
        <v>8.0582540978290655</v>
      </c>
      <c r="S14" s="74">
        <f t="shared" ref="S14" si="26">I14-K14</f>
        <v>1309292703</v>
      </c>
      <c r="T14" s="126"/>
      <c r="U14" s="75" t="str">
        <f>IF(P14&lt;Pliegos!$B$6,"NO","SI")</f>
        <v>SI</v>
      </c>
      <c r="V14" s="76" t="str">
        <f>IF(Q14&lt;=Pliegos!$B$7,"SI","NO")</f>
        <v>SI</v>
      </c>
      <c r="W14" s="77" t="str">
        <f>IF(O14=0,"SI",IF(R14&lt;Pliegos!$B$8,"NO","SI"))</f>
        <v>SI</v>
      </c>
      <c r="X14" s="138"/>
      <c r="Y14" s="139"/>
      <c r="Z14" s="78">
        <f t="shared" si="23"/>
        <v>0.20869918460451764</v>
      </c>
      <c r="AA14" s="78">
        <f t="shared" si="24"/>
        <v>0.50309197431744035</v>
      </c>
      <c r="AB14" s="140"/>
      <c r="AC14" s="112"/>
      <c r="AD14" s="115"/>
    </row>
    <row r="15" spans="1:30" ht="15.75" thickBot="1" x14ac:dyDescent="0.3">
      <c r="A15" s="62"/>
      <c r="B15" s="129"/>
      <c r="C15" s="61"/>
      <c r="D15" s="61" t="s">
        <v>60</v>
      </c>
      <c r="E15" s="63">
        <v>0.24</v>
      </c>
      <c r="F15" s="64">
        <v>65</v>
      </c>
      <c r="G15" s="23">
        <f t="shared" si="17"/>
        <v>42004</v>
      </c>
      <c r="H15" s="51" t="s">
        <v>44</v>
      </c>
      <c r="I15" s="65">
        <v>24422000</v>
      </c>
      <c r="J15" s="65">
        <f>I15</f>
        <v>24422000</v>
      </c>
      <c r="K15" s="65">
        <v>4422000</v>
      </c>
      <c r="L15" s="65">
        <f>K15</f>
        <v>4422000</v>
      </c>
      <c r="M15" s="66">
        <f t="shared" ref="M15" si="27">+J15-L15</f>
        <v>20000000</v>
      </c>
      <c r="N15" s="65">
        <v>0</v>
      </c>
      <c r="O15" s="65">
        <v>0</v>
      </c>
      <c r="P15" s="67">
        <f t="shared" ref="P15" si="28">+I15/K15</f>
        <v>5.522840343735866</v>
      </c>
      <c r="Q15" s="68">
        <f t="shared" ref="Q15" si="29">+L15/J15</f>
        <v>0.18106625174023422</v>
      </c>
      <c r="R15" s="67">
        <v>0</v>
      </c>
      <c r="S15" s="69">
        <f t="shared" ref="S15" si="30">I15-K15</f>
        <v>20000000</v>
      </c>
      <c r="T15" s="61"/>
      <c r="U15" s="31" t="str">
        <f>IF(P15&lt;Pliegos!$B$6,"NO","SI")</f>
        <v>SI</v>
      </c>
      <c r="V15" s="33" t="str">
        <f>IF(Q15&lt;=Pliegos!$B$7,"SI","NO")</f>
        <v>SI</v>
      </c>
      <c r="W15" s="27" t="str">
        <f>IF(O15=0,"SI",IF(R15&lt;Pliegos!$B$8,"NO","SI"))</f>
        <v>SI</v>
      </c>
      <c r="X15" s="137"/>
      <c r="Y15" s="118"/>
      <c r="Z15" s="68">
        <f t="shared" ref="Z15" si="31">+N15/J15</f>
        <v>0</v>
      </c>
      <c r="AA15" s="68">
        <f t="shared" ref="AA15" si="32">+N15/M15</f>
        <v>0</v>
      </c>
      <c r="AB15" s="120"/>
      <c r="AC15" s="113"/>
      <c r="AD15" s="116"/>
    </row>
    <row r="18" spans="2:2" s="57" customFormat="1" x14ac:dyDescent="0.25">
      <c r="B18" s="56"/>
    </row>
    <row r="20" spans="2:2" s="57" customFormat="1" x14ac:dyDescent="0.25">
      <c r="B20" s="56"/>
    </row>
  </sheetData>
  <mergeCells count="65">
    <mergeCell ref="Z2:AD2"/>
    <mergeCell ref="U2:Y2"/>
    <mergeCell ref="AD3:AD4"/>
    <mergeCell ref="X3:X4"/>
    <mergeCell ref="V3:V4"/>
    <mergeCell ref="W3:W4"/>
    <mergeCell ref="AB3:AB4"/>
    <mergeCell ref="AC3:AC4"/>
    <mergeCell ref="R3:R4"/>
    <mergeCell ref="S3:S4"/>
    <mergeCell ref="M3:M4"/>
    <mergeCell ref="D3:D4"/>
    <mergeCell ref="H3:H4"/>
    <mergeCell ref="Q3:Q4"/>
    <mergeCell ref="P3:P4"/>
    <mergeCell ref="I3:J3"/>
    <mergeCell ref="K3:L3"/>
    <mergeCell ref="F3:F4"/>
    <mergeCell ref="N3:O3"/>
    <mergeCell ref="A3:A4"/>
    <mergeCell ref="E3:E4"/>
    <mergeCell ref="T6:T7"/>
    <mergeCell ref="Z3:Z4"/>
    <mergeCell ref="AA3:AA4"/>
    <mergeCell ref="Y3:Y4"/>
    <mergeCell ref="U3:U4"/>
    <mergeCell ref="X6:X7"/>
    <mergeCell ref="Y6:Y7"/>
    <mergeCell ref="A6:A7"/>
    <mergeCell ref="B6:B7"/>
    <mergeCell ref="C6:C7"/>
    <mergeCell ref="B3:B4"/>
    <mergeCell ref="T3:T4"/>
    <mergeCell ref="G3:G4"/>
    <mergeCell ref="C3:C4"/>
    <mergeCell ref="AC9:AC10"/>
    <mergeCell ref="AD9:AD10"/>
    <mergeCell ref="AB6:AB7"/>
    <mergeCell ref="AC6:AC7"/>
    <mergeCell ref="AD6:AD7"/>
    <mergeCell ref="X11:X12"/>
    <mergeCell ref="X13:X15"/>
    <mergeCell ref="Y13:Y15"/>
    <mergeCell ref="AB13:AB15"/>
    <mergeCell ref="A9:A10"/>
    <mergeCell ref="B9:B10"/>
    <mergeCell ref="C9:C10"/>
    <mergeCell ref="T9:T10"/>
    <mergeCell ref="X9:X10"/>
    <mergeCell ref="Y9:Y10"/>
    <mergeCell ref="AB9:AB10"/>
    <mergeCell ref="A13:A14"/>
    <mergeCell ref="C13:C14"/>
    <mergeCell ref="T13:T14"/>
    <mergeCell ref="B13:B15"/>
    <mergeCell ref="A11:A12"/>
    <mergeCell ref="B11:B12"/>
    <mergeCell ref="C11:C12"/>
    <mergeCell ref="T11:T12"/>
    <mergeCell ref="AC13:AC15"/>
    <mergeCell ref="AD13:AD15"/>
    <mergeCell ref="Y11:Y12"/>
    <mergeCell ref="AB11:AB12"/>
    <mergeCell ref="AC11:AC12"/>
    <mergeCell ref="AD11:AD12"/>
  </mergeCells>
  <conditionalFormatting sqref="U6:U15 AB5:AC13">
    <cfRule type="containsText" dxfId="23" priority="1015" operator="containsText" text="NO">
      <formula>NOT(ISERROR(SEARCH("NO",U5)))</formula>
    </cfRule>
    <cfRule type="containsText" dxfId="22" priority="1016" operator="containsText" text="SI">
      <formula>NOT(ISERROR(SEARCH("SI",U5)))</formula>
    </cfRule>
  </conditionalFormatting>
  <conditionalFormatting sqref="W5 V6:W15">
    <cfRule type="containsText" dxfId="21" priority="1013" operator="containsText" text="SI">
      <formula>NOT(ISERROR(SEARCH("SI",V5)))</formula>
    </cfRule>
    <cfRule type="containsText" dxfId="20" priority="1014" operator="containsText" text="NO">
      <formula>NOT(ISERROR(SEARCH("NO",V5)))</formula>
    </cfRule>
  </conditionalFormatting>
  <conditionalFormatting sqref="X5:X13">
    <cfRule type="containsText" dxfId="19" priority="1005" operator="containsText" text="NO">
      <formula>NOT(ISERROR(SEARCH("NO",X5)))</formula>
    </cfRule>
    <cfRule type="cellIs" dxfId="18" priority="1006" operator="equal">
      <formula>"SI"</formula>
    </cfRule>
  </conditionalFormatting>
  <conditionalFormatting sqref="Y5:Y12 AD5:AD13">
    <cfRule type="containsText" dxfId="17" priority="694" operator="containsText" text="ERROR">
      <formula>NOT(ISERROR(SEARCH("ERROR",Y5)))</formula>
    </cfRule>
    <cfRule type="containsText" dxfId="16" priority="1003" operator="containsText" text="NO HÁBIL">
      <formula>NOT(ISERROR(SEARCH("NO HÁBIL",Y5)))</formula>
    </cfRule>
    <cfRule type="containsText" dxfId="15" priority="1004" operator="containsText" text="HÁBIL">
      <formula>NOT(ISERROR(SEARCH("HÁBIL",Y5)))</formula>
    </cfRule>
  </conditionalFormatting>
  <conditionalFormatting sqref="Y13">
    <cfRule type="containsText" dxfId="14" priority="1" operator="containsText" text="ERROR">
      <formula>NOT(ISERROR(SEARCH("ERROR",Y13)))</formula>
    </cfRule>
    <cfRule type="containsText" dxfId="13" priority="2" operator="containsText" text="NO HÁBIL">
      <formula>NOT(ISERROR(SEARCH("NO HÁBIL",Y13)))</formula>
    </cfRule>
    <cfRule type="containsText" dxfId="12" priority="3" operator="containsText" text="HÁBIL">
      <formula>NOT(ISERROR(SEARCH("HÁBIL",Y13)))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"/>
  <sheetViews>
    <sheetView showGridLines="0" tabSelected="1" workbookViewId="0">
      <pane xSplit="5" ySplit="4" topLeftCell="K5" activePane="bottomRight" state="frozen"/>
      <selection pane="topRight" activeCell="F1" sqref="F1"/>
      <selection pane="bottomLeft" activeCell="A4" sqref="A4"/>
      <selection pane="bottomRight" activeCell="N21" sqref="N21"/>
    </sheetView>
  </sheetViews>
  <sheetFormatPr baseColWidth="10" defaultRowHeight="15" outlineLevelCol="1" x14ac:dyDescent="0.25"/>
  <cols>
    <col min="1" max="1" width="4.42578125" bestFit="1" customWidth="1"/>
    <col min="2" max="2" width="34" style="35" customWidth="1"/>
    <col min="3" max="3" width="0.140625" customWidth="1"/>
    <col min="4" max="4" width="46.5703125" customWidth="1"/>
    <col min="5" max="5" width="7.140625" bestFit="1" customWidth="1"/>
    <col min="6" max="6" width="9.5703125" bestFit="1" customWidth="1"/>
    <col min="7" max="7" width="9.42578125" customWidth="1"/>
    <col min="8" max="8" width="8.140625" bestFit="1" customWidth="1"/>
    <col min="9" max="9" width="12.5703125" customWidth="1"/>
    <col min="10" max="11" width="12.5703125" bestFit="1" customWidth="1"/>
    <col min="12" max="13" width="12.28515625" customWidth="1"/>
    <col min="14" max="14" width="12.5703125" bestFit="1" customWidth="1"/>
    <col min="15" max="15" width="11.7109375" customWidth="1"/>
    <col min="16" max="16" width="10.7109375" hidden="1" customWidth="1" outlineLevel="1"/>
    <col min="17" max="17" width="14.5703125" hidden="1" customWidth="1" outlineLevel="1"/>
    <col min="18" max="18" width="10.7109375" hidden="1" customWidth="1" outlineLevel="1"/>
    <col min="19" max="20" width="13.85546875" hidden="1" customWidth="1" outlineLevel="1"/>
    <col min="21" max="21" width="11.7109375" hidden="1" customWidth="1" outlineLevel="1" collapsed="1"/>
    <col min="22" max="22" width="14.85546875" hidden="1" customWidth="1" outlineLevel="1"/>
    <col min="23" max="24" width="11.7109375" hidden="1" customWidth="1" outlineLevel="1"/>
    <col min="25" max="25" width="11.7109375" customWidth="1" collapsed="1"/>
    <col min="26" max="27" width="13" hidden="1" customWidth="1" outlineLevel="1"/>
    <col min="28" max="29" width="8.42578125" hidden="1" customWidth="1" outlineLevel="1"/>
    <col min="30" max="30" width="15.85546875" customWidth="1" collapsed="1"/>
  </cols>
  <sheetData>
    <row r="1" spans="1:30" x14ac:dyDescent="0.25">
      <c r="B1" s="43" t="s">
        <v>45</v>
      </c>
    </row>
    <row r="2" spans="1:30" ht="34.5" customHeight="1" thickBot="1" x14ac:dyDescent="0.3">
      <c r="U2" s="165" t="s">
        <v>41</v>
      </c>
      <c r="V2" s="165"/>
      <c r="W2" s="165"/>
      <c r="X2" s="165"/>
      <c r="Y2" s="165"/>
      <c r="Z2" s="165" t="s">
        <v>42</v>
      </c>
      <c r="AA2" s="165"/>
      <c r="AB2" s="165"/>
      <c r="AC2" s="165"/>
      <c r="AD2" s="165"/>
    </row>
    <row r="3" spans="1:30" ht="15" customHeight="1" x14ac:dyDescent="0.25">
      <c r="A3" s="141" t="s">
        <v>7</v>
      </c>
      <c r="B3" s="153" t="s">
        <v>8</v>
      </c>
      <c r="C3" s="157" t="s">
        <v>21</v>
      </c>
      <c r="D3" s="157" t="s">
        <v>9</v>
      </c>
      <c r="E3" s="143" t="s">
        <v>10</v>
      </c>
      <c r="F3" s="163" t="s">
        <v>22</v>
      </c>
      <c r="G3" s="147" t="s">
        <v>11</v>
      </c>
      <c r="H3" s="147" t="s">
        <v>12</v>
      </c>
      <c r="I3" s="161" t="s">
        <v>13</v>
      </c>
      <c r="J3" s="162"/>
      <c r="K3" s="161" t="s">
        <v>14</v>
      </c>
      <c r="L3" s="161"/>
      <c r="M3" s="157" t="s">
        <v>25</v>
      </c>
      <c r="N3" s="161" t="s">
        <v>40</v>
      </c>
      <c r="O3" s="161"/>
      <c r="P3" s="151" t="s">
        <v>26</v>
      </c>
      <c r="Q3" s="155" t="s">
        <v>27</v>
      </c>
      <c r="R3" s="155" t="s">
        <v>28</v>
      </c>
      <c r="S3" s="155" t="s">
        <v>29</v>
      </c>
      <c r="T3" s="155" t="s">
        <v>30</v>
      </c>
      <c r="U3" s="151" t="s">
        <v>31</v>
      </c>
      <c r="V3" s="155" t="s">
        <v>32</v>
      </c>
      <c r="W3" s="155" t="s">
        <v>33</v>
      </c>
      <c r="X3" s="155" t="s">
        <v>34</v>
      </c>
      <c r="Y3" s="149" t="s">
        <v>15</v>
      </c>
      <c r="Z3" s="145" t="s">
        <v>35</v>
      </c>
      <c r="AA3" s="147" t="s">
        <v>43</v>
      </c>
      <c r="AB3" s="147" t="s">
        <v>36</v>
      </c>
      <c r="AC3" s="147" t="s">
        <v>37</v>
      </c>
      <c r="AD3" s="166" t="s">
        <v>15</v>
      </c>
    </row>
    <row r="4" spans="1:30" ht="39" thickBot="1" x14ac:dyDescent="0.3">
      <c r="A4" s="142"/>
      <c r="B4" s="154"/>
      <c r="C4" s="158"/>
      <c r="D4" s="158"/>
      <c r="E4" s="144"/>
      <c r="F4" s="164"/>
      <c r="G4" s="148"/>
      <c r="H4" s="160"/>
      <c r="I4" s="10" t="s">
        <v>16</v>
      </c>
      <c r="J4" s="10" t="s">
        <v>17</v>
      </c>
      <c r="K4" s="10" t="s">
        <v>18</v>
      </c>
      <c r="L4" s="11" t="s">
        <v>19</v>
      </c>
      <c r="M4" s="159"/>
      <c r="N4" s="10" t="s">
        <v>23</v>
      </c>
      <c r="O4" s="11" t="s">
        <v>24</v>
      </c>
      <c r="P4" s="152"/>
      <c r="Q4" s="156"/>
      <c r="R4" s="156"/>
      <c r="S4" s="156" t="s">
        <v>20</v>
      </c>
      <c r="T4" s="156" t="s">
        <v>20</v>
      </c>
      <c r="U4" s="152"/>
      <c r="V4" s="156"/>
      <c r="W4" s="156"/>
      <c r="X4" s="156"/>
      <c r="Y4" s="150"/>
      <c r="Z4" s="146"/>
      <c r="AA4" s="148"/>
      <c r="AB4" s="148"/>
      <c r="AC4" s="148"/>
      <c r="AD4" s="167"/>
    </row>
    <row r="5" spans="1:30" ht="15.75" thickBot="1" x14ac:dyDescent="0.3">
      <c r="A5" s="87">
        <v>1</v>
      </c>
      <c r="B5" s="98" t="s">
        <v>46</v>
      </c>
      <c r="C5" s="99">
        <v>1</v>
      </c>
      <c r="D5" s="100" t="s">
        <v>46</v>
      </c>
      <c r="E5" s="101">
        <v>1</v>
      </c>
      <c r="F5" s="22">
        <v>24</v>
      </c>
      <c r="G5" s="23">
        <v>42004</v>
      </c>
      <c r="H5" s="89" t="s">
        <v>44</v>
      </c>
      <c r="I5" s="19">
        <v>5129570421</v>
      </c>
      <c r="J5" s="19">
        <f>+I5</f>
        <v>5129570421</v>
      </c>
      <c r="K5" s="19">
        <v>120985819</v>
      </c>
      <c r="L5" s="19">
        <f>+K5</f>
        <v>120985819</v>
      </c>
      <c r="M5" s="12">
        <f>+J5-L5</f>
        <v>5008584602</v>
      </c>
      <c r="N5" s="19">
        <v>70479129</v>
      </c>
      <c r="O5" s="19">
        <v>0</v>
      </c>
      <c r="P5" s="13">
        <f t="shared" ref="P5:P15" si="0">+I5/K5</f>
        <v>42.398112963966462</v>
      </c>
      <c r="Q5" s="14">
        <f t="shared" ref="Q5:Q15" si="1">+L5/J5</f>
        <v>2.3585955366690149E-2</v>
      </c>
      <c r="R5" s="13">
        <v>0</v>
      </c>
      <c r="S5" s="17">
        <f>I5-K5</f>
        <v>5008584602</v>
      </c>
      <c r="T5" s="90">
        <f>+SUM(S5:S5)</f>
        <v>5008584602</v>
      </c>
      <c r="U5" s="30" t="str">
        <f>IF(P5&lt;Pliegos!$B$6,"NO","SI")</f>
        <v>SI</v>
      </c>
      <c r="V5" s="32" t="str">
        <f>IF(Q5&lt;=Pliegos!$B$7,"SI","NO")</f>
        <v>SI</v>
      </c>
      <c r="W5" s="28" t="str">
        <f>IF(O5=0,"SI",IF(R5&lt;Pliegos!$B$8,"NO","SI"))</f>
        <v>SI</v>
      </c>
      <c r="X5" s="91" t="str">
        <f>IF(AND(S5&gt;=VLOOKUP(C5,Pliegos!$A$3:$D$3,4,),Resumen!T5&gt;=VLOOKUP(C5,Pliegos!$A$3:$D$3,3,)),"SI","NO")</f>
        <v>SI</v>
      </c>
      <c r="Y5" s="83" t="str">
        <f>IF(ISERROR(SUM(U5:X5)),"ERROR",IF(COUNTIF(U5:X5,"NO")&gt;0,"NO HÁBIL","HÁBIL"))</f>
        <v>HÁBIL</v>
      </c>
      <c r="Z5" s="14">
        <f t="shared" ref="Z5:Z15" si="2">+N5/J5</f>
        <v>1.3739772186665921E-2</v>
      </c>
      <c r="AA5" s="14">
        <f t="shared" ref="AA5:AA15" si="3">+N5/M5</f>
        <v>1.4071665869806146E-2</v>
      </c>
      <c r="AB5" s="92" t="str">
        <f>IF(MAX(Z5:Z5)&gt;Pliegos!$B$9,"SI","NO")</f>
        <v>SI</v>
      </c>
      <c r="AC5" s="92" t="str">
        <f>IF(MAX(AA5:AA5)&gt;Pliegos!$B$10,"SI","NO")</f>
        <v>SI</v>
      </c>
      <c r="AD5" s="83" t="str">
        <f>IF(ISERROR(SUM(AB5:AC5)),"ERROR",IF(COUNTIF(AB5:AC5,"NO")&gt;0,"NO HÁBIL","HÁBIL"))</f>
        <v>HÁBIL</v>
      </c>
    </row>
    <row r="6" spans="1:30" x14ac:dyDescent="0.25">
      <c r="A6" s="130">
        <v>2</v>
      </c>
      <c r="B6" s="176" t="s">
        <v>47</v>
      </c>
      <c r="C6" s="168">
        <v>1</v>
      </c>
      <c r="D6" s="102" t="s">
        <v>48</v>
      </c>
      <c r="E6" s="101">
        <v>0.7</v>
      </c>
      <c r="F6" s="22">
        <v>77</v>
      </c>
      <c r="G6" s="23">
        <v>42004</v>
      </c>
      <c r="H6" s="85" t="s">
        <v>44</v>
      </c>
      <c r="I6" s="19">
        <v>95747242</v>
      </c>
      <c r="J6" s="19">
        <v>95747242</v>
      </c>
      <c r="K6" s="19">
        <v>19999933</v>
      </c>
      <c r="L6" s="19">
        <f>+K6</f>
        <v>19999933</v>
      </c>
      <c r="M6" s="12">
        <f t="shared" ref="M6:M15" si="4">+J6-L6</f>
        <v>75747309</v>
      </c>
      <c r="N6" s="19">
        <v>14632410</v>
      </c>
      <c r="O6" s="19">
        <v>0</v>
      </c>
      <c r="P6" s="13">
        <f t="shared" si="0"/>
        <v>4.787378137716761</v>
      </c>
      <c r="Q6" s="14">
        <f t="shared" si="1"/>
        <v>0.20888260154793806</v>
      </c>
      <c r="R6" s="13">
        <v>0</v>
      </c>
      <c r="S6" s="17">
        <f>I6-K6</f>
        <v>75747309</v>
      </c>
      <c r="T6" s="134">
        <f>+SUM(S6:S7)</f>
        <v>4255763653</v>
      </c>
      <c r="U6" s="30" t="str">
        <f>IF(P6&lt;Pliegos!$B$6,"NO","SI")</f>
        <v>SI</v>
      </c>
      <c r="V6" s="32" t="str">
        <f>IF(Q6&lt;=Pliegos!$B$7,"SI","NO")</f>
        <v>SI</v>
      </c>
      <c r="W6" s="59" t="str">
        <f>IF(O6=0,"SI",IF(R6&lt;Pliegos!$B$8,"NO","SI"))</f>
        <v>SI</v>
      </c>
      <c r="X6" s="136" t="str">
        <f>IF(AND(S6&gt;=VLOOKUP(C6,Pliegos!$A$3:$D$3,4,),Resumen!T6&gt;=VLOOKUP(C6,Pliegos!$A$3:$D$3,3,)),"SI","NO")</f>
        <v>SI</v>
      </c>
      <c r="Y6" s="117" t="str">
        <f>IF(ISERROR(SUM(U6:X7)),"ERROR",IF(COUNTIF(U6:X7,"NO")&gt;0,"NO HÁBIL","HÁBIL"))</f>
        <v>HÁBIL</v>
      </c>
      <c r="Z6" s="14">
        <f t="shared" si="2"/>
        <v>0.15282330534387611</v>
      </c>
      <c r="AA6" s="14">
        <f t="shared" si="3"/>
        <v>0.1931739911710923</v>
      </c>
      <c r="AB6" s="119" t="str">
        <f>IF(MAX(Z6:Z7)&gt;Pliegos!$B$9,"SI","NO")</f>
        <v>SI</v>
      </c>
      <c r="AC6" s="119" t="str">
        <f>IF(MAX(AA6:AA7)&gt;Pliegos!$B$10,"SI","NO")</f>
        <v>SI</v>
      </c>
      <c r="AD6" s="117" t="str">
        <f>IF(ISERROR(SUM(AB6:AC7)),"ERROR",IF(COUNTIF(AB6:AC7,"NO")&gt;0,"NO HÁBIL","HÁBIL"))</f>
        <v>HÁBIL</v>
      </c>
    </row>
    <row r="7" spans="1:30" ht="24" customHeight="1" thickBot="1" x14ac:dyDescent="0.3">
      <c r="A7" s="131"/>
      <c r="B7" s="177"/>
      <c r="C7" s="170"/>
      <c r="D7" s="103" t="s">
        <v>49</v>
      </c>
      <c r="E7" s="104">
        <v>0.3</v>
      </c>
      <c r="F7" s="25">
        <v>48</v>
      </c>
      <c r="G7" s="79">
        <v>42004</v>
      </c>
      <c r="H7" s="86" t="s">
        <v>44</v>
      </c>
      <c r="I7" s="20">
        <v>8268515546</v>
      </c>
      <c r="J7" s="20">
        <v>9969099205</v>
      </c>
      <c r="K7" s="20">
        <v>4088499202</v>
      </c>
      <c r="L7" s="20">
        <v>5944328510</v>
      </c>
      <c r="M7" s="18">
        <f t="shared" si="4"/>
        <v>4024770695</v>
      </c>
      <c r="N7" s="20">
        <v>1100414292</v>
      </c>
      <c r="O7" s="20">
        <v>253912418</v>
      </c>
      <c r="P7" s="67">
        <f t="shared" si="0"/>
        <v>2.0223840430139335</v>
      </c>
      <c r="Q7" s="68">
        <f t="shared" si="1"/>
        <v>0.59627538935700664</v>
      </c>
      <c r="R7" s="81">
        <f t="shared" ref="R7:R15" si="5">+N7/O7</f>
        <v>4.3338340860508842</v>
      </c>
      <c r="S7" s="69">
        <f t="shared" ref="S7" si="6">I7-K7</f>
        <v>4180016344</v>
      </c>
      <c r="T7" s="135"/>
      <c r="U7" s="31" t="str">
        <f>IF(P7&lt;Pliegos!$B$6,"NO","SI")</f>
        <v>SI</v>
      </c>
      <c r="V7" s="33" t="str">
        <f>IF(Q7&lt;=Pliegos!$B$7,"SI","NO")</f>
        <v>SI</v>
      </c>
      <c r="W7" s="94" t="str">
        <f>IF(O7=0,"SI",IF(R7&lt;Pliegos!$B$8,"NO","SI"))</f>
        <v>SI</v>
      </c>
      <c r="X7" s="137"/>
      <c r="Y7" s="118"/>
      <c r="Z7" s="15">
        <f t="shared" si="2"/>
        <v>0.11038251996209321</v>
      </c>
      <c r="AA7" s="15">
        <f t="shared" si="3"/>
        <v>0.2734104313985023</v>
      </c>
      <c r="AB7" s="120"/>
      <c r="AC7" s="120"/>
      <c r="AD7" s="118"/>
    </row>
    <row r="8" spans="1:30" ht="15.75" thickBot="1" x14ac:dyDescent="0.3">
      <c r="A8" s="45">
        <v>3</v>
      </c>
      <c r="B8" s="98" t="s">
        <v>50</v>
      </c>
      <c r="C8" s="99">
        <v>1</v>
      </c>
      <c r="D8" s="100" t="s">
        <v>50</v>
      </c>
      <c r="E8" s="101">
        <v>1</v>
      </c>
      <c r="F8" s="22">
        <v>18</v>
      </c>
      <c r="G8" s="23">
        <v>42004</v>
      </c>
      <c r="H8" s="88" t="s">
        <v>44</v>
      </c>
      <c r="I8" s="19">
        <v>1868743500</v>
      </c>
      <c r="J8" s="19">
        <v>1912027909</v>
      </c>
      <c r="K8" s="19">
        <v>691488804</v>
      </c>
      <c r="L8" s="19">
        <v>890821844</v>
      </c>
      <c r="M8" s="12">
        <f t="shared" si="4"/>
        <v>1021206065</v>
      </c>
      <c r="N8" s="19">
        <v>103510606</v>
      </c>
      <c r="O8" s="93">
        <v>0</v>
      </c>
      <c r="P8" s="13">
        <f t="shared" si="0"/>
        <v>2.702492779622792</v>
      </c>
      <c r="Q8" s="14">
        <f t="shared" si="1"/>
        <v>0.46590420558552631</v>
      </c>
      <c r="R8" s="13">
        <v>0</v>
      </c>
      <c r="S8" s="17">
        <f>I8-K8</f>
        <v>1177254696</v>
      </c>
      <c r="T8" s="90">
        <f>+SUM(S8:S8)</f>
        <v>1177254696</v>
      </c>
      <c r="U8" s="30" t="str">
        <f>IF(P8&lt;Pliegos!$B$6,"NO","SI")</f>
        <v>SI</v>
      </c>
      <c r="V8" s="32" t="str">
        <f>IF(Q8&lt;=Pliegos!$B$7,"SI","NO")</f>
        <v>SI</v>
      </c>
      <c r="W8" s="58" t="str">
        <f>IF(O8=0,"SI",IF(R8&lt;Pliegos!$B$8,"NO","SI"))</f>
        <v>SI</v>
      </c>
      <c r="X8" s="91" t="str">
        <f>IF(AND(S8&gt;=VLOOKUP(C8,Pliegos!$A$3:$D$3,4,),Resumen!T8&gt;=VLOOKUP(C8,Pliegos!$A$3:$D$3,3,)),"SI","NO")</f>
        <v>SI</v>
      </c>
      <c r="Y8" s="83" t="str">
        <f>IF(ISERROR(SUM(U8:X8)),"ERROR",IF(COUNTIF(U8:X8,"NO")&gt;0,"NO HÁBIL","HÁBIL"))</f>
        <v>HÁBIL</v>
      </c>
      <c r="Z8" s="14">
        <f t="shared" si="2"/>
        <v>5.4136556016139196E-2</v>
      </c>
      <c r="AA8" s="14">
        <f t="shared" si="3"/>
        <v>0.10136113517892199</v>
      </c>
      <c r="AB8" s="84" t="str">
        <f>IF(MAX(Z8:Z8)&gt;Pliegos!$B$9,"SI","NO")</f>
        <v>SI</v>
      </c>
      <c r="AC8" s="84" t="str">
        <f>IF(MAX(AA8:AA8)&gt;Pliegos!$B$10,"SI","NO")</f>
        <v>SI</v>
      </c>
      <c r="AD8" s="83" t="str">
        <f>IF(ISERROR(SUM(AB8:AC8)),"ERROR",IF(COUNTIF(AB8:AC8,"NO")&gt;0,"NO HÁBIL","HÁBIL"))</f>
        <v>HÁBIL</v>
      </c>
    </row>
    <row r="9" spans="1:30" ht="45.75" customHeight="1" thickBot="1" x14ac:dyDescent="0.3">
      <c r="A9" s="130">
        <v>4</v>
      </c>
      <c r="B9" s="176" t="s">
        <v>51</v>
      </c>
      <c r="C9" s="168">
        <v>1</v>
      </c>
      <c r="D9" s="105" t="s">
        <v>52</v>
      </c>
      <c r="E9" s="101">
        <v>0.51</v>
      </c>
      <c r="F9" s="22" t="s">
        <v>61</v>
      </c>
      <c r="G9" s="23">
        <f>G8</f>
        <v>42004</v>
      </c>
      <c r="H9" s="88" t="s">
        <v>44</v>
      </c>
      <c r="I9" s="19">
        <v>7043403924</v>
      </c>
      <c r="J9" s="19">
        <v>10187652313</v>
      </c>
      <c r="K9" s="19">
        <v>2044346222</v>
      </c>
      <c r="L9" s="19">
        <v>2051873212</v>
      </c>
      <c r="M9" s="12">
        <f t="shared" si="4"/>
        <v>8135779101</v>
      </c>
      <c r="N9" s="19">
        <v>816327821</v>
      </c>
      <c r="O9" s="19">
        <v>7604200</v>
      </c>
      <c r="P9" s="13">
        <f t="shared" si="0"/>
        <v>3.4453087486861116</v>
      </c>
      <c r="Q9" s="14">
        <f t="shared" si="1"/>
        <v>0.20140785619290305</v>
      </c>
      <c r="R9" s="13">
        <f t="shared" si="5"/>
        <v>107.35222916283107</v>
      </c>
      <c r="S9" s="17">
        <f>I9-K9</f>
        <v>4999057702</v>
      </c>
      <c r="T9" s="134">
        <f>+SUM(S9:S10)</f>
        <v>11022188755</v>
      </c>
      <c r="U9" s="30" t="str">
        <f>IF(P9&lt;Pliegos!$B$6,"NO","SI")</f>
        <v>SI</v>
      </c>
      <c r="V9" s="32" t="str">
        <f>IF(Q9&lt;=Pliegos!$B$7,"SI","NO")</f>
        <v>SI</v>
      </c>
      <c r="W9" s="26" t="str">
        <f>IF(O9=0,"SI",IF(R9&lt;Pliegos!$B$8,"NO","SI"))</f>
        <v>SI</v>
      </c>
      <c r="X9" s="136" t="str">
        <f>IF(AND(S9&gt;=VLOOKUP(C9,Pliegos!$A$3:$D$3,4,),Resumen!T9&gt;=VLOOKUP(C9,Pliegos!$A$3:$D$3,3,)),"SI","NO")</f>
        <v>SI</v>
      </c>
      <c r="Y9" s="117" t="str">
        <f>IF(ISERROR(SUM(U9:X10)),"ERROR",IF(COUNTIF(U9:X10,"NO")&gt;0,"NO HÁBIL","HÁBIL"))</f>
        <v>HÁBIL</v>
      </c>
      <c r="Z9" s="14">
        <f t="shared" si="2"/>
        <v>8.0129140249350791E-2</v>
      </c>
      <c r="AA9" s="14">
        <f t="shared" si="3"/>
        <v>0.10033800215884205</v>
      </c>
      <c r="AB9" s="119" t="str">
        <f>IF(MAX(Z9:Z10)&gt;Pliegos!$B$9,"SI","NO")</f>
        <v>SI</v>
      </c>
      <c r="AC9" s="119" t="str">
        <f>IF(MAX(AA9:AA10)&gt;Pliegos!$B$10,"SI","NO")</f>
        <v>SI</v>
      </c>
      <c r="AD9" s="117" t="str">
        <f>IF(ISERROR(SUM(AB9:AC10)),"ERROR",IF(COUNTIF(AB9:AC10,"NO")&gt;0,"NO HÁBIL","HÁBIL"))</f>
        <v>HÁBIL</v>
      </c>
    </row>
    <row r="10" spans="1:30" ht="26.25" thickBot="1" x14ac:dyDescent="0.3">
      <c r="A10" s="131"/>
      <c r="B10" s="177"/>
      <c r="C10" s="170"/>
      <c r="D10" s="103" t="s">
        <v>53</v>
      </c>
      <c r="E10" s="104">
        <v>0.49</v>
      </c>
      <c r="F10" s="25" t="s">
        <v>61</v>
      </c>
      <c r="G10" s="23">
        <f t="shared" ref="G10:G15" si="7">G9</f>
        <v>42004</v>
      </c>
      <c r="H10" s="85" t="s">
        <v>44</v>
      </c>
      <c r="I10" s="20">
        <v>7044204316</v>
      </c>
      <c r="J10" s="20">
        <v>9231898575</v>
      </c>
      <c r="K10" s="20">
        <v>1021073263</v>
      </c>
      <c r="L10" s="20">
        <v>1812571809</v>
      </c>
      <c r="M10" s="18">
        <f t="shared" si="4"/>
        <v>7419326766</v>
      </c>
      <c r="N10" s="20">
        <v>1878376317</v>
      </c>
      <c r="O10" s="20">
        <v>7839366</v>
      </c>
      <c r="P10" s="67">
        <f t="shared" si="0"/>
        <v>6.8988235920540406</v>
      </c>
      <c r="Q10" s="68">
        <f t="shared" si="1"/>
        <v>0.19633792488886828</v>
      </c>
      <c r="R10" s="81">
        <f t="shared" si="5"/>
        <v>239.60819242270358</v>
      </c>
      <c r="S10" s="16">
        <f t="shared" ref="S10" si="8">I10-K10</f>
        <v>6023131053</v>
      </c>
      <c r="T10" s="135"/>
      <c r="U10" s="31" t="str">
        <f>IF(P10&lt;Pliegos!$B$6,"NO","SI")</f>
        <v>SI</v>
      </c>
      <c r="V10" s="33" t="str">
        <f>IF(Q10&lt;=Pliegos!$B$7,"SI","NO")</f>
        <v>SI</v>
      </c>
      <c r="W10" s="27" t="str">
        <f>IF(O10=0,"SI",IF(R10&lt;Pliegos!$B$8,"NO","SI"))</f>
        <v>SI</v>
      </c>
      <c r="X10" s="137"/>
      <c r="Y10" s="118"/>
      <c r="Z10" s="15">
        <f t="shared" si="2"/>
        <v>0.20346587451541623</v>
      </c>
      <c r="AA10" s="15">
        <f t="shared" si="3"/>
        <v>0.25317341805295546</v>
      </c>
      <c r="AB10" s="120"/>
      <c r="AC10" s="120"/>
      <c r="AD10" s="118"/>
    </row>
    <row r="11" spans="1:30" ht="25.5" customHeight="1" thickBot="1" x14ac:dyDescent="0.3">
      <c r="A11" s="130">
        <v>5</v>
      </c>
      <c r="B11" s="176" t="s">
        <v>54</v>
      </c>
      <c r="C11" s="168">
        <v>1</v>
      </c>
      <c r="D11" s="105" t="s">
        <v>55</v>
      </c>
      <c r="E11" s="101">
        <v>0.6</v>
      </c>
      <c r="F11" s="22">
        <v>98</v>
      </c>
      <c r="G11" s="23">
        <f t="shared" si="7"/>
        <v>42004</v>
      </c>
      <c r="H11" s="88" t="s">
        <v>44</v>
      </c>
      <c r="I11" s="19">
        <v>5454686075</v>
      </c>
      <c r="J11" s="19">
        <v>7982009726</v>
      </c>
      <c r="K11" s="19">
        <v>2760529291</v>
      </c>
      <c r="L11" s="19">
        <v>4481236937</v>
      </c>
      <c r="M11" s="12">
        <f t="shared" si="4"/>
        <v>3500772789</v>
      </c>
      <c r="N11" s="19">
        <v>310374786</v>
      </c>
      <c r="O11" s="19">
        <v>26154078</v>
      </c>
      <c r="P11" s="13">
        <f t="shared" si="0"/>
        <v>1.9759566010705301</v>
      </c>
      <c r="Q11" s="14">
        <f t="shared" si="1"/>
        <v>0.56141712310912817</v>
      </c>
      <c r="R11" s="13">
        <f t="shared" si="5"/>
        <v>11.867166030475248</v>
      </c>
      <c r="S11" s="17">
        <f>I11-K11</f>
        <v>2694156784</v>
      </c>
      <c r="T11" s="134">
        <f>+SUM(S11:S12)</f>
        <v>3991021296</v>
      </c>
      <c r="U11" s="30" t="str">
        <f>IF(P11&lt;Pliegos!$B$6,"NO","SI")</f>
        <v>SI</v>
      </c>
      <c r="V11" s="32" t="str">
        <f>IF(Q11&lt;=Pliegos!$B$7,"SI","NO")</f>
        <v>SI</v>
      </c>
      <c r="W11" s="26" t="str">
        <f>IF(O11=0,"SI",IF(R11&lt;Pliegos!$B$8,"NO","SI"))</f>
        <v>SI</v>
      </c>
      <c r="X11" s="136" t="str">
        <f>IF(AND(S11&gt;=VLOOKUP(C11,Pliegos!$A$3:$D$3,4,),Resumen!T11&gt;=VLOOKUP(C11,Pliegos!$A$3:$D$3,3,)),"SI","NO")</f>
        <v>SI</v>
      </c>
      <c r="Y11" s="117" t="str">
        <f>IF(ISERROR(SUM(U11:X12)),"ERROR",IF(COUNTIF(U11:X12,"NO")&gt;0,"NO HÁBIL","HÁBIL"))</f>
        <v>HÁBIL</v>
      </c>
      <c r="Z11" s="14">
        <f t="shared" si="2"/>
        <v>3.8884290630341933E-2</v>
      </c>
      <c r="AA11" s="14">
        <f t="shared" si="3"/>
        <v>8.865893467158116E-2</v>
      </c>
      <c r="AB11" s="119" t="str">
        <f>IF(MAX(Z11:Z12)&gt;Pliegos!$B$9,"SI","NO")</f>
        <v>SI</v>
      </c>
      <c r="AC11" s="119" t="str">
        <f>IF(MAX(AA11:AA12)&gt;Pliegos!$B$10,"SI","NO")</f>
        <v>SI</v>
      </c>
      <c r="AD11" s="117" t="str">
        <f>IF(ISERROR(SUM(AB11:AC12)),"ERROR",IF(COUNTIF(AB11:AC12,"NO")&gt;0,"NO HÁBIL","HÁBIL"))</f>
        <v>HÁBIL</v>
      </c>
    </row>
    <row r="12" spans="1:30" ht="15.75" thickBot="1" x14ac:dyDescent="0.3">
      <c r="A12" s="131"/>
      <c r="B12" s="177"/>
      <c r="C12" s="170"/>
      <c r="D12" s="103" t="s">
        <v>56</v>
      </c>
      <c r="E12" s="104">
        <v>0.4</v>
      </c>
      <c r="F12" s="25">
        <v>41</v>
      </c>
      <c r="G12" s="23">
        <f t="shared" si="7"/>
        <v>42004</v>
      </c>
      <c r="H12" s="85" t="s">
        <v>44</v>
      </c>
      <c r="I12" s="20">
        <v>1728699492</v>
      </c>
      <c r="J12" s="20">
        <v>1908572400</v>
      </c>
      <c r="K12" s="20">
        <v>431834980</v>
      </c>
      <c r="L12" s="20">
        <v>793949172</v>
      </c>
      <c r="M12" s="18">
        <f t="shared" si="4"/>
        <v>1114623228</v>
      </c>
      <c r="N12" s="20">
        <v>108701743</v>
      </c>
      <c r="O12" s="20">
        <v>75096872</v>
      </c>
      <c r="P12" s="67">
        <f t="shared" si="0"/>
        <v>4.0031483600517959</v>
      </c>
      <c r="Q12" s="68">
        <f t="shared" si="1"/>
        <v>0.41599112090272289</v>
      </c>
      <c r="R12" s="81">
        <f t="shared" si="5"/>
        <v>1.4474869605754019</v>
      </c>
      <c r="S12" s="16">
        <f t="shared" ref="S12" si="9">I12-K12</f>
        <v>1296864512</v>
      </c>
      <c r="T12" s="135"/>
      <c r="U12" s="31" t="str">
        <f>IF(P12&lt;Pliegos!$B$6,"NO","SI")</f>
        <v>SI</v>
      </c>
      <c r="V12" s="33" t="str">
        <f>IF(Q12&lt;=Pliegos!$B$7,"SI","NO")</f>
        <v>SI</v>
      </c>
      <c r="W12" s="27" t="str">
        <f>IF(O12=0,"SI",IF(R12&lt;Pliegos!$B$8,"NO","SI"))</f>
        <v>SI</v>
      </c>
      <c r="X12" s="137"/>
      <c r="Y12" s="118"/>
      <c r="Z12" s="15">
        <f t="shared" si="2"/>
        <v>5.6954477074068553E-2</v>
      </c>
      <c r="AA12" s="15">
        <f t="shared" si="3"/>
        <v>9.7523306772501608E-2</v>
      </c>
      <c r="AB12" s="120"/>
      <c r="AC12" s="120"/>
      <c r="AD12" s="118"/>
    </row>
    <row r="13" spans="1:30" ht="27" customHeight="1" thickBot="1" x14ac:dyDescent="0.3">
      <c r="A13" s="121">
        <v>6</v>
      </c>
      <c r="B13" s="168" t="s">
        <v>57</v>
      </c>
      <c r="C13" s="171">
        <v>1</v>
      </c>
      <c r="D13" s="106" t="s">
        <v>58</v>
      </c>
      <c r="E13" s="101">
        <v>0.51</v>
      </c>
      <c r="F13" s="22">
        <v>25</v>
      </c>
      <c r="G13" s="23">
        <f t="shared" si="7"/>
        <v>42004</v>
      </c>
      <c r="H13" s="88" t="s">
        <v>44</v>
      </c>
      <c r="I13" s="19">
        <v>11192968408</v>
      </c>
      <c r="J13" s="19">
        <v>14624926458</v>
      </c>
      <c r="K13" s="19">
        <v>7915952186</v>
      </c>
      <c r="L13" s="19">
        <v>9638321810</v>
      </c>
      <c r="M13" s="12">
        <f t="shared" si="4"/>
        <v>4986604648</v>
      </c>
      <c r="N13" s="19">
        <v>1338655456</v>
      </c>
      <c r="O13" s="19">
        <v>110360256</v>
      </c>
      <c r="P13" s="13">
        <f t="shared" si="0"/>
        <v>1.413976252635238</v>
      </c>
      <c r="Q13" s="14">
        <f t="shared" si="1"/>
        <v>0.65903386507135076</v>
      </c>
      <c r="R13" s="13">
        <f t="shared" si="5"/>
        <v>12.129869071706395</v>
      </c>
      <c r="S13" s="17">
        <f>I13-K13</f>
        <v>3277016222</v>
      </c>
      <c r="T13" s="125">
        <f>+SUM(S13:S14)</f>
        <v>4586308925</v>
      </c>
      <c r="U13" s="30" t="str">
        <f>IF(P13&lt;Pliegos!$B$6,"NO","SI")</f>
        <v>SI</v>
      </c>
      <c r="V13" s="32" t="str">
        <f>IF(Q13&lt;=Pliegos!$B$7,"SI","NO")</f>
        <v>SI</v>
      </c>
      <c r="W13" s="26" t="str">
        <f>IF(O13=0,"SI",IF(R13&lt;Pliegos!$B$8,"NO","SI"))</f>
        <v>SI</v>
      </c>
      <c r="X13" s="136" t="str">
        <f>IF(AND(S13&gt;=VLOOKUP(C13,Pliegos!$A$3:$D$3,4,),Resumen!T13&gt;=VLOOKUP(C13,Pliegos!$A$3:$D$3,3,)),"SI","NO")</f>
        <v>SI</v>
      </c>
      <c r="Y13" s="173" t="str">
        <f>IF(ISERROR(SUM(U13:X14)),"ERROR",IF(COUNTIF(U13:X14,"NO")&gt;0,"NO HÁBIL","HÁBIL"))</f>
        <v>HÁBIL</v>
      </c>
      <c r="Z13" s="95">
        <f t="shared" si="2"/>
        <v>9.153245726358783E-2</v>
      </c>
      <c r="AA13" s="14">
        <f t="shared" si="3"/>
        <v>0.2684502884215817</v>
      </c>
      <c r="AB13" s="119" t="str">
        <f>IF(MAX(Z13:Z14)&gt;Pliegos!$B$9,"SI","NO")</f>
        <v>SI</v>
      </c>
      <c r="AC13" s="111" t="str">
        <f>IF(MAX(AA13:AA14)&gt;Pliegos!$B$10,"SI","NO")</f>
        <v>SI</v>
      </c>
      <c r="AD13" s="114" t="str">
        <f>IF(ISERROR(SUM(AB13:AC14)),"ERROR",IF(COUNTIF(AB13:AC14,"NO")&gt;0,"NO HÁBIL","HÁBIL"))</f>
        <v>HÁBIL</v>
      </c>
    </row>
    <row r="14" spans="1:30" ht="15.75" thickBot="1" x14ac:dyDescent="0.3">
      <c r="A14" s="122"/>
      <c r="B14" s="169"/>
      <c r="C14" s="172"/>
      <c r="D14" s="107" t="s">
        <v>59</v>
      </c>
      <c r="E14" s="108">
        <v>0.25</v>
      </c>
      <c r="F14" s="71">
        <v>39</v>
      </c>
      <c r="G14" s="23">
        <f t="shared" si="7"/>
        <v>42004</v>
      </c>
      <c r="H14" s="85" t="s">
        <v>44</v>
      </c>
      <c r="I14" s="72">
        <v>2283817289</v>
      </c>
      <c r="J14" s="72">
        <f>I14</f>
        <v>2283817289</v>
      </c>
      <c r="K14" s="72">
        <v>974524586</v>
      </c>
      <c r="L14" s="72">
        <v>1336414368</v>
      </c>
      <c r="M14" s="73">
        <f t="shared" si="4"/>
        <v>947402921</v>
      </c>
      <c r="N14" s="72">
        <v>476630806</v>
      </c>
      <c r="O14" s="72">
        <v>59148148</v>
      </c>
      <c r="P14" s="13">
        <f t="shared" si="0"/>
        <v>2.3435194163485167</v>
      </c>
      <c r="Q14" s="14">
        <f t="shared" si="1"/>
        <v>0.58516693714371826</v>
      </c>
      <c r="R14" s="13">
        <f t="shared" si="5"/>
        <v>8.0582540978290655</v>
      </c>
      <c r="S14" s="74">
        <f t="shared" ref="S14:S15" si="10">I14-K14</f>
        <v>1309292703</v>
      </c>
      <c r="T14" s="126"/>
      <c r="U14" s="75" t="str">
        <f>IF(P14&lt;Pliegos!$B$6,"NO","SI")</f>
        <v>SI</v>
      </c>
      <c r="V14" s="76" t="str">
        <f>IF(Q14&lt;=Pliegos!$B$7,"SI","NO")</f>
        <v>SI</v>
      </c>
      <c r="W14" s="77" t="str">
        <f>IF(O14=0,"SI",IF(R14&lt;Pliegos!$B$8,"NO","SI"))</f>
        <v>SI</v>
      </c>
      <c r="X14" s="138"/>
      <c r="Y14" s="174"/>
      <c r="Z14" s="96">
        <f t="shared" si="2"/>
        <v>0.20869918460451764</v>
      </c>
      <c r="AA14" s="78">
        <f t="shared" si="3"/>
        <v>0.50309197431744035</v>
      </c>
      <c r="AB14" s="140"/>
      <c r="AC14" s="112"/>
      <c r="AD14" s="115"/>
    </row>
    <row r="15" spans="1:30" ht="15.75" thickBot="1" x14ac:dyDescent="0.3">
      <c r="A15" s="62"/>
      <c r="B15" s="170"/>
      <c r="C15" s="109"/>
      <c r="D15" s="109" t="s">
        <v>60</v>
      </c>
      <c r="E15" s="110">
        <v>0.24</v>
      </c>
      <c r="F15" s="64">
        <v>65</v>
      </c>
      <c r="G15" s="23">
        <f t="shared" si="7"/>
        <v>42004</v>
      </c>
      <c r="H15" s="86" t="s">
        <v>44</v>
      </c>
      <c r="I15" s="65">
        <v>24422000</v>
      </c>
      <c r="J15" s="65">
        <f>I15</f>
        <v>24422000</v>
      </c>
      <c r="K15" s="65">
        <v>4422000</v>
      </c>
      <c r="L15" s="65">
        <f>K15</f>
        <v>4422000</v>
      </c>
      <c r="M15" s="66">
        <f t="shared" si="4"/>
        <v>20000000</v>
      </c>
      <c r="N15" s="65">
        <v>0</v>
      </c>
      <c r="O15" s="65">
        <v>0</v>
      </c>
      <c r="P15" s="67">
        <f t="shared" si="0"/>
        <v>5.522840343735866</v>
      </c>
      <c r="Q15" s="68">
        <f t="shared" si="1"/>
        <v>0.18106625174023422</v>
      </c>
      <c r="R15" s="67" t="e">
        <f t="shared" si="5"/>
        <v>#DIV/0!</v>
      </c>
      <c r="S15" s="69">
        <f t="shared" si="10"/>
        <v>20000000</v>
      </c>
      <c r="T15" s="61"/>
      <c r="U15" s="31" t="str">
        <f>IF(P15&lt;Pliegos!$B$6,"NO","SI")</f>
        <v>SI</v>
      </c>
      <c r="V15" s="33" t="str">
        <f>IF(Q15&lt;=Pliegos!$B$7,"SI","NO")</f>
        <v>SI</v>
      </c>
      <c r="W15" s="27" t="str">
        <f>IF(O15=0,"SI",IF(R15&lt;Pliegos!$B$8,"NO","SI"))</f>
        <v>SI</v>
      </c>
      <c r="X15" s="137"/>
      <c r="Y15" s="175"/>
      <c r="Z15" s="97">
        <f t="shared" si="2"/>
        <v>0</v>
      </c>
      <c r="AA15" s="68">
        <f t="shared" si="3"/>
        <v>0</v>
      </c>
      <c r="AB15" s="120"/>
      <c r="AC15" s="113"/>
      <c r="AD15" s="116"/>
    </row>
    <row r="18" spans="2:2" s="57" customFormat="1" x14ac:dyDescent="0.25">
      <c r="B18" s="56"/>
    </row>
    <row r="20" spans="2:2" s="57" customFormat="1" x14ac:dyDescent="0.25">
      <c r="B20" s="56"/>
    </row>
  </sheetData>
  <mergeCells count="65">
    <mergeCell ref="U2:Y2"/>
    <mergeCell ref="Z2:AD2"/>
    <mergeCell ref="A3:A4"/>
    <mergeCell ref="B3:B4"/>
    <mergeCell ref="C3:C4"/>
    <mergeCell ref="D3:D4"/>
    <mergeCell ref="E3:E4"/>
    <mergeCell ref="F3:F4"/>
    <mergeCell ref="G3:G4"/>
    <mergeCell ref="H3:H4"/>
    <mergeCell ref="W3:W4"/>
    <mergeCell ref="I3:J3"/>
    <mergeCell ref="K3:L3"/>
    <mergeCell ref="M3:M4"/>
    <mergeCell ref="N3:O3"/>
    <mergeCell ref="P3:P4"/>
    <mergeCell ref="Q3:Q4"/>
    <mergeCell ref="R3:R4"/>
    <mergeCell ref="S3:S4"/>
    <mergeCell ref="T3:T4"/>
    <mergeCell ref="U3:U4"/>
    <mergeCell ref="V3:V4"/>
    <mergeCell ref="AD3:AD4"/>
    <mergeCell ref="A6:A7"/>
    <mergeCell ref="B6:B7"/>
    <mergeCell ref="C6:C7"/>
    <mergeCell ref="T6:T7"/>
    <mergeCell ref="X6:X7"/>
    <mergeCell ref="Y6:Y7"/>
    <mergeCell ref="AB6:AB7"/>
    <mergeCell ref="AC6:AC7"/>
    <mergeCell ref="AD6:AD7"/>
    <mergeCell ref="X3:X4"/>
    <mergeCell ref="Y3:Y4"/>
    <mergeCell ref="Z3:Z4"/>
    <mergeCell ref="AA3:AA4"/>
    <mergeCell ref="AB3:AB4"/>
    <mergeCell ref="AC3:AC4"/>
    <mergeCell ref="AB9:AB10"/>
    <mergeCell ref="AC9:AC10"/>
    <mergeCell ref="AD9:AD10"/>
    <mergeCell ref="A11:A12"/>
    <mergeCell ref="B11:B12"/>
    <mergeCell ref="C11:C12"/>
    <mergeCell ref="T11:T12"/>
    <mergeCell ref="X11:X12"/>
    <mergeCell ref="Y11:Y12"/>
    <mergeCell ref="AB11:AB12"/>
    <mergeCell ref="A9:A10"/>
    <mergeCell ref="B9:B10"/>
    <mergeCell ref="C9:C10"/>
    <mergeCell ref="T9:T10"/>
    <mergeCell ref="X9:X10"/>
    <mergeCell ref="Y9:Y10"/>
    <mergeCell ref="AD13:AD15"/>
    <mergeCell ref="AC11:AC12"/>
    <mergeCell ref="AD11:AD12"/>
    <mergeCell ref="A13:A14"/>
    <mergeCell ref="B13:B15"/>
    <mergeCell ref="C13:C14"/>
    <mergeCell ref="T13:T14"/>
    <mergeCell ref="X13:X15"/>
    <mergeCell ref="Y13:Y15"/>
    <mergeCell ref="AB13:AB15"/>
    <mergeCell ref="AC13:AC15"/>
  </mergeCells>
  <conditionalFormatting sqref="U6:U15 AB5:AC13">
    <cfRule type="containsText" dxfId="11" priority="11" operator="containsText" text="NO">
      <formula>NOT(ISERROR(SEARCH("NO",U5)))</formula>
    </cfRule>
    <cfRule type="containsText" dxfId="10" priority="12" operator="containsText" text="SI">
      <formula>NOT(ISERROR(SEARCH("SI",U5)))</formula>
    </cfRule>
  </conditionalFormatting>
  <conditionalFormatting sqref="W5 V6:W15">
    <cfRule type="containsText" dxfId="9" priority="9" operator="containsText" text="SI">
      <formula>NOT(ISERROR(SEARCH("SI",V5)))</formula>
    </cfRule>
    <cfRule type="containsText" dxfId="8" priority="10" operator="containsText" text="NO">
      <formula>NOT(ISERROR(SEARCH("NO",V5)))</formula>
    </cfRule>
  </conditionalFormatting>
  <conditionalFormatting sqref="X5:X13">
    <cfRule type="containsText" dxfId="7" priority="7" operator="containsText" text="NO">
      <formula>NOT(ISERROR(SEARCH("NO",X5)))</formula>
    </cfRule>
    <cfRule type="cellIs" dxfId="6" priority="8" operator="equal">
      <formula>"SI"</formula>
    </cfRule>
  </conditionalFormatting>
  <conditionalFormatting sqref="Y5:Y12 AD5:AD13">
    <cfRule type="containsText" dxfId="5" priority="4" operator="containsText" text="ERROR">
      <formula>NOT(ISERROR(SEARCH("ERROR",Y5)))</formula>
    </cfRule>
    <cfRule type="containsText" dxfId="4" priority="5" operator="containsText" text="NO HÁBIL">
      <formula>NOT(ISERROR(SEARCH("NO HÁBIL",Y5)))</formula>
    </cfRule>
    <cfRule type="containsText" dxfId="3" priority="6" operator="containsText" text="HÁBIL">
      <formula>NOT(ISERROR(SEARCH("HÁBIL",Y5)))</formula>
    </cfRule>
  </conditionalFormatting>
  <conditionalFormatting sqref="Y13">
    <cfRule type="containsText" dxfId="2" priority="1" operator="containsText" text="ERROR">
      <formula>NOT(ISERROR(SEARCH("ERROR",Y13)))</formula>
    </cfRule>
    <cfRule type="containsText" dxfId="1" priority="2" operator="containsText" text="NO HÁBIL">
      <formula>NOT(ISERROR(SEARCH("NO HÁBIL",Y13)))</formula>
    </cfRule>
    <cfRule type="containsText" dxfId="0" priority="3" operator="containsText" text="HÁBIL">
      <formula>NOT(ISERROR(SEARCH("HÁBIL",Y13)))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Pliegos</vt:lpstr>
      <vt:lpstr>Matriz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Valencia Barrera</dc:creator>
  <cp:lastModifiedBy>Maria Jessica Paola Alzate Gomez</cp:lastModifiedBy>
  <cp:lastPrinted>2015-09-08T17:12:54Z</cp:lastPrinted>
  <dcterms:created xsi:type="dcterms:W3CDTF">2014-05-27T20:50:42Z</dcterms:created>
  <dcterms:modified xsi:type="dcterms:W3CDTF">2015-09-08T20:00:13Z</dcterms:modified>
</cp:coreProperties>
</file>