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molarte\Documents\docuemntso\backup\ANI\PROCESOS DE CONTRATACION\2015\CONCURSOS DE MERITOS\INTERVENTORIA IPV VIAS DEL NUS\EVALUACION PRELIMINAR\PAQUETE PARA PUBLICAR\"/>
    </mc:Choice>
  </mc:AlternateContent>
  <bookViews>
    <workbookView xWindow="0" yWindow="0" windowWidth="16770" windowHeight="10950" tabRatio="500" firstSheet="10" activeTab="14"/>
  </bookViews>
  <sheets>
    <sheet name="PROPONENTES" sheetId="6" r:id="rId1"/>
    <sheet name="PARÁMETROS" sheetId="5" r:id="rId2"/>
    <sheet name="DESEMPATE" sheetId="25" r:id="rId3"/>
    <sheet name="EXP GEN. 1-8." sheetId="14" r:id="rId4"/>
    <sheet name="EXP ESPEC. 1-8." sheetId="15" r:id="rId5"/>
    <sheet name="EXP GEN. 9-16" sheetId="16" r:id="rId6"/>
    <sheet name="EXP ESPEC. 9 - 16" sheetId="17" r:id="rId7"/>
    <sheet name="EXP GEN. 17-24" sheetId="18" r:id="rId8"/>
    <sheet name="EXP ESPEC. 17-24" sheetId="19" r:id="rId9"/>
    <sheet name="EXP GEN. 25-32" sheetId="23" r:id="rId10"/>
    <sheet name="EXP ESPEC. 25-32" sheetId="24" r:id="rId11"/>
    <sheet name="EXP GEN. 33-40" sheetId="11" r:id="rId12"/>
    <sheet name="EXP ESPEC. 33-40" sheetId="13" r:id="rId13"/>
    <sheet name="EXP GEN. 41-50" sheetId="21" r:id="rId14"/>
    <sheet name="EXP ESPEC. 41-50" sheetId="22" r:id="rId15"/>
    <sheet name="Hoja1" sheetId="2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8" hidden="1">'EXP ESPEC. 17-24'!$A$1:$Y$17</definedName>
    <definedName name="_xlnm._FilterDatabase" localSheetId="4" hidden="1">'EXP ESPEC. 1-8.'!$A$1:$Y$17</definedName>
    <definedName name="_xlnm._FilterDatabase" localSheetId="10" hidden="1">'EXP ESPEC. 25-32'!$A$1:$Y$17</definedName>
    <definedName name="_xlnm._FilterDatabase" localSheetId="12" hidden="1">'EXP ESPEC. 33-40'!$A$1:$Y$17</definedName>
    <definedName name="_xlnm._FilterDatabase" localSheetId="14" hidden="1">'EXP ESPEC. 41-50'!$A$1:$Y$17</definedName>
    <definedName name="_xlnm._FilterDatabase" localSheetId="6" hidden="1">'EXP ESPEC. 9 - 16'!$A$1:$Y$17</definedName>
    <definedName name="_xlnm._FilterDatabase" localSheetId="7" hidden="1">'EXP GEN. 17-24'!$A$1:$AJ$18</definedName>
    <definedName name="_xlnm._FilterDatabase" localSheetId="3" hidden="1">'EXP GEN. 1-8.'!$A$1:$AJ$20</definedName>
    <definedName name="_xlnm._FilterDatabase" localSheetId="9" hidden="1">'EXP GEN. 25-32'!$A$1:$AM$21</definedName>
    <definedName name="_xlnm._FilterDatabase" localSheetId="11" hidden="1">'EXP GEN. 33-40'!$A$1:$AJ$20</definedName>
    <definedName name="_xlnm._FilterDatabase" localSheetId="13" hidden="1">'EXP GEN. 41-50'!$A$1:$AJ$19</definedName>
    <definedName name="_xlnm._FilterDatabase" localSheetId="5" hidden="1">'EXP GEN. 9-16'!$A$1:$AJ$19</definedName>
  </definedNames>
  <calcPr calcId="152511" concurrentCalc="0"/>
</workbook>
</file>

<file path=xl/calcChain.xml><?xml version="1.0" encoding="utf-8"?>
<calcChain xmlns="http://schemas.openxmlformats.org/spreadsheetml/2006/main">
  <c r="J16" i="25" l="1"/>
  <c r="I16" i="25"/>
  <c r="N30" i="15"/>
  <c r="W23" i="24"/>
  <c r="AI3" i="11"/>
  <c r="I4" i="25"/>
  <c r="L5" i="5"/>
  <c r="M97" i="25"/>
  <c r="I3" i="25"/>
  <c r="J3" i="25"/>
  <c r="M4" i="25"/>
  <c r="M5" i="25"/>
  <c r="M6" i="25"/>
  <c r="I7" i="25"/>
  <c r="J7" i="25"/>
  <c r="I8" i="25"/>
  <c r="K8" i="25"/>
  <c r="L8" i="25"/>
  <c r="M8" i="25"/>
  <c r="J8" i="25"/>
  <c r="I9" i="25"/>
  <c r="J9" i="25"/>
  <c r="K9" i="25"/>
  <c r="L9" i="25"/>
  <c r="M9" i="25"/>
  <c r="I10" i="25"/>
  <c r="J10" i="25"/>
  <c r="M11" i="25"/>
  <c r="M12" i="25"/>
  <c r="I13" i="25"/>
  <c r="J13" i="25"/>
  <c r="M14" i="25"/>
  <c r="M17" i="25"/>
  <c r="I18" i="25"/>
  <c r="J18" i="25"/>
  <c r="K18" i="25"/>
  <c r="L18" i="25"/>
  <c r="M18" i="25"/>
  <c r="M19" i="25"/>
  <c r="M20" i="25"/>
  <c r="I21" i="25"/>
  <c r="J21" i="25"/>
  <c r="K21" i="25"/>
  <c r="L21" i="25"/>
  <c r="M21" i="25"/>
  <c r="M22" i="25"/>
  <c r="I23" i="25"/>
  <c r="J23" i="25"/>
  <c r="M24" i="25"/>
  <c r="I25" i="25"/>
  <c r="J25" i="25"/>
  <c r="I26" i="25"/>
  <c r="J26" i="25"/>
  <c r="M27" i="25"/>
  <c r="M28" i="25"/>
  <c r="I29" i="25"/>
  <c r="J29" i="25"/>
  <c r="M30" i="25"/>
  <c r="I31" i="25"/>
  <c r="J31" i="25"/>
  <c r="M32" i="25"/>
  <c r="I33" i="25"/>
  <c r="K33" i="25"/>
  <c r="L33" i="25"/>
  <c r="M33" i="25"/>
  <c r="J33" i="25"/>
  <c r="I34" i="25"/>
  <c r="J34" i="25"/>
  <c r="K34" i="25"/>
  <c r="L34" i="25"/>
  <c r="M34" i="25"/>
  <c r="M35" i="25"/>
  <c r="I36" i="25"/>
  <c r="K36" i="25"/>
  <c r="L36" i="25"/>
  <c r="M36" i="25"/>
  <c r="J36" i="25"/>
  <c r="M37" i="25"/>
  <c r="I38" i="25"/>
  <c r="J38" i="25"/>
  <c r="M39" i="25"/>
  <c r="I40" i="25"/>
  <c r="K40" i="25"/>
  <c r="L40" i="25"/>
  <c r="M40" i="25"/>
  <c r="J40" i="25"/>
  <c r="I41" i="25"/>
  <c r="K41" i="25"/>
  <c r="L41" i="25"/>
  <c r="M41" i="25"/>
  <c r="J41" i="25"/>
  <c r="M42" i="25"/>
  <c r="M43" i="25"/>
  <c r="I44" i="25"/>
  <c r="K44" i="25"/>
  <c r="L44" i="25"/>
  <c r="M44" i="25"/>
  <c r="M45" i="25"/>
  <c r="I46" i="25"/>
  <c r="K46" i="25"/>
  <c r="L46" i="25"/>
  <c r="M46" i="25"/>
  <c r="J46" i="25"/>
  <c r="M47" i="25"/>
  <c r="M48" i="25"/>
  <c r="I49" i="25"/>
  <c r="K49" i="25"/>
  <c r="L49" i="25"/>
  <c r="M49" i="25"/>
  <c r="J49" i="25"/>
  <c r="M50" i="25"/>
  <c r="I51" i="25"/>
  <c r="J51" i="25"/>
  <c r="M52" i="25"/>
  <c r="I53" i="25"/>
  <c r="K53" i="25"/>
  <c r="L53" i="25"/>
  <c r="M53" i="25"/>
  <c r="J53" i="25"/>
  <c r="K54" i="25"/>
  <c r="L54" i="25"/>
  <c r="M54" i="25"/>
  <c r="K55" i="25"/>
  <c r="L55" i="25"/>
  <c r="M55" i="25"/>
  <c r="M56" i="25"/>
  <c r="M57" i="25"/>
  <c r="K58" i="25"/>
  <c r="L58" i="25"/>
  <c r="M58" i="25"/>
  <c r="M59" i="25"/>
  <c r="M60" i="25"/>
  <c r="K61" i="25"/>
  <c r="L61" i="25"/>
  <c r="M61" i="25"/>
  <c r="M62" i="25"/>
  <c r="K63" i="25"/>
  <c r="L63" i="25"/>
  <c r="M63" i="25"/>
  <c r="M64" i="25"/>
  <c r="K65" i="25"/>
  <c r="L65" i="25"/>
  <c r="M65" i="25"/>
  <c r="M66" i="25"/>
  <c r="M67" i="25"/>
  <c r="K68" i="25"/>
  <c r="L68" i="25"/>
  <c r="M68" i="25"/>
  <c r="M69" i="25"/>
  <c r="K70" i="25"/>
  <c r="L70" i="25"/>
  <c r="M70" i="25"/>
  <c r="M71" i="25"/>
  <c r="I72" i="25"/>
  <c r="J72" i="25"/>
  <c r="M73" i="25"/>
  <c r="I74" i="25"/>
  <c r="J74" i="25"/>
  <c r="M75" i="25"/>
  <c r="I76" i="25"/>
  <c r="K76" i="25"/>
  <c r="L76" i="25"/>
  <c r="M76" i="25"/>
  <c r="J76" i="25"/>
  <c r="M77" i="25"/>
  <c r="M78" i="25"/>
  <c r="I79" i="25"/>
  <c r="K79" i="25"/>
  <c r="L79" i="25"/>
  <c r="M79" i="25"/>
  <c r="J79" i="25"/>
  <c r="M80" i="25"/>
  <c r="I81" i="25"/>
  <c r="J81" i="25"/>
  <c r="K81" i="25"/>
  <c r="L81" i="25"/>
  <c r="M81" i="25"/>
  <c r="I82" i="25"/>
  <c r="J82" i="25"/>
  <c r="M83" i="25"/>
  <c r="I84" i="25"/>
  <c r="J84" i="25"/>
  <c r="M85" i="25"/>
  <c r="M86" i="25"/>
  <c r="I87" i="25"/>
  <c r="J87" i="25"/>
  <c r="I88" i="25"/>
  <c r="J88" i="25"/>
  <c r="M89" i="25"/>
  <c r="M90" i="25"/>
  <c r="I91" i="25"/>
  <c r="J91" i="25"/>
  <c r="I92" i="25"/>
  <c r="J92" i="25"/>
  <c r="I93" i="25"/>
  <c r="K93" i="25"/>
  <c r="L93" i="25"/>
  <c r="M93" i="25"/>
  <c r="M94" i="25"/>
  <c r="I95" i="25"/>
  <c r="K95" i="25"/>
  <c r="L95" i="25"/>
  <c r="M95" i="25"/>
  <c r="J95" i="25"/>
  <c r="M96" i="25"/>
  <c r="M98" i="25"/>
  <c r="I100" i="25"/>
  <c r="J100" i="25"/>
  <c r="M101" i="25"/>
  <c r="I102" i="25"/>
  <c r="J102" i="25"/>
  <c r="M103" i="25"/>
  <c r="I104" i="25"/>
  <c r="J104" i="25"/>
  <c r="M105" i="25"/>
  <c r="M106" i="25"/>
  <c r="I107" i="25"/>
  <c r="K107" i="25"/>
  <c r="L107" i="25"/>
  <c r="M107" i="25"/>
  <c r="J107" i="25"/>
  <c r="M108" i="25"/>
  <c r="J4" i="25"/>
  <c r="I5" i="25"/>
  <c r="J5" i="25"/>
  <c r="I6" i="25"/>
  <c r="K6" i="25"/>
  <c r="L6" i="25"/>
  <c r="J6" i="25"/>
  <c r="I11" i="25"/>
  <c r="J11" i="25"/>
  <c r="I12" i="25"/>
  <c r="K12" i="25"/>
  <c r="L12" i="25"/>
  <c r="J12" i="25"/>
  <c r="I14" i="25"/>
  <c r="J14" i="25"/>
  <c r="I15" i="25"/>
  <c r="K15" i="25"/>
  <c r="L15" i="25"/>
  <c r="M15" i="25"/>
  <c r="J15" i="25"/>
  <c r="I17" i="25"/>
  <c r="K17" i="25"/>
  <c r="L17" i="25"/>
  <c r="J17" i="25"/>
  <c r="I19" i="25"/>
  <c r="J19" i="25"/>
  <c r="I20" i="25"/>
  <c r="J20" i="25"/>
  <c r="I22" i="25"/>
  <c r="J22" i="25"/>
  <c r="I24" i="25"/>
  <c r="J24" i="25"/>
  <c r="K24" i="25"/>
  <c r="L24" i="25"/>
  <c r="I27" i="25"/>
  <c r="J27" i="25"/>
  <c r="I28" i="25"/>
  <c r="K28" i="25"/>
  <c r="L28" i="25"/>
  <c r="J28" i="25"/>
  <c r="I30" i="25"/>
  <c r="K30" i="25"/>
  <c r="L30" i="25"/>
  <c r="J30" i="25"/>
  <c r="I32" i="25"/>
  <c r="J32" i="25"/>
  <c r="K32" i="25"/>
  <c r="L32" i="25"/>
  <c r="I35" i="25"/>
  <c r="J35" i="25"/>
  <c r="K35" i="25"/>
  <c r="L35" i="25"/>
  <c r="I37" i="25"/>
  <c r="J37" i="25"/>
  <c r="I39" i="25"/>
  <c r="J39" i="25"/>
  <c r="I42" i="25"/>
  <c r="J42" i="25"/>
  <c r="K42" i="25"/>
  <c r="L42" i="25"/>
  <c r="I43" i="25"/>
  <c r="K43" i="25"/>
  <c r="L43" i="25"/>
  <c r="J43" i="25"/>
  <c r="I45" i="25"/>
  <c r="K45" i="25"/>
  <c r="L45" i="25"/>
  <c r="J45" i="25"/>
  <c r="I47" i="25"/>
  <c r="J47" i="25"/>
  <c r="I48" i="25"/>
  <c r="K48" i="25"/>
  <c r="L48" i="25"/>
  <c r="J48" i="25"/>
  <c r="I50" i="25"/>
  <c r="J50" i="25"/>
  <c r="K50" i="25"/>
  <c r="L50" i="25"/>
  <c r="I52" i="25"/>
  <c r="J52" i="25"/>
  <c r="K56" i="25"/>
  <c r="L56" i="25"/>
  <c r="K57" i="25"/>
  <c r="L57" i="25"/>
  <c r="K59" i="25"/>
  <c r="L59" i="25"/>
  <c r="K60" i="25"/>
  <c r="L60" i="25"/>
  <c r="K62" i="25"/>
  <c r="L62" i="25"/>
  <c r="K64" i="25"/>
  <c r="L64" i="25"/>
  <c r="K66" i="25"/>
  <c r="L66" i="25"/>
  <c r="K67" i="25"/>
  <c r="L67" i="25"/>
  <c r="K69" i="25"/>
  <c r="L69" i="25"/>
  <c r="I71" i="25"/>
  <c r="J71" i="25"/>
  <c r="I73" i="25"/>
  <c r="J73" i="25"/>
  <c r="I75" i="25"/>
  <c r="J75" i="25"/>
  <c r="I77" i="25"/>
  <c r="K77" i="25"/>
  <c r="L77" i="25"/>
  <c r="I78" i="25"/>
  <c r="K78" i="25"/>
  <c r="L78" i="25"/>
  <c r="I80" i="25"/>
  <c r="K80" i="25"/>
  <c r="L80" i="25"/>
  <c r="J80" i="25"/>
  <c r="I83" i="25"/>
  <c r="J83" i="25"/>
  <c r="I85" i="25"/>
  <c r="K85" i="25"/>
  <c r="L85" i="25"/>
  <c r="J85" i="25"/>
  <c r="I86" i="25"/>
  <c r="K86" i="25"/>
  <c r="L86" i="25"/>
  <c r="J86" i="25"/>
  <c r="I89" i="25"/>
  <c r="K89" i="25"/>
  <c r="L89" i="25"/>
  <c r="J89" i="25"/>
  <c r="I90" i="25"/>
  <c r="J90" i="25"/>
  <c r="K90" i="25"/>
  <c r="L90" i="25"/>
  <c r="I94" i="25"/>
  <c r="J94" i="25"/>
  <c r="I96" i="25"/>
  <c r="K96" i="25"/>
  <c r="L96" i="25"/>
  <c r="I97" i="25"/>
  <c r="K97" i="25"/>
  <c r="L97" i="25"/>
  <c r="J97" i="25"/>
  <c r="I98" i="25"/>
  <c r="K98" i="25"/>
  <c r="L98" i="25"/>
  <c r="J98" i="25"/>
  <c r="I99" i="25"/>
  <c r="J99" i="25"/>
  <c r="K99" i="25"/>
  <c r="L99" i="25"/>
  <c r="M99" i="25"/>
  <c r="I101" i="25"/>
  <c r="J101" i="25"/>
  <c r="I103" i="25"/>
  <c r="J103" i="25"/>
  <c r="I105" i="25"/>
  <c r="J105" i="25"/>
  <c r="I106" i="25"/>
  <c r="J106" i="25"/>
  <c r="I108" i="25"/>
  <c r="J108" i="25"/>
  <c r="AH68" i="11"/>
  <c r="AG68" i="11"/>
  <c r="AH62" i="11"/>
  <c r="AG62" i="11"/>
  <c r="AH56" i="11"/>
  <c r="AG56" i="11"/>
  <c r="AH50" i="11"/>
  <c r="AG50" i="11"/>
  <c r="AH44" i="11"/>
  <c r="AG44" i="11"/>
  <c r="AH38" i="11"/>
  <c r="AG38" i="11"/>
  <c r="AH29" i="11"/>
  <c r="AG29" i="11"/>
  <c r="AH23" i="11"/>
  <c r="AG23" i="11"/>
  <c r="AH18" i="11"/>
  <c r="AG18" i="11"/>
  <c r="AH12" i="11"/>
  <c r="AG12" i="11"/>
  <c r="AH9" i="11"/>
  <c r="AG9" i="11"/>
  <c r="AH3" i="11"/>
  <c r="AG3" i="11"/>
  <c r="S51" i="16"/>
  <c r="L51" i="16"/>
  <c r="M51" i="16"/>
  <c r="T51" i="16"/>
  <c r="U51" i="16"/>
  <c r="S45" i="16"/>
  <c r="L45" i="16"/>
  <c r="M45" i="16"/>
  <c r="T45" i="16"/>
  <c r="U45" i="16"/>
  <c r="S39" i="16"/>
  <c r="L39" i="16"/>
  <c r="M39" i="16"/>
  <c r="T39" i="16"/>
  <c r="U39" i="16"/>
  <c r="AI39" i="16"/>
  <c r="S37" i="16"/>
  <c r="L37" i="16"/>
  <c r="M37" i="16"/>
  <c r="T37" i="16"/>
  <c r="U37" i="16"/>
  <c r="Q38" i="16"/>
  <c r="S38" i="16"/>
  <c r="L38" i="16"/>
  <c r="M38" i="16"/>
  <c r="T38" i="16"/>
  <c r="U38" i="16"/>
  <c r="Q32" i="16"/>
  <c r="S32" i="16"/>
  <c r="L32" i="16"/>
  <c r="M32" i="16"/>
  <c r="T32" i="16"/>
  <c r="U32" i="16"/>
  <c r="AI32" i="16"/>
  <c r="Q33" i="16"/>
  <c r="S33" i="16"/>
  <c r="L33" i="16"/>
  <c r="M33" i="16"/>
  <c r="T33" i="16"/>
  <c r="U33" i="16"/>
  <c r="Q34" i="16"/>
  <c r="S34" i="16"/>
  <c r="L34" i="16"/>
  <c r="M34" i="16"/>
  <c r="T34" i="16"/>
  <c r="U34" i="16"/>
  <c r="Q35" i="16"/>
  <c r="S35" i="16"/>
  <c r="L35" i="16"/>
  <c r="M35" i="16"/>
  <c r="T35" i="16"/>
  <c r="U35" i="16"/>
  <c r="Q36" i="16"/>
  <c r="S36" i="16"/>
  <c r="L36" i="16"/>
  <c r="M36" i="16"/>
  <c r="T36" i="16"/>
  <c r="U36" i="16"/>
  <c r="S26" i="16"/>
  <c r="L26" i="16"/>
  <c r="M26" i="16"/>
  <c r="T26" i="16"/>
  <c r="U26" i="16"/>
  <c r="S27" i="16"/>
  <c r="L27" i="16"/>
  <c r="M27" i="16"/>
  <c r="T27" i="16"/>
  <c r="U27" i="16"/>
  <c r="S28" i="16"/>
  <c r="L28" i="16"/>
  <c r="M28" i="16"/>
  <c r="T28" i="16"/>
  <c r="U28" i="16"/>
  <c r="S29" i="16"/>
  <c r="L29" i="16"/>
  <c r="M29" i="16"/>
  <c r="T29" i="16"/>
  <c r="U29" i="16"/>
  <c r="S30" i="16"/>
  <c r="L30" i="16"/>
  <c r="M30" i="16"/>
  <c r="T30" i="16"/>
  <c r="U30" i="16"/>
  <c r="AI30" i="16"/>
  <c r="S31" i="16"/>
  <c r="L31" i="16"/>
  <c r="M31" i="16"/>
  <c r="T31" i="16"/>
  <c r="U31" i="16"/>
  <c r="S20" i="16"/>
  <c r="L20" i="16"/>
  <c r="M20" i="16"/>
  <c r="T20" i="16"/>
  <c r="U20" i="16"/>
  <c r="S21" i="16"/>
  <c r="L21" i="16"/>
  <c r="M21" i="16"/>
  <c r="T21" i="16"/>
  <c r="U21" i="16"/>
  <c r="AI21" i="16"/>
  <c r="S22" i="16"/>
  <c r="L22" i="16"/>
  <c r="M22" i="16"/>
  <c r="T22" i="16"/>
  <c r="U22" i="16"/>
  <c r="S23" i="16"/>
  <c r="L23" i="16"/>
  <c r="M23" i="16"/>
  <c r="T23" i="16"/>
  <c r="U23" i="16"/>
  <c r="S24" i="16"/>
  <c r="M24" i="16"/>
  <c r="T24" i="16"/>
  <c r="U24" i="16"/>
  <c r="S25" i="16"/>
  <c r="L25" i="16"/>
  <c r="M25" i="16"/>
  <c r="T25" i="16"/>
  <c r="U25" i="16"/>
  <c r="AI25" i="16"/>
  <c r="S17" i="16"/>
  <c r="L17" i="16"/>
  <c r="M17" i="16"/>
  <c r="T17" i="16"/>
  <c r="U17" i="16"/>
  <c r="S18" i="16"/>
  <c r="L18" i="16"/>
  <c r="M18" i="16"/>
  <c r="T18" i="16"/>
  <c r="U18" i="16"/>
  <c r="S19" i="16"/>
  <c r="L19" i="16"/>
  <c r="M19" i="16"/>
  <c r="T19" i="16"/>
  <c r="U19" i="16"/>
  <c r="S12" i="16"/>
  <c r="L12" i="16"/>
  <c r="M12" i="16"/>
  <c r="T12" i="16"/>
  <c r="U12" i="16"/>
  <c r="S13" i="16"/>
  <c r="L13" i="16"/>
  <c r="M13" i="16"/>
  <c r="T13" i="16"/>
  <c r="U13" i="16"/>
  <c r="AI13" i="16"/>
  <c r="Q14" i="16"/>
  <c r="S14" i="16"/>
  <c r="L14" i="16"/>
  <c r="M14" i="16"/>
  <c r="T14" i="16"/>
  <c r="U14" i="16"/>
  <c r="Q15" i="16"/>
  <c r="S15" i="16"/>
  <c r="L15" i="16"/>
  <c r="M15" i="16"/>
  <c r="T15" i="16"/>
  <c r="U15" i="16"/>
  <c r="Q16" i="16"/>
  <c r="S16" i="16"/>
  <c r="L16" i="16"/>
  <c r="M16" i="16"/>
  <c r="T16" i="16"/>
  <c r="U16" i="16"/>
  <c r="Q6" i="16"/>
  <c r="S6" i="16"/>
  <c r="L6" i="16"/>
  <c r="M6" i="16"/>
  <c r="T6" i="16"/>
  <c r="U6" i="16"/>
  <c r="Q7" i="16"/>
  <c r="S7" i="16"/>
  <c r="L7" i="16"/>
  <c r="M7" i="16"/>
  <c r="T7" i="16"/>
  <c r="U7" i="16"/>
  <c r="Q8" i="16"/>
  <c r="S8" i="16"/>
  <c r="L8" i="16"/>
  <c r="M8" i="16"/>
  <c r="T8" i="16"/>
  <c r="U8" i="16"/>
  <c r="Q9" i="16"/>
  <c r="S9" i="16"/>
  <c r="L9" i="16"/>
  <c r="M9" i="16"/>
  <c r="T9" i="16"/>
  <c r="U9" i="16"/>
  <c r="AI9" i="16"/>
  <c r="S10" i="16"/>
  <c r="L10" i="16"/>
  <c r="M10" i="16"/>
  <c r="T10" i="16"/>
  <c r="U10" i="16"/>
  <c r="AI10" i="16"/>
  <c r="S11" i="16"/>
  <c r="L11" i="16"/>
  <c r="M11" i="16"/>
  <c r="T11" i="16"/>
  <c r="U11" i="16"/>
  <c r="S3" i="16"/>
  <c r="L3" i="16"/>
  <c r="M3" i="16"/>
  <c r="T3" i="16"/>
  <c r="U3" i="16"/>
  <c r="S4" i="16"/>
  <c r="L4" i="16"/>
  <c r="M4" i="16"/>
  <c r="T4" i="16"/>
  <c r="U4" i="16"/>
  <c r="S5" i="16"/>
  <c r="L5" i="16"/>
  <c r="M5" i="16"/>
  <c r="T5" i="16"/>
  <c r="U5" i="16"/>
  <c r="AI5" i="16"/>
  <c r="S13" i="14"/>
  <c r="N30" i="23"/>
  <c r="Q30" i="23"/>
  <c r="S30" i="23"/>
  <c r="L30" i="23"/>
  <c r="M30" i="23"/>
  <c r="T30" i="23"/>
  <c r="U30" i="23"/>
  <c r="Q31" i="23"/>
  <c r="S31" i="23"/>
  <c r="L31" i="23"/>
  <c r="M31" i="23"/>
  <c r="T31" i="23"/>
  <c r="U31" i="23"/>
  <c r="Q32" i="23"/>
  <c r="S32" i="23"/>
  <c r="L32" i="23"/>
  <c r="M32" i="23"/>
  <c r="T32" i="23"/>
  <c r="U32" i="23"/>
  <c r="N41" i="22"/>
  <c r="O41" i="22"/>
  <c r="V41" i="22"/>
  <c r="W41" i="22"/>
  <c r="P41" i="22"/>
  <c r="U41" i="22"/>
  <c r="N42" i="22"/>
  <c r="O42" i="22"/>
  <c r="V42" i="22"/>
  <c r="W42" i="22"/>
  <c r="U42" i="22"/>
  <c r="N39" i="22"/>
  <c r="O39" i="22"/>
  <c r="V39" i="22"/>
  <c r="W39" i="22"/>
  <c r="U39" i="22"/>
  <c r="N40" i="22"/>
  <c r="O40" i="22"/>
  <c r="V40" i="22"/>
  <c r="W40" i="22"/>
  <c r="X40" i="22"/>
  <c r="U40" i="22"/>
  <c r="L52" i="21"/>
  <c r="M52" i="21"/>
  <c r="T52" i="21"/>
  <c r="U52" i="21"/>
  <c r="AI52" i="21"/>
  <c r="N52" i="21"/>
  <c r="S52" i="21"/>
  <c r="L53" i="21"/>
  <c r="M53" i="21"/>
  <c r="T53" i="21"/>
  <c r="U53" i="21"/>
  <c r="S53" i="21"/>
  <c r="L50" i="21"/>
  <c r="M50" i="21"/>
  <c r="T50" i="21"/>
  <c r="U50" i="21"/>
  <c r="AI50" i="21"/>
  <c r="S50" i="21"/>
  <c r="L51" i="21"/>
  <c r="M51" i="21"/>
  <c r="T51" i="21"/>
  <c r="U51" i="21"/>
  <c r="AI51" i="21"/>
  <c r="S51" i="21"/>
  <c r="N37" i="22"/>
  <c r="O37" i="22"/>
  <c r="V37" i="22"/>
  <c r="W37" i="22"/>
  <c r="U37" i="22"/>
  <c r="N38" i="22"/>
  <c r="O38" i="22"/>
  <c r="V38" i="22"/>
  <c r="W38" i="22"/>
  <c r="U38" i="22"/>
  <c r="N35" i="22"/>
  <c r="O35" i="22"/>
  <c r="U35" i="22"/>
  <c r="V35" i="22"/>
  <c r="W35" i="22"/>
  <c r="N36" i="22"/>
  <c r="O36" i="22"/>
  <c r="U36" i="22"/>
  <c r="V36" i="22"/>
  <c r="W36" i="22"/>
  <c r="X36" i="22"/>
  <c r="L49" i="21"/>
  <c r="M49" i="21"/>
  <c r="T49" i="21"/>
  <c r="U49" i="21"/>
  <c r="S49" i="21"/>
  <c r="L46" i="21"/>
  <c r="M46" i="21"/>
  <c r="T46" i="21"/>
  <c r="U46" i="21"/>
  <c r="S46" i="21"/>
  <c r="L47" i="21"/>
  <c r="M47" i="21"/>
  <c r="T47" i="21"/>
  <c r="U47" i="21"/>
  <c r="AI47" i="21"/>
  <c r="S47" i="21"/>
  <c r="L48" i="21"/>
  <c r="M48" i="21"/>
  <c r="T48" i="21"/>
  <c r="U48" i="21"/>
  <c r="AI48" i="21"/>
  <c r="S48" i="21"/>
  <c r="L44" i="21"/>
  <c r="M44" i="21"/>
  <c r="T44" i="21"/>
  <c r="U44" i="21"/>
  <c r="S44" i="21"/>
  <c r="L45" i="21"/>
  <c r="M45" i="21"/>
  <c r="T45" i="21"/>
  <c r="U45" i="21"/>
  <c r="S45" i="21"/>
  <c r="N3" i="22"/>
  <c r="O3" i="22"/>
  <c r="V3" i="22"/>
  <c r="W3" i="22"/>
  <c r="X3" i="22"/>
  <c r="U3" i="22"/>
  <c r="N4" i="22"/>
  <c r="O4" i="22"/>
  <c r="V4" i="22"/>
  <c r="W4" i="22"/>
  <c r="X4" i="22"/>
  <c r="U4" i="22"/>
  <c r="L3" i="21"/>
  <c r="M3" i="21"/>
  <c r="T3" i="21"/>
  <c r="U3" i="21"/>
  <c r="S3" i="21"/>
  <c r="L4" i="21"/>
  <c r="M4" i="21"/>
  <c r="T4" i="21"/>
  <c r="U4" i="21"/>
  <c r="AI4" i="21"/>
  <c r="S4" i="21"/>
  <c r="L5" i="21"/>
  <c r="M5" i="21"/>
  <c r="T5" i="21"/>
  <c r="U5" i="21"/>
  <c r="AI5" i="21"/>
  <c r="S5" i="21"/>
  <c r="L6" i="21"/>
  <c r="M6" i="21"/>
  <c r="T6" i="21"/>
  <c r="U6" i="21"/>
  <c r="AI6" i="21"/>
  <c r="S6" i="21"/>
  <c r="N5" i="22"/>
  <c r="O5" i="22"/>
  <c r="V5" i="22"/>
  <c r="W5" i="22"/>
  <c r="U5" i="22"/>
  <c r="N6" i="22"/>
  <c r="O6" i="22"/>
  <c r="V6" i="22"/>
  <c r="W6" i="22"/>
  <c r="U6" i="22"/>
  <c r="L7" i="21"/>
  <c r="M7" i="21"/>
  <c r="S7" i="21"/>
  <c r="T7" i="21"/>
  <c r="U7" i="21"/>
  <c r="AI7" i="21"/>
  <c r="L8" i="21"/>
  <c r="M8" i="21"/>
  <c r="S8" i="21"/>
  <c r="T8" i="21"/>
  <c r="U8" i="21"/>
  <c r="AI8" i="21"/>
  <c r="N27" i="13"/>
  <c r="O27" i="13"/>
  <c r="V27" i="13"/>
  <c r="W27" i="13"/>
  <c r="X27" i="13"/>
  <c r="U27" i="13"/>
  <c r="B4" i="5"/>
  <c r="D5" i="5"/>
  <c r="N28" i="13"/>
  <c r="O28" i="13"/>
  <c r="V28" i="13"/>
  <c r="W28" i="13"/>
  <c r="X28" i="13"/>
  <c r="U28" i="13"/>
  <c r="N29" i="13"/>
  <c r="O29" i="13"/>
  <c r="V29" i="13"/>
  <c r="W29" i="13"/>
  <c r="X29" i="13"/>
  <c r="U29" i="13"/>
  <c r="L34" i="11"/>
  <c r="M34" i="11"/>
  <c r="T34" i="11"/>
  <c r="U34" i="11"/>
  <c r="S34" i="11"/>
  <c r="L35" i="11"/>
  <c r="M35" i="11"/>
  <c r="T35" i="11"/>
  <c r="U35" i="11"/>
  <c r="S35" i="11"/>
  <c r="L36" i="11"/>
  <c r="M36" i="11"/>
  <c r="T36" i="11"/>
  <c r="U36" i="11"/>
  <c r="AI36" i="11"/>
  <c r="S36" i="11"/>
  <c r="L37" i="11"/>
  <c r="M37" i="11"/>
  <c r="T37" i="11"/>
  <c r="U37" i="11"/>
  <c r="AI37" i="11"/>
  <c r="S37" i="11"/>
  <c r="N30" i="13"/>
  <c r="O30" i="13"/>
  <c r="V30" i="13"/>
  <c r="W30" i="13"/>
  <c r="U30" i="13"/>
  <c r="L33" i="11"/>
  <c r="M33" i="11"/>
  <c r="T33" i="11"/>
  <c r="U33" i="11"/>
  <c r="S33" i="11"/>
  <c r="D36" i="22"/>
  <c r="D37" i="22"/>
  <c r="D38" i="22"/>
  <c r="D35" i="22"/>
  <c r="D40" i="22"/>
  <c r="D41" i="22"/>
  <c r="D42" i="22"/>
  <c r="D39" i="22"/>
  <c r="N33" i="24"/>
  <c r="O33" i="24"/>
  <c r="V33" i="24"/>
  <c r="W33" i="24"/>
  <c r="X33" i="24"/>
  <c r="U33" i="24"/>
  <c r="N34" i="24"/>
  <c r="O34" i="24"/>
  <c r="V34" i="24"/>
  <c r="W34" i="24"/>
  <c r="X34" i="24"/>
  <c r="U34" i="24"/>
  <c r="L44" i="23"/>
  <c r="M44" i="23"/>
  <c r="T44" i="23"/>
  <c r="U44" i="23"/>
  <c r="S44" i="23"/>
  <c r="L45" i="23"/>
  <c r="M45" i="23"/>
  <c r="T45" i="23"/>
  <c r="U45" i="23"/>
  <c r="S45" i="23"/>
  <c r="U24" i="13"/>
  <c r="N24" i="13"/>
  <c r="O24" i="13"/>
  <c r="V24" i="13"/>
  <c r="W24" i="13"/>
  <c r="X24" i="13"/>
  <c r="U25" i="13"/>
  <c r="N25" i="13"/>
  <c r="O25" i="13"/>
  <c r="V25" i="13"/>
  <c r="W25" i="13"/>
  <c r="X25" i="13"/>
  <c r="U26" i="13"/>
  <c r="N26" i="13"/>
  <c r="O26" i="13"/>
  <c r="V26" i="13"/>
  <c r="W26" i="13"/>
  <c r="X26" i="13"/>
  <c r="U23" i="13"/>
  <c r="N23" i="13"/>
  <c r="O23" i="13"/>
  <c r="V23" i="13"/>
  <c r="W23" i="13"/>
  <c r="X23" i="13"/>
  <c r="Q31" i="11"/>
  <c r="S31" i="11"/>
  <c r="L31" i="11"/>
  <c r="M31" i="11"/>
  <c r="T31" i="11"/>
  <c r="U31" i="11"/>
  <c r="AI31" i="11"/>
  <c r="Q32" i="11"/>
  <c r="S32" i="11"/>
  <c r="L32" i="11"/>
  <c r="M32" i="11"/>
  <c r="T32" i="11"/>
  <c r="U32" i="11"/>
  <c r="AI32" i="11"/>
  <c r="S29" i="11"/>
  <c r="L29" i="11"/>
  <c r="M29" i="11"/>
  <c r="T29" i="11"/>
  <c r="U29" i="11"/>
  <c r="S30" i="11"/>
  <c r="L30" i="11"/>
  <c r="M30" i="11"/>
  <c r="T30" i="11"/>
  <c r="U30" i="11"/>
  <c r="AI30" i="11"/>
  <c r="U19" i="13"/>
  <c r="N19" i="13"/>
  <c r="O19" i="13"/>
  <c r="V19" i="13"/>
  <c r="W19" i="13"/>
  <c r="X19" i="13"/>
  <c r="U22" i="13"/>
  <c r="V22" i="13"/>
  <c r="W22" i="13"/>
  <c r="U20" i="13"/>
  <c r="N20" i="13"/>
  <c r="O20" i="13"/>
  <c r="V20" i="13"/>
  <c r="W20" i="13"/>
  <c r="X20" i="13"/>
  <c r="U21" i="13"/>
  <c r="V21" i="13"/>
  <c r="W21" i="13"/>
  <c r="S27" i="11"/>
  <c r="L27" i="11"/>
  <c r="M27" i="11"/>
  <c r="T27" i="11"/>
  <c r="U27" i="11"/>
  <c r="AI27" i="11"/>
  <c r="S28" i="11"/>
  <c r="L28" i="11"/>
  <c r="M28" i="11"/>
  <c r="T28" i="11"/>
  <c r="U28" i="11"/>
  <c r="AI28" i="11"/>
  <c r="S23" i="11"/>
  <c r="L23" i="11"/>
  <c r="M23" i="11"/>
  <c r="T23" i="11"/>
  <c r="U23" i="11"/>
  <c r="S24" i="11"/>
  <c r="L24" i="11"/>
  <c r="M24" i="11"/>
  <c r="T24" i="11"/>
  <c r="U24" i="11"/>
  <c r="AI24" i="11"/>
  <c r="S25" i="11"/>
  <c r="L25" i="11"/>
  <c r="M25" i="11"/>
  <c r="T25" i="11"/>
  <c r="U25" i="11"/>
  <c r="AI25" i="11"/>
  <c r="S26" i="11"/>
  <c r="L26" i="11"/>
  <c r="M26" i="11"/>
  <c r="T26" i="11"/>
  <c r="U26" i="11"/>
  <c r="AI26" i="11"/>
  <c r="U18" i="13"/>
  <c r="N18" i="13"/>
  <c r="O18" i="13"/>
  <c r="V18" i="13"/>
  <c r="W18" i="13"/>
  <c r="X18" i="13"/>
  <c r="U17" i="13"/>
  <c r="N17" i="13"/>
  <c r="O17" i="13"/>
  <c r="V17" i="13"/>
  <c r="W17" i="13"/>
  <c r="X17" i="13"/>
  <c r="S15" i="13"/>
  <c r="U15" i="13"/>
  <c r="N15" i="13"/>
  <c r="O15" i="13"/>
  <c r="V15" i="13"/>
  <c r="W15" i="13"/>
  <c r="X15" i="13"/>
  <c r="U16" i="13"/>
  <c r="N16" i="13"/>
  <c r="O16" i="13"/>
  <c r="V16" i="13"/>
  <c r="W16" i="13"/>
  <c r="X16" i="13"/>
  <c r="S22" i="11"/>
  <c r="L22" i="11"/>
  <c r="M22" i="11"/>
  <c r="T22" i="11"/>
  <c r="U22" i="11"/>
  <c r="AI22" i="11"/>
  <c r="Q20" i="11"/>
  <c r="S20" i="11"/>
  <c r="L20" i="11"/>
  <c r="M20" i="11"/>
  <c r="T20" i="11"/>
  <c r="U20" i="11"/>
  <c r="AI20" i="11"/>
  <c r="Q21" i="11"/>
  <c r="S21" i="11"/>
  <c r="L21" i="11"/>
  <c r="M21" i="11"/>
  <c r="T21" i="11"/>
  <c r="U21" i="11"/>
  <c r="AI21" i="11"/>
  <c r="Q18" i="11"/>
  <c r="S18" i="11"/>
  <c r="L18" i="11"/>
  <c r="M18" i="11"/>
  <c r="T18" i="11"/>
  <c r="U18" i="11"/>
  <c r="S19" i="11"/>
  <c r="L19" i="11"/>
  <c r="M19" i="11"/>
  <c r="T19" i="11"/>
  <c r="U19" i="11"/>
  <c r="AI19" i="11"/>
  <c r="U11" i="13"/>
  <c r="N11" i="13"/>
  <c r="O11" i="13"/>
  <c r="V11" i="13"/>
  <c r="W11" i="13"/>
  <c r="X11" i="13"/>
  <c r="U12" i="13"/>
  <c r="N12" i="13"/>
  <c r="O12" i="13"/>
  <c r="V12" i="13"/>
  <c r="W12" i="13"/>
  <c r="X12" i="13"/>
  <c r="U13" i="13"/>
  <c r="N13" i="13"/>
  <c r="O13" i="13"/>
  <c r="V13" i="13"/>
  <c r="W13" i="13"/>
  <c r="X13" i="13"/>
  <c r="U14" i="13"/>
  <c r="N14" i="13"/>
  <c r="O14" i="13"/>
  <c r="V14" i="13"/>
  <c r="W14" i="13"/>
  <c r="X14" i="13"/>
  <c r="S17" i="11"/>
  <c r="T17" i="11"/>
  <c r="U17" i="11"/>
  <c r="AI17" i="11"/>
  <c r="S15" i="11"/>
  <c r="L15" i="11"/>
  <c r="M15" i="11"/>
  <c r="T15" i="11"/>
  <c r="U15" i="11"/>
  <c r="AI15" i="11"/>
  <c r="S16" i="11"/>
  <c r="L16" i="11"/>
  <c r="M16" i="11"/>
  <c r="T16" i="11"/>
  <c r="U16" i="11"/>
  <c r="AI16" i="11"/>
  <c r="S12" i="11"/>
  <c r="L12" i="11"/>
  <c r="M12" i="11"/>
  <c r="T12" i="11"/>
  <c r="U12" i="11"/>
  <c r="S13" i="11"/>
  <c r="L13" i="11"/>
  <c r="M13" i="11"/>
  <c r="T13" i="11"/>
  <c r="U13" i="11"/>
  <c r="AI13" i="11"/>
  <c r="S14" i="11"/>
  <c r="L14" i="11"/>
  <c r="M14" i="11"/>
  <c r="T14" i="11"/>
  <c r="U14" i="11"/>
  <c r="AI14" i="11"/>
  <c r="U10" i="13"/>
  <c r="N10" i="13"/>
  <c r="O10" i="13"/>
  <c r="V10" i="13"/>
  <c r="W10" i="13"/>
  <c r="J5" i="5"/>
  <c r="X10" i="13"/>
  <c r="U7" i="13"/>
  <c r="N7" i="13"/>
  <c r="O7" i="13"/>
  <c r="V7" i="13"/>
  <c r="W7" i="13"/>
  <c r="X7" i="13"/>
  <c r="U8" i="13"/>
  <c r="N8" i="13"/>
  <c r="O8" i="13"/>
  <c r="V8" i="13"/>
  <c r="W8" i="13"/>
  <c r="X8" i="13"/>
  <c r="U9" i="13"/>
  <c r="N9" i="13"/>
  <c r="O9" i="13"/>
  <c r="V9" i="13"/>
  <c r="W9" i="13"/>
  <c r="X9" i="13"/>
  <c r="L10" i="11"/>
  <c r="M10" i="11"/>
  <c r="T10" i="11"/>
  <c r="U10" i="11"/>
  <c r="AI10" i="11"/>
  <c r="S11" i="11"/>
  <c r="L11" i="11"/>
  <c r="M11" i="11"/>
  <c r="T11" i="11"/>
  <c r="U11" i="11"/>
  <c r="AI11" i="11"/>
  <c r="S9" i="11"/>
  <c r="L9" i="11"/>
  <c r="M9" i="11"/>
  <c r="T9" i="11"/>
  <c r="U9" i="11"/>
  <c r="U5" i="13"/>
  <c r="N5" i="13"/>
  <c r="O5" i="13"/>
  <c r="V5" i="13"/>
  <c r="W5" i="13"/>
  <c r="X5" i="13"/>
  <c r="U6" i="13"/>
  <c r="N6" i="13"/>
  <c r="O6" i="13"/>
  <c r="V6" i="13"/>
  <c r="W6" i="13"/>
  <c r="X6" i="13"/>
  <c r="S3" i="13"/>
  <c r="U3" i="13"/>
  <c r="N3" i="13"/>
  <c r="O3" i="13"/>
  <c r="V3" i="13"/>
  <c r="W3" i="13"/>
  <c r="X3" i="13"/>
  <c r="S4" i="13"/>
  <c r="U4" i="13"/>
  <c r="N4" i="13"/>
  <c r="O4" i="13"/>
  <c r="V4" i="13"/>
  <c r="W4" i="13"/>
  <c r="X4" i="13"/>
  <c r="S7" i="11"/>
  <c r="L7" i="11"/>
  <c r="M7" i="11"/>
  <c r="T7" i="11"/>
  <c r="U7" i="11"/>
  <c r="AI7" i="11"/>
  <c r="S8" i="11"/>
  <c r="L8" i="11"/>
  <c r="M8" i="11"/>
  <c r="T8" i="11"/>
  <c r="U8" i="11"/>
  <c r="AI8" i="11"/>
  <c r="Q3" i="11"/>
  <c r="S3" i="11"/>
  <c r="L3" i="11"/>
  <c r="M3" i="11"/>
  <c r="T3" i="11"/>
  <c r="U3" i="11"/>
  <c r="Q4" i="11"/>
  <c r="S4" i="11"/>
  <c r="L4" i="11"/>
  <c r="M4" i="11"/>
  <c r="T4" i="11"/>
  <c r="U4" i="11"/>
  <c r="AI4" i="11"/>
  <c r="Q5" i="11"/>
  <c r="S5" i="11"/>
  <c r="L5" i="11"/>
  <c r="M5" i="11"/>
  <c r="T5" i="11"/>
  <c r="U5" i="11"/>
  <c r="AI5" i="11"/>
  <c r="Q6" i="11"/>
  <c r="S6" i="11"/>
  <c r="L6" i="11"/>
  <c r="M6" i="11"/>
  <c r="T6" i="11"/>
  <c r="U6" i="11"/>
  <c r="AI6" i="11"/>
  <c r="U4" i="15"/>
  <c r="O4" i="15"/>
  <c r="V4" i="15"/>
  <c r="W4" i="15"/>
  <c r="S6" i="14"/>
  <c r="M6" i="14"/>
  <c r="T6" i="14"/>
  <c r="U6" i="14"/>
  <c r="U5" i="15"/>
  <c r="N5" i="15"/>
  <c r="O5" i="15"/>
  <c r="V5" i="15"/>
  <c r="W5" i="15"/>
  <c r="U6" i="15"/>
  <c r="N6" i="15"/>
  <c r="O6" i="15"/>
  <c r="V6" i="15"/>
  <c r="W6" i="15"/>
  <c r="Q3" i="14"/>
  <c r="S3" i="14"/>
  <c r="L3" i="14"/>
  <c r="M3" i="14"/>
  <c r="T3" i="14"/>
  <c r="U3" i="14"/>
  <c r="Q4" i="14"/>
  <c r="S4" i="14"/>
  <c r="L4" i="14"/>
  <c r="M4" i="14"/>
  <c r="T4" i="14"/>
  <c r="U4" i="14"/>
  <c r="S5" i="14"/>
  <c r="L5" i="14"/>
  <c r="M5" i="14"/>
  <c r="T5" i="14"/>
  <c r="U5" i="14"/>
  <c r="D4" i="22"/>
  <c r="D5" i="22"/>
  <c r="D6" i="22"/>
  <c r="D3" i="22"/>
  <c r="D4" i="21"/>
  <c r="D5" i="21"/>
  <c r="D6" i="21"/>
  <c r="D7" i="21"/>
  <c r="D8" i="21"/>
  <c r="D3" i="21"/>
  <c r="S35" i="18"/>
  <c r="M35" i="18"/>
  <c r="T35" i="18"/>
  <c r="U35" i="18"/>
  <c r="D35" i="18"/>
  <c r="U31" i="19"/>
  <c r="O31" i="19"/>
  <c r="V31" i="19"/>
  <c r="W31" i="19"/>
  <c r="D31" i="19"/>
  <c r="U54" i="24"/>
  <c r="N54" i="24"/>
  <c r="O54" i="24"/>
  <c r="V54" i="24"/>
  <c r="W54" i="24"/>
  <c r="X54" i="24"/>
  <c r="D54" i="24"/>
  <c r="U53" i="24"/>
  <c r="N53" i="24"/>
  <c r="O53" i="24"/>
  <c r="V53" i="24"/>
  <c r="W53" i="24"/>
  <c r="X53" i="24"/>
  <c r="D53" i="24"/>
  <c r="U52" i="24"/>
  <c r="N52" i="24"/>
  <c r="O52" i="24"/>
  <c r="V52" i="24"/>
  <c r="W52" i="24"/>
  <c r="X52" i="24"/>
  <c r="D52" i="24"/>
  <c r="U51" i="24"/>
  <c r="N51" i="24"/>
  <c r="O51" i="24"/>
  <c r="V51" i="24"/>
  <c r="W51" i="24"/>
  <c r="X51" i="24"/>
  <c r="D51" i="24"/>
  <c r="U50" i="24"/>
  <c r="N50" i="24"/>
  <c r="O50" i="24"/>
  <c r="V50" i="24"/>
  <c r="W50" i="24"/>
  <c r="X50" i="24"/>
  <c r="D50" i="24"/>
  <c r="U49" i="24"/>
  <c r="N49" i="24"/>
  <c r="O49" i="24"/>
  <c r="V49" i="24"/>
  <c r="W49" i="24"/>
  <c r="X49" i="24"/>
  <c r="D49" i="24"/>
  <c r="U48" i="24"/>
  <c r="N48" i="24"/>
  <c r="O48" i="24"/>
  <c r="V48" i="24"/>
  <c r="W48" i="24"/>
  <c r="X48" i="24"/>
  <c r="D48" i="24"/>
  <c r="U47" i="24"/>
  <c r="N47" i="24"/>
  <c r="O47" i="24"/>
  <c r="V47" i="24"/>
  <c r="W47" i="24"/>
  <c r="X47" i="24"/>
  <c r="D47" i="24"/>
  <c r="U46" i="24"/>
  <c r="N46" i="24"/>
  <c r="O46" i="24"/>
  <c r="V46" i="24"/>
  <c r="W46" i="24"/>
  <c r="X46" i="24"/>
  <c r="D46" i="24"/>
  <c r="U45" i="24"/>
  <c r="N45" i="24"/>
  <c r="O45" i="24"/>
  <c r="V45" i="24"/>
  <c r="W45" i="24"/>
  <c r="X45" i="24"/>
  <c r="D45" i="24"/>
  <c r="U44" i="24"/>
  <c r="N44" i="24"/>
  <c r="O44" i="24"/>
  <c r="V44" i="24"/>
  <c r="W44" i="24"/>
  <c r="X44" i="24"/>
  <c r="D44" i="24"/>
  <c r="U43" i="24"/>
  <c r="N43" i="24"/>
  <c r="O43" i="24"/>
  <c r="D43" i="24"/>
  <c r="U42" i="24"/>
  <c r="N42" i="24"/>
  <c r="O42" i="24"/>
  <c r="V42" i="24"/>
  <c r="W42" i="24"/>
  <c r="X42" i="24"/>
  <c r="D42" i="24"/>
  <c r="U41" i="24"/>
  <c r="N41" i="24"/>
  <c r="O41" i="24"/>
  <c r="V41" i="24"/>
  <c r="W41" i="24"/>
  <c r="X41" i="24"/>
  <c r="D41" i="24"/>
  <c r="U40" i="24"/>
  <c r="N40" i="24"/>
  <c r="O40" i="24"/>
  <c r="V40" i="24"/>
  <c r="W40" i="24"/>
  <c r="X40" i="24"/>
  <c r="D40" i="24"/>
  <c r="U39" i="24"/>
  <c r="N39" i="24"/>
  <c r="O39" i="24"/>
  <c r="D39" i="24"/>
  <c r="U38" i="24"/>
  <c r="N38" i="24"/>
  <c r="O38" i="24"/>
  <c r="V38" i="24"/>
  <c r="W38" i="24"/>
  <c r="X38" i="24"/>
  <c r="D38" i="24"/>
  <c r="U37" i="24"/>
  <c r="N37" i="24"/>
  <c r="O37" i="24"/>
  <c r="V37" i="24"/>
  <c r="W37" i="24"/>
  <c r="X37" i="24"/>
  <c r="D37" i="24"/>
  <c r="U36" i="24"/>
  <c r="N36" i="24"/>
  <c r="O36" i="24"/>
  <c r="V36" i="24"/>
  <c r="W36" i="24"/>
  <c r="X36" i="24"/>
  <c r="D36" i="24"/>
  <c r="U35" i="24"/>
  <c r="N35" i="24"/>
  <c r="O35" i="24"/>
  <c r="V35" i="24"/>
  <c r="W35" i="24"/>
  <c r="X35" i="24"/>
  <c r="D35" i="24"/>
  <c r="D34" i="24"/>
  <c r="D33" i="24"/>
  <c r="U32" i="24"/>
  <c r="O32" i="24"/>
  <c r="V32" i="24"/>
  <c r="W32" i="24"/>
  <c r="X32" i="24"/>
  <c r="D32" i="24"/>
  <c r="U31" i="24"/>
  <c r="N31" i="24"/>
  <c r="O31" i="24"/>
  <c r="V31" i="24"/>
  <c r="W31" i="24"/>
  <c r="X31" i="24"/>
  <c r="D31" i="24"/>
  <c r="U30" i="24"/>
  <c r="N30" i="24"/>
  <c r="O30" i="24"/>
  <c r="V30" i="24"/>
  <c r="W30" i="24"/>
  <c r="X30" i="24"/>
  <c r="D30" i="24"/>
  <c r="S29" i="24"/>
  <c r="U29" i="24"/>
  <c r="N29" i="24"/>
  <c r="O29" i="24"/>
  <c r="V29" i="24"/>
  <c r="W29" i="24"/>
  <c r="X29" i="24"/>
  <c r="D29" i="24"/>
  <c r="S28" i="24"/>
  <c r="U28" i="24"/>
  <c r="N28" i="24"/>
  <c r="O28" i="24"/>
  <c r="V28" i="24"/>
  <c r="W28" i="24"/>
  <c r="X28" i="24"/>
  <c r="D28" i="24"/>
  <c r="U27" i="24"/>
  <c r="N27" i="24"/>
  <c r="O27" i="24"/>
  <c r="V27" i="24"/>
  <c r="W27" i="24"/>
  <c r="X27" i="24"/>
  <c r="D27" i="24"/>
  <c r="U26" i="24"/>
  <c r="O26" i="24"/>
  <c r="V26" i="24"/>
  <c r="W26" i="24"/>
  <c r="X26" i="24"/>
  <c r="D26" i="24"/>
  <c r="S25" i="24"/>
  <c r="U25" i="24"/>
  <c r="N25" i="24"/>
  <c r="O25" i="24"/>
  <c r="V25" i="24"/>
  <c r="W25" i="24"/>
  <c r="X25" i="24"/>
  <c r="D25" i="24"/>
  <c r="S24" i="24"/>
  <c r="U24" i="24"/>
  <c r="N24" i="24"/>
  <c r="O24" i="24"/>
  <c r="V24" i="24"/>
  <c r="W24" i="24"/>
  <c r="X24" i="24"/>
  <c r="D24" i="24"/>
  <c r="S23" i="24"/>
  <c r="U23" i="24"/>
  <c r="O23" i="24"/>
  <c r="D23" i="24"/>
  <c r="U22" i="24"/>
  <c r="N22" i="24"/>
  <c r="O22" i="24"/>
  <c r="V22" i="24"/>
  <c r="W22" i="24"/>
  <c r="X22" i="24"/>
  <c r="D22" i="24"/>
  <c r="U21" i="24"/>
  <c r="N21" i="24"/>
  <c r="O21" i="24"/>
  <c r="V21" i="24"/>
  <c r="W21" i="24"/>
  <c r="X21" i="24"/>
  <c r="D21" i="24"/>
  <c r="U20" i="24"/>
  <c r="N20" i="24"/>
  <c r="O20" i="24"/>
  <c r="V20" i="24"/>
  <c r="W20" i="24"/>
  <c r="X20" i="24"/>
  <c r="D20" i="24"/>
  <c r="U19" i="24"/>
  <c r="N19" i="24"/>
  <c r="O19" i="24"/>
  <c r="V19" i="24"/>
  <c r="W19" i="24"/>
  <c r="X19" i="24"/>
  <c r="D19" i="24"/>
  <c r="U18" i="24"/>
  <c r="N18" i="24"/>
  <c r="O18" i="24"/>
  <c r="V18" i="24"/>
  <c r="W18" i="24"/>
  <c r="X18" i="24"/>
  <c r="D18" i="24"/>
  <c r="U17" i="24"/>
  <c r="N17" i="24"/>
  <c r="O17" i="24"/>
  <c r="D17" i="24"/>
  <c r="U16" i="24"/>
  <c r="N16" i="24"/>
  <c r="O16" i="24"/>
  <c r="V16" i="24"/>
  <c r="W16" i="24"/>
  <c r="X16" i="24"/>
  <c r="D16" i="24"/>
  <c r="S15" i="24"/>
  <c r="U15" i="24"/>
  <c r="N15" i="24"/>
  <c r="O15" i="24"/>
  <c r="V15" i="24"/>
  <c r="W15" i="24"/>
  <c r="X15" i="24"/>
  <c r="D15" i="24"/>
  <c r="U14" i="24"/>
  <c r="N14" i="24"/>
  <c r="O14" i="24"/>
  <c r="V14" i="24"/>
  <c r="W14" i="24"/>
  <c r="X14" i="24"/>
  <c r="D14" i="24"/>
  <c r="U13" i="24"/>
  <c r="N13" i="24"/>
  <c r="O13" i="24"/>
  <c r="V13" i="24"/>
  <c r="W13" i="24"/>
  <c r="X13" i="24"/>
  <c r="D13" i="24"/>
  <c r="U12" i="24"/>
  <c r="N12" i="24"/>
  <c r="O12" i="24"/>
  <c r="D12" i="24"/>
  <c r="U11" i="24"/>
  <c r="O11" i="24"/>
  <c r="V11" i="24"/>
  <c r="W11" i="24"/>
  <c r="X11" i="24"/>
  <c r="D11" i="24"/>
  <c r="S10" i="24"/>
  <c r="U10" i="24"/>
  <c r="N10" i="24"/>
  <c r="O10" i="24"/>
  <c r="V10" i="24"/>
  <c r="W10" i="24"/>
  <c r="X10" i="24"/>
  <c r="D10" i="24"/>
  <c r="P9" i="24"/>
  <c r="U9" i="24"/>
  <c r="O9" i="24"/>
  <c r="V9" i="24"/>
  <c r="W9" i="24"/>
  <c r="X9" i="24"/>
  <c r="D9" i="24"/>
  <c r="S8" i="24"/>
  <c r="U8" i="24"/>
  <c r="N8" i="24"/>
  <c r="O8" i="24"/>
  <c r="V8" i="24"/>
  <c r="W8" i="24"/>
  <c r="X8" i="24"/>
  <c r="D8" i="24"/>
  <c r="S7" i="24"/>
  <c r="U7" i="24"/>
  <c r="N7" i="24"/>
  <c r="O7" i="24"/>
  <c r="D7" i="24"/>
  <c r="U6" i="24"/>
  <c r="N6" i="24"/>
  <c r="O6" i="24"/>
  <c r="V6" i="24"/>
  <c r="W6" i="24"/>
  <c r="X6" i="24"/>
  <c r="D6" i="24"/>
  <c r="U5" i="24"/>
  <c r="N5" i="24"/>
  <c r="O5" i="24"/>
  <c r="V5" i="24"/>
  <c r="W5" i="24"/>
  <c r="X5" i="24"/>
  <c r="D5" i="24"/>
  <c r="U4" i="24"/>
  <c r="N4" i="24"/>
  <c r="O4" i="24"/>
  <c r="V4" i="24"/>
  <c r="W4" i="24"/>
  <c r="X4" i="24"/>
  <c r="D4" i="24"/>
  <c r="U3" i="24"/>
  <c r="N3" i="24"/>
  <c r="O3" i="24"/>
  <c r="V3" i="24"/>
  <c r="W3" i="24"/>
  <c r="X3" i="24"/>
  <c r="D3" i="24"/>
  <c r="S75" i="23"/>
  <c r="L75" i="23"/>
  <c r="M75" i="23"/>
  <c r="T75" i="23"/>
  <c r="U75" i="23"/>
  <c r="AL75" i="23"/>
  <c r="D75" i="23"/>
  <c r="S74" i="23"/>
  <c r="L74" i="23"/>
  <c r="M74" i="23"/>
  <c r="T74" i="23"/>
  <c r="U74" i="23"/>
  <c r="AL74" i="23"/>
  <c r="D74" i="23"/>
  <c r="S73" i="23"/>
  <c r="L73" i="23"/>
  <c r="M73" i="23"/>
  <c r="T73" i="23"/>
  <c r="U73" i="23"/>
  <c r="AL73" i="23"/>
  <c r="D73" i="23"/>
  <c r="S72" i="23"/>
  <c r="L72" i="23"/>
  <c r="M72" i="23"/>
  <c r="T72" i="23"/>
  <c r="U72" i="23"/>
  <c r="AL72" i="23"/>
  <c r="D72" i="23"/>
  <c r="S71" i="23"/>
  <c r="L71" i="23"/>
  <c r="M71" i="23"/>
  <c r="D71" i="23"/>
  <c r="S70" i="23"/>
  <c r="L70" i="23"/>
  <c r="M70" i="23"/>
  <c r="T70" i="23"/>
  <c r="U70" i="23"/>
  <c r="D70" i="23"/>
  <c r="S69" i="23"/>
  <c r="L69" i="23"/>
  <c r="M69" i="23"/>
  <c r="T69" i="23"/>
  <c r="U69" i="23"/>
  <c r="AL69" i="23"/>
  <c r="D69" i="23"/>
  <c r="S68" i="23"/>
  <c r="L68" i="23"/>
  <c r="M68" i="23"/>
  <c r="T68" i="23"/>
  <c r="U68" i="23"/>
  <c r="AL68" i="23"/>
  <c r="D68" i="23"/>
  <c r="S67" i="23"/>
  <c r="L67" i="23"/>
  <c r="M67" i="23"/>
  <c r="T67" i="23"/>
  <c r="U67" i="23"/>
  <c r="AL67" i="23"/>
  <c r="D67" i="23"/>
  <c r="S66" i="23"/>
  <c r="L66" i="23"/>
  <c r="M66" i="23"/>
  <c r="T66" i="23"/>
  <c r="U66" i="23"/>
  <c r="AL66" i="23"/>
  <c r="D66" i="23"/>
  <c r="S65" i="23"/>
  <c r="L65" i="23"/>
  <c r="M65" i="23"/>
  <c r="T65" i="23"/>
  <c r="U65" i="23"/>
  <c r="AL65" i="23"/>
  <c r="D65" i="23"/>
  <c r="S64" i="23"/>
  <c r="L64" i="23"/>
  <c r="M64" i="23"/>
  <c r="T64" i="23"/>
  <c r="U64" i="23"/>
  <c r="D64" i="23"/>
  <c r="S63" i="23"/>
  <c r="L63" i="23"/>
  <c r="M63" i="23"/>
  <c r="D63" i="23"/>
  <c r="S62" i="23"/>
  <c r="L62" i="23"/>
  <c r="M62" i="23"/>
  <c r="T62" i="23"/>
  <c r="U62" i="23"/>
  <c r="AL62" i="23"/>
  <c r="D62" i="23"/>
  <c r="S61" i="23"/>
  <c r="L61" i="23"/>
  <c r="M61" i="23"/>
  <c r="D61" i="23"/>
  <c r="S60" i="23"/>
  <c r="L60" i="23"/>
  <c r="M60" i="23"/>
  <c r="T60" i="23"/>
  <c r="U60" i="23"/>
  <c r="AL60" i="23"/>
  <c r="D60" i="23"/>
  <c r="S59" i="23"/>
  <c r="L59" i="23"/>
  <c r="M59" i="23"/>
  <c r="D59" i="23"/>
  <c r="S58" i="23"/>
  <c r="L58" i="23"/>
  <c r="M58" i="23"/>
  <c r="T58" i="23"/>
  <c r="U58" i="23"/>
  <c r="D58" i="23"/>
  <c r="S57" i="23"/>
  <c r="L57" i="23"/>
  <c r="M57" i="23"/>
  <c r="T57" i="23"/>
  <c r="U57" i="23"/>
  <c r="AL57" i="23"/>
  <c r="D57" i="23"/>
  <c r="S56" i="23"/>
  <c r="L56" i="23"/>
  <c r="M56" i="23"/>
  <c r="T56" i="23"/>
  <c r="U56" i="23"/>
  <c r="AL56" i="23"/>
  <c r="D56" i="23"/>
  <c r="S55" i="23"/>
  <c r="L55" i="23"/>
  <c r="M55" i="23"/>
  <c r="T55" i="23"/>
  <c r="U55" i="23"/>
  <c r="AL55" i="23"/>
  <c r="D55" i="23"/>
  <c r="S54" i="23"/>
  <c r="L54" i="23"/>
  <c r="M54" i="23"/>
  <c r="T54" i="23"/>
  <c r="U54" i="23"/>
  <c r="AL54" i="23"/>
  <c r="D54" i="23"/>
  <c r="S53" i="23"/>
  <c r="L53" i="23"/>
  <c r="M53" i="23"/>
  <c r="T53" i="23"/>
  <c r="U53" i="23"/>
  <c r="AL53" i="23"/>
  <c r="D53" i="23"/>
  <c r="S52" i="23"/>
  <c r="L52" i="23"/>
  <c r="M52" i="23"/>
  <c r="T52" i="23"/>
  <c r="U52" i="23"/>
  <c r="D52" i="23"/>
  <c r="S51" i="23"/>
  <c r="L51" i="23"/>
  <c r="M51" i="23"/>
  <c r="D51" i="23"/>
  <c r="S50" i="23"/>
  <c r="L50" i="23"/>
  <c r="M50" i="23"/>
  <c r="T50" i="23"/>
  <c r="U50" i="23"/>
  <c r="AL50" i="23"/>
  <c r="D50" i="23"/>
  <c r="S49" i="23"/>
  <c r="L49" i="23"/>
  <c r="M49" i="23"/>
  <c r="D49" i="23"/>
  <c r="S48" i="23"/>
  <c r="L48" i="23"/>
  <c r="M48" i="23"/>
  <c r="T48" i="23"/>
  <c r="U48" i="23"/>
  <c r="AL48" i="23"/>
  <c r="D48" i="23"/>
  <c r="S47" i="23"/>
  <c r="L47" i="23"/>
  <c r="M47" i="23"/>
  <c r="D47" i="23"/>
  <c r="S46" i="23"/>
  <c r="L46" i="23"/>
  <c r="M46" i="23"/>
  <c r="T46" i="23"/>
  <c r="U46" i="23"/>
  <c r="D46" i="23"/>
  <c r="AL45" i="23"/>
  <c r="D45" i="23"/>
  <c r="AL44" i="23"/>
  <c r="D44" i="23"/>
  <c r="S43" i="23"/>
  <c r="L43" i="23"/>
  <c r="M43" i="23"/>
  <c r="T43" i="23"/>
  <c r="U43" i="23"/>
  <c r="AL43" i="23"/>
  <c r="D43" i="23"/>
  <c r="S42" i="23"/>
  <c r="L42" i="23"/>
  <c r="M42" i="23"/>
  <c r="T42" i="23"/>
  <c r="U42" i="23"/>
  <c r="AL42" i="23"/>
  <c r="D42" i="23"/>
  <c r="S41" i="23"/>
  <c r="M41" i="23"/>
  <c r="T41" i="23"/>
  <c r="U41" i="23"/>
  <c r="AL41" i="23"/>
  <c r="D41" i="23"/>
  <c r="S40" i="23"/>
  <c r="L40" i="23"/>
  <c r="M40" i="23"/>
  <c r="D40" i="23"/>
  <c r="S39" i="23"/>
  <c r="L39" i="23"/>
  <c r="M39" i="23"/>
  <c r="D39" i="23"/>
  <c r="S38" i="23"/>
  <c r="L38" i="23"/>
  <c r="M38" i="23"/>
  <c r="D38" i="23"/>
  <c r="S37" i="23"/>
  <c r="L37" i="23"/>
  <c r="M37" i="23"/>
  <c r="T37" i="23"/>
  <c r="U37" i="23"/>
  <c r="AL37" i="23"/>
  <c r="D37" i="23"/>
  <c r="Q36" i="23"/>
  <c r="S36" i="23"/>
  <c r="L36" i="23"/>
  <c r="M36" i="23"/>
  <c r="T36" i="23"/>
  <c r="U36" i="23"/>
  <c r="AL36" i="23"/>
  <c r="D36" i="23"/>
  <c r="Q35" i="23"/>
  <c r="S35" i="23"/>
  <c r="L35" i="23"/>
  <c r="M35" i="23"/>
  <c r="D35" i="23"/>
  <c r="N34" i="23"/>
  <c r="Q34" i="23"/>
  <c r="S34" i="23"/>
  <c r="L34" i="23"/>
  <c r="M34" i="23"/>
  <c r="T34" i="23"/>
  <c r="U34" i="23"/>
  <c r="D34" i="23"/>
  <c r="Q33" i="23"/>
  <c r="S33" i="23"/>
  <c r="M33" i="23"/>
  <c r="D33" i="23"/>
  <c r="D32" i="23"/>
  <c r="AL31" i="23"/>
  <c r="D31" i="23"/>
  <c r="D30" i="23"/>
  <c r="S29" i="23"/>
  <c r="L29" i="23"/>
  <c r="M29" i="23"/>
  <c r="T29" i="23"/>
  <c r="U29" i="23"/>
  <c r="AL29" i="23"/>
  <c r="D29" i="23"/>
  <c r="S28" i="23"/>
  <c r="L28" i="23"/>
  <c r="M28" i="23"/>
  <c r="T28" i="23"/>
  <c r="U28" i="23"/>
  <c r="AL28" i="23"/>
  <c r="D28" i="23"/>
  <c r="S27" i="23"/>
  <c r="L27" i="23"/>
  <c r="M27" i="23"/>
  <c r="T27" i="23"/>
  <c r="U27" i="23"/>
  <c r="AL27" i="23"/>
  <c r="D27" i="23"/>
  <c r="S26" i="23"/>
  <c r="L26" i="23"/>
  <c r="M26" i="23"/>
  <c r="T26" i="23"/>
  <c r="U26" i="23"/>
  <c r="AL26" i="23"/>
  <c r="D26" i="23"/>
  <c r="S25" i="23"/>
  <c r="L25" i="23"/>
  <c r="M25" i="23"/>
  <c r="T25" i="23"/>
  <c r="U25" i="23"/>
  <c r="AL25" i="23"/>
  <c r="D25" i="23"/>
  <c r="S24" i="23"/>
  <c r="L24" i="23"/>
  <c r="M24" i="23"/>
  <c r="D24" i="23"/>
  <c r="S23" i="23"/>
  <c r="L23" i="23"/>
  <c r="M23" i="23"/>
  <c r="T23" i="23"/>
  <c r="U23" i="23"/>
  <c r="AL23" i="23"/>
  <c r="D23" i="23"/>
  <c r="S22" i="23"/>
  <c r="L22" i="23"/>
  <c r="M22" i="23"/>
  <c r="D22" i="23"/>
  <c r="S21" i="23"/>
  <c r="L21" i="23"/>
  <c r="M21" i="23"/>
  <c r="T21" i="23"/>
  <c r="U21" i="23"/>
  <c r="AL21" i="23"/>
  <c r="D21" i="23"/>
  <c r="N20" i="23"/>
  <c r="S20" i="23"/>
  <c r="L20" i="23"/>
  <c r="M20" i="23"/>
  <c r="T20" i="23"/>
  <c r="U20" i="23"/>
  <c r="AL20" i="23"/>
  <c r="D20" i="23"/>
  <c r="N19" i="23"/>
  <c r="Q19" i="23"/>
  <c r="S19" i="23"/>
  <c r="L19" i="23"/>
  <c r="M19" i="23"/>
  <c r="D19" i="23"/>
  <c r="S18" i="23"/>
  <c r="L18" i="23"/>
  <c r="M18" i="23"/>
  <c r="T18" i="23"/>
  <c r="U18" i="23"/>
  <c r="AL18" i="23"/>
  <c r="D18" i="23"/>
  <c r="S17" i="23"/>
  <c r="L17" i="23"/>
  <c r="M17" i="23"/>
  <c r="D17" i="23"/>
  <c r="S16" i="23"/>
  <c r="L16" i="23"/>
  <c r="M16" i="23"/>
  <c r="T16" i="23"/>
  <c r="U16" i="23"/>
  <c r="AL16" i="23"/>
  <c r="D16" i="23"/>
  <c r="S15" i="23"/>
  <c r="L15" i="23"/>
  <c r="M15" i="23"/>
  <c r="D15" i="23"/>
  <c r="S14" i="23"/>
  <c r="L14" i="23"/>
  <c r="M14" i="23"/>
  <c r="T14" i="23"/>
  <c r="U14" i="23"/>
  <c r="AL14" i="23"/>
  <c r="D14" i="23"/>
  <c r="S13" i="23"/>
  <c r="M13" i="23"/>
  <c r="T13" i="23"/>
  <c r="U13" i="23"/>
  <c r="AL13" i="23"/>
  <c r="D13" i="23"/>
  <c r="Q12" i="23"/>
  <c r="S12" i="23"/>
  <c r="L12" i="23"/>
  <c r="M12" i="23"/>
  <c r="T12" i="23"/>
  <c r="U12" i="23"/>
  <c r="AL12" i="23"/>
  <c r="D12" i="23"/>
  <c r="Q11" i="23"/>
  <c r="S11" i="23"/>
  <c r="L11" i="23"/>
  <c r="M11" i="23"/>
  <c r="T11" i="23"/>
  <c r="U11" i="23"/>
  <c r="AL11" i="23"/>
  <c r="D11" i="23"/>
  <c r="Q10" i="23"/>
  <c r="S10" i="23"/>
  <c r="L10" i="23"/>
  <c r="M10" i="23"/>
  <c r="D10" i="23"/>
  <c r="Q9" i="23"/>
  <c r="S9" i="23"/>
  <c r="L9" i="23"/>
  <c r="M9" i="23"/>
  <c r="T9" i="23"/>
  <c r="U9" i="23"/>
  <c r="D9" i="23"/>
  <c r="S8" i="23"/>
  <c r="L8" i="23"/>
  <c r="M8" i="23"/>
  <c r="T8" i="23"/>
  <c r="U8" i="23"/>
  <c r="AL8" i="23"/>
  <c r="D8" i="23"/>
  <c r="S7" i="23"/>
  <c r="L7" i="23"/>
  <c r="M7" i="23"/>
  <c r="T7" i="23"/>
  <c r="U7" i="23"/>
  <c r="AL7" i="23"/>
  <c r="D7" i="23"/>
  <c r="S6" i="23"/>
  <c r="L6" i="23"/>
  <c r="M6" i="23"/>
  <c r="T6" i="23"/>
  <c r="U6" i="23"/>
  <c r="AL6" i="23"/>
  <c r="D6" i="23"/>
  <c r="S5" i="23"/>
  <c r="L5" i="23"/>
  <c r="M5" i="23"/>
  <c r="T5" i="23"/>
  <c r="U5" i="23"/>
  <c r="AL5" i="23"/>
  <c r="D5" i="23"/>
  <c r="S4" i="23"/>
  <c r="L4" i="23"/>
  <c r="M4" i="23"/>
  <c r="T4" i="23"/>
  <c r="U4" i="23"/>
  <c r="AL4" i="23"/>
  <c r="D4" i="23"/>
  <c r="S3" i="23"/>
  <c r="L3" i="23"/>
  <c r="M3" i="23"/>
  <c r="T3" i="23"/>
  <c r="U3" i="23"/>
  <c r="D3" i="23"/>
  <c r="V17" i="24"/>
  <c r="W17" i="24"/>
  <c r="X17" i="24"/>
  <c r="V39" i="24"/>
  <c r="W39" i="24"/>
  <c r="X39" i="24"/>
  <c r="V12" i="24"/>
  <c r="W12" i="24"/>
  <c r="X12" i="24"/>
  <c r="V43" i="24"/>
  <c r="W43" i="24"/>
  <c r="X43" i="24"/>
  <c r="V7" i="24"/>
  <c r="W7" i="24"/>
  <c r="X7" i="24"/>
  <c r="AL30" i="23"/>
  <c r="T15" i="23"/>
  <c r="U15" i="23"/>
  <c r="AL15" i="23"/>
  <c r="T17" i="23"/>
  <c r="U17" i="23"/>
  <c r="AL17" i="23"/>
  <c r="T35" i="23"/>
  <c r="U35" i="23"/>
  <c r="AL35" i="23"/>
  <c r="T10" i="23"/>
  <c r="U10" i="23"/>
  <c r="AL10" i="23"/>
  <c r="T19" i="23"/>
  <c r="U19" i="23"/>
  <c r="AL32" i="23"/>
  <c r="T22" i="23"/>
  <c r="U22" i="23"/>
  <c r="AL22" i="23"/>
  <c r="T38" i="23"/>
  <c r="U38" i="23"/>
  <c r="AL38" i="23"/>
  <c r="T49" i="23"/>
  <c r="U49" i="23"/>
  <c r="AL49" i="23"/>
  <c r="T59" i="23"/>
  <c r="U59" i="23"/>
  <c r="AL59" i="23"/>
  <c r="T63" i="23"/>
  <c r="U63" i="23"/>
  <c r="AL63" i="23"/>
  <c r="T71" i="23"/>
  <c r="U71" i="23"/>
  <c r="AL71" i="23"/>
  <c r="T24" i="23"/>
  <c r="U24" i="23"/>
  <c r="AL24" i="23"/>
  <c r="T40" i="23"/>
  <c r="U40" i="23"/>
  <c r="T47" i="23"/>
  <c r="U47" i="23"/>
  <c r="AL47" i="23"/>
  <c r="T51" i="23"/>
  <c r="U51" i="23"/>
  <c r="AL51" i="23"/>
  <c r="T61" i="23"/>
  <c r="U61" i="23"/>
  <c r="AL61" i="23"/>
  <c r="Q16" i="18"/>
  <c r="S16" i="18"/>
  <c r="L16" i="18"/>
  <c r="M16" i="18"/>
  <c r="T16" i="18"/>
  <c r="U16" i="18"/>
  <c r="Q17" i="18"/>
  <c r="S17" i="18"/>
  <c r="L17" i="18"/>
  <c r="M17" i="18"/>
  <c r="T17" i="18"/>
  <c r="U17" i="18"/>
  <c r="S19" i="18"/>
  <c r="L19" i="18"/>
  <c r="M19" i="18"/>
  <c r="T19" i="18"/>
  <c r="U19" i="18"/>
  <c r="S20" i="18"/>
  <c r="L20" i="18"/>
  <c r="M20" i="18"/>
  <c r="T20" i="18"/>
  <c r="U20" i="18"/>
  <c r="S21" i="18"/>
  <c r="L21" i="18"/>
  <c r="M21" i="18"/>
  <c r="T21" i="18"/>
  <c r="U21" i="18"/>
  <c r="D51" i="21"/>
  <c r="D52" i="21"/>
  <c r="D53" i="21"/>
  <c r="D50" i="21"/>
  <c r="X38" i="22"/>
  <c r="D45" i="21"/>
  <c r="D46" i="21"/>
  <c r="D47" i="21"/>
  <c r="D48" i="21"/>
  <c r="D49" i="21"/>
  <c r="D44" i="21"/>
  <c r="AI49" i="21"/>
  <c r="AI45" i="21"/>
  <c r="D7" i="22"/>
  <c r="D8" i="22"/>
  <c r="D9" i="22"/>
  <c r="D10" i="22"/>
  <c r="N7" i="22"/>
  <c r="O7" i="22"/>
  <c r="V7" i="22"/>
  <c r="W7" i="22"/>
  <c r="X7" i="22"/>
  <c r="N8" i="22"/>
  <c r="O8" i="22"/>
  <c r="U8" i="22"/>
  <c r="N9" i="22"/>
  <c r="O9" i="22"/>
  <c r="V9" i="22"/>
  <c r="W9" i="22"/>
  <c r="X9" i="22"/>
  <c r="U9" i="22"/>
  <c r="N10" i="22"/>
  <c r="O10" i="22"/>
  <c r="V10" i="22"/>
  <c r="W10" i="22"/>
  <c r="X10" i="22"/>
  <c r="P10" i="22"/>
  <c r="U10" i="22"/>
  <c r="D11" i="22"/>
  <c r="N11" i="22"/>
  <c r="O11" i="22"/>
  <c r="U11" i="22"/>
  <c r="D12" i="22"/>
  <c r="N12" i="22"/>
  <c r="O12" i="22"/>
  <c r="V12" i="22"/>
  <c r="W12" i="22"/>
  <c r="X12" i="22"/>
  <c r="U12" i="22"/>
  <c r="D13" i="22"/>
  <c r="N13" i="22"/>
  <c r="O13" i="22"/>
  <c r="U13" i="22"/>
  <c r="V13" i="22"/>
  <c r="W13" i="22"/>
  <c r="X13" i="22"/>
  <c r="D14" i="22"/>
  <c r="N14" i="22"/>
  <c r="O14" i="22"/>
  <c r="V14" i="22"/>
  <c r="W14" i="22"/>
  <c r="X14" i="22"/>
  <c r="U14" i="22"/>
  <c r="D15" i="22"/>
  <c r="N15" i="22"/>
  <c r="O15" i="22"/>
  <c r="V15" i="22"/>
  <c r="W15" i="22"/>
  <c r="X15" i="22"/>
  <c r="U15" i="22"/>
  <c r="D16" i="22"/>
  <c r="N16" i="22"/>
  <c r="O16" i="22"/>
  <c r="V16" i="22"/>
  <c r="W16" i="22"/>
  <c r="X16" i="22"/>
  <c r="U16" i="22"/>
  <c r="D17" i="22"/>
  <c r="N17" i="22"/>
  <c r="O17" i="22"/>
  <c r="U17" i="22"/>
  <c r="V17" i="22"/>
  <c r="W17" i="22"/>
  <c r="X17" i="22"/>
  <c r="D18" i="22"/>
  <c r="N18" i="22"/>
  <c r="O18" i="22"/>
  <c r="U18" i="22"/>
  <c r="V18" i="22"/>
  <c r="W18" i="22"/>
  <c r="X18" i="22"/>
  <c r="D19" i="22"/>
  <c r="N19" i="22"/>
  <c r="O19" i="22"/>
  <c r="V19" i="22"/>
  <c r="W19" i="22"/>
  <c r="X19" i="22"/>
  <c r="U19" i="22"/>
  <c r="D20" i="22"/>
  <c r="N20" i="22"/>
  <c r="O20" i="22"/>
  <c r="V20" i="22"/>
  <c r="W20" i="22"/>
  <c r="X20" i="22"/>
  <c r="U20" i="22"/>
  <c r="D21" i="22"/>
  <c r="N21" i="22"/>
  <c r="O21" i="22"/>
  <c r="V21" i="22"/>
  <c r="W21" i="22"/>
  <c r="X21" i="22"/>
  <c r="U21" i="22"/>
  <c r="D22" i="22"/>
  <c r="N22" i="22"/>
  <c r="O22" i="22"/>
  <c r="U22" i="22"/>
  <c r="V22" i="22"/>
  <c r="W22" i="22"/>
  <c r="X22" i="22"/>
  <c r="D23" i="22"/>
  <c r="N23" i="22"/>
  <c r="O23" i="22"/>
  <c r="V23" i="22"/>
  <c r="W23" i="22"/>
  <c r="X23" i="22"/>
  <c r="U23" i="22"/>
  <c r="D24" i="22"/>
  <c r="N24" i="22"/>
  <c r="O24" i="22"/>
  <c r="U24" i="22"/>
  <c r="V24" i="22"/>
  <c r="W24" i="22"/>
  <c r="X24" i="22"/>
  <c r="D25" i="22"/>
  <c r="N25" i="22"/>
  <c r="O25" i="22"/>
  <c r="V25" i="22"/>
  <c r="W25" i="22"/>
  <c r="X25" i="22"/>
  <c r="U25" i="22"/>
  <c r="D26" i="22"/>
  <c r="N26" i="22"/>
  <c r="O26" i="22"/>
  <c r="V26" i="22"/>
  <c r="W26" i="22"/>
  <c r="X26" i="22"/>
  <c r="U26" i="22"/>
  <c r="D27" i="22"/>
  <c r="N27" i="22"/>
  <c r="O27" i="22"/>
  <c r="V27" i="22"/>
  <c r="W27" i="22"/>
  <c r="X27" i="22"/>
  <c r="U27" i="22"/>
  <c r="D28" i="22"/>
  <c r="N28" i="22"/>
  <c r="O28" i="22"/>
  <c r="V28" i="22"/>
  <c r="W28" i="22"/>
  <c r="X28" i="22"/>
  <c r="S28" i="22"/>
  <c r="U28" i="22"/>
  <c r="D29" i="22"/>
  <c r="N29" i="22"/>
  <c r="O29" i="22"/>
  <c r="V29" i="22"/>
  <c r="W29" i="22"/>
  <c r="X29" i="22"/>
  <c r="S29" i="22"/>
  <c r="U29" i="22"/>
  <c r="D30" i="22"/>
  <c r="N30" i="22"/>
  <c r="O30" i="22"/>
  <c r="U30" i="22"/>
  <c r="V30" i="22"/>
  <c r="W30" i="22"/>
  <c r="X30" i="22"/>
  <c r="D31" i="22"/>
  <c r="N31" i="22"/>
  <c r="O31" i="22"/>
  <c r="V31" i="22"/>
  <c r="W31" i="22"/>
  <c r="X31" i="22"/>
  <c r="U31" i="22"/>
  <c r="D32" i="22"/>
  <c r="N32" i="22"/>
  <c r="O32" i="22"/>
  <c r="V32" i="22"/>
  <c r="W32" i="22"/>
  <c r="X32" i="22"/>
  <c r="U32" i="22"/>
  <c r="D33" i="22"/>
  <c r="N33" i="22"/>
  <c r="O33" i="22"/>
  <c r="V33" i="22"/>
  <c r="W33" i="22"/>
  <c r="X33" i="22"/>
  <c r="U33" i="22"/>
  <c r="D34" i="22"/>
  <c r="N34" i="22"/>
  <c r="O34" i="22"/>
  <c r="U34" i="22"/>
  <c r="V34" i="22"/>
  <c r="W34" i="22"/>
  <c r="X34" i="22"/>
  <c r="D9" i="21"/>
  <c r="D10" i="21"/>
  <c r="D11" i="21"/>
  <c r="D12" i="21"/>
  <c r="L9" i="21"/>
  <c r="M9" i="21"/>
  <c r="T9" i="21"/>
  <c r="U9" i="21"/>
  <c r="S9" i="21"/>
  <c r="L10" i="21"/>
  <c r="M10" i="21"/>
  <c r="S10" i="21"/>
  <c r="L11" i="21"/>
  <c r="M11" i="21"/>
  <c r="S11" i="21"/>
  <c r="L12" i="21"/>
  <c r="M12" i="21"/>
  <c r="N12" i="21"/>
  <c r="S12" i="21"/>
  <c r="D13" i="21"/>
  <c r="L13" i="21"/>
  <c r="M13" i="21"/>
  <c r="S13" i="21"/>
  <c r="D14" i="21"/>
  <c r="L14" i="21"/>
  <c r="M14" i="21"/>
  <c r="S14" i="21"/>
  <c r="T14" i="21"/>
  <c r="U14" i="21"/>
  <c r="AI14" i="21"/>
  <c r="D15" i="21"/>
  <c r="L15" i="21"/>
  <c r="M15" i="21"/>
  <c r="S15" i="21"/>
  <c r="D16" i="21"/>
  <c r="L16" i="21"/>
  <c r="M16" i="21"/>
  <c r="S16" i="21"/>
  <c r="D17" i="21"/>
  <c r="L17" i="21"/>
  <c r="M17" i="21"/>
  <c r="S17" i="21"/>
  <c r="D18" i="21"/>
  <c r="L18" i="21"/>
  <c r="M18" i="21"/>
  <c r="S18" i="21"/>
  <c r="T18" i="21"/>
  <c r="U18" i="21"/>
  <c r="AI18" i="21"/>
  <c r="D19" i="21"/>
  <c r="L19" i="21"/>
  <c r="M19" i="21"/>
  <c r="T19" i="21"/>
  <c r="U19" i="21"/>
  <c r="AI19" i="21"/>
  <c r="S19" i="21"/>
  <c r="D20" i="21"/>
  <c r="L20" i="21"/>
  <c r="M20" i="21"/>
  <c r="S20" i="21"/>
  <c r="D21" i="21"/>
  <c r="L21" i="21"/>
  <c r="M21" i="21"/>
  <c r="S21" i="21"/>
  <c r="D22" i="21"/>
  <c r="M22" i="21"/>
  <c r="S22" i="21"/>
  <c r="D23" i="21"/>
  <c r="L23" i="21"/>
  <c r="M23" i="21"/>
  <c r="S23" i="21"/>
  <c r="D24" i="21"/>
  <c r="L24" i="21"/>
  <c r="M24" i="21"/>
  <c r="S24" i="21"/>
  <c r="D25" i="21"/>
  <c r="L25" i="21"/>
  <c r="M25" i="21"/>
  <c r="S25" i="21"/>
  <c r="D26" i="21"/>
  <c r="L26" i="21"/>
  <c r="M26" i="21"/>
  <c r="S26" i="21"/>
  <c r="D27" i="21"/>
  <c r="L27" i="21"/>
  <c r="M27" i="21"/>
  <c r="S27" i="21"/>
  <c r="D28" i="21"/>
  <c r="L28" i="21"/>
  <c r="M28" i="21"/>
  <c r="S28" i="21"/>
  <c r="D29" i="21"/>
  <c r="L29" i="21"/>
  <c r="M29" i="21"/>
  <c r="S29" i="21"/>
  <c r="D30" i="21"/>
  <c r="L30" i="21"/>
  <c r="M30" i="21"/>
  <c r="S30" i="21"/>
  <c r="T30" i="21"/>
  <c r="U30" i="21"/>
  <c r="AI30" i="21"/>
  <c r="D31" i="21"/>
  <c r="L31" i="21"/>
  <c r="M31" i="21"/>
  <c r="S31" i="21"/>
  <c r="D32" i="21"/>
  <c r="L32" i="21"/>
  <c r="M32" i="21"/>
  <c r="T32" i="21"/>
  <c r="U32" i="21"/>
  <c r="AI32" i="21"/>
  <c r="S32" i="21"/>
  <c r="D33" i="21"/>
  <c r="L33" i="21"/>
  <c r="M33" i="21"/>
  <c r="S33" i="21"/>
  <c r="D34" i="21"/>
  <c r="L34" i="21"/>
  <c r="M34" i="21"/>
  <c r="T34" i="21"/>
  <c r="U34" i="21"/>
  <c r="Q34" i="21"/>
  <c r="S34" i="21"/>
  <c r="D35" i="21"/>
  <c r="L35" i="21"/>
  <c r="M35" i="21"/>
  <c r="T35" i="21"/>
  <c r="U35" i="21"/>
  <c r="AI35" i="21"/>
  <c r="S35" i="21"/>
  <c r="D36" i="21"/>
  <c r="M36" i="21"/>
  <c r="T36" i="21"/>
  <c r="U36" i="21"/>
  <c r="AI36" i="21"/>
  <c r="S36" i="21"/>
  <c r="D37" i="21"/>
  <c r="M37" i="21"/>
  <c r="S37" i="21"/>
  <c r="D38" i="21"/>
  <c r="L38" i="21"/>
  <c r="M38" i="21"/>
  <c r="T38" i="21"/>
  <c r="U38" i="21"/>
  <c r="S38" i="21"/>
  <c r="D39" i="21"/>
  <c r="L39" i="21"/>
  <c r="M39" i="21"/>
  <c r="T39" i="21"/>
  <c r="U39" i="21"/>
  <c r="AI39" i="21"/>
  <c r="S39" i="21"/>
  <c r="D40" i="21"/>
  <c r="L40" i="21"/>
  <c r="M40" i="21"/>
  <c r="S40" i="21"/>
  <c r="D41" i="21"/>
  <c r="L41" i="21"/>
  <c r="M41" i="21"/>
  <c r="T41" i="21"/>
  <c r="U41" i="21"/>
  <c r="AI41" i="21"/>
  <c r="S41" i="21"/>
  <c r="D42" i="21"/>
  <c r="L42" i="21"/>
  <c r="M42" i="21"/>
  <c r="S42" i="21"/>
  <c r="D43" i="21"/>
  <c r="L43" i="21"/>
  <c r="M43" i="21"/>
  <c r="S43" i="21"/>
  <c r="T43" i="21"/>
  <c r="U43" i="21"/>
  <c r="AI43" i="21"/>
  <c r="T11" i="21"/>
  <c r="U11" i="21"/>
  <c r="AI11" i="21"/>
  <c r="AI46" i="21"/>
  <c r="AI53" i="21"/>
  <c r="X37" i="22"/>
  <c r="X35" i="22"/>
  <c r="V11" i="22"/>
  <c r="W11" i="22"/>
  <c r="X11" i="22"/>
  <c r="V8" i="22"/>
  <c r="W8" i="22"/>
  <c r="X8" i="22"/>
  <c r="T23" i="21"/>
  <c r="U23" i="21"/>
  <c r="AI23" i="21"/>
  <c r="T20" i="21"/>
  <c r="U20" i="21"/>
  <c r="AI20" i="21"/>
  <c r="T16" i="21"/>
  <c r="U16" i="21"/>
  <c r="AI16" i="21"/>
  <c r="T25" i="21"/>
  <c r="U25" i="21"/>
  <c r="AI25" i="21"/>
  <c r="T22" i="21"/>
  <c r="U22" i="21"/>
  <c r="AI22" i="21"/>
  <c r="T37" i="21"/>
  <c r="U37" i="21"/>
  <c r="AI37" i="21"/>
  <c r="T28" i="21"/>
  <c r="U28" i="21"/>
  <c r="AI28" i="21"/>
  <c r="T29" i="21"/>
  <c r="U29" i="21"/>
  <c r="AI29" i="21"/>
  <c r="T31" i="21"/>
  <c r="U31" i="21"/>
  <c r="AI31" i="21"/>
  <c r="T33" i="21"/>
  <c r="U33" i="21"/>
  <c r="AI33" i="21"/>
  <c r="T15" i="21"/>
  <c r="U15" i="21"/>
  <c r="AI15" i="21"/>
  <c r="T24" i="21"/>
  <c r="U24" i="21"/>
  <c r="AI24" i="21"/>
  <c r="T17" i="21"/>
  <c r="U17" i="21"/>
  <c r="AI17" i="21"/>
  <c r="T27" i="21"/>
  <c r="U27" i="21"/>
  <c r="AI27" i="21"/>
  <c r="T12" i="21"/>
  <c r="U12" i="21"/>
  <c r="AI12" i="21"/>
  <c r="T40" i="21"/>
  <c r="U40" i="21"/>
  <c r="AI40" i="21"/>
  <c r="T42" i="21"/>
  <c r="U42" i="21"/>
  <c r="AI42" i="21"/>
  <c r="T21" i="21"/>
  <c r="U21" i="21"/>
  <c r="AI21" i="21"/>
  <c r="T26" i="21"/>
  <c r="U26" i="21"/>
  <c r="AI26" i="21"/>
  <c r="T13" i="21"/>
  <c r="U13" i="21"/>
  <c r="T10" i="21"/>
  <c r="U10" i="21"/>
  <c r="AI10" i="21"/>
  <c r="AI44" i="21"/>
  <c r="U54" i="22"/>
  <c r="N54" i="22"/>
  <c r="O54" i="22"/>
  <c r="V54" i="22"/>
  <c r="W54" i="22"/>
  <c r="X54" i="22"/>
  <c r="D54" i="22"/>
  <c r="U53" i="22"/>
  <c r="N53" i="22"/>
  <c r="O53" i="22"/>
  <c r="D53" i="22"/>
  <c r="U52" i="22"/>
  <c r="N52" i="22"/>
  <c r="O52" i="22"/>
  <c r="V52" i="22"/>
  <c r="W52" i="22"/>
  <c r="X52" i="22"/>
  <c r="D52" i="22"/>
  <c r="U51" i="22"/>
  <c r="N51" i="22"/>
  <c r="O51" i="22"/>
  <c r="V51" i="22"/>
  <c r="W51" i="22"/>
  <c r="X51" i="22"/>
  <c r="D51" i="22"/>
  <c r="U50" i="22"/>
  <c r="N50" i="22"/>
  <c r="O50" i="22"/>
  <c r="V50" i="22"/>
  <c r="W50" i="22"/>
  <c r="X50" i="22"/>
  <c r="D50" i="22"/>
  <c r="U49" i="22"/>
  <c r="N49" i="22"/>
  <c r="O49" i="22"/>
  <c r="V49" i="22"/>
  <c r="W49" i="22"/>
  <c r="X49" i="22"/>
  <c r="D49" i="22"/>
  <c r="U48" i="22"/>
  <c r="N48" i="22"/>
  <c r="O48" i="22"/>
  <c r="V48" i="22"/>
  <c r="W48" i="22"/>
  <c r="X48" i="22"/>
  <c r="D48" i="22"/>
  <c r="U47" i="22"/>
  <c r="N47" i="22"/>
  <c r="O47" i="22"/>
  <c r="D47" i="22"/>
  <c r="U46" i="22"/>
  <c r="N46" i="22"/>
  <c r="O46" i="22"/>
  <c r="V46" i="22"/>
  <c r="W46" i="22"/>
  <c r="X46" i="22"/>
  <c r="D46" i="22"/>
  <c r="U45" i="22"/>
  <c r="N45" i="22"/>
  <c r="O45" i="22"/>
  <c r="V45" i="22"/>
  <c r="W45" i="22"/>
  <c r="X45" i="22"/>
  <c r="D45" i="22"/>
  <c r="U44" i="22"/>
  <c r="N44" i="22"/>
  <c r="O44" i="22"/>
  <c r="V44" i="22"/>
  <c r="W44" i="22"/>
  <c r="X44" i="22"/>
  <c r="D44" i="22"/>
  <c r="U43" i="22"/>
  <c r="N43" i="22"/>
  <c r="O43" i="22"/>
  <c r="D43" i="22"/>
  <c r="X42" i="22"/>
  <c r="S71" i="21"/>
  <c r="L71" i="21"/>
  <c r="M71" i="21"/>
  <c r="D71" i="21"/>
  <c r="S70" i="21"/>
  <c r="L70" i="21"/>
  <c r="M70" i="21"/>
  <c r="T70" i="21"/>
  <c r="U70" i="21"/>
  <c r="AI70" i="21"/>
  <c r="D70" i="21"/>
  <c r="S69" i="21"/>
  <c r="L69" i="21"/>
  <c r="M69" i="21"/>
  <c r="T69" i="21"/>
  <c r="U69" i="21"/>
  <c r="AI69" i="21"/>
  <c r="D69" i="21"/>
  <c r="S68" i="21"/>
  <c r="L68" i="21"/>
  <c r="M68" i="21"/>
  <c r="D68" i="21"/>
  <c r="S67" i="21"/>
  <c r="L67" i="21"/>
  <c r="M67" i="21"/>
  <c r="T67" i="21"/>
  <c r="U67" i="21"/>
  <c r="AI67" i="21"/>
  <c r="D67" i="21"/>
  <c r="S66" i="21"/>
  <c r="L66" i="21"/>
  <c r="M66" i="21"/>
  <c r="D66" i="21"/>
  <c r="S65" i="21"/>
  <c r="L65" i="21"/>
  <c r="M65" i="21"/>
  <c r="T65" i="21"/>
  <c r="U65" i="21"/>
  <c r="AI65" i="21"/>
  <c r="D65" i="21"/>
  <c r="S64" i="21"/>
  <c r="L64" i="21"/>
  <c r="M64" i="21"/>
  <c r="T64" i="21"/>
  <c r="U64" i="21"/>
  <c r="AI64" i="21"/>
  <c r="D64" i="21"/>
  <c r="S63" i="21"/>
  <c r="L63" i="21"/>
  <c r="M63" i="21"/>
  <c r="T63" i="21"/>
  <c r="U63" i="21"/>
  <c r="AI63" i="21"/>
  <c r="D63" i="21"/>
  <c r="S62" i="21"/>
  <c r="L62" i="21"/>
  <c r="M62" i="21"/>
  <c r="T62" i="21"/>
  <c r="U62" i="21"/>
  <c r="AI62" i="21"/>
  <c r="D62" i="21"/>
  <c r="S61" i="21"/>
  <c r="L61" i="21"/>
  <c r="M61" i="21"/>
  <c r="T61" i="21"/>
  <c r="U61" i="21"/>
  <c r="AI61" i="21"/>
  <c r="D61" i="21"/>
  <c r="S60" i="21"/>
  <c r="L60" i="21"/>
  <c r="M60" i="21"/>
  <c r="D60" i="21"/>
  <c r="S59" i="21"/>
  <c r="L59" i="21"/>
  <c r="M59" i="21"/>
  <c r="T59" i="21"/>
  <c r="U59" i="21"/>
  <c r="AI59" i="21"/>
  <c r="D59" i="21"/>
  <c r="S58" i="21"/>
  <c r="L58" i="21"/>
  <c r="M58" i="21"/>
  <c r="T58" i="21"/>
  <c r="U58" i="21"/>
  <c r="AI58" i="21"/>
  <c r="D58" i="21"/>
  <c r="S57" i="21"/>
  <c r="L57" i="21"/>
  <c r="M57" i="21"/>
  <c r="T57" i="21"/>
  <c r="U57" i="21"/>
  <c r="AI57" i="21"/>
  <c r="D57" i="21"/>
  <c r="S56" i="21"/>
  <c r="L56" i="21"/>
  <c r="M56" i="21"/>
  <c r="T56" i="21"/>
  <c r="U56" i="21"/>
  <c r="AI56" i="21"/>
  <c r="D56" i="21"/>
  <c r="S55" i="21"/>
  <c r="L55" i="21"/>
  <c r="M55" i="21"/>
  <c r="T55" i="21"/>
  <c r="U55" i="21"/>
  <c r="AI55" i="21"/>
  <c r="D55" i="21"/>
  <c r="S54" i="21"/>
  <c r="L54" i="21"/>
  <c r="M54" i="21"/>
  <c r="T54" i="21"/>
  <c r="U54" i="21"/>
  <c r="D54" i="21"/>
  <c r="X5" i="22"/>
  <c r="T71" i="21"/>
  <c r="U71" i="21"/>
  <c r="AI71" i="21"/>
  <c r="T68" i="21"/>
  <c r="U68" i="21"/>
  <c r="AI68" i="21"/>
  <c r="X6" i="22"/>
  <c r="X41" i="22"/>
  <c r="V43" i="22"/>
  <c r="W43" i="22"/>
  <c r="X43" i="22"/>
  <c r="V47" i="22"/>
  <c r="W47" i="22"/>
  <c r="X47" i="22"/>
  <c r="X39" i="22"/>
  <c r="V53" i="22"/>
  <c r="W53" i="22"/>
  <c r="X53" i="22"/>
  <c r="T66" i="21"/>
  <c r="U66" i="21"/>
  <c r="T60" i="21"/>
  <c r="U60" i="21"/>
  <c r="AG60" i="21"/>
  <c r="U34" i="17"/>
  <c r="N34" i="17"/>
  <c r="O34" i="17"/>
  <c r="V34" i="17"/>
  <c r="W34" i="17"/>
  <c r="X34" i="17"/>
  <c r="U54" i="19"/>
  <c r="N54" i="19"/>
  <c r="O54" i="19"/>
  <c r="V54" i="19"/>
  <c r="W54" i="19"/>
  <c r="X54" i="19"/>
  <c r="D54" i="19"/>
  <c r="U53" i="19"/>
  <c r="N53" i="19"/>
  <c r="O53" i="19"/>
  <c r="D53" i="19"/>
  <c r="U52" i="19"/>
  <c r="N52" i="19"/>
  <c r="O52" i="19"/>
  <c r="V52" i="19"/>
  <c r="W52" i="19"/>
  <c r="X52" i="19"/>
  <c r="D52" i="19"/>
  <c r="U51" i="19"/>
  <c r="N51" i="19"/>
  <c r="O51" i="19"/>
  <c r="V51" i="19"/>
  <c r="W51" i="19"/>
  <c r="X51" i="19"/>
  <c r="D51" i="19"/>
  <c r="U50" i="19"/>
  <c r="N50" i="19"/>
  <c r="O50" i="19"/>
  <c r="V50" i="19"/>
  <c r="W50" i="19"/>
  <c r="X50" i="19"/>
  <c r="D50" i="19"/>
  <c r="U49" i="19"/>
  <c r="N49" i="19"/>
  <c r="O49" i="19"/>
  <c r="V49" i="19"/>
  <c r="W49" i="19"/>
  <c r="X49" i="19"/>
  <c r="D49" i="19"/>
  <c r="U48" i="19"/>
  <c r="N48" i="19"/>
  <c r="O48" i="19"/>
  <c r="V48" i="19"/>
  <c r="W48" i="19"/>
  <c r="X48" i="19"/>
  <c r="D48" i="19"/>
  <c r="U47" i="19"/>
  <c r="N47" i="19"/>
  <c r="O47" i="19"/>
  <c r="V47" i="19"/>
  <c r="W47" i="19"/>
  <c r="X47" i="19"/>
  <c r="D47" i="19"/>
  <c r="U46" i="19"/>
  <c r="N46" i="19"/>
  <c r="O46" i="19"/>
  <c r="V46" i="19"/>
  <c r="W46" i="19"/>
  <c r="X46" i="19"/>
  <c r="D46" i="19"/>
  <c r="U45" i="19"/>
  <c r="N45" i="19"/>
  <c r="O45" i="19"/>
  <c r="D45" i="19"/>
  <c r="U44" i="19"/>
  <c r="N44" i="19"/>
  <c r="O44" i="19"/>
  <c r="D44" i="19"/>
  <c r="U43" i="19"/>
  <c r="N43" i="19"/>
  <c r="O43" i="19"/>
  <c r="V43" i="19"/>
  <c r="W43" i="19"/>
  <c r="X43" i="19"/>
  <c r="D43" i="19"/>
  <c r="U42" i="19"/>
  <c r="N42" i="19"/>
  <c r="O42" i="19"/>
  <c r="V42" i="19"/>
  <c r="W42" i="19"/>
  <c r="X42" i="19"/>
  <c r="D42" i="19"/>
  <c r="U41" i="19"/>
  <c r="N41" i="19"/>
  <c r="O41" i="19"/>
  <c r="D41" i="19"/>
  <c r="U40" i="19"/>
  <c r="N40" i="19"/>
  <c r="O40" i="19"/>
  <c r="V40" i="19"/>
  <c r="W40" i="19"/>
  <c r="X40" i="19"/>
  <c r="D40" i="19"/>
  <c r="U39" i="19"/>
  <c r="N39" i="19"/>
  <c r="O39" i="19"/>
  <c r="V39" i="19"/>
  <c r="W39" i="19"/>
  <c r="X39" i="19"/>
  <c r="D39" i="19"/>
  <c r="U38" i="19"/>
  <c r="N38" i="19"/>
  <c r="O38" i="19"/>
  <c r="V38" i="19"/>
  <c r="W38" i="19"/>
  <c r="X38" i="19"/>
  <c r="D38" i="19"/>
  <c r="U37" i="19"/>
  <c r="N37" i="19"/>
  <c r="O37" i="19"/>
  <c r="D37" i="19"/>
  <c r="U36" i="19"/>
  <c r="N36" i="19"/>
  <c r="O36" i="19"/>
  <c r="V36" i="19"/>
  <c r="W36" i="19"/>
  <c r="X36" i="19"/>
  <c r="D36" i="19"/>
  <c r="U35" i="19"/>
  <c r="N35" i="19"/>
  <c r="O35" i="19"/>
  <c r="V35" i="19"/>
  <c r="W35" i="19"/>
  <c r="X35" i="19"/>
  <c r="D35" i="19"/>
  <c r="U34" i="19"/>
  <c r="N34" i="19"/>
  <c r="O34" i="19"/>
  <c r="V34" i="19"/>
  <c r="W34" i="19"/>
  <c r="X34" i="19"/>
  <c r="D34" i="19"/>
  <c r="S33" i="19"/>
  <c r="U33" i="19"/>
  <c r="N33" i="19"/>
  <c r="O33" i="19"/>
  <c r="D33" i="19"/>
  <c r="S32" i="19"/>
  <c r="U32" i="19"/>
  <c r="N32" i="19"/>
  <c r="O32" i="19"/>
  <c r="V32" i="19"/>
  <c r="W32" i="19"/>
  <c r="D32" i="19"/>
  <c r="U30" i="19"/>
  <c r="N30" i="19"/>
  <c r="O30" i="19"/>
  <c r="D30" i="19"/>
  <c r="U29" i="19"/>
  <c r="O29" i="19"/>
  <c r="V29" i="19"/>
  <c r="W29" i="19"/>
  <c r="X29" i="19"/>
  <c r="D29" i="19"/>
  <c r="U28" i="19"/>
  <c r="N28" i="19"/>
  <c r="O28" i="19"/>
  <c r="V28" i="19"/>
  <c r="W28" i="19"/>
  <c r="X28" i="19"/>
  <c r="D28" i="19"/>
  <c r="U27" i="19"/>
  <c r="N27" i="19"/>
  <c r="O27" i="19"/>
  <c r="V27" i="19"/>
  <c r="W27" i="19"/>
  <c r="X27" i="19"/>
  <c r="D27" i="19"/>
  <c r="U26" i="19"/>
  <c r="N26" i="19"/>
  <c r="O26" i="19"/>
  <c r="V26" i="19"/>
  <c r="W26" i="19"/>
  <c r="X26" i="19"/>
  <c r="D26" i="19"/>
  <c r="U25" i="19"/>
  <c r="N25" i="19"/>
  <c r="O25" i="19"/>
  <c r="V25" i="19"/>
  <c r="W25" i="19"/>
  <c r="X25" i="19"/>
  <c r="D25" i="19"/>
  <c r="U24" i="19"/>
  <c r="N24" i="19"/>
  <c r="O24" i="19"/>
  <c r="V24" i="19"/>
  <c r="W24" i="19"/>
  <c r="X24" i="19"/>
  <c r="D24" i="19"/>
  <c r="U23" i="19"/>
  <c r="N23" i="19"/>
  <c r="O23" i="19"/>
  <c r="D23" i="19"/>
  <c r="U22" i="19"/>
  <c r="N22" i="19"/>
  <c r="O22" i="19"/>
  <c r="V22" i="19"/>
  <c r="W22" i="19"/>
  <c r="X22" i="19"/>
  <c r="D22" i="19"/>
  <c r="S21" i="19"/>
  <c r="U21" i="19"/>
  <c r="N21" i="19"/>
  <c r="O21" i="19"/>
  <c r="V21" i="19"/>
  <c r="W21" i="19"/>
  <c r="X21" i="19"/>
  <c r="D21" i="19"/>
  <c r="S20" i="19"/>
  <c r="U20" i="19"/>
  <c r="N20" i="19"/>
  <c r="O20" i="19"/>
  <c r="V20" i="19"/>
  <c r="W20" i="19"/>
  <c r="X20" i="19"/>
  <c r="D20" i="19"/>
  <c r="S19" i="19"/>
  <c r="U19" i="19"/>
  <c r="N19" i="19"/>
  <c r="O19" i="19"/>
  <c r="D19" i="19"/>
  <c r="S18" i="19"/>
  <c r="U18" i="19"/>
  <c r="N18" i="19"/>
  <c r="O18" i="19"/>
  <c r="V18" i="19"/>
  <c r="W18" i="19"/>
  <c r="X18" i="19"/>
  <c r="D18" i="19"/>
  <c r="S17" i="19"/>
  <c r="U17" i="19"/>
  <c r="N17" i="19"/>
  <c r="O17" i="19"/>
  <c r="V17" i="19"/>
  <c r="W17" i="19"/>
  <c r="X17" i="19"/>
  <c r="D17" i="19"/>
  <c r="U16" i="19"/>
  <c r="N16" i="19"/>
  <c r="O16" i="19"/>
  <c r="D16" i="19"/>
  <c r="U15" i="19"/>
  <c r="N15" i="19"/>
  <c r="O15" i="19"/>
  <c r="V15" i="19"/>
  <c r="W15" i="19"/>
  <c r="X15" i="19"/>
  <c r="D15" i="19"/>
  <c r="U14" i="19"/>
  <c r="N14" i="19"/>
  <c r="O14" i="19"/>
  <c r="V14" i="19"/>
  <c r="W14" i="19"/>
  <c r="X14" i="19"/>
  <c r="D14" i="19"/>
  <c r="U13" i="19"/>
  <c r="N13" i="19"/>
  <c r="O13" i="19"/>
  <c r="V13" i="19"/>
  <c r="W13" i="19"/>
  <c r="X13" i="19"/>
  <c r="D13" i="19"/>
  <c r="S12" i="19"/>
  <c r="U12" i="19"/>
  <c r="N12" i="19"/>
  <c r="O12" i="19"/>
  <c r="V12" i="19"/>
  <c r="W12" i="19"/>
  <c r="X12" i="19"/>
  <c r="D12" i="19"/>
  <c r="U11" i="19"/>
  <c r="O11" i="19"/>
  <c r="D11" i="19"/>
  <c r="S10" i="19"/>
  <c r="U10" i="19"/>
  <c r="N10" i="19"/>
  <c r="O10" i="19"/>
  <c r="V10" i="19"/>
  <c r="W10" i="19"/>
  <c r="X10" i="19"/>
  <c r="D10" i="19"/>
  <c r="U9" i="19"/>
  <c r="O9" i="19"/>
  <c r="D9" i="19"/>
  <c r="U8" i="19"/>
  <c r="O8" i="19"/>
  <c r="V8" i="19"/>
  <c r="W8" i="19"/>
  <c r="X8" i="19"/>
  <c r="D8" i="19"/>
  <c r="U7" i="19"/>
  <c r="O7" i="19"/>
  <c r="V7" i="19"/>
  <c r="W7" i="19"/>
  <c r="X7" i="19"/>
  <c r="D7" i="19"/>
  <c r="U6" i="19"/>
  <c r="N6" i="19"/>
  <c r="O6" i="19"/>
  <c r="V6" i="19"/>
  <c r="W6" i="19"/>
  <c r="X6" i="19"/>
  <c r="D6" i="19"/>
  <c r="U5" i="19"/>
  <c r="N5" i="19"/>
  <c r="O5" i="19"/>
  <c r="V5" i="19"/>
  <c r="W5" i="19"/>
  <c r="X5" i="19"/>
  <c r="D5" i="19"/>
  <c r="U4" i="19"/>
  <c r="N4" i="19"/>
  <c r="O4" i="19"/>
  <c r="D4" i="19"/>
  <c r="U3" i="19"/>
  <c r="O3" i="19"/>
  <c r="V3" i="19"/>
  <c r="W3" i="19"/>
  <c r="X3" i="19"/>
  <c r="D3" i="19"/>
  <c r="S68" i="18"/>
  <c r="L68" i="18"/>
  <c r="M68" i="18"/>
  <c r="T68" i="18"/>
  <c r="U68" i="18"/>
  <c r="AI68" i="18"/>
  <c r="D68" i="18"/>
  <c r="S67" i="18"/>
  <c r="L67" i="18"/>
  <c r="M67" i="18"/>
  <c r="T67" i="18"/>
  <c r="U67" i="18"/>
  <c r="AI67" i="18"/>
  <c r="D67" i="18"/>
  <c r="S66" i="18"/>
  <c r="L66" i="18"/>
  <c r="M66" i="18"/>
  <c r="T66" i="18"/>
  <c r="U66" i="18"/>
  <c r="AI66" i="18"/>
  <c r="D66" i="18"/>
  <c r="S65" i="18"/>
  <c r="L65" i="18"/>
  <c r="M65" i="18"/>
  <c r="T65" i="18"/>
  <c r="U65" i="18"/>
  <c r="AI65" i="18"/>
  <c r="D65" i="18"/>
  <c r="S64" i="18"/>
  <c r="L64" i="18"/>
  <c r="M64" i="18"/>
  <c r="T64" i="18"/>
  <c r="U64" i="18"/>
  <c r="AI64" i="18"/>
  <c r="D64" i="18"/>
  <c r="S63" i="18"/>
  <c r="L63" i="18"/>
  <c r="M63" i="18"/>
  <c r="T63" i="18"/>
  <c r="U63" i="18"/>
  <c r="D63" i="18"/>
  <c r="S62" i="18"/>
  <c r="L62" i="18"/>
  <c r="M62" i="18"/>
  <c r="T62" i="18"/>
  <c r="U62" i="18"/>
  <c r="AI62" i="18"/>
  <c r="D62" i="18"/>
  <c r="S61" i="18"/>
  <c r="L61" i="18"/>
  <c r="M61" i="18"/>
  <c r="D61" i="18"/>
  <c r="S60" i="18"/>
  <c r="L60" i="18"/>
  <c r="M60" i="18"/>
  <c r="D60" i="18"/>
  <c r="S59" i="18"/>
  <c r="L59" i="18"/>
  <c r="M59" i="18"/>
  <c r="D59" i="18"/>
  <c r="S58" i="18"/>
  <c r="L58" i="18"/>
  <c r="M58" i="18"/>
  <c r="T58" i="18"/>
  <c r="U58" i="18"/>
  <c r="AI58" i="18"/>
  <c r="D58" i="18"/>
  <c r="S57" i="18"/>
  <c r="L57" i="18"/>
  <c r="M57" i="18"/>
  <c r="T57" i="18"/>
  <c r="U57" i="18"/>
  <c r="AI57" i="18"/>
  <c r="D57" i="18"/>
  <c r="S56" i="18"/>
  <c r="L56" i="18"/>
  <c r="M56" i="18"/>
  <c r="T56" i="18"/>
  <c r="U56" i="18"/>
  <c r="AI56" i="18"/>
  <c r="D56" i="18"/>
  <c r="S55" i="18"/>
  <c r="L55" i="18"/>
  <c r="M55" i="18"/>
  <c r="D55" i="18"/>
  <c r="S54" i="18"/>
  <c r="L54" i="18"/>
  <c r="M54" i="18"/>
  <c r="T54" i="18"/>
  <c r="U54" i="18"/>
  <c r="AI54" i="18"/>
  <c r="D54" i="18"/>
  <c r="S53" i="18"/>
  <c r="L53" i="18"/>
  <c r="M53" i="18"/>
  <c r="T53" i="18"/>
  <c r="U53" i="18"/>
  <c r="D53" i="18"/>
  <c r="S52" i="18"/>
  <c r="L52" i="18"/>
  <c r="M52" i="18"/>
  <c r="T52" i="18"/>
  <c r="U52" i="18"/>
  <c r="AI52" i="18"/>
  <c r="D52" i="18"/>
  <c r="S51" i="18"/>
  <c r="L51" i="18"/>
  <c r="M51" i="18"/>
  <c r="T51" i="18"/>
  <c r="U51" i="18"/>
  <c r="D51" i="18"/>
  <c r="S50" i="18"/>
  <c r="L50" i="18"/>
  <c r="M50" i="18"/>
  <c r="T50" i="18"/>
  <c r="U50" i="18"/>
  <c r="AI50" i="18"/>
  <c r="D50" i="18"/>
  <c r="S49" i="18"/>
  <c r="L49" i="18"/>
  <c r="M49" i="18"/>
  <c r="T49" i="18"/>
  <c r="U49" i="18"/>
  <c r="AI49" i="18"/>
  <c r="D49" i="18"/>
  <c r="S48" i="18"/>
  <c r="L48" i="18"/>
  <c r="M48" i="18"/>
  <c r="D48" i="18"/>
  <c r="S47" i="18"/>
  <c r="L47" i="18"/>
  <c r="M47" i="18"/>
  <c r="T47" i="18"/>
  <c r="U47" i="18"/>
  <c r="AI47" i="18"/>
  <c r="D47" i="18"/>
  <c r="S46" i="18"/>
  <c r="L46" i="18"/>
  <c r="M46" i="18"/>
  <c r="T46" i="18"/>
  <c r="U46" i="18"/>
  <c r="AI46" i="18"/>
  <c r="D46" i="18"/>
  <c r="S45" i="18"/>
  <c r="L45" i="18"/>
  <c r="M45" i="18"/>
  <c r="D45" i="18"/>
  <c r="S44" i="18"/>
  <c r="L44" i="18"/>
  <c r="M44" i="18"/>
  <c r="T44" i="18"/>
  <c r="U44" i="18"/>
  <c r="AI44" i="18"/>
  <c r="D44" i="18"/>
  <c r="S43" i="18"/>
  <c r="L43" i="18"/>
  <c r="M43" i="18"/>
  <c r="D43" i="18"/>
  <c r="S42" i="18"/>
  <c r="L42" i="18"/>
  <c r="M42" i="18"/>
  <c r="T42" i="18"/>
  <c r="U42" i="18"/>
  <c r="AI42" i="18"/>
  <c r="D42" i="18"/>
  <c r="S41" i="18"/>
  <c r="L41" i="18"/>
  <c r="M41" i="18"/>
  <c r="T41" i="18"/>
  <c r="U41" i="18"/>
  <c r="AI41" i="18"/>
  <c r="D41" i="18"/>
  <c r="S40" i="18"/>
  <c r="L40" i="18"/>
  <c r="M40" i="18"/>
  <c r="T40" i="18"/>
  <c r="U40" i="18"/>
  <c r="AI40" i="18"/>
  <c r="D40" i="18"/>
  <c r="S39" i="18"/>
  <c r="L39" i="18"/>
  <c r="M39" i="18"/>
  <c r="T39" i="18"/>
  <c r="U39" i="18"/>
  <c r="D39" i="18"/>
  <c r="S38" i="18"/>
  <c r="L38" i="18"/>
  <c r="M38" i="18"/>
  <c r="T38" i="18"/>
  <c r="U38" i="18"/>
  <c r="AI38" i="18"/>
  <c r="D38" i="18"/>
  <c r="Q37" i="18"/>
  <c r="S37" i="18"/>
  <c r="L37" i="18"/>
  <c r="M37" i="18"/>
  <c r="T37" i="18"/>
  <c r="U37" i="18"/>
  <c r="AI37" i="18"/>
  <c r="D37" i="18"/>
  <c r="Q36" i="18"/>
  <c r="S36" i="18"/>
  <c r="L36" i="18"/>
  <c r="M36" i="18"/>
  <c r="T36" i="18"/>
  <c r="U36" i="18"/>
  <c r="AI36" i="18"/>
  <c r="D36" i="18"/>
  <c r="S34" i="18"/>
  <c r="M34" i="18"/>
  <c r="D34" i="18"/>
  <c r="S33" i="18"/>
  <c r="L33" i="18"/>
  <c r="M33" i="18"/>
  <c r="T33" i="18"/>
  <c r="U33" i="18"/>
  <c r="AI33" i="18"/>
  <c r="D33" i="18"/>
  <c r="S32" i="18"/>
  <c r="L32" i="18"/>
  <c r="M32" i="18"/>
  <c r="T32" i="18"/>
  <c r="U32" i="18"/>
  <c r="AI32" i="18"/>
  <c r="D32" i="18"/>
  <c r="S31" i="18"/>
  <c r="L31" i="18"/>
  <c r="M31" i="18"/>
  <c r="D31" i="18"/>
  <c r="S30" i="18"/>
  <c r="L30" i="18"/>
  <c r="M30" i="18"/>
  <c r="D30" i="18"/>
  <c r="S29" i="18"/>
  <c r="L29" i="18"/>
  <c r="M29" i="18"/>
  <c r="D29" i="18"/>
  <c r="S28" i="18"/>
  <c r="L28" i="18"/>
  <c r="M28" i="18"/>
  <c r="T28" i="18"/>
  <c r="U28" i="18"/>
  <c r="AI28" i="18"/>
  <c r="D28" i="18"/>
  <c r="S27" i="18"/>
  <c r="L27" i="18"/>
  <c r="M27" i="18"/>
  <c r="T27" i="18"/>
  <c r="D27" i="18"/>
  <c r="S26" i="18"/>
  <c r="L26" i="18"/>
  <c r="M26" i="18"/>
  <c r="T26" i="18"/>
  <c r="U26" i="18"/>
  <c r="AI26" i="18"/>
  <c r="D26" i="18"/>
  <c r="S25" i="18"/>
  <c r="L25" i="18"/>
  <c r="M25" i="18"/>
  <c r="D25" i="18"/>
  <c r="Q24" i="18"/>
  <c r="S24" i="18"/>
  <c r="L24" i="18"/>
  <c r="M24" i="18"/>
  <c r="T24" i="18"/>
  <c r="U24" i="18"/>
  <c r="AI24" i="18"/>
  <c r="D24" i="18"/>
  <c r="Q23" i="18"/>
  <c r="S23" i="18"/>
  <c r="L23" i="18"/>
  <c r="M23" i="18"/>
  <c r="T23" i="18"/>
  <c r="U23" i="18"/>
  <c r="AI23" i="18"/>
  <c r="D23" i="18"/>
  <c r="Q22" i="18"/>
  <c r="S22" i="18"/>
  <c r="L22" i="18"/>
  <c r="M22" i="18"/>
  <c r="T22" i="18"/>
  <c r="U22" i="18"/>
  <c r="D22" i="18"/>
  <c r="AI21" i="18"/>
  <c r="D21" i="18"/>
  <c r="D20" i="18"/>
  <c r="D19" i="18"/>
  <c r="S18" i="18"/>
  <c r="L18" i="18"/>
  <c r="M18" i="18"/>
  <c r="T18" i="18"/>
  <c r="U18" i="18"/>
  <c r="AI18" i="18"/>
  <c r="D18" i="18"/>
  <c r="D17" i="18"/>
  <c r="D16" i="18"/>
  <c r="S15" i="18"/>
  <c r="L15" i="18"/>
  <c r="M15" i="18"/>
  <c r="T15" i="18"/>
  <c r="U15" i="18"/>
  <c r="AI15" i="18"/>
  <c r="D15" i="18"/>
  <c r="S14" i="18"/>
  <c r="L14" i="18"/>
  <c r="M14" i="18"/>
  <c r="D14" i="18"/>
  <c r="Q13" i="18"/>
  <c r="S13" i="18"/>
  <c r="L13" i="18"/>
  <c r="M13" i="18"/>
  <c r="T13" i="18"/>
  <c r="U13" i="18"/>
  <c r="AI13" i="18"/>
  <c r="D13" i="18"/>
  <c r="S12" i="18"/>
  <c r="M12" i="18"/>
  <c r="T12" i="18"/>
  <c r="U12" i="18"/>
  <c r="D12" i="18"/>
  <c r="S11" i="18"/>
  <c r="M11" i="18"/>
  <c r="D11" i="18"/>
  <c r="Q10" i="18"/>
  <c r="S10" i="18"/>
  <c r="L10" i="18"/>
  <c r="M10" i="18"/>
  <c r="T10" i="18"/>
  <c r="U10" i="18"/>
  <c r="AI10" i="18"/>
  <c r="D10" i="18"/>
  <c r="S9" i="18"/>
  <c r="M9" i="18"/>
  <c r="D9" i="18"/>
  <c r="S8" i="18"/>
  <c r="M8" i="18"/>
  <c r="T8" i="18"/>
  <c r="U8" i="18"/>
  <c r="AI8" i="18"/>
  <c r="D8" i="18"/>
  <c r="S7" i="18"/>
  <c r="L7" i="18"/>
  <c r="M7" i="18"/>
  <c r="T7" i="18"/>
  <c r="U7" i="18"/>
  <c r="AI7" i="18"/>
  <c r="D7" i="18"/>
  <c r="S6" i="18"/>
  <c r="M6" i="18"/>
  <c r="T6" i="18"/>
  <c r="U6" i="18"/>
  <c r="AI6" i="18"/>
  <c r="D6" i="18"/>
  <c r="S5" i="18"/>
  <c r="L5" i="18"/>
  <c r="M5" i="18"/>
  <c r="T5" i="18"/>
  <c r="U5" i="18"/>
  <c r="AI5" i="18"/>
  <c r="D5" i="18"/>
  <c r="S4" i="18"/>
  <c r="L4" i="18"/>
  <c r="M4" i="18"/>
  <c r="T4" i="18"/>
  <c r="U4" i="18"/>
  <c r="AI4" i="18"/>
  <c r="D4" i="18"/>
  <c r="S3" i="18"/>
  <c r="L3" i="18"/>
  <c r="M3" i="18"/>
  <c r="T3" i="18"/>
  <c r="U3" i="18"/>
  <c r="D3" i="18"/>
  <c r="V23" i="19"/>
  <c r="W23" i="19"/>
  <c r="X23" i="19"/>
  <c r="X31" i="19"/>
  <c r="T11" i="18"/>
  <c r="U11" i="18"/>
  <c r="AI11" i="18"/>
  <c r="T29" i="18"/>
  <c r="U29" i="18"/>
  <c r="AI29" i="18"/>
  <c r="U27" i="18"/>
  <c r="AI27" i="18"/>
  <c r="V9" i="19"/>
  <c r="W9" i="19"/>
  <c r="X9" i="19"/>
  <c r="V11" i="19"/>
  <c r="W11" i="19"/>
  <c r="X11" i="19"/>
  <c r="V33" i="19"/>
  <c r="W33" i="19"/>
  <c r="X33" i="19"/>
  <c r="V37" i="19"/>
  <c r="W37" i="19"/>
  <c r="X37" i="19"/>
  <c r="V41" i="19"/>
  <c r="W41" i="19"/>
  <c r="X41" i="19"/>
  <c r="V44" i="19"/>
  <c r="W44" i="19"/>
  <c r="X44" i="19"/>
  <c r="V45" i="19"/>
  <c r="W45" i="19"/>
  <c r="X45" i="19"/>
  <c r="V53" i="19"/>
  <c r="W53" i="19"/>
  <c r="X53" i="19"/>
  <c r="V19" i="19"/>
  <c r="W19" i="19"/>
  <c r="X19" i="19"/>
  <c r="V30" i="19"/>
  <c r="W30" i="19"/>
  <c r="X30" i="19"/>
  <c r="X32" i="19"/>
  <c r="T48" i="18"/>
  <c r="U48" i="18"/>
  <c r="AI48" i="18"/>
  <c r="T60" i="18"/>
  <c r="U60" i="18"/>
  <c r="AI60" i="18"/>
  <c r="T45" i="18"/>
  <c r="U45" i="18"/>
  <c r="AI17" i="18"/>
  <c r="T34" i="18"/>
  <c r="U34" i="18"/>
  <c r="AI34" i="18"/>
  <c r="T30" i="18"/>
  <c r="U30" i="18"/>
  <c r="AI30" i="18"/>
  <c r="V4" i="19"/>
  <c r="W4" i="19"/>
  <c r="X4" i="19"/>
  <c r="V16" i="19"/>
  <c r="W16" i="19"/>
  <c r="X16" i="19"/>
  <c r="AI16" i="18"/>
  <c r="AI19" i="18"/>
  <c r="AI20" i="18"/>
  <c r="T25" i="18"/>
  <c r="U25" i="18"/>
  <c r="AI25" i="18"/>
  <c r="T31" i="18"/>
  <c r="U31" i="18"/>
  <c r="AI31" i="18"/>
  <c r="T59" i="18"/>
  <c r="U59" i="18"/>
  <c r="AI59" i="18"/>
  <c r="T61" i="18"/>
  <c r="U61" i="18"/>
  <c r="AI61" i="18"/>
  <c r="T9" i="18"/>
  <c r="U9" i="18"/>
  <c r="AI9" i="18"/>
  <c r="T14" i="18"/>
  <c r="U14" i="18"/>
  <c r="AI14" i="18"/>
  <c r="AI35" i="18"/>
  <c r="T43" i="18"/>
  <c r="U43" i="18"/>
  <c r="AI43" i="18"/>
  <c r="AI53" i="18"/>
  <c r="T55" i="18"/>
  <c r="U55" i="18"/>
  <c r="AI55" i="18"/>
  <c r="AH57" i="18"/>
  <c r="U54" i="17"/>
  <c r="N54" i="17"/>
  <c r="O54" i="17"/>
  <c r="V54" i="17"/>
  <c r="W54" i="17"/>
  <c r="X54" i="17"/>
  <c r="D54" i="17"/>
  <c r="U53" i="17"/>
  <c r="N53" i="17"/>
  <c r="O53" i="17"/>
  <c r="D53" i="17"/>
  <c r="U52" i="17"/>
  <c r="N52" i="17"/>
  <c r="O52" i="17"/>
  <c r="V52" i="17"/>
  <c r="W52" i="17"/>
  <c r="X52" i="17"/>
  <c r="D52" i="17"/>
  <c r="U51" i="17"/>
  <c r="N51" i="17"/>
  <c r="O51" i="17"/>
  <c r="V51" i="17"/>
  <c r="W51" i="17"/>
  <c r="X51" i="17"/>
  <c r="D51" i="17"/>
  <c r="U50" i="17"/>
  <c r="N50" i="17"/>
  <c r="O50" i="17"/>
  <c r="V50" i="17"/>
  <c r="W50" i="17"/>
  <c r="X50" i="17"/>
  <c r="D50" i="17"/>
  <c r="U49" i="17"/>
  <c r="N49" i="17"/>
  <c r="O49" i="17"/>
  <c r="D49" i="17"/>
  <c r="U48" i="17"/>
  <c r="N48" i="17"/>
  <c r="O48" i="17"/>
  <c r="V48" i="17"/>
  <c r="W48" i="17"/>
  <c r="X48" i="17"/>
  <c r="D48" i="17"/>
  <c r="U47" i="17"/>
  <c r="N47" i="17"/>
  <c r="O47" i="17"/>
  <c r="D47" i="17"/>
  <c r="U46" i="17"/>
  <c r="N46" i="17"/>
  <c r="O46" i="17"/>
  <c r="V46" i="17"/>
  <c r="W46" i="17"/>
  <c r="X46" i="17"/>
  <c r="D46" i="17"/>
  <c r="U45" i="17"/>
  <c r="N45" i="17"/>
  <c r="O45" i="17"/>
  <c r="D45" i="17"/>
  <c r="U44" i="17"/>
  <c r="N44" i="17"/>
  <c r="O44" i="17"/>
  <c r="V44" i="17"/>
  <c r="W44" i="17"/>
  <c r="X44" i="17"/>
  <c r="D44" i="17"/>
  <c r="U43" i="17"/>
  <c r="N43" i="17"/>
  <c r="O43" i="17"/>
  <c r="D43" i="17"/>
  <c r="U42" i="17"/>
  <c r="N42" i="17"/>
  <c r="O42" i="17"/>
  <c r="V42" i="17"/>
  <c r="W42" i="17"/>
  <c r="X42" i="17"/>
  <c r="D42" i="17"/>
  <c r="U41" i="17"/>
  <c r="N41" i="17"/>
  <c r="O41" i="17"/>
  <c r="D41" i="17"/>
  <c r="U40" i="17"/>
  <c r="N40" i="17"/>
  <c r="O40" i="17"/>
  <c r="V40" i="17"/>
  <c r="W40" i="17"/>
  <c r="X40" i="17"/>
  <c r="D40" i="17"/>
  <c r="U39" i="17"/>
  <c r="N39" i="17"/>
  <c r="O39" i="17"/>
  <c r="D39" i="17"/>
  <c r="D34" i="17"/>
  <c r="U33" i="17"/>
  <c r="N33" i="17"/>
  <c r="O33" i="17"/>
  <c r="D33" i="17"/>
  <c r="S32" i="17"/>
  <c r="U32" i="17"/>
  <c r="N32" i="17"/>
  <c r="O32" i="17"/>
  <c r="V32" i="17"/>
  <c r="W32" i="17"/>
  <c r="X32" i="17"/>
  <c r="D32" i="17"/>
  <c r="S31" i="17"/>
  <c r="U31" i="17"/>
  <c r="N31" i="17"/>
  <c r="O31" i="17"/>
  <c r="D31" i="17"/>
  <c r="U30" i="17"/>
  <c r="N30" i="17"/>
  <c r="O30" i="17"/>
  <c r="D30" i="17"/>
  <c r="S29" i="17"/>
  <c r="U29" i="17"/>
  <c r="N29" i="17"/>
  <c r="O29" i="17"/>
  <c r="D29" i="17"/>
  <c r="S28" i="17"/>
  <c r="U28" i="17"/>
  <c r="N28" i="17"/>
  <c r="O28" i="17"/>
  <c r="V28" i="17"/>
  <c r="D28" i="17"/>
  <c r="S27" i="17"/>
  <c r="U27" i="17"/>
  <c r="N27" i="17"/>
  <c r="O27" i="17"/>
  <c r="V27" i="17"/>
  <c r="W27" i="17"/>
  <c r="X27" i="17"/>
  <c r="D27" i="17"/>
  <c r="U26" i="17"/>
  <c r="N26" i="17"/>
  <c r="O26" i="17"/>
  <c r="D26" i="17"/>
  <c r="U25" i="17"/>
  <c r="N25" i="17"/>
  <c r="O25" i="17"/>
  <c r="V25" i="17"/>
  <c r="W25" i="17"/>
  <c r="X25" i="17"/>
  <c r="D25" i="17"/>
  <c r="U24" i="17"/>
  <c r="N24" i="17"/>
  <c r="O24" i="17"/>
  <c r="V24" i="17"/>
  <c r="W24" i="17"/>
  <c r="X24" i="17"/>
  <c r="D24" i="17"/>
  <c r="U23" i="17"/>
  <c r="N23" i="17"/>
  <c r="O23" i="17"/>
  <c r="V23" i="17"/>
  <c r="W23" i="17"/>
  <c r="X23" i="17"/>
  <c r="D23" i="17"/>
  <c r="U22" i="17"/>
  <c r="O22" i="17"/>
  <c r="D22" i="17"/>
  <c r="U21" i="17"/>
  <c r="N21" i="17"/>
  <c r="O21" i="17"/>
  <c r="D21" i="17"/>
  <c r="U20" i="17"/>
  <c r="N20" i="17"/>
  <c r="O20" i="17"/>
  <c r="V20" i="17"/>
  <c r="W20" i="17"/>
  <c r="X20" i="17"/>
  <c r="D20" i="17"/>
  <c r="U19" i="17"/>
  <c r="N19" i="17"/>
  <c r="O19" i="17"/>
  <c r="V19" i="17"/>
  <c r="W19" i="17"/>
  <c r="X19" i="17"/>
  <c r="D19" i="17"/>
  <c r="U18" i="17"/>
  <c r="N18" i="17"/>
  <c r="O18" i="17"/>
  <c r="V18" i="17"/>
  <c r="W18" i="17"/>
  <c r="X18" i="17"/>
  <c r="D18" i="17"/>
  <c r="U17" i="17"/>
  <c r="N17" i="17"/>
  <c r="O17" i="17"/>
  <c r="V17" i="17"/>
  <c r="W17" i="17"/>
  <c r="X17" i="17"/>
  <c r="D17" i="17"/>
  <c r="U16" i="17"/>
  <c r="N16" i="17"/>
  <c r="O16" i="17"/>
  <c r="V16" i="17"/>
  <c r="W16" i="17"/>
  <c r="X16" i="17"/>
  <c r="D16" i="17"/>
  <c r="U15" i="17"/>
  <c r="N15" i="17"/>
  <c r="O15" i="17"/>
  <c r="D15" i="17"/>
  <c r="S14" i="17"/>
  <c r="U14" i="17"/>
  <c r="N14" i="17"/>
  <c r="O14" i="17"/>
  <c r="D14" i="17"/>
  <c r="S13" i="17"/>
  <c r="U13" i="17"/>
  <c r="N13" i="17"/>
  <c r="O13" i="17"/>
  <c r="V13" i="17"/>
  <c r="W13" i="17"/>
  <c r="X13" i="17"/>
  <c r="D13" i="17"/>
  <c r="U12" i="17"/>
  <c r="N12" i="17"/>
  <c r="O12" i="17"/>
  <c r="V12" i="17"/>
  <c r="W12" i="17"/>
  <c r="X12" i="17"/>
  <c r="D12" i="17"/>
  <c r="U11" i="17"/>
  <c r="N11" i="17"/>
  <c r="O11" i="17"/>
  <c r="V11" i="17"/>
  <c r="W11" i="17"/>
  <c r="X11" i="17"/>
  <c r="D11" i="17"/>
  <c r="S10" i="17"/>
  <c r="U10" i="17"/>
  <c r="N10" i="17"/>
  <c r="O10" i="17"/>
  <c r="V10" i="17"/>
  <c r="W10" i="17"/>
  <c r="X10" i="17"/>
  <c r="D10" i="17"/>
  <c r="S9" i="17"/>
  <c r="U9" i="17"/>
  <c r="N9" i="17"/>
  <c r="O9" i="17"/>
  <c r="V9" i="17"/>
  <c r="W9" i="17"/>
  <c r="X9" i="17"/>
  <c r="D9" i="17"/>
  <c r="S8" i="17"/>
  <c r="U8" i="17"/>
  <c r="N8" i="17"/>
  <c r="O8" i="17"/>
  <c r="D8" i="17"/>
  <c r="U7" i="17"/>
  <c r="N7" i="17"/>
  <c r="O7" i="17"/>
  <c r="V7" i="17"/>
  <c r="W7" i="17"/>
  <c r="X7" i="17"/>
  <c r="D7" i="17"/>
  <c r="U6" i="17"/>
  <c r="N6" i="17"/>
  <c r="O6" i="17"/>
  <c r="D6" i="17"/>
  <c r="U5" i="17"/>
  <c r="N5" i="17"/>
  <c r="O5" i="17"/>
  <c r="V5" i="17"/>
  <c r="W5" i="17"/>
  <c r="X5" i="17"/>
  <c r="D5" i="17"/>
  <c r="U4" i="17"/>
  <c r="N4" i="17"/>
  <c r="O4" i="17"/>
  <c r="D4" i="17"/>
  <c r="U3" i="17"/>
  <c r="N3" i="17"/>
  <c r="O3" i="17"/>
  <c r="V3" i="17"/>
  <c r="W3" i="17"/>
  <c r="X3" i="17"/>
  <c r="D3" i="17"/>
  <c r="S62" i="16"/>
  <c r="L62" i="16"/>
  <c r="M62" i="16"/>
  <c r="D62" i="16"/>
  <c r="S61" i="16"/>
  <c r="L61" i="16"/>
  <c r="M61" i="16"/>
  <c r="T61" i="16"/>
  <c r="D61" i="16"/>
  <c r="S60" i="16"/>
  <c r="L60" i="16"/>
  <c r="M60" i="16"/>
  <c r="T60" i="16"/>
  <c r="U60" i="16"/>
  <c r="AI60" i="16"/>
  <c r="D60" i="16"/>
  <c r="S59" i="16"/>
  <c r="L59" i="16"/>
  <c r="M59" i="16"/>
  <c r="T59" i="16"/>
  <c r="U59" i="16"/>
  <c r="AI59" i="16"/>
  <c r="D59" i="16"/>
  <c r="S58" i="16"/>
  <c r="L58" i="16"/>
  <c r="M58" i="16"/>
  <c r="T58" i="16"/>
  <c r="U58" i="16"/>
  <c r="AI58" i="16"/>
  <c r="D58" i="16"/>
  <c r="S57" i="16"/>
  <c r="L57" i="16"/>
  <c r="M57" i="16"/>
  <c r="T57" i="16"/>
  <c r="U57" i="16"/>
  <c r="D57" i="16"/>
  <c r="S56" i="16"/>
  <c r="L56" i="16"/>
  <c r="M56" i="16"/>
  <c r="T56" i="16"/>
  <c r="U56" i="16"/>
  <c r="AI56" i="16"/>
  <c r="D56" i="16"/>
  <c r="S55" i="16"/>
  <c r="L55" i="16"/>
  <c r="M55" i="16"/>
  <c r="D55" i="16"/>
  <c r="S54" i="16"/>
  <c r="L54" i="16"/>
  <c r="M54" i="16"/>
  <c r="T54" i="16"/>
  <c r="U54" i="16"/>
  <c r="AI54" i="16"/>
  <c r="D54" i="16"/>
  <c r="S53" i="16"/>
  <c r="L53" i="16"/>
  <c r="M53" i="16"/>
  <c r="T53" i="16"/>
  <c r="U53" i="16"/>
  <c r="AI53" i="16"/>
  <c r="D53" i="16"/>
  <c r="S52" i="16"/>
  <c r="L52" i="16"/>
  <c r="M52" i="16"/>
  <c r="T52" i="16"/>
  <c r="U52" i="16"/>
  <c r="AI52" i="16"/>
  <c r="D52" i="16"/>
  <c r="D51" i="16"/>
  <c r="S50" i="16"/>
  <c r="L50" i="16"/>
  <c r="M50" i="16"/>
  <c r="D50" i="16"/>
  <c r="S49" i="16"/>
  <c r="L49" i="16"/>
  <c r="M49" i="16"/>
  <c r="D49" i="16"/>
  <c r="S48" i="16"/>
  <c r="L48" i="16"/>
  <c r="M48" i="16"/>
  <c r="T48" i="16"/>
  <c r="U48" i="16"/>
  <c r="AI48" i="16"/>
  <c r="D48" i="16"/>
  <c r="S47" i="16"/>
  <c r="L47" i="16"/>
  <c r="M47" i="16"/>
  <c r="T47" i="16"/>
  <c r="U47" i="16"/>
  <c r="AI47" i="16"/>
  <c r="D47" i="16"/>
  <c r="S46" i="16"/>
  <c r="L46" i="16"/>
  <c r="M46" i="16"/>
  <c r="D46" i="16"/>
  <c r="D45" i="16"/>
  <c r="S44" i="16"/>
  <c r="L44" i="16"/>
  <c r="M44" i="16"/>
  <c r="D44" i="16"/>
  <c r="S43" i="16"/>
  <c r="L43" i="16"/>
  <c r="M43" i="16"/>
  <c r="T43" i="16"/>
  <c r="U43" i="16"/>
  <c r="AI43" i="16"/>
  <c r="D43" i="16"/>
  <c r="S42" i="16"/>
  <c r="L42" i="16"/>
  <c r="M42" i="16"/>
  <c r="T42" i="16"/>
  <c r="U42" i="16"/>
  <c r="AI42" i="16"/>
  <c r="D42" i="16"/>
  <c r="S41" i="16"/>
  <c r="L41" i="16"/>
  <c r="M41" i="16"/>
  <c r="D41" i="16"/>
  <c r="S40" i="16"/>
  <c r="L40" i="16"/>
  <c r="M40" i="16"/>
  <c r="T40" i="16"/>
  <c r="U40" i="16"/>
  <c r="AI40" i="16"/>
  <c r="D40" i="16"/>
  <c r="D39" i="16"/>
  <c r="D38" i="16"/>
  <c r="D37" i="16"/>
  <c r="D36" i="16"/>
  <c r="D35" i="16"/>
  <c r="D34" i="16"/>
  <c r="D33" i="16"/>
  <c r="D32" i="16"/>
  <c r="D31" i="16"/>
  <c r="D30" i="16"/>
  <c r="D29" i="16"/>
  <c r="D28" i="16"/>
  <c r="D27" i="16"/>
  <c r="D26" i="16"/>
  <c r="D25" i="16"/>
  <c r="D24" i="16"/>
  <c r="D23" i="16"/>
  <c r="D22" i="16"/>
  <c r="D21" i="16"/>
  <c r="D20" i="16"/>
  <c r="AI19" i="16"/>
  <c r="D19" i="16"/>
  <c r="D18" i="16"/>
  <c r="D17" i="16"/>
  <c r="D16" i="16"/>
  <c r="D15" i="16"/>
  <c r="AI14" i="16"/>
  <c r="D14" i="16"/>
  <c r="D13" i="16"/>
  <c r="D12" i="16"/>
  <c r="D11" i="16"/>
  <c r="D10" i="16"/>
  <c r="D9" i="16"/>
  <c r="D8" i="16"/>
  <c r="D7" i="16"/>
  <c r="D6" i="16"/>
  <c r="D5" i="16"/>
  <c r="D4" i="16"/>
  <c r="D3" i="16"/>
  <c r="U34" i="15"/>
  <c r="N34" i="15"/>
  <c r="O34" i="15"/>
  <c r="V34" i="15"/>
  <c r="W34" i="15"/>
  <c r="X34" i="15"/>
  <c r="D34" i="15"/>
  <c r="U33" i="15"/>
  <c r="N33" i="15"/>
  <c r="O33" i="15"/>
  <c r="V33" i="15"/>
  <c r="W33" i="15"/>
  <c r="X33" i="15"/>
  <c r="D33" i="15"/>
  <c r="U32" i="15"/>
  <c r="N32" i="15"/>
  <c r="O32" i="15"/>
  <c r="D32" i="15"/>
  <c r="U31" i="15"/>
  <c r="N31" i="15"/>
  <c r="O31" i="15"/>
  <c r="D31" i="15"/>
  <c r="U30" i="15"/>
  <c r="O30" i="15"/>
  <c r="D30" i="15"/>
  <c r="S29" i="15"/>
  <c r="U29" i="15"/>
  <c r="N29" i="15"/>
  <c r="O29" i="15"/>
  <c r="V29" i="15"/>
  <c r="W29" i="15"/>
  <c r="X29" i="15"/>
  <c r="D29" i="15"/>
  <c r="S28" i="15"/>
  <c r="U28" i="15"/>
  <c r="N28" i="15"/>
  <c r="O28" i="15"/>
  <c r="D28" i="15"/>
  <c r="S27" i="15"/>
  <c r="U27" i="15"/>
  <c r="N27" i="15"/>
  <c r="O27" i="15"/>
  <c r="D27" i="15"/>
  <c r="U26" i="15"/>
  <c r="N26" i="15"/>
  <c r="O26" i="15"/>
  <c r="V26" i="15"/>
  <c r="W26" i="15"/>
  <c r="X26" i="15"/>
  <c r="D26" i="15"/>
  <c r="U25" i="15"/>
  <c r="N25" i="15"/>
  <c r="O25" i="15"/>
  <c r="V25" i="15"/>
  <c r="W25" i="15"/>
  <c r="X25" i="15"/>
  <c r="D25" i="15"/>
  <c r="U24" i="15"/>
  <c r="N24" i="15"/>
  <c r="O24" i="15"/>
  <c r="D24" i="15"/>
  <c r="U23" i="15"/>
  <c r="N23" i="15"/>
  <c r="O23" i="15"/>
  <c r="D23" i="15"/>
  <c r="P22" i="15"/>
  <c r="U22" i="15"/>
  <c r="N22" i="15"/>
  <c r="O22" i="15"/>
  <c r="D22" i="15"/>
  <c r="P21" i="15"/>
  <c r="U21" i="15"/>
  <c r="N21" i="15"/>
  <c r="O21" i="15"/>
  <c r="V21" i="15"/>
  <c r="W21" i="15"/>
  <c r="X21" i="15"/>
  <c r="D21" i="15"/>
  <c r="P20" i="15"/>
  <c r="U20" i="15"/>
  <c r="N20" i="15"/>
  <c r="O20" i="15"/>
  <c r="V20" i="15"/>
  <c r="W20" i="15"/>
  <c r="X20" i="15"/>
  <c r="D20" i="15"/>
  <c r="U19" i="15"/>
  <c r="S19" i="15"/>
  <c r="N19" i="15"/>
  <c r="O19" i="15"/>
  <c r="V19" i="15"/>
  <c r="W19" i="15"/>
  <c r="X19" i="15"/>
  <c r="D19" i="15"/>
  <c r="U18" i="15"/>
  <c r="N18" i="15"/>
  <c r="O18" i="15"/>
  <c r="V18" i="15"/>
  <c r="W18" i="15"/>
  <c r="X18" i="15"/>
  <c r="D18" i="15"/>
  <c r="U17" i="15"/>
  <c r="N17" i="15"/>
  <c r="O17" i="15"/>
  <c r="V17" i="15"/>
  <c r="W17" i="15"/>
  <c r="X17" i="15"/>
  <c r="D17" i="15"/>
  <c r="U16" i="15"/>
  <c r="N16" i="15"/>
  <c r="O16" i="15"/>
  <c r="D16" i="15"/>
  <c r="U15" i="15"/>
  <c r="N15" i="15"/>
  <c r="O15" i="15"/>
  <c r="V15" i="15"/>
  <c r="W15" i="15"/>
  <c r="X15" i="15"/>
  <c r="D15" i="15"/>
  <c r="U14" i="15"/>
  <c r="N14" i="15"/>
  <c r="O14" i="15"/>
  <c r="V14" i="15"/>
  <c r="W14" i="15"/>
  <c r="X14" i="15"/>
  <c r="D14" i="15"/>
  <c r="U13" i="15"/>
  <c r="N13" i="15"/>
  <c r="O13" i="15"/>
  <c r="V13" i="15"/>
  <c r="W13" i="15"/>
  <c r="X13" i="15"/>
  <c r="D13" i="15"/>
  <c r="U12" i="15"/>
  <c r="N12" i="15"/>
  <c r="O12" i="15"/>
  <c r="V12" i="15"/>
  <c r="W12" i="15"/>
  <c r="X12" i="15"/>
  <c r="D12" i="15"/>
  <c r="P11" i="15"/>
  <c r="U11" i="15"/>
  <c r="N11" i="15"/>
  <c r="O11" i="15"/>
  <c r="D11" i="15"/>
  <c r="U10" i="15"/>
  <c r="N10" i="15"/>
  <c r="O10" i="15"/>
  <c r="V10" i="15"/>
  <c r="W10" i="15"/>
  <c r="X10" i="15"/>
  <c r="D10" i="15"/>
  <c r="U9" i="15"/>
  <c r="N9" i="15"/>
  <c r="O9" i="15"/>
  <c r="V9" i="15"/>
  <c r="W9" i="15"/>
  <c r="X9" i="15"/>
  <c r="D9" i="15"/>
  <c r="U8" i="15"/>
  <c r="N8" i="15"/>
  <c r="O8" i="15"/>
  <c r="V8" i="15"/>
  <c r="W8" i="15"/>
  <c r="X8" i="15"/>
  <c r="D8" i="15"/>
  <c r="U7" i="15"/>
  <c r="N7" i="15"/>
  <c r="O7" i="15"/>
  <c r="V7" i="15"/>
  <c r="W7" i="15"/>
  <c r="X7" i="15"/>
  <c r="D7" i="15"/>
  <c r="S6" i="15"/>
  <c r="D6" i="15"/>
  <c r="S5" i="15"/>
  <c r="D5" i="15"/>
  <c r="D4" i="15"/>
  <c r="U3" i="15"/>
  <c r="N3" i="15"/>
  <c r="O3" i="15"/>
  <c r="V3" i="15"/>
  <c r="W3" i="15"/>
  <c r="X3" i="15"/>
  <c r="D3" i="15"/>
  <c r="S43" i="14"/>
  <c r="L43" i="14"/>
  <c r="M43" i="14"/>
  <c r="T43" i="14"/>
  <c r="U43" i="14"/>
  <c r="AI43" i="14"/>
  <c r="D43" i="14"/>
  <c r="S42" i="14"/>
  <c r="L42" i="14"/>
  <c r="M42" i="14"/>
  <c r="T42" i="14"/>
  <c r="U42" i="14"/>
  <c r="AI42" i="14"/>
  <c r="D42" i="14"/>
  <c r="S41" i="14"/>
  <c r="L41" i="14"/>
  <c r="M41" i="14"/>
  <c r="T41" i="14"/>
  <c r="U41" i="14"/>
  <c r="AI41" i="14"/>
  <c r="D41" i="14"/>
  <c r="S40" i="14"/>
  <c r="L40" i="14"/>
  <c r="M40" i="14"/>
  <c r="T40" i="14"/>
  <c r="U40" i="14"/>
  <c r="AI40" i="14"/>
  <c r="D40" i="14"/>
  <c r="S39" i="14"/>
  <c r="L39" i="14"/>
  <c r="M39" i="14"/>
  <c r="D39" i="14"/>
  <c r="S38" i="14"/>
  <c r="L38" i="14"/>
  <c r="M38" i="14"/>
  <c r="T38" i="14"/>
  <c r="U38" i="14"/>
  <c r="AI38" i="14"/>
  <c r="D38" i="14"/>
  <c r="S37" i="14"/>
  <c r="L37" i="14"/>
  <c r="M37" i="14"/>
  <c r="T37" i="14"/>
  <c r="U37" i="14"/>
  <c r="AI37" i="14"/>
  <c r="D37" i="14"/>
  <c r="Q36" i="14"/>
  <c r="S36" i="14"/>
  <c r="L36" i="14"/>
  <c r="M36" i="14"/>
  <c r="T36" i="14"/>
  <c r="U36" i="14"/>
  <c r="AI36" i="14"/>
  <c r="D36" i="14"/>
  <c r="Q35" i="14"/>
  <c r="S35" i="14"/>
  <c r="L35" i="14"/>
  <c r="M35" i="14"/>
  <c r="T35" i="14"/>
  <c r="U35" i="14"/>
  <c r="AI35" i="14"/>
  <c r="D35" i="14"/>
  <c r="Q34" i="14"/>
  <c r="S34" i="14"/>
  <c r="L34" i="14"/>
  <c r="M34" i="14"/>
  <c r="D34" i="14"/>
  <c r="Q33" i="14"/>
  <c r="S33" i="14"/>
  <c r="L33" i="14"/>
  <c r="M33" i="14"/>
  <c r="T33" i="14"/>
  <c r="U33" i="14"/>
  <c r="D33" i="14"/>
  <c r="S32" i="14"/>
  <c r="L32" i="14"/>
  <c r="M32" i="14"/>
  <c r="T32" i="14"/>
  <c r="U32" i="14"/>
  <c r="AI32" i="14"/>
  <c r="D32" i="14"/>
  <c r="S31" i="14"/>
  <c r="L31" i="14"/>
  <c r="M31" i="14"/>
  <c r="T31" i="14"/>
  <c r="U31" i="14"/>
  <c r="AI31" i="14"/>
  <c r="D31" i="14"/>
  <c r="S30" i="14"/>
  <c r="L30" i="14"/>
  <c r="M30" i="14"/>
  <c r="D30" i="14"/>
  <c r="S29" i="14"/>
  <c r="L29" i="14"/>
  <c r="M29" i="14"/>
  <c r="D29" i="14"/>
  <c r="Q28" i="14"/>
  <c r="S28" i="14"/>
  <c r="L28" i="14"/>
  <c r="M28" i="14"/>
  <c r="T28" i="14"/>
  <c r="U28" i="14"/>
  <c r="AI28" i="14"/>
  <c r="D28" i="14"/>
  <c r="Q27" i="14"/>
  <c r="S27" i="14"/>
  <c r="L27" i="14"/>
  <c r="M27" i="14"/>
  <c r="T27" i="14"/>
  <c r="U27" i="14"/>
  <c r="AI27" i="14"/>
  <c r="D27" i="14"/>
  <c r="N26" i="14"/>
  <c r="S26" i="14"/>
  <c r="L26" i="14"/>
  <c r="M26" i="14"/>
  <c r="D26" i="14"/>
  <c r="N25" i="14"/>
  <c r="S25" i="14"/>
  <c r="L25" i="14"/>
  <c r="M25" i="14"/>
  <c r="T25" i="14"/>
  <c r="U25" i="14"/>
  <c r="AI25" i="14"/>
  <c r="D25" i="14"/>
  <c r="N24" i="14"/>
  <c r="S24" i="14"/>
  <c r="L24" i="14"/>
  <c r="M24" i="14"/>
  <c r="T24" i="14"/>
  <c r="U24" i="14"/>
  <c r="D24" i="14"/>
  <c r="Q23" i="14"/>
  <c r="S23" i="14"/>
  <c r="L23" i="14"/>
  <c r="M23" i="14"/>
  <c r="D23" i="14"/>
  <c r="N22" i="14"/>
  <c r="Q22" i="14"/>
  <c r="S22" i="14"/>
  <c r="L22" i="14"/>
  <c r="M22" i="14"/>
  <c r="T22" i="14"/>
  <c r="U22" i="14"/>
  <c r="AI22" i="14"/>
  <c r="D22" i="14"/>
  <c r="S21" i="14"/>
  <c r="L21" i="14"/>
  <c r="M21" i="14"/>
  <c r="D21" i="14"/>
  <c r="S20" i="14"/>
  <c r="L20" i="14"/>
  <c r="M20" i="14"/>
  <c r="D20" i="14"/>
  <c r="S19" i="14"/>
  <c r="L19" i="14"/>
  <c r="M19" i="14"/>
  <c r="T19" i="14"/>
  <c r="U19" i="14"/>
  <c r="AI19" i="14"/>
  <c r="D19" i="14"/>
  <c r="S18" i="14"/>
  <c r="L18" i="14"/>
  <c r="M18" i="14"/>
  <c r="T18" i="14"/>
  <c r="U18" i="14"/>
  <c r="D18" i="14"/>
  <c r="S17" i="14"/>
  <c r="L17" i="14"/>
  <c r="M17" i="14"/>
  <c r="T17" i="14"/>
  <c r="U17" i="14"/>
  <c r="AI17" i="14"/>
  <c r="D17" i="14"/>
  <c r="S16" i="14"/>
  <c r="L16" i="14"/>
  <c r="M16" i="14"/>
  <c r="T16" i="14"/>
  <c r="U16" i="14"/>
  <c r="AI16" i="14"/>
  <c r="D16" i="14"/>
  <c r="S15" i="14"/>
  <c r="L15" i="14"/>
  <c r="M15" i="14"/>
  <c r="T15" i="14"/>
  <c r="U15" i="14"/>
  <c r="AI15" i="14"/>
  <c r="D15" i="14"/>
  <c r="S14" i="14"/>
  <c r="L14" i="14"/>
  <c r="M14" i="14"/>
  <c r="D14" i="14"/>
  <c r="L13" i="14"/>
  <c r="M13" i="14"/>
  <c r="T13" i="14"/>
  <c r="U13" i="14"/>
  <c r="D13" i="14"/>
  <c r="N12" i="14"/>
  <c r="Q12" i="14"/>
  <c r="S12" i="14"/>
  <c r="L12" i="14"/>
  <c r="M12" i="14"/>
  <c r="T12" i="14"/>
  <c r="U12" i="14"/>
  <c r="AI12" i="14"/>
  <c r="D12" i="14"/>
  <c r="S11" i="14"/>
  <c r="L11" i="14"/>
  <c r="M11" i="14"/>
  <c r="T11" i="14"/>
  <c r="U11" i="14"/>
  <c r="AI11" i="14"/>
  <c r="D11" i="14"/>
  <c r="S10" i="14"/>
  <c r="M10" i="14"/>
  <c r="T10" i="14"/>
  <c r="U10" i="14"/>
  <c r="AI10" i="14"/>
  <c r="D10" i="14"/>
  <c r="S9" i="14"/>
  <c r="L9" i="14"/>
  <c r="M9" i="14"/>
  <c r="D9" i="14"/>
  <c r="S8" i="14"/>
  <c r="L8" i="14"/>
  <c r="M8" i="14"/>
  <c r="T8" i="14"/>
  <c r="U8" i="14"/>
  <c r="D8" i="14"/>
  <c r="L7" i="14"/>
  <c r="M7" i="14"/>
  <c r="AI7" i="14"/>
  <c r="D7" i="14"/>
  <c r="D6" i="14"/>
  <c r="D5" i="14"/>
  <c r="D4" i="14"/>
  <c r="D3" i="14"/>
  <c r="V23" i="15"/>
  <c r="W23" i="15"/>
  <c r="X23" i="15"/>
  <c r="V24" i="15"/>
  <c r="W24" i="15"/>
  <c r="X24" i="15"/>
  <c r="V28" i="15"/>
  <c r="W28" i="15"/>
  <c r="X28" i="15"/>
  <c r="AI35" i="16"/>
  <c r="AI33" i="16"/>
  <c r="AI34" i="16"/>
  <c r="X6" i="15"/>
  <c r="AI24" i="16"/>
  <c r="X4" i="15"/>
  <c r="V16" i="15"/>
  <c r="W16" i="15"/>
  <c r="X16" i="15"/>
  <c r="AI11" i="16"/>
  <c r="AI15" i="16"/>
  <c r="AI29" i="16"/>
  <c r="V8" i="17"/>
  <c r="W8" i="17"/>
  <c r="X8" i="17"/>
  <c r="V14" i="17"/>
  <c r="W14" i="17"/>
  <c r="X14" i="17"/>
  <c r="V22" i="17"/>
  <c r="W22" i="17"/>
  <c r="X22" i="17"/>
  <c r="V31" i="17"/>
  <c r="W31" i="17"/>
  <c r="X31" i="17"/>
  <c r="V41" i="17"/>
  <c r="W41" i="17"/>
  <c r="X41" i="17"/>
  <c r="V43" i="17"/>
  <c r="W43" i="17"/>
  <c r="X43" i="17"/>
  <c r="X5" i="15"/>
  <c r="V31" i="15"/>
  <c r="W31" i="15"/>
  <c r="X31" i="15"/>
  <c r="W28" i="17"/>
  <c r="X28" i="17"/>
  <c r="V29" i="17"/>
  <c r="W29" i="17"/>
  <c r="X29" i="17"/>
  <c r="V30" i="17"/>
  <c r="W30" i="17"/>
  <c r="X30" i="17"/>
  <c r="AI27" i="16"/>
  <c r="AI28" i="16"/>
  <c r="AI36" i="16"/>
  <c r="T46" i="16"/>
  <c r="U46" i="16"/>
  <c r="AI46" i="16"/>
  <c r="T49" i="16"/>
  <c r="U49" i="16"/>
  <c r="AI49" i="16"/>
  <c r="T50" i="16"/>
  <c r="U50" i="16"/>
  <c r="AI50" i="16"/>
  <c r="AI18" i="16"/>
  <c r="AI22" i="16"/>
  <c r="AI23" i="16"/>
  <c r="T41" i="16"/>
  <c r="U41" i="16"/>
  <c r="AI41" i="16"/>
  <c r="T44" i="16"/>
  <c r="U44" i="16"/>
  <c r="AI44" i="16"/>
  <c r="T55" i="16"/>
  <c r="U55" i="16"/>
  <c r="AI55" i="16"/>
  <c r="AI16" i="16"/>
  <c r="U61" i="16"/>
  <c r="AI61" i="16"/>
  <c r="T62" i="16"/>
  <c r="U62" i="16"/>
  <c r="AI62" i="16"/>
  <c r="AI5" i="14"/>
  <c r="T23" i="14"/>
  <c r="U23" i="14"/>
  <c r="AI23" i="14"/>
  <c r="T9" i="14"/>
  <c r="U9" i="14"/>
  <c r="AI9" i="14"/>
  <c r="T21" i="14"/>
  <c r="U21" i="14"/>
  <c r="AI21" i="14"/>
  <c r="AI4" i="14"/>
  <c r="T20" i="14"/>
  <c r="U20" i="14"/>
  <c r="AI20" i="14"/>
  <c r="T26" i="14"/>
  <c r="U26" i="14"/>
  <c r="AI26" i="14"/>
  <c r="T29" i="14"/>
  <c r="U29" i="14"/>
  <c r="T30" i="14"/>
  <c r="U30" i="14"/>
  <c r="AI30" i="14"/>
  <c r="T14" i="14"/>
  <c r="U14" i="14"/>
  <c r="AI14" i="14"/>
  <c r="T34" i="14"/>
  <c r="U34" i="14"/>
  <c r="AI34" i="14"/>
  <c r="V15" i="17"/>
  <c r="W15" i="17"/>
  <c r="X15" i="17"/>
  <c r="V26" i="17"/>
  <c r="W26" i="17"/>
  <c r="X26" i="17"/>
  <c r="V45" i="17"/>
  <c r="W45" i="17"/>
  <c r="X45" i="17"/>
  <c r="V47" i="17"/>
  <c r="W47" i="17"/>
  <c r="X47" i="17"/>
  <c r="V4" i="17"/>
  <c r="W4" i="17"/>
  <c r="X4" i="17"/>
  <c r="V6" i="17"/>
  <c r="W6" i="17"/>
  <c r="X6" i="17"/>
  <c r="V21" i="17"/>
  <c r="W21" i="17"/>
  <c r="X21" i="17"/>
  <c r="V39" i="17"/>
  <c r="W39" i="17"/>
  <c r="X39" i="17"/>
  <c r="V53" i="17"/>
  <c r="W53" i="17"/>
  <c r="X53" i="17"/>
  <c r="V49" i="17"/>
  <c r="W49" i="17"/>
  <c r="X49" i="17"/>
  <c r="AI45" i="16"/>
  <c r="AI3" i="16"/>
  <c r="AI6" i="16"/>
  <c r="AI37" i="16"/>
  <c r="AI4" i="16"/>
  <c r="AI7" i="16"/>
  <c r="AI38" i="16"/>
  <c r="AI8" i="16"/>
  <c r="AI31" i="16"/>
  <c r="AI51" i="16"/>
  <c r="V27" i="15"/>
  <c r="W27" i="15"/>
  <c r="X27" i="15"/>
  <c r="V32" i="15"/>
  <c r="W32" i="15"/>
  <c r="X32" i="15"/>
  <c r="V30" i="15"/>
  <c r="W30" i="15"/>
  <c r="X30" i="15"/>
  <c r="V22" i="15"/>
  <c r="W22" i="15"/>
  <c r="X22" i="15"/>
  <c r="AI6" i="14"/>
  <c r="T39" i="14"/>
  <c r="U39" i="14"/>
  <c r="AI17" i="16"/>
  <c r="AI12" i="16"/>
  <c r="AI26" i="16"/>
  <c r="AI20" i="16"/>
  <c r="AI3" i="14"/>
  <c r="U34" i="13"/>
  <c r="N34" i="13"/>
  <c r="O34" i="13"/>
  <c r="V34" i="13"/>
  <c r="W34" i="13"/>
  <c r="X34" i="13"/>
  <c r="W33" i="13"/>
  <c r="N33" i="13"/>
  <c r="O33" i="13"/>
  <c r="U32" i="13"/>
  <c r="N32" i="13"/>
  <c r="O32" i="13"/>
  <c r="V32" i="13"/>
  <c r="W32" i="13"/>
  <c r="X32" i="13"/>
  <c r="U31" i="13"/>
  <c r="N31" i="13"/>
  <c r="O31" i="13"/>
  <c r="V31" i="13"/>
  <c r="W31" i="13"/>
  <c r="X31" i="13"/>
  <c r="L38" i="11"/>
  <c r="S23" i="13"/>
  <c r="D10" i="13"/>
  <c r="D7" i="13"/>
  <c r="D6" i="11"/>
  <c r="D7" i="11"/>
  <c r="D8" i="11"/>
  <c r="D11" i="11"/>
  <c r="D10" i="11"/>
  <c r="D9" i="11"/>
  <c r="U54" i="13"/>
  <c r="N54" i="13"/>
  <c r="O54" i="13"/>
  <c r="V54" i="13"/>
  <c r="W54" i="13"/>
  <c r="X54" i="13"/>
  <c r="D54" i="13"/>
  <c r="U53" i="13"/>
  <c r="N53" i="13"/>
  <c r="O53" i="13"/>
  <c r="V53" i="13"/>
  <c r="W53" i="13"/>
  <c r="X53" i="13"/>
  <c r="D53" i="13"/>
  <c r="U52" i="13"/>
  <c r="N52" i="13"/>
  <c r="O52" i="13"/>
  <c r="D52" i="13"/>
  <c r="U51" i="13"/>
  <c r="N51" i="13"/>
  <c r="O51" i="13"/>
  <c r="V51" i="13"/>
  <c r="W51" i="13"/>
  <c r="X51" i="13"/>
  <c r="D51" i="13"/>
  <c r="U50" i="13"/>
  <c r="N50" i="13"/>
  <c r="O50" i="13"/>
  <c r="D50" i="13"/>
  <c r="U49" i="13"/>
  <c r="N49" i="13"/>
  <c r="O49" i="13"/>
  <c r="V49" i="13"/>
  <c r="W49" i="13"/>
  <c r="X49" i="13"/>
  <c r="D49" i="13"/>
  <c r="U48" i="13"/>
  <c r="N48" i="13"/>
  <c r="O48" i="13"/>
  <c r="D48" i="13"/>
  <c r="U47" i="13"/>
  <c r="N47" i="13"/>
  <c r="O47" i="13"/>
  <c r="V47" i="13"/>
  <c r="W47" i="13"/>
  <c r="X47" i="13"/>
  <c r="D47" i="13"/>
  <c r="U46" i="13"/>
  <c r="N46" i="13"/>
  <c r="O46" i="13"/>
  <c r="V46" i="13"/>
  <c r="W46" i="13"/>
  <c r="X46" i="13"/>
  <c r="D46" i="13"/>
  <c r="U45" i="13"/>
  <c r="N45" i="13"/>
  <c r="O45" i="13"/>
  <c r="V45" i="13"/>
  <c r="W45" i="13"/>
  <c r="X45" i="13"/>
  <c r="D45" i="13"/>
  <c r="U44" i="13"/>
  <c r="N44" i="13"/>
  <c r="O44" i="13"/>
  <c r="V44" i="13"/>
  <c r="W44" i="13"/>
  <c r="X44" i="13"/>
  <c r="D44" i="13"/>
  <c r="U43" i="13"/>
  <c r="N43" i="13"/>
  <c r="O43" i="13"/>
  <c r="V43" i="13"/>
  <c r="W43" i="13"/>
  <c r="X43" i="13"/>
  <c r="D43" i="13"/>
  <c r="U42" i="13"/>
  <c r="N42" i="13"/>
  <c r="O42" i="13"/>
  <c r="V42" i="13"/>
  <c r="W42" i="13"/>
  <c r="X42" i="13"/>
  <c r="D42" i="13"/>
  <c r="U41" i="13"/>
  <c r="N41" i="13"/>
  <c r="O41" i="13"/>
  <c r="V41" i="13"/>
  <c r="W41" i="13"/>
  <c r="X41" i="13"/>
  <c r="D41" i="13"/>
  <c r="U40" i="13"/>
  <c r="N40" i="13"/>
  <c r="O40" i="13"/>
  <c r="V40" i="13"/>
  <c r="W40" i="13"/>
  <c r="X40" i="13"/>
  <c r="D40" i="13"/>
  <c r="U39" i="13"/>
  <c r="N39" i="13"/>
  <c r="O39" i="13"/>
  <c r="D39" i="13"/>
  <c r="U38" i="13"/>
  <c r="N38" i="13"/>
  <c r="O38" i="13"/>
  <c r="D38" i="13"/>
  <c r="U37" i="13"/>
  <c r="N37" i="13"/>
  <c r="O37" i="13"/>
  <c r="V37" i="13"/>
  <c r="W37" i="13"/>
  <c r="X37" i="13"/>
  <c r="D37" i="13"/>
  <c r="U36" i="13"/>
  <c r="N36" i="13"/>
  <c r="O36" i="13"/>
  <c r="V36" i="13"/>
  <c r="W36" i="13"/>
  <c r="X36" i="13"/>
  <c r="D36" i="13"/>
  <c r="U35" i="13"/>
  <c r="N35" i="13"/>
  <c r="O35"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9" i="13"/>
  <c r="D8" i="13"/>
  <c r="D6" i="13"/>
  <c r="D5" i="13"/>
  <c r="D4" i="13"/>
  <c r="D3" i="13"/>
  <c r="S38"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L17" i="11"/>
  <c r="M38" i="11"/>
  <c r="T38" i="11"/>
  <c r="U38" i="11"/>
  <c r="L39" i="11"/>
  <c r="M39" i="11"/>
  <c r="L40" i="11"/>
  <c r="L41" i="11"/>
  <c r="M41" i="11"/>
  <c r="L42" i="11"/>
  <c r="M42" i="11"/>
  <c r="L43" i="11"/>
  <c r="M43" i="11"/>
  <c r="L44" i="11"/>
  <c r="M44" i="11"/>
  <c r="L45" i="11"/>
  <c r="M45" i="11"/>
  <c r="L46" i="11"/>
  <c r="M46" i="11"/>
  <c r="L47" i="11"/>
  <c r="M47" i="11"/>
  <c r="T47" i="11"/>
  <c r="U47" i="11"/>
  <c r="AI47" i="11"/>
  <c r="L48" i="11"/>
  <c r="M48" i="11"/>
  <c r="L49" i="11"/>
  <c r="M49" i="11"/>
  <c r="L50" i="11"/>
  <c r="M50" i="11"/>
  <c r="L51" i="11"/>
  <c r="M51" i="11"/>
  <c r="L52" i="11"/>
  <c r="M52" i="11"/>
  <c r="L53" i="11"/>
  <c r="M53" i="11"/>
  <c r="L54" i="11"/>
  <c r="M54" i="11"/>
  <c r="L55" i="11"/>
  <c r="M55" i="11"/>
  <c r="T55" i="11"/>
  <c r="U55" i="11"/>
  <c r="AI55" i="11"/>
  <c r="L56" i="11"/>
  <c r="M56" i="11"/>
  <c r="L57" i="11"/>
  <c r="M57" i="11"/>
  <c r="L58" i="11"/>
  <c r="M58" i="11"/>
  <c r="L59" i="11"/>
  <c r="M59" i="11"/>
  <c r="T59" i="11"/>
  <c r="U59" i="11"/>
  <c r="AI59" i="11"/>
  <c r="L60" i="11"/>
  <c r="M60" i="11"/>
  <c r="L61" i="11"/>
  <c r="M61" i="11"/>
  <c r="T61" i="11"/>
  <c r="U61" i="11"/>
  <c r="AI61" i="11"/>
  <c r="L62" i="11"/>
  <c r="M62" i="11"/>
  <c r="L63" i="11"/>
  <c r="M63" i="11"/>
  <c r="T63" i="11"/>
  <c r="U63" i="11"/>
  <c r="AI63" i="11"/>
  <c r="L64" i="11"/>
  <c r="M64" i="11"/>
  <c r="L65" i="11"/>
  <c r="M65" i="11"/>
  <c r="L66" i="11"/>
  <c r="M66" i="11"/>
  <c r="L67" i="11"/>
  <c r="M67" i="11"/>
  <c r="T67" i="11"/>
  <c r="U67" i="11"/>
  <c r="AI67" i="11"/>
  <c r="L68" i="11"/>
  <c r="M68" i="11"/>
  <c r="T68" i="11"/>
  <c r="U68" i="11"/>
  <c r="L69" i="11"/>
  <c r="M69" i="11"/>
  <c r="T69" i="11"/>
  <c r="U69" i="11"/>
  <c r="AI69" i="11"/>
  <c r="L70" i="11"/>
  <c r="M70" i="11"/>
  <c r="L71" i="11"/>
  <c r="M71" i="11"/>
  <c r="T71" i="11"/>
  <c r="U71" i="11"/>
  <c r="AI71" i="11"/>
  <c r="L72" i="11"/>
  <c r="M72" i="11"/>
  <c r="T72" i="11"/>
  <c r="U72" i="11"/>
  <c r="AI72" i="11"/>
  <c r="L73" i="11"/>
  <c r="M73" i="11"/>
  <c r="T73" i="11"/>
  <c r="U73" i="11"/>
  <c r="AI73"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T56" i="11"/>
  <c r="U56" i="11"/>
  <c r="M40" i="11"/>
  <c r="T40" i="11"/>
  <c r="U40" i="11"/>
  <c r="AI40" i="11"/>
  <c r="T54" i="11"/>
  <c r="U54" i="11"/>
  <c r="AI54" i="11"/>
  <c r="V39" i="13"/>
  <c r="W39" i="13"/>
  <c r="X39" i="13"/>
  <c r="V35" i="13"/>
  <c r="W35" i="13"/>
  <c r="X35" i="13"/>
  <c r="V52" i="13"/>
  <c r="W52" i="13"/>
  <c r="X52" i="13"/>
  <c r="V38" i="13"/>
  <c r="W38" i="13"/>
  <c r="X38" i="13"/>
  <c r="V48" i="13"/>
  <c r="W48" i="13"/>
  <c r="X48" i="13"/>
  <c r="V50" i="13"/>
  <c r="W50" i="13"/>
  <c r="X50" i="13"/>
  <c r="T48" i="11"/>
  <c r="U48" i="11"/>
  <c r="AI48" i="11"/>
  <c r="T51" i="11"/>
  <c r="U51" i="11"/>
  <c r="AI51" i="11"/>
  <c r="T43" i="11"/>
  <c r="U43" i="11"/>
  <c r="AI43" i="11"/>
  <c r="T52" i="11"/>
  <c r="U52" i="11"/>
  <c r="AI52" i="11"/>
  <c r="T70" i="11"/>
  <c r="U70" i="11"/>
  <c r="AI70" i="11"/>
  <c r="T65" i="11"/>
  <c r="U65" i="11"/>
  <c r="AI65" i="11"/>
  <c r="T46" i="11"/>
  <c r="U46" i="11"/>
  <c r="AI46" i="11"/>
  <c r="T42" i="11"/>
  <c r="U42" i="11"/>
  <c r="AI42" i="11"/>
  <c r="T45" i="11"/>
  <c r="U45" i="11"/>
  <c r="AI45" i="11"/>
  <c r="T58" i="11"/>
  <c r="U58" i="11"/>
  <c r="AI58" i="11"/>
  <c r="T60" i="11"/>
  <c r="U60" i="11"/>
  <c r="AI60" i="11"/>
  <c r="T64" i="11"/>
  <c r="U64" i="11"/>
  <c r="AI64" i="11"/>
  <c r="T62" i="11"/>
  <c r="U62" i="11"/>
  <c r="T49" i="11"/>
  <c r="U49" i="11"/>
  <c r="AI49" i="11"/>
  <c r="T44" i="11"/>
  <c r="U44" i="11"/>
  <c r="U39" i="11"/>
  <c r="T50" i="11"/>
  <c r="U50" i="11"/>
  <c r="T66" i="11"/>
  <c r="U66" i="11"/>
  <c r="AI66" i="11"/>
  <c r="T57" i="11"/>
  <c r="U57" i="11"/>
  <c r="AI57" i="11"/>
  <c r="T41" i="11"/>
  <c r="U41" i="11"/>
  <c r="AI41" i="11"/>
  <c r="T53" i="11"/>
  <c r="U53" i="11"/>
  <c r="AI53" i="11"/>
  <c r="D4" i="11"/>
  <c r="D5" i="11"/>
  <c r="D3" i="11"/>
  <c r="F5" i="5"/>
  <c r="H5" i="5"/>
  <c r="X33" i="13"/>
  <c r="X30" i="13"/>
  <c r="AI35" i="11"/>
  <c r="AI34" i="11"/>
  <c r="AI33" i="11"/>
  <c r="AI39" i="11"/>
  <c r="V33" i="17"/>
  <c r="W33" i="17"/>
  <c r="X33" i="17"/>
  <c r="AI44" i="11"/>
  <c r="AI12" i="11"/>
  <c r="AI18" i="11"/>
  <c r="AI62" i="11"/>
  <c r="AI38" i="11"/>
  <c r="AI23" i="11"/>
  <c r="AI68" i="11"/>
  <c r="AI9" i="11"/>
  <c r="AI50" i="11"/>
  <c r="AI56" i="11"/>
  <c r="AI29" i="11"/>
  <c r="K38" i="25"/>
  <c r="L38" i="25"/>
  <c r="M38" i="25"/>
  <c r="K31" i="25"/>
  <c r="L31" i="25"/>
  <c r="M31" i="25"/>
  <c r="K25" i="25"/>
  <c r="L25" i="25"/>
  <c r="M25" i="25"/>
  <c r="K3" i="25"/>
  <c r="L3" i="25"/>
  <c r="M3" i="25"/>
  <c r="K94" i="25"/>
  <c r="L94" i="25"/>
  <c r="K52" i="25"/>
  <c r="L52" i="25"/>
  <c r="K39" i="25"/>
  <c r="L39" i="25"/>
  <c r="K27" i="25"/>
  <c r="L27" i="25"/>
  <c r="K20" i="25"/>
  <c r="L20" i="25"/>
  <c r="K102" i="25"/>
  <c r="L102" i="25"/>
  <c r="M102" i="25"/>
  <c r="AG9" i="21"/>
  <c r="K83" i="25"/>
  <c r="L83" i="25"/>
  <c r="K47" i="25"/>
  <c r="L47" i="25"/>
  <c r="K37" i="25"/>
  <c r="L37" i="25"/>
  <c r="K22" i="25"/>
  <c r="L22" i="25"/>
  <c r="K19" i="25"/>
  <c r="L19" i="25"/>
  <c r="K82" i="25"/>
  <c r="L82" i="25"/>
  <c r="M82" i="25"/>
  <c r="K74" i="25"/>
  <c r="L74" i="25"/>
  <c r="M74" i="25"/>
  <c r="K29" i="25"/>
  <c r="L29" i="25"/>
  <c r="M29" i="25"/>
  <c r="AG51" i="18"/>
  <c r="AH51" i="18"/>
  <c r="V11" i="15"/>
  <c r="W11" i="15"/>
  <c r="X11" i="15"/>
  <c r="AH66" i="21"/>
  <c r="AI66" i="21"/>
  <c r="AG66" i="21"/>
  <c r="AI60" i="21"/>
  <c r="K106" i="25"/>
  <c r="L106" i="25"/>
  <c r="K103" i="25"/>
  <c r="L103" i="25"/>
  <c r="K73" i="25"/>
  <c r="L73" i="25"/>
  <c r="K92" i="25"/>
  <c r="L92" i="25"/>
  <c r="M92" i="25"/>
  <c r="K87" i="25"/>
  <c r="L87" i="25"/>
  <c r="M87" i="25"/>
  <c r="K84" i="25"/>
  <c r="L84" i="25"/>
  <c r="M84" i="25"/>
  <c r="K13" i="25"/>
  <c r="L13" i="25"/>
  <c r="M13" i="25"/>
  <c r="K108" i="25"/>
  <c r="L108" i="25"/>
  <c r="K105" i="25"/>
  <c r="L105" i="25"/>
  <c r="K101" i="25"/>
  <c r="L101" i="25"/>
  <c r="K75" i="25"/>
  <c r="L75" i="25"/>
  <c r="K71" i="25"/>
  <c r="L71" i="25"/>
  <c r="K104" i="25"/>
  <c r="L104" i="25"/>
  <c r="M104" i="25"/>
  <c r="K100" i="25"/>
  <c r="L100" i="25"/>
  <c r="M100" i="25"/>
  <c r="K91" i="25"/>
  <c r="L91" i="25"/>
  <c r="M91" i="25"/>
  <c r="K88" i="25"/>
  <c r="L88" i="25"/>
  <c r="M88" i="25"/>
  <c r="K72" i="25"/>
  <c r="L72" i="25"/>
  <c r="M72" i="25"/>
  <c r="K51" i="25"/>
  <c r="L51" i="25"/>
  <c r="M51" i="25"/>
  <c r="K26" i="25"/>
  <c r="L26" i="25"/>
  <c r="M26" i="25"/>
  <c r="K23" i="25"/>
  <c r="L23" i="25"/>
  <c r="M23" i="25"/>
  <c r="K16" i="25"/>
  <c r="L16" i="25"/>
  <c r="M16" i="25"/>
  <c r="K10" i="25"/>
  <c r="L10" i="25"/>
  <c r="M10" i="25"/>
  <c r="K7" i="25"/>
  <c r="L7" i="25"/>
  <c r="M7" i="25"/>
  <c r="AG57" i="16"/>
  <c r="AH57" i="16"/>
  <c r="AI57" i="16"/>
  <c r="AH33" i="14"/>
  <c r="AG33" i="14"/>
  <c r="AI33" i="14"/>
  <c r="AH24" i="14"/>
  <c r="AG24" i="14"/>
  <c r="AI24" i="14"/>
  <c r="AH29" i="14"/>
  <c r="AG29" i="14"/>
  <c r="AI29" i="14"/>
  <c r="AH8" i="14"/>
  <c r="AG8" i="14"/>
  <c r="AI8" i="14"/>
  <c r="AH18" i="14"/>
  <c r="AG18" i="14"/>
  <c r="AI18" i="14"/>
  <c r="AH39" i="14"/>
  <c r="AG39" i="14"/>
  <c r="AH3" i="18"/>
  <c r="AG3" i="18"/>
  <c r="AI3" i="18"/>
  <c r="AH54" i="21"/>
  <c r="AG54" i="21"/>
  <c r="AI54" i="21"/>
  <c r="AG38" i="21"/>
  <c r="AI38" i="21"/>
  <c r="AI39" i="14"/>
  <c r="AH22" i="18"/>
  <c r="AG22" i="18"/>
  <c r="AI22" i="18"/>
  <c r="AG63" i="18"/>
  <c r="AI63" i="18"/>
  <c r="AH63" i="18"/>
  <c r="AG34" i="21"/>
  <c r="AH34" i="21"/>
  <c r="AI34" i="21"/>
  <c r="AG45" i="18"/>
  <c r="AI45" i="18"/>
  <c r="AH45" i="18"/>
  <c r="AH12" i="18"/>
  <c r="AG12" i="18"/>
  <c r="AI12" i="18"/>
  <c r="AH13" i="21"/>
  <c r="AG13" i="21"/>
  <c r="AI13" i="21"/>
  <c r="AG57" i="18"/>
  <c r="AH39" i="18"/>
  <c r="AG39" i="18"/>
  <c r="AH17" i="21"/>
  <c r="AG17" i="21"/>
  <c r="AH16" i="18"/>
  <c r="AG16" i="18"/>
  <c r="AK9" i="23"/>
  <c r="AJ9" i="23"/>
  <c r="AL9" i="23"/>
  <c r="AK34" i="23"/>
  <c r="AJ34" i="23"/>
  <c r="AL34" i="23"/>
  <c r="AJ70" i="23"/>
  <c r="AK70" i="23"/>
  <c r="AL70" i="23"/>
  <c r="AI39" i="18"/>
  <c r="AI51" i="18"/>
  <c r="AI9" i="21"/>
  <c r="AK58" i="23"/>
  <c r="AJ58" i="23"/>
  <c r="AL58" i="23"/>
  <c r="AH26" i="18"/>
  <c r="AG26" i="18"/>
  <c r="AG23" i="21"/>
  <c r="AJ40" i="23"/>
  <c r="AK40" i="23"/>
  <c r="AL40" i="23"/>
  <c r="AK19" i="23"/>
  <c r="AJ19" i="23"/>
  <c r="AL19" i="23"/>
  <c r="AJ3" i="23"/>
  <c r="AL3" i="23"/>
  <c r="AK46" i="23"/>
  <c r="AJ46" i="23"/>
  <c r="AL46" i="23"/>
  <c r="AJ64" i="23"/>
  <c r="AL64" i="23"/>
  <c r="AK64" i="23"/>
  <c r="AH8" i="18"/>
  <c r="AG8" i="18"/>
  <c r="AH32" i="18"/>
  <c r="AG32" i="18"/>
  <c r="AH60" i="21"/>
  <c r="AH28" i="21"/>
  <c r="AG28" i="21"/>
  <c r="AJ52" i="23"/>
  <c r="AK52" i="23"/>
  <c r="AL52" i="23"/>
  <c r="AJ24" i="23"/>
  <c r="AK24" i="23"/>
  <c r="AK30" i="23"/>
  <c r="AJ30" i="23"/>
  <c r="AH17" i="16"/>
  <c r="AG17" i="16"/>
  <c r="AG37" i="16"/>
  <c r="AH35" i="18"/>
  <c r="AG35" i="18"/>
  <c r="AH44" i="21"/>
  <c r="AG44" i="21"/>
  <c r="AG3" i="16"/>
  <c r="AH3" i="16"/>
  <c r="AJ13" i="23"/>
  <c r="AK13" i="23"/>
  <c r="AG33" i="11"/>
  <c r="AH33" i="11"/>
  <c r="AH3" i="21"/>
  <c r="AG3" i="21"/>
  <c r="AI3" i="21"/>
  <c r="AH50" i="21"/>
  <c r="AG50" i="21"/>
  <c r="AG6" i="16"/>
  <c r="AH6" i="16"/>
  <c r="AG51" i="16"/>
  <c r="AH51" i="16"/>
  <c r="AG3" i="14"/>
  <c r="AH3" i="14"/>
  <c r="AG12" i="16"/>
  <c r="AH12" i="16"/>
  <c r="AG20" i="16"/>
  <c r="AH20" i="16"/>
  <c r="AG26" i="16"/>
  <c r="AH26" i="16"/>
  <c r="AH32" i="16"/>
  <c r="AG32" i="16"/>
  <c r="AH39" i="16"/>
  <c r="AG39" i="16"/>
  <c r="AH45" i="16"/>
  <c r="AG45" i="16"/>
  <c r="K14" i="25"/>
  <c r="L14" i="25"/>
  <c r="K11" i="25"/>
  <c r="L11" i="25"/>
  <c r="K5" i="25"/>
  <c r="L5" i="25"/>
  <c r="K4" i="25"/>
  <c r="L4" i="25"/>
</calcChain>
</file>

<file path=xl/sharedStrings.xml><?xml version="1.0" encoding="utf-8"?>
<sst xmlns="http://schemas.openxmlformats.org/spreadsheetml/2006/main" count="6037" uniqueCount="887">
  <si>
    <t>NOTAS</t>
  </si>
  <si>
    <t>IDN2</t>
  </si>
  <si>
    <t>IDN1</t>
  </si>
  <si>
    <t>INGENIEROS CIVILES ESPECIALISTAS LTDA</t>
  </si>
  <si>
    <t>INGENIERIA CONSULTORIA Y PLANEACION S.A. INCOPLAN S.A.</t>
  </si>
  <si>
    <t>SI</t>
  </si>
  <si>
    <t>NO</t>
  </si>
  <si>
    <t>INTEGRANTE</t>
  </si>
  <si>
    <t>ENTIDAD</t>
  </si>
  <si>
    <t>OBJETO DEL CONTRATO</t>
  </si>
  <si>
    <t>Fecha de inicio del contrato</t>
  </si>
  <si>
    <t>Valor del contrato incluido IVA</t>
  </si>
  <si>
    <t>MONEDA</t>
  </si>
  <si>
    <t>Tasa USD</t>
  </si>
  <si>
    <t>Valor del contrato USD</t>
  </si>
  <si>
    <t>Tasa COP</t>
  </si>
  <si>
    <t>Valor del contrato en Pesos incluido IVA</t>
  </si>
  <si>
    <t xml:space="preserve">SMMLV Valor del contrato </t>
  </si>
  <si>
    <t>Maximo 1 contrato por asistente + Promesa de contrato de Asistencia tecnico</t>
  </si>
  <si>
    <t>AGENCIA NACIONAL DE INFRAESTRUCTURA - ANI</t>
  </si>
  <si>
    <t>COP</t>
  </si>
  <si>
    <t>INSTITUTO NACIONAL DE VIAS INVIAS</t>
  </si>
  <si>
    <t>ANI</t>
  </si>
  <si>
    <t>INSTITUTO DE DESARROLLO URBANO - IDU</t>
  </si>
  <si>
    <t>EUR</t>
  </si>
  <si>
    <t>MINISTERIO DE FOMENTO</t>
  </si>
  <si>
    <t>INSTITUTO NACIONAL DE CONCESIONES - INCO</t>
  </si>
  <si>
    <t>Gerencia de Proyectos</t>
  </si>
  <si>
    <t>Ingeniería de Transporte</t>
  </si>
  <si>
    <t>Ingeniería Civil</t>
  </si>
  <si>
    <t xml:space="preserve">ACTIVIDADES RUP, FORMATO 2, MATRIZ O EJECUCIÓN  </t>
  </si>
  <si>
    <t>Segmento 80</t>
  </si>
  <si>
    <t xml:space="preserve">Familia 10 </t>
  </si>
  <si>
    <t>Clase    16</t>
  </si>
  <si>
    <t>Segmento 81</t>
  </si>
  <si>
    <t>Clase    22</t>
  </si>
  <si>
    <t>Clase
15</t>
  </si>
  <si>
    <t>Unidad Especial de Aeronautica Civil</t>
  </si>
  <si>
    <t>PARÁMETROS</t>
  </si>
  <si>
    <t>VALOR</t>
  </si>
  <si>
    <t xml:space="preserve">SUMATORIA DE CONTRATOS EG </t>
  </si>
  <si>
    <t>VALOR CADA CONTRATO EG</t>
  </si>
  <si>
    <t>VALOR ACREDITAR LIDER EG</t>
  </si>
  <si>
    <t>VALOR DE CONTRATO EE</t>
  </si>
  <si>
    <t xml:space="preserve">Fecha de cierre  según Adendas </t>
  </si>
  <si>
    <t xml:space="preserve">Fecha de cierre según Pliego de condiciones  </t>
  </si>
  <si>
    <t xml:space="preserve">SERIE SMLMV </t>
  </si>
  <si>
    <t xml:space="preserve">AÑO </t>
  </si>
  <si>
    <t>VALOR (COP)</t>
  </si>
  <si>
    <t>N°</t>
  </si>
  <si>
    <t>PROPONENTE</t>
  </si>
  <si>
    <t>INTEGRANTES</t>
  </si>
  <si>
    <t>Numeral 5.2 Literal 4</t>
  </si>
  <si>
    <t>Numeral 5.2 Literal 5</t>
  </si>
  <si>
    <t>N/A</t>
  </si>
  <si>
    <t>NºCONSECUTIVO DEL  RUP/ MATRIZ/ EN EJECUCIÓN</t>
  </si>
  <si>
    <t>PORCENTAJE DE PARTICIÓN</t>
  </si>
  <si>
    <t>Supervisión o interventoría en proyectos de Infraestructura de Transporte.</t>
  </si>
  <si>
    <t>CONCURSO DE MÉRITOS ABIERTO No. VJ-VGC-CM-023-2015</t>
  </si>
  <si>
    <t>Presupuesto INTERVENTORIA A CONTRATO DE CONCESIÓN VIAS DEL NUS</t>
  </si>
  <si>
    <t>4% SMMLV (10%EGMIN)</t>
  </si>
  <si>
    <t>20,4% SMMLV (51%EGM)</t>
  </si>
  <si>
    <t xml:space="preserve">40% SMMLV </t>
  </si>
  <si>
    <t xml:space="preserve">5% SMMLV </t>
  </si>
  <si>
    <t>SMMLV Finalización /última facturación</t>
  </si>
  <si>
    <t>Año de Finalización/ última facturación</t>
  </si>
  <si>
    <t>CM023P01</t>
  </si>
  <si>
    <t>CM023P02</t>
  </si>
  <si>
    <t>CM023P03</t>
  </si>
  <si>
    <t>CM023P04</t>
  </si>
  <si>
    <t>CM023P05</t>
  </si>
  <si>
    <t>CM023P06</t>
  </si>
  <si>
    <t>CM023P07</t>
  </si>
  <si>
    <t>CM023P08</t>
  </si>
  <si>
    <t>CM023P09</t>
  </si>
  <si>
    <t>CM023P10</t>
  </si>
  <si>
    <t>CONSORCIO APPLUS - INGEANDINA 023 - 2015</t>
  </si>
  <si>
    <t>INGEANDINA CONSULTORES DE INGENIERIA S.A.S.</t>
  </si>
  <si>
    <t>APPLUS NORCONTROL CONSULTORIA E INGENIERIA S.A.S.</t>
  </si>
  <si>
    <t>PARTICIPACIÓN</t>
  </si>
  <si>
    <t>CONSORCIO VIAS DEL CARIBE</t>
  </si>
  <si>
    <t>CONSTRUCTORA A &amp; C SOCIEDAD ANONIMA</t>
  </si>
  <si>
    <t>COPEBA LTDA</t>
  </si>
  <si>
    <t>GERMAN BALLESTAS BERDEJO</t>
  </si>
  <si>
    <t>CONSORCIO VIAS DEL NUS 2016</t>
  </si>
  <si>
    <t>AYESA COLOMBIA INGENIERIA Y ARQUITECTURA S.A.S.</t>
  </si>
  <si>
    <t>CONSORCIO PIV - CAYCO</t>
  </si>
  <si>
    <t>PROYECTOS CONSTRUCCIONES CIVILES Y VIALES LIMITADA</t>
  </si>
  <si>
    <t>CAYCO S.A.S.</t>
  </si>
  <si>
    <t>CONSORCIO PID VIAS 2016</t>
  </si>
  <si>
    <t>CONSORCIO SERVINC - VQM</t>
  </si>
  <si>
    <t>CONSORCIO INTERCONCESION ES G &amp; C</t>
  </si>
  <si>
    <t>CONSORCIO MAB</t>
  </si>
  <si>
    <t>CONSORCIO INTERVENTOR PEB - ET-SIGA</t>
  </si>
  <si>
    <t>CONSORCIO VIAS DEL NUS 23</t>
  </si>
  <si>
    <t>CONSORCIO VIAS DEL NUS</t>
  </si>
  <si>
    <t>CONSORCIO VIAS 2016</t>
  </si>
  <si>
    <t>CONSORCIO DICO - SERINCO 2016</t>
  </si>
  <si>
    <t>CONSORCIO WSP - SMA</t>
  </si>
  <si>
    <t>CONSORCIO PLANES HIDROCONSULTA</t>
  </si>
  <si>
    <t>3 B PROYECTOS S.A.S.</t>
  </si>
  <si>
    <t>CONSORCIO VIAS DEL NUS CI</t>
  </si>
  <si>
    <t>CONSORCIO CISNEROS 2016</t>
  </si>
  <si>
    <t>INTEGRAL DISEÑOS E INTERVENTORIA S.A.S.</t>
  </si>
  <si>
    <t>CONSORCIO INGECE</t>
  </si>
  <si>
    <t>CONSORCIO VIAS DEL NUS SEG - INCOPLAN</t>
  </si>
  <si>
    <t>HMV CONSULTORIA</t>
  </si>
  <si>
    <t>CONSORCIO INTER - VIAL S.A.S.</t>
  </si>
  <si>
    <t>CONSORCIO INTERVENTORIA DEL NUS</t>
  </si>
  <si>
    <t>PROGIN SPA</t>
  </si>
  <si>
    <t>D &amp; B INGENIEROS CIVILES S.A.S.</t>
  </si>
  <si>
    <t>INYPSA INFORMES Y PROYECTOS COLOMBIA S.A.S.</t>
  </si>
  <si>
    <t>EUROCONTROL S.A.</t>
  </si>
  <si>
    <t>TOP SUELOS INGENIERIA S.A.S.</t>
  </si>
  <si>
    <t>GARPER INGENIERÍA CIA S.A.S.</t>
  </si>
  <si>
    <t>SERVICIOS DE INGENIERIA Y CONSTRUCCION LIMITADA "SERVINC LTDA"</t>
  </si>
  <si>
    <t>VQM S.A.S.</t>
  </si>
  <si>
    <t>GIC GERENCIA INTERVENTORIA Y CONSULTORIA S.A.S.</t>
  </si>
  <si>
    <t>CONSULTORES UNIDOS S.A.</t>
  </si>
  <si>
    <t>MAB INGENIERIA DE VALOR S.A.</t>
  </si>
  <si>
    <t>MAB SERVICIOS S.A.S.</t>
  </si>
  <si>
    <t>PABLO EMILIO BRAVO CONSULTORES S.A.S</t>
  </si>
  <si>
    <t>ESTUDIOS TECNICOS S.A.S.</t>
  </si>
  <si>
    <t>SIGA INGENIERIA Y CONSULTORIA S.A. SUCURSAL COLOMBIA</t>
  </si>
  <si>
    <t>CONSULTORES DE INGENIERIA UG 21 SL SUCURSAL</t>
  </si>
  <si>
    <t>ARDANUY COLOMBIA S.A.S.</t>
  </si>
  <si>
    <t>GNC INGENIERIA S.A.S.</t>
  </si>
  <si>
    <t>24.5%</t>
  </si>
  <si>
    <t>ETA S.A.</t>
  </si>
  <si>
    <t>INTERPRO S.A.S.</t>
  </si>
  <si>
    <t>SERINCO COLOMBIA</t>
  </si>
  <si>
    <t>DICONSULTORIA S.A.</t>
  </si>
  <si>
    <t>SMA S.A.</t>
  </si>
  <si>
    <t>WSP SERVICIOS S.A.S.</t>
  </si>
  <si>
    <t>PLANES S.A.</t>
  </si>
  <si>
    <t>HIDROCONSULTA S.A.S.</t>
  </si>
  <si>
    <t>BATEMAN INGENIERIA S.A.</t>
  </si>
  <si>
    <t>ECOVIAS S.A.S.</t>
  </si>
  <si>
    <t>INRAESTRUCTURA INTEGRAL S.A.S.</t>
  </si>
  <si>
    <t>CANO JIMENEZ ESTUDIOS S.A.</t>
  </si>
  <si>
    <t>CONSULTORES TECNICOS Y ECONOMICOS S.A.</t>
  </si>
  <si>
    <t>CONSULTORES E INTERVENTORES TECNICOS S.A.S</t>
  </si>
  <si>
    <t>INGETEC G &amp; C</t>
  </si>
  <si>
    <t>CEAS</t>
  </si>
  <si>
    <t>SONDEOS ESTRUCTURAS Y GEOTECNIA SUCURSAL S.A.</t>
  </si>
  <si>
    <t>LA VIALIDAD LIMITADA</t>
  </si>
  <si>
    <t>ARENAS DE LA HOZ CONSULTORES S.A.S.</t>
  </si>
  <si>
    <t>SILVA CARREÑO Y ASOCIADOS S.A.S.</t>
  </si>
  <si>
    <t>TECNOLOGIAS Y CONSULTORIAS AMBIENTALES Y GESTION S.A.</t>
  </si>
  <si>
    <t>PROYECTOS TECNICOS DE COLOMBIA</t>
  </si>
  <si>
    <t>HORACIO FRANCISCO MENDOZA MARTINEZ</t>
  </si>
  <si>
    <t>CM023P26</t>
  </si>
  <si>
    <t>CODIGO DE INTEGRANTE</t>
  </si>
  <si>
    <t>CONSORCIO VIAS DEL NUS LNC</t>
  </si>
  <si>
    <t>LKS COLOMBIA S.A.S.</t>
  </si>
  <si>
    <t>NOGALL S.A.</t>
  </si>
  <si>
    <t>CGR S.A.S.</t>
  </si>
  <si>
    <t>UNION TEMPORAL VIAS DEL NUS</t>
  </si>
  <si>
    <t xml:space="preserve">AFA CONSULTORES Y CONSTRUCTORES S.A  E.S.P. </t>
  </si>
  <si>
    <t xml:space="preserve">INCGROUP S.A.S </t>
  </si>
  <si>
    <t>CONSORCIO INTERVIAS DEL NUS 4G</t>
  </si>
  <si>
    <t>INGENIERIA DE PROYECTOS S.A.S.</t>
  </si>
  <si>
    <t>CONSORCIO GOMCA - INTOK 2016</t>
  </si>
  <si>
    <t>CONSULTORIA INTOK DE COLOMBIA Y ASOCIADOS S.A.S.</t>
  </si>
  <si>
    <t>GOMEZ CAJIAO Y ASOCIADOS S.A.</t>
  </si>
  <si>
    <t>CONSORCIO INTER-NUS</t>
  </si>
  <si>
    <t>ICEACSA CONSULTORES SUCURSAL COLOMBIA</t>
  </si>
  <si>
    <t>GEOTECNIA Y CIMIENTOS INGEOCIM S.A.S.</t>
  </si>
  <si>
    <t>CONSORCIO VELNEC - CONCIC</t>
  </si>
  <si>
    <t>VELNEC S.A.</t>
  </si>
  <si>
    <t>CONSULTORES INTERVENTORES COLOMBIANOS S.A.S.  - CONCIC S.A.S.</t>
  </si>
  <si>
    <t>CONSORCIO INTERVIA DEL NUS</t>
  </si>
  <si>
    <t>SERTIC S.A.S.</t>
  </si>
  <si>
    <t>CPS INGENIEROS OBRA CIVIL Y MEDIO AMBIENTE SUCURSAL COLOMBIA SL</t>
  </si>
  <si>
    <t>CONSORCIO VIANUS</t>
  </si>
  <si>
    <t>INGENOBRAS CONSTRUCCIONES Y CONSULTORIA S.A.S. - INGENOBRAS S.A.S.</t>
  </si>
  <si>
    <t>JOSE MANUEL GUARDO POLO</t>
  </si>
  <si>
    <t>ARREDONDO MADRID INGENIEROS CIVILES (AIM ) LIMITADA</t>
  </si>
  <si>
    <t>INGENIERIA INTEGRAL DE OBRAS INGEOBRAS S.A.S.</t>
  </si>
  <si>
    <t xml:space="preserve">GETINSA INGENIERIA SL SUCURSAL COLOMBIA </t>
  </si>
  <si>
    <t xml:space="preserve">EUROESTUDIOS INGENIEROS DE CONSULTA S.A.S. </t>
  </si>
  <si>
    <t>CM023P11</t>
  </si>
  <si>
    <t>CONSORCIO ESPERANZA 023</t>
  </si>
  <si>
    <t>INGENIERIA Y CONSULTORIA INGECON S.A.S.</t>
  </si>
  <si>
    <t>CONSULTORIA INTEGRAL EN INGENIERIA S.A. DE CV</t>
  </si>
  <si>
    <t>CM023P12</t>
  </si>
  <si>
    <t>CONSORCIO PI ANTIOQUIA</t>
  </si>
  <si>
    <t>PROYECTOS E INTERVENTORIAS LIMITADA</t>
  </si>
  <si>
    <t>INENIERA DE ESTUDIOS Y ASESORIAS S.A.S. INESAS</t>
  </si>
  <si>
    <t>CM023P13</t>
  </si>
  <si>
    <t>CONSORCIO CR CONCESIONES VIAL DEL NUS</t>
  </si>
  <si>
    <t>COMPAÑÍA COLOMBIANA DE CONSULTORES S.A.S. (CCC)</t>
  </si>
  <si>
    <t>CONSULTORES EN INGENIERIA S.A.S.</t>
  </si>
  <si>
    <t>CM023P14</t>
  </si>
  <si>
    <t>CONSORCIO VIAS DEL NUS SEDIC - CB</t>
  </si>
  <si>
    <t>SEDIC</t>
  </si>
  <si>
    <t>CB INGENIEROS</t>
  </si>
  <si>
    <t>CM023P15</t>
  </si>
  <si>
    <t>CEMOSA (COLOMBIA)</t>
  </si>
  <si>
    <t>INGENIERIA Y DESARROLLO XIMA DE COLOMBIA S.A.S.</t>
  </si>
  <si>
    <t>CM023P16</t>
  </si>
  <si>
    <t>SUPERING S.A.S.</t>
  </si>
  <si>
    <t>CM023P17</t>
  </si>
  <si>
    <t>CONSORCIO INTERVENTOR VIAS DEL NUS</t>
  </si>
  <si>
    <t>INZETT S.A.S.</t>
  </si>
  <si>
    <t>CIVING INGENIEROS CONTRATISTAS S EN C</t>
  </si>
  <si>
    <t>J FELIPE ARDILA V &amp; CIA S.A.S.</t>
  </si>
  <si>
    <t>CM023P18</t>
  </si>
  <si>
    <t>CONSORCIO GEG ANTIOQUIA</t>
  </si>
  <si>
    <t>GRUPO POSSO S.A.S.</t>
  </si>
  <si>
    <t>GINPROSA COLOMBIA S.A.S.</t>
  </si>
  <si>
    <t>C &amp; M CONSULTORES  S.A.</t>
  </si>
  <si>
    <t>CM023P19</t>
  </si>
  <si>
    <t>CONSORCIO METRO GC&amp;Q</t>
  </si>
  <si>
    <t>GRUPO METRO COLOMBIA (GMC INGENIEROS S.A.)</t>
  </si>
  <si>
    <t>GC&amp;Q INGENIEROS CONSULTORES S.A.S.</t>
  </si>
  <si>
    <t>CM023P20</t>
  </si>
  <si>
    <t>CONSORCIO GESTION VIAL</t>
  </si>
  <si>
    <t>IV INGENIEROS CONSULTORES E INTERVENTOR S.A.S.</t>
  </si>
  <si>
    <t>CELQO S.A.S.</t>
  </si>
  <si>
    <t>CM023P21</t>
  </si>
  <si>
    <t>CONSORCIO BI 2016</t>
  </si>
  <si>
    <t>BAG ENGINEERING CONSULTANCY GROUP S.A.S.</t>
  </si>
  <si>
    <t>INGENIEROS PROYECTOS CONSULTORIAS IPC S.A.S.</t>
  </si>
  <si>
    <t>CM023P22</t>
  </si>
  <si>
    <t>CONSORCIO 4G INTERVENTORIAS</t>
  </si>
  <si>
    <t>DIEGO FERNANDO FONSECA CHAVES</t>
  </si>
  <si>
    <t>B&amp;C S.A.</t>
  </si>
  <si>
    <t>CM023P23</t>
  </si>
  <si>
    <t>CONSORCIO INTERVENTORES NUS</t>
  </si>
  <si>
    <t>INTERVENTORIAS Y DISEÑOS S.A.</t>
  </si>
  <si>
    <t>ESTRUCTURADOR COLOMBIA S.A.S.</t>
  </si>
  <si>
    <t>GRUSAMAR INGENIERIA Y CONSULTING SL SUCURSAL EN COLOMBIA</t>
  </si>
  <si>
    <t>JUAN AMADO LIZARAZO</t>
  </si>
  <si>
    <t>JOYCO</t>
  </si>
  <si>
    <t>CM023P24</t>
  </si>
  <si>
    <t>CONSORCIO CONTROLL NUS</t>
  </si>
  <si>
    <t>CM023P25</t>
  </si>
  <si>
    <t>JOYCO S.A.S.</t>
  </si>
  <si>
    <t>P01-01</t>
  </si>
  <si>
    <t>P01-02</t>
  </si>
  <si>
    <t>P01-03</t>
  </si>
  <si>
    <t>P02-01</t>
  </si>
  <si>
    <t>P03-01</t>
  </si>
  <si>
    <t>P04-01</t>
  </si>
  <si>
    <t>P05-01</t>
  </si>
  <si>
    <t>P06-01</t>
  </si>
  <si>
    <t>P02-02</t>
  </si>
  <si>
    <t>P03-02</t>
  </si>
  <si>
    <t>P04-02</t>
  </si>
  <si>
    <t>P05-02</t>
  </si>
  <si>
    <t>P06-02</t>
  </si>
  <si>
    <t>P07-01</t>
  </si>
  <si>
    <t>P07-02</t>
  </si>
  <si>
    <t>P08-01</t>
  </si>
  <si>
    <t>P08-02</t>
  </si>
  <si>
    <t>P09-01</t>
  </si>
  <si>
    <t>CM023P27</t>
  </si>
  <si>
    <t>CM023P28</t>
  </si>
  <si>
    <t>CM023P29</t>
  </si>
  <si>
    <t>CM023P30</t>
  </si>
  <si>
    <t>CM023P31</t>
  </si>
  <si>
    <t>CM023P32</t>
  </si>
  <si>
    <t>CM023P33</t>
  </si>
  <si>
    <t>CM023P34</t>
  </si>
  <si>
    <t>CM023P35</t>
  </si>
  <si>
    <t>CM023P36</t>
  </si>
  <si>
    <t>CM023P37</t>
  </si>
  <si>
    <t>CM023P38</t>
  </si>
  <si>
    <t>CM023P39</t>
  </si>
  <si>
    <t>CM023P40</t>
  </si>
  <si>
    <t>CM023P41</t>
  </si>
  <si>
    <t>CM023P42</t>
  </si>
  <si>
    <t>CM023P43</t>
  </si>
  <si>
    <t>CM023P44</t>
  </si>
  <si>
    <t>CM023P45</t>
  </si>
  <si>
    <t>CM023P46</t>
  </si>
  <si>
    <t>CM023P47</t>
  </si>
  <si>
    <t>CM023P48</t>
  </si>
  <si>
    <t>CM023P49</t>
  </si>
  <si>
    <t>CM023P50</t>
  </si>
  <si>
    <t>P09-02</t>
  </si>
  <si>
    <t>P10-01</t>
  </si>
  <si>
    <t>P10-02</t>
  </si>
  <si>
    <t>P11-01</t>
  </si>
  <si>
    <t>P11-02</t>
  </si>
  <si>
    <t>P12-01</t>
  </si>
  <si>
    <t>P12-02</t>
  </si>
  <si>
    <t>P13-01</t>
  </si>
  <si>
    <t>P13-02</t>
  </si>
  <si>
    <t>P14-01</t>
  </si>
  <si>
    <t>P14-02</t>
  </si>
  <si>
    <t>P15-01</t>
  </si>
  <si>
    <t>P15-02</t>
  </si>
  <si>
    <t>P16-01</t>
  </si>
  <si>
    <t>P17-01</t>
  </si>
  <si>
    <t>P17-02</t>
  </si>
  <si>
    <t>P17-03</t>
  </si>
  <si>
    <t>P18-01</t>
  </si>
  <si>
    <t>P18-02</t>
  </si>
  <si>
    <t>P18-03</t>
  </si>
  <si>
    <t>P19-01</t>
  </si>
  <si>
    <t>P19-02</t>
  </si>
  <si>
    <t>P20-01</t>
  </si>
  <si>
    <t>P20-02</t>
  </si>
  <si>
    <t>P21-01</t>
  </si>
  <si>
    <t>P21-02</t>
  </si>
  <si>
    <t>P22-01</t>
  </si>
  <si>
    <t>P22-02</t>
  </si>
  <si>
    <t>P23-01</t>
  </si>
  <si>
    <t>P23-02</t>
  </si>
  <si>
    <t>P24-01</t>
  </si>
  <si>
    <t>P25-01</t>
  </si>
  <si>
    <t>P24-02</t>
  </si>
  <si>
    <t>P26-01</t>
  </si>
  <si>
    <t>P26-02</t>
  </si>
  <si>
    <t>P27-01</t>
  </si>
  <si>
    <t>P27-02</t>
  </si>
  <si>
    <t>P27-03</t>
  </si>
  <si>
    <t>P28-01</t>
  </si>
  <si>
    <t>P28-02</t>
  </si>
  <si>
    <t>P29-01</t>
  </si>
  <si>
    <t>P29-02</t>
  </si>
  <si>
    <t>P30-01</t>
  </si>
  <si>
    <t>P30-02</t>
  </si>
  <si>
    <t>P30-03</t>
  </si>
  <si>
    <t>P31-01</t>
  </si>
  <si>
    <t>P31-02</t>
  </si>
  <si>
    <t>P31-03</t>
  </si>
  <si>
    <t>P32-01</t>
  </si>
  <si>
    <t>P32-02</t>
  </si>
  <si>
    <t>P33-01</t>
  </si>
  <si>
    <t>P33-02</t>
  </si>
  <si>
    <t>P34-01</t>
  </si>
  <si>
    <t>P34-02</t>
  </si>
  <si>
    <t>P35-01</t>
  </si>
  <si>
    <t>P35-02</t>
  </si>
  <si>
    <t>P35-03</t>
  </si>
  <si>
    <t>P36-01</t>
  </si>
  <si>
    <t>P36-02</t>
  </si>
  <si>
    <t>P36-03</t>
  </si>
  <si>
    <t>P37-01</t>
  </si>
  <si>
    <t>P37-02</t>
  </si>
  <si>
    <t>P38-01</t>
  </si>
  <si>
    <t>P39-01</t>
  </si>
  <si>
    <t>P38-02</t>
  </si>
  <si>
    <t>P39-02</t>
  </si>
  <si>
    <t>P40-01</t>
  </si>
  <si>
    <t>P41-01</t>
  </si>
  <si>
    <t>P40-02</t>
  </si>
  <si>
    <t>P41-02</t>
  </si>
  <si>
    <t>P42-01</t>
  </si>
  <si>
    <t>P43-01</t>
  </si>
  <si>
    <t>P43-02</t>
  </si>
  <si>
    <t>P44-01</t>
  </si>
  <si>
    <t>P44-02</t>
  </si>
  <si>
    <t>P45-01</t>
  </si>
  <si>
    <t>P46-01</t>
  </si>
  <si>
    <t>P46-02</t>
  </si>
  <si>
    <t>P47-01</t>
  </si>
  <si>
    <t>P47-02</t>
  </si>
  <si>
    <t>P48-01</t>
  </si>
  <si>
    <t>P49-01</t>
  </si>
  <si>
    <t>P50-01</t>
  </si>
  <si>
    <t>P49-02</t>
  </si>
  <si>
    <t>P49-03</t>
  </si>
  <si>
    <t>P50-02</t>
  </si>
  <si>
    <t>P50-03</t>
  </si>
  <si>
    <t>CM023P034</t>
  </si>
  <si>
    <t>FOLIO CONTRATO</t>
  </si>
  <si>
    <t>Interventoría técnica, administrativa, legal,  financiera, ambiental y social de las obras de construcción y todas las actividades necesarias para la adecuación de la calle 26 (Avenida Jorge Eliecer Gaitán) y de la carrera 10 (Av Fernando Mazuera), al sistema transmilenio, del tramo 3 que comprende la adecuación de la carrera 10 ( Av. Fernando Mazuera) al sistema transmilenio en el tramo 4 comprendido entre calle 7 y calle 26, en Bogotá D.C. y el tramo 5 comprendido entre calle 26 y calle 34 y adecuación de la calle 26 (Avenida Jorge Eliecer Gaitán) al sistema transmilenio en el tramo 5 comprendido entre carrera 19 y la carrera 13, incluye conexión operacional con la troncal caracas, en Bogotá D.C., y en el tramo 6 comprendido entre carrera 13 y carrera 3 entre calle 26 y calle 19, en Bogotá D.C.</t>
  </si>
  <si>
    <t>Asesoría e Interventoría técnica, administrativa y financiera y ambiental del contrato de obra para la construcción de un tramo de corredor del sistema integrado de transporte masivo de Cartagena transcribe, del sector del mercado de Bazurto hasta la India Catalina, Cartagena de Indias Distrito Turístico y Cultural.</t>
  </si>
  <si>
    <t>Interventoría para el mejoramiento y mantenimiento de las carreteras Mediacanoa-Ansermanuevo-La Virginia código 2302 y Miranda-Rio Desbaratado-Pradera-Palmira código 3105</t>
  </si>
  <si>
    <t>TRANSCARIBE S.A.</t>
  </si>
  <si>
    <t>SUMATORIA CONTRATOS &gt;= 40% P.O.</t>
  </si>
  <si>
    <t>CADA INTEGRANTE (AL MENOS UN CONTRATO CON EL 10% DE LA EXP GENERAL REQUERIDA)</t>
  </si>
  <si>
    <t>CM023P035</t>
  </si>
  <si>
    <t>CM023P036</t>
  </si>
  <si>
    <t>CM023P037</t>
  </si>
  <si>
    <t>CM023P038</t>
  </si>
  <si>
    <t>CM023P039</t>
  </si>
  <si>
    <t>CM023P040</t>
  </si>
  <si>
    <r>
      <t xml:space="preserve">Supervisión o interventoría en proyectos de Infraestructura de Transporte </t>
    </r>
    <r>
      <rPr>
        <b/>
        <u/>
        <sz val="11"/>
        <color theme="0"/>
        <rFont val="Arial"/>
        <family val="2"/>
      </rPr>
      <t>Vial.</t>
    </r>
  </si>
  <si>
    <t>Vigencia del contrato posterior a 01/01/90</t>
  </si>
  <si>
    <t>CM023P033</t>
  </si>
  <si>
    <t>SMMLV finalización del contrato PONDERADO</t>
  </si>
  <si>
    <t>SMMLV finalización del contrato  PONDERADO</t>
  </si>
  <si>
    <t>Interventoría integral del contrato de concesión, que incluye pero no se limita a la Interventoría técnica, financiera, contable, jurídica, medio-ambiental, socio-predial, administrativa, de seguros, operativa y de mantenimiento del contrato de concesión, el cual hace parte del proyecto vial ruta del sol y que corresponde al sector 1 comprendido entre Tobiagrande/Villeta-El Koran.</t>
  </si>
  <si>
    <t>Interventoría para el mejoramiento y mantenimiento de las carreteras mediacanoa-ansermanuevo-la Virginia, código 2302 y miranda-rio desbaratado-palmira. código 3105</t>
  </si>
  <si>
    <t>REGIÓN DE MURCIA CONSEJERÍA DE OBRAS PÚBLICAS Y ORDENACIÓN DEL TERRITORIO DIRECCIÓN GENERAL DE CARRETERAS</t>
  </si>
  <si>
    <t>Fiscalización de las obras, asistencia técnica para supervisión, comprobación, vigilancia ambiental y coordinación de seguridad y salud en las obras de construcción de la autovía de acceso a Mazarrón.</t>
  </si>
  <si>
    <t>Fiscalización de las obras. Asistencia técnica para supervisión, comprobación, vigilancia ambiental y coordinación de segurisdad y salud en las obras de la autovía A-7 en Santomera con la Comarca del Mar Menor. Tramo: Zenata-San Javier T.T.M.M., de Murcia, Santomera, Beniel y San Javier.</t>
  </si>
  <si>
    <t>Fiscalización de las obras. Asitencia técnica para supervisión, comprobación y vigilancia ambiental en las obras de construcción de los accesos al nuevo aeropuerto de la región de Murcia desde la Autovía a 30 (Murcia-Cartagena)</t>
  </si>
  <si>
    <t>Fiscalización de las obras. Asistencia ténica a la dirección de las obras para el control y supervisión, comprobación de topografia, gestión de expropiaciones, vigilancia ambiental, ensayos de contraste y coordinación de seguridad y acondicionamiento de la plataforma de la Carretera MU-701. Segunda Fase: Lorca - La Parroquia. P.P.K.K. 0+000 al 15+689. T.M. de Lorca</t>
  </si>
  <si>
    <t>Ejecutar la interventoría técnica, económica, financiera, jurídica, administrativa, operativa, medio ambiental y socio predial del contrato de concesión bajo un esquema de Asociación pública privada que se derive del proceso licitatorio No. VJ-VE-LP-004-2012 correspondiente al corredor concesionado "Zipaquirá-Bucaramanga (Palenque)"</t>
  </si>
  <si>
    <t>Interventoría técnica, administrativa, financiera, legal, social y ambiental de las obras y actividades para la malla vial arterial, intermedia y local de los distritios de conservación en la ciudad de Bogotá D.C. - Grupo 4</t>
  </si>
  <si>
    <t>NO APLICA - SITUACIÓN DE CONTROL</t>
  </si>
  <si>
    <t>EN EJECUCIÓN</t>
  </si>
  <si>
    <t>INSTITUTO NACIONAL DE CONCESIONES - INCO - AHORA ANI</t>
  </si>
  <si>
    <t>Interventoría integral del contrato de concesión No. 008 de 2010, cuyo objeto es el otorgamiento de una concesión, para que un concesionario realice por su cuenta y riesgo las obras necesarias para la construcción, rehabilitación, ampliación, mejoramiento y conservación, segun corresponda del proyecto vial Transversal de las Americas y la preparación de los estudios y diseños definitivos, la gestión predial, social y ambiental, la obtención y/o modificación de licencias ambientales, la financiación, la operación y el mantenimiento de las obras, en el corredor vial "Transversal de las Americas sector 1", denominado corredor vial del Caribe</t>
  </si>
  <si>
    <t>Interventoría de la construcción y pavimentación del sector quebrada las doradas - depresión el vergel - Orrapihuasi de la carretera Altamira-Florencia</t>
  </si>
  <si>
    <t>Interventoría técnica, financiera, operativa, predial, socio ambiental y legal del proyecto de concesión vial No. 503 de 1994 "Cartagena-Barranquilla"</t>
  </si>
  <si>
    <t>Interventoría para  el mejoramiento y mantenimiento de la vía Simón Bolivar - Anchicaya, antigua vía a buenaventura sectores bajo Anchicaya (K68) - Aguaclara (K80) y Zacarias (K106) - El Pailon (K114)</t>
  </si>
  <si>
    <t>Realizar la internventoría a las obras y actividades que se realicen para el mantenimiento, rehabilitación, mejoramiento y pavimentación de la vía Tame-Arauca, entre los sectores K111+000 (puente sobre el rio lipa) y el K151+722 82y2 de la antioqueña) en el departamento de Arauca.</t>
  </si>
  <si>
    <t>Interventoría integral que incluye pero no se limita a la interventoría técnica, administrativa, financiera, juridica, operativa, predial, socio predial medioambiental del proyecto de concesión Malla Vial del Valle del Cauca y Cauca MVVCC, en el marco del contrato de concesión 005 de 1999</t>
  </si>
  <si>
    <t>FONDO FINANCIERO DE PROYECTOS DE DESARROLLO - FONADE</t>
  </si>
  <si>
    <t>Interventoría de las obras de pavimentación de la carretera Cebadal-Consaca-Sandona-Pasto</t>
  </si>
  <si>
    <t xml:space="preserve"> Ministerio de Fomento</t>
  </si>
  <si>
    <t>Administrador de Infraestructuras Ferroviarias (ADIF)</t>
  </si>
  <si>
    <t>Autoridad Portuaria de Melilla.  Ministerio de Fomento</t>
  </si>
  <si>
    <t>Asistencia técnica  para la vigilancia y control medioambiental de las obras de nueva alineación del Muelle Ribera I en el Puerto de Melilla</t>
  </si>
  <si>
    <t>Interventoría técnica y administrativa para la construcción de la Torre de Control del Aeropuerto Internacional el Dorado y el Centro de Gestión Aeronáutico de Colombia CGAC. Bogotá</t>
  </si>
  <si>
    <t>Contrato de consultoría y asistencia técnica para el control y vigilancia de las obras "Línea Sevilla - Cadiz. Tramo: Aeropuerto de Jerez de la Frontera - Cadiz. Duplicación de vía. Subtramo: El Portal".</t>
  </si>
  <si>
    <t>Servicios de asistencia técnica para el control de obras de plataforma del corredor mediterráneo de alta velocidad. Tramo Pulpi-Almeria: Subtramo Vera - Los Gallardos.</t>
  </si>
  <si>
    <t>Interventoría técnica, administrativa, financiera, legal, social, seguridad industrial, salud ocupacional y medio ambiente para las obras y actividades para la conservación de la malla vial arterial no troncal en el grupo 5, Fase I-2003, a precio global fijo con ajuste en la Ciudad de Bogotá D.C.</t>
  </si>
  <si>
    <t>Interventoría integral del contrato de concesión que incluye la interventoría técnica, socio ambiental, legal, administrativa, predial, financiera y operativa del Contrato de Concesión No. 0-ATLA-00-99, sus adiciones y otrosis de la Concesión de la Red Férrea del Atlántico.</t>
  </si>
  <si>
    <t>UNIDAD ADMINISTRATIVA ESPECIAL DE AERONAUTICA CIVIL</t>
  </si>
  <si>
    <t>AUTORIDAD PORTUARIA DE MELILLA. MINISTERIO DE FOMENTO</t>
  </si>
  <si>
    <t>METROLÍNEA S.A.</t>
  </si>
  <si>
    <t>MUNICIPIO DE BUCARAMANGA</t>
  </si>
  <si>
    <t>Interventoría técnica, administrativa, legal, financiera y ambiental para construcción de cuatro tramos de infraestructura del sistema integrado de transporte masivo para el Área Metropolitana de Bucaragamanga, sobre la carrera quince entre la virgen y la Avenida Quebradaseca, sobre la autopista Bucaramanga-Floridablanca, entre el puente provenza y el puente vehícular de cañaveral y entre el puente vehícular de cañaveral y papi quiero piña, sobre la carrera veintisieteenttre la UIS y la Avenida Quebrada Seca y el par vial calle 10-calle 11 del Mnicipio de Bucaramanga. Contrato 002 de 2006</t>
  </si>
  <si>
    <t>Interventoría a la Actualización de los Estudios y Diseños a Fase III y construcción del viaducto de la Carrera Novena y obras complementarias en el Municipio de Bucaramanga. Contrato No. 0348 de 2010</t>
  </si>
  <si>
    <t>Interventoría técnica, administrativa y ambiental para la construcción de tres tramos de infraestructura del Sistema Integrado de Transporte Masivo para el Área Metropolitana de Bucaramanga, sobre la diagonal que entre avenida quebradaseca y el intercambiador de la puerta del sol y la autopista Bucaramanga-Floridablanca, entre el intercambiador de la puerta del sol y el puente provenza del Municipio de Bucaramanga. Contrato No.  001 de 2006</t>
  </si>
  <si>
    <t>Contrato No. 167 de 2006. Interventoría técnica, administrativa, financiera, ambiental, social, de seguridad industrial y salud ocupacional para la construcción de la avenida de los comuneros desde la avenida circunvalar hasta la avenida carrera en Bogotá D.C.</t>
  </si>
  <si>
    <t>Contrato No. 274-2002
Interventoría Técnica, Administrativa,Legal,  Financiera y Ambiental de la adecuación de la Troncal Americas al Sistema Transmilenio Tramo 1, entre Puente Aranda y la Carrera 70B, en Bogotá D.C.</t>
  </si>
  <si>
    <t>METROCALÍ S.A.</t>
  </si>
  <si>
    <t>INSTITUTO PARA EL DESARROLLO DE ANTIOQUIA - IDEA</t>
  </si>
  <si>
    <t>Interventoría técnica, administrativa, financiera, ambiental y social de la construcción del corredor troncal centro y obras complementarias del sistema integrado de transporte masivo de pasajeros de Santiago de Cali, de acuerdo a los siguientes frentes: Frente 3 y Frente 4</t>
  </si>
  <si>
    <t>Interventoría de las obras de construcción del puente sobre el río magdalenaentre los municipios de Barrancabermeja (Santander) y Yondó (Antioquia). Puente vehícular en voladizos sucesivos y viaductos de acceso con una longitud total de 919,10 men 16 luces y 17 apoyos, ademas se incluye la construcción de terraplenes de acceso al puente ubicados entre la abscisa K0+00 a K0+586,45 al lado de Barrancabermeja y del K1+505,55 al K2+161 al lado de Yóndo.</t>
  </si>
  <si>
    <t>Control y Vigilancia de la obra: Eje Atlántico de Alta Velocidad Variante de Ordes (a Coruña)</t>
  </si>
  <si>
    <t>Control y Vigilancia de las obras "Proyecto de acondicionamiento de la carretera N-110 (Soria a Plasencia) Tramo. Plasencia-Navaconcejo. Provincia Cáceres.</t>
  </si>
  <si>
    <t>GOBERNACIÓN DEL VALLE</t>
  </si>
  <si>
    <t>Control de vigilancia de las obras: Línea Valencia - Tarragona. Tramo: Las Palmas-Oropesia. Vía y electrificación, instalaciones de seguridad y comunicaciones, estación de Benicassim e integración urbana del ferrocarril en las proximidades de la estación Orpresa</t>
  </si>
  <si>
    <t>Interventoría técnica, administrativa y finacniera del proyecto de rehabilitación vial del Departamento del Valle del Cauca aprobados por Colombia Humanitaria que comprende las siguientes obras: rehabilitación de la vía Jamundi-Rio Claro-Timba (tramo 2)</t>
  </si>
  <si>
    <t>Interventoría de las obras de construcción y pavimentación de la vía alterna interna a Buenaventura, sector Víaducto K7-intersección Citronela, Ruta 40 tramo 4001</t>
  </si>
  <si>
    <t>Interventoría técnica, operativa y financiera del contrato de concesión No. 0849/95, carretera Neiva-Espinal-Girardot (incluye la interventoría de obras complementarias adicionales autorizadas al concesionario):</t>
  </si>
  <si>
    <t>GOBERNACIÓN DEL MAGDALENA</t>
  </si>
  <si>
    <t>GOBERNACIÓN DE BOYACÁ</t>
  </si>
  <si>
    <t>Contrato de Interventoría No. 001 para la primera fase del plan vial del norte del departamento Magdalena</t>
  </si>
  <si>
    <t>Interventoría técnica, financiera y operativa en las etapas de construcción y operación del contrato de concesión No. 01161 de 2001 carretera Zipaquirá-Palenque/Bucaramanga</t>
  </si>
  <si>
    <t>Internventoría técnica, administrativa, legal, social y ambiental para la construcción de las siugientes obras a) intersección av. Paseo country (carrera 15), con av Carlos Lleras Restrepo (cll 100) en Bogotá, b) intersección a denivel de la Av. German Arciniegas (cr. 11) por Av. Laureano gomez (cra. 9) en bogotá c) Av. German Arciniegas (cra 11) desde cll 106 hasta av. Laurena Gomez (Carrera 9)en Bogotá</t>
  </si>
  <si>
    <t>Internventoría técnica, administrativa, financiera y ambiental para el mejoramiento y pavimentación del anillo vial turistico de Sugamuxi sector Aquitana-Tota-Cuitiva-Iza-Firavitoba-Panto de Vargas-Departamento de Boyacá</t>
  </si>
  <si>
    <t>Interventoría para la construcción de la Av. Laureano Gomez AK (9) desde Av. San Juan Bosco Ac (170) hasta la Av. Cedritos Ac (147) y construcción de la calzada sur de  la Av. San Jose AC (170) desde la Av. Boyacá hasta Av. Cota Ak (91) correspondientes respectivamente a los codigos de obra 101 y 107 del acuerdo 180 de 2005 de valorización en Bogotá.</t>
  </si>
  <si>
    <t>Fecha de terminación del contrato/ Fecha Ultima facturación (contratos ejecución)</t>
  </si>
  <si>
    <t xml:space="preserve">Interventoría Técnica, Financiera, Contable, Jurídica, Administrativa, Operativa, Ambiental y Socio – Predial del Contrato de Concesión No 113 de 1997 Concesión Armenia – Pereira – Manizales - La Paila. Contrato 375 de 2013 </t>
  </si>
  <si>
    <t>SECRETARIA DE OBRAS Y VIAS DEL DEPARTAMENTO DE LA GUAJIRA</t>
  </si>
  <si>
    <t>CORABASTOS</t>
  </si>
  <si>
    <t>VALORIZACI´N DEPARTAMENTAL DEL VALLE</t>
  </si>
  <si>
    <t>EMPRESAS PUERTOS DE COLOMBIA</t>
  </si>
  <si>
    <t xml:space="preserve">Interventoría técnica, administrativa, financiera, social y ambiental para la revisión y ajuste de los estudios y diseños, y construcción del corredor centro troncal de Aguablanca y obras complementarias del sistema integrado de transporte masivo de pasajeros de Santiago de Cali. </t>
  </si>
  <si>
    <t>Interventoría técnica, legal, administrativa, financiera, y operativa del contrato de concesión No. 070 de 2005 para el diseño, construcción, operación y mantenimiento de la malla vial d la central de abastos s.a. (Corabastos) en la ciudad de Bogotá.</t>
  </si>
  <si>
    <t>Interventoría obra de pavimentación de la vía Darien-Jiguales-Puente Tierra</t>
  </si>
  <si>
    <t>Interventoría técnica, legal, financiera, administrativa, ambiental, predial y social del proyecto estudios y diseños gestión social predial ambiental construcción del proyecto "Transversal de Boyaca"</t>
  </si>
  <si>
    <t>Interventoría de las obras de rehabilitación del temrinal maritimo de Buenaventura</t>
  </si>
  <si>
    <t>Interventoría técnica y administrativa de la concesión para la adecuación y/o rehabilitación de la red vial secundaria y terciaria, su operación y mantenimiento en una longitud de 88,5 km. En el departamento de la Guajira</t>
  </si>
  <si>
    <t>CM023PO01</t>
  </si>
  <si>
    <t>DEPATAMENTO DE INFRAESTRUCTURA VARIAS DE LA DIPUTACIÓN FORAL DE GIPUZKOA</t>
  </si>
  <si>
    <t>INTEVENTORÍA DE CONSTRUCCIÓN DE LA VARIANTE DE LA CARRETERA GI-131 EN ANDIAIN</t>
  </si>
  <si>
    <t>€</t>
  </si>
  <si>
    <t>NASUVINSA</t>
  </si>
  <si>
    <t>INTERVENTORÍA TECNICA, ADMINISTRATICA, LEGAL, FINANCIERA, AMBIENTAL, SOCIAL OPERATIVA Y DE SEGURIDAD INDUSTRIAL DURANTE LA EJECUSIÓN DE LAS OBRAS CIVILES DE LA CIUDADELA "ECOCIUDAD DE SARRIGUREN Y CIDAD DE LA INNOVACIÓN" COMUNIDAD FORAL DE NAVARRA, ESPAÑA.</t>
  </si>
  <si>
    <t>AL, FINANCIERA, ADMINISTRATIVA, AMBIENTAL, PREDIAL Y SOCIALDE PROYECTOS, ESTUDIOS Y DISEÑOS DE GESTIÓN SOCIAL, PREDIAL, AMBIENTAL Y MEJORAMIENTO DEL PROYECTO "TRONCAL NORTE"</t>
  </si>
  <si>
    <t>INTERVENTORÍA TPECNICA, LEGAL, ADMINISTRATIVA, FINANCIERA Y OPERATIVA DEL CONTRATO DE CONCESIÓN NO 070 DE 2005, PARA DISEÑO, CONSTRUCCIÓN, OPERACIÓN Y MANTENIMENTO DE LA MALLA VIAL DE LA CENTRAL DE ABASTOS S.A (CORABASTOS) EN LA CIUDAD DE BOGOTA.</t>
  </si>
  <si>
    <t>MUNICIPIO DE BELLO</t>
  </si>
  <si>
    <t>INTERVENTORÍA TÉCNICA, ADMINISTRATIVA, LEGAL Y FINANCIERA PARA LA CONSTRUCCIÓN. REHABILITACIÓN, CON MEZCLA ASFÁLTICA Y CONSTRUCCIÓN DE OBRAS DE URBANISMO, DE LA MALLA VIAL DEL MUNICIPIO DE BELLO, CORRESPONDIENTE A LAS LICITACIONES PÚBLICAS NO 11 Y NO 13 DE 2012.</t>
  </si>
  <si>
    <t>CM023PO02</t>
  </si>
  <si>
    <t>DEPARTAMENTO DEL MAGDALENA, SERCRETARIA DE INFRAESTRUCTURA</t>
  </si>
  <si>
    <t>INTERVENTORIA DEL CONTARTO DE CONSECIÓN NO 044 DE 1993 PARA LA REHABILITACIÓN, CONSTRUCCIÓN, MEJORAMIENTO, CONSERVACIÓN, MANTENIMIENTO Y OPERACIÓN DE LA VIA BARRANQUILLA-CIENAGA ENTRE LAS ABCISAS K0+00 AL K62+000 JURISDICCIÓN MUNICIPIOS DE CIENAGA, PUERTO VIEJO Y SITIO NUEVO.(DEPARTAMENTO DEL MAGDALENA) Y MINICIPIO DE BARRANQUILLA (DEPASTAMENTO DE ATLANTICO)</t>
  </si>
  <si>
    <t>CERTIFICACIÓN A NOMBRE DE OTRA RAZON SOCIAL. (ES LA MISMA EMPRESA)</t>
  </si>
  <si>
    <t xml:space="preserve">ALCALDIA MAYOR DE CARTAGENA DE INIDIAS </t>
  </si>
  <si>
    <t>INTERVENTORIA DEL CONTRATO DE CONCESION PARA LA CONSTRUCCIÓN Y MEJORAMIENTO DE LA VÍA TRANSVERSAL DE BARU</t>
  </si>
  <si>
    <t xml:space="preserve">GOBERNACION DEL MAGDALENA </t>
  </si>
  <si>
    <t>INTERVENTORÍA DE LOS ESTUDIOS Y DISEÑOS DEFINITIVOSY GESTION PREDIAL DE LA DOBLE CALZADA YE DE CIENAGA -SANTA MARTA Y DE LA DOBLE CALZADA DE LA VIA ALTERNA AL PUERTO SECTOR QUEBRADA DEL DOCTOR-MAMATOCO Y DISEÑO DE LAS OBRAS COMPLEMENTARIAS Y DE ESPACIO PUBLICO DEL PLAN VIAL. INTERVENTORÍA DE LA CONSTRUCCIÓN Y FINANCIACIÓN DE LA SEGUNDA CALZADA ENTRE LA YE DE CIENAGA Y SANTA MARTA Y LA REHABILITACIÓN DE LA CALZADA EXISTENTE. CONSTRUCCION Y FINANCIACIÓN DE UNA CALZADA DE AL VIA ALTERNA AL PUERTO, SECTOR QUEBRADA DEL DOCTOR-MAMATOCO Y LA DOBLE CALZADA DE LA YE DE CIENAGA-SANTA MARTA. INTERVENTORÍA AL MANTENIMIENTO, CONSERVACIÓN Y OPERACIÓN DE LA CARRETERA BARRANQUILLA - CIENAGA, ACTUALMENTE ENTREGADA EN CONCESIÓN POR EL DEPARTAMENTO MEDIANTE EL CONTRATO NO 044-93 A PARTIR DEL 1 DE ENERO DE 2013. INTERVENTORÍA DE OBRAS COMPLEMENTARIAS O ADICIONALES DENTRO DEL CONTRATO OBJETO DE LICITACIÓN DM-020 96 DEL DEPARTAMENTO DEL MAGDALENA</t>
  </si>
  <si>
    <t>IDU</t>
  </si>
  <si>
    <t>INTERVENTORIA TECNICA, ADMINISTRATIVA, LEGAL, FINANCIERA, AMBIENTAL Y SOCIAL PARA LA EJECUCIÓN DE LA TOTALIDAD DE LAS OBRAS DE CONSTRUCCIÓN Y TODAS LAS OBRAS NECESARIAS PARA LA ADECUACIÓN DE LA AC 26 (AVENIDA JORGE ELIECER GAITAN) AL SISTEMA TRANSMILENIO, EN EL TRAMO COMPRENDIDO ENTRE LA TV 76 Y LA KR 42B Y EN EL TRAMO 4 COMPRENDIDO ENTRE LA KR 42B Y LA KR 19, GRUPO 4 DE LA LICITACIÓN PUBLICA NUMERO IDU-LP-DG-022-2007</t>
  </si>
  <si>
    <t>MINISTERIO DE FOMENTO DIRECCIÓN GENERAL DE CARRETERAS</t>
  </si>
  <si>
    <t>INSPECCION DEL CONTRATO DE CONCESIÓN DE OBRAS PUBLICAS PARA CONSERVACIÓN Y EXPLOTACIÓN DE AUTOVIAS DE PRIMERA GENERACIÓN DE LA AUTOVIA A-4 DEL SUR DEL PK 9100 AL 67500, TRAMO MADRID -OCAÑA. RED DE CARRETERAS DEL ESTADO. PROVINCIA DE MADRID.</t>
  </si>
  <si>
    <t>CM023PO03</t>
  </si>
  <si>
    <t>DEPARTAMENTO DE LA GUAJIRA</t>
  </si>
  <si>
    <t>INTERVENTORIA TÉCNICA Y ADMINISTRATIVA PARA LA CONCESIÓN PARA LA ADECUACIÓN Y/O REHABILITACIÓN DE LA RED VIAL SECUNDARIA Y TERCIARIA, SU OPERACIÓN Y MANTENIMIENTO DE UNA LONGITUD DE 88,5 KM EN EL DEPARTAMENTO DE LA GUAJIRA</t>
  </si>
  <si>
    <t xml:space="preserve">DEPARTAMENTO DEL ATLANTICO </t>
  </si>
  <si>
    <t>INTERVENTORÍA DE LAS OBRAS DE RECUPERACIÓN DE LA BANCA EN LOS CORREDORES VIALES YE DE GUAIMARAL-TUBARA- EL VAIVEN - PIOJO Y JUAN DE ACOSTA, EN EL DEPARTAMENTO DEL ATLÁNTICO</t>
  </si>
  <si>
    <t xml:space="preserve">INVIAS </t>
  </si>
  <si>
    <t>INTERVENTORÍA PARA EL MEJORAMIENTO Y MANTENIMIENTO INTEGRAL DE LA RUTA BUENAVENTURA -BUGA DEL CORREDOR VIAL PACIFICO (INCLUIDO EL MANTENIMIENTO RUTINARIO, LA SEÑALIZACIÓN, ELMONITORERO Y VIGILANCIA Y LOS CONTEOS DE TRÁNSITO) RRUTA 40 TRAMO 4001</t>
  </si>
  <si>
    <t>INTERVENTORÍA TECNICA, ADMINISTRATIVA, FINANCIERA Y AMBIENTAL PARA EL DIAGNOSTICO, MANTENIMIENTO RUTINARIO Y PERIODICO DE LA MALLA VIAL ARTERIAL PRINCIPAL Y MALLA VIAL COMPLEMENTARIA, CONFORMADA POR EL DISTRITO DE MANTENIMIENTO 1 DE LA FASE iv CORREDORES VIALES EN BOGOTA D.C.</t>
  </si>
  <si>
    <t>METROCALI S.A</t>
  </si>
  <si>
    <t>INTERVENTORÍA TÉCNICA, ADMINISTRATIVA, FINANCIERA, SOCIAL Y AMBIENTAL PARA LA CONSTRUCCIÓN DE LOS CARRILES MIXTOS Y EL ESPACIO Y EL ESPACIO PÚBLICO DEL CORREDOR TRONCAL DE LA CALLE 5/ CARRERA 100 ENTRE CARRERA 56 Y CALLE 20, Y LAS OBRAS COMPLEMENTARIAS DEL SISTEMA INTEGRADO DE TRANSPORTE MASIVO DE PASAJEROS DE SANTIAGO DE CALI</t>
  </si>
  <si>
    <t>CM023PO04</t>
  </si>
  <si>
    <t>ANI (ANTES INCO)</t>
  </si>
  <si>
    <t xml:space="preserve">INTERVENTORÍA TÉCNICA, JURIDICA, ADMINISTRATIVA, OPERATIVA Y FINANCIERA DEL CONTRATO DE CONCESIÓN "GIRARDOT-IBAGUE-CAJAMARCA"  </t>
  </si>
  <si>
    <t>INTERVENTORIA PARA EL MEJORAMIENTO Y PAVIMENTACION DE LA CARRETERA PAMPLONA-CUESTABOBA, SECTOR PAMPLONA - CUESTABOBA RUTA 66 TRAMO 6603</t>
  </si>
  <si>
    <t>CONSULTORIA, ASESORIA E INTERVENTORÍA TÉCNICA Y ADMINISTRATIVA DE LAS OBRAS DE CONSTRUCCIÓN Y PAVIMENTACIÓN DE LA VARIANTE DE IBAGUE-PASO NACIONAL.</t>
  </si>
  <si>
    <t>INTERVENTORIA TÉCNICA, ADMINISTRATIVA, LEGARL, FINANCIERA Y AMBIENTAL AL CONTRATO DE CONCESIÓN IDU 242 DE 2003 PARA LA ADECUACIÓN DEL TRAMO COMPRENDIDO ENTRE LA AVENIDA CIUDAD DE VILLAVICENCIO Y EL LIMITE CON SOACHA (CUNDINAMARCA), PERTENECIENTE A LA TRONCAL TRANSMLENIO NQS Y LA CONSTRUCCIÍN DE LA ESTACIÓN DE CABECERA Y EL PATIO( GARAJE) Y MANTENIMIENTO DE LA ESTACIÓN DE CABECERA DE LA TRONCAL NQS</t>
  </si>
  <si>
    <t>BISKAIKO HEGOALDEKO AKZESIBILITATEA, S.A</t>
  </si>
  <si>
    <t>CONSULTORIA Y ASISTENCIA TECNICA A LA DIRECCÓN DE LAS OBRAS DE CONSTRUCCIÓN DEL CORREDOR DE CADAGUA, TRAMO ARBUIO-SODUPE Y DESDOBLAMIENTO DEL TRAMO PADURA-AGRANGUREN</t>
  </si>
  <si>
    <t>EUSKAL TRENDIBE SAREA</t>
  </si>
  <si>
    <t>SERVICIO DE APOYO A LA DIRECCIÓN DE LAS OBRAS (INTERVENTORÍA/SUPERVISIÓN) DEL TRAMO PORTUGALEGTE-SANTURTZA DE LA  LINEA 2 DEL FERROCARRIL METROPOLITANO DE BILBAO</t>
  </si>
  <si>
    <t>CM023PO05</t>
  </si>
  <si>
    <t>GOBERNACIÓN DE CASANARE</t>
  </si>
  <si>
    <t>Contrato No. 0852 de 1997: Interventoría y asesoría técnica y administrativa para las obras de ampliación, rectificación y pavimentación de la vía Aguazul - Maní, sector K33+000 a Maní</t>
  </si>
  <si>
    <t>Contrato No. 062 de 2005: Interventoría técnica, ambiental, legal, administrativa, predial, financiera, y operativa en la etapa de operación del contrato de concesión No. 0849 de 1995 desarrollo vial carretera Neiva – Espinal-Girardot, de conformidad con el numeral 5.1 de los términos de referencia, es revisar, verificar, anañizar y conceptuar permanentemente todos los aspectos técnicos, financieros, ambientales, operativos, jurídicos, administrativos y prediales relacionados con el contrato de concesión 849-95, a efecto de constatar el cumplimiento por parte del contratista (Concesionario) de las condiciones establecidas en el mismo, para el desarrollo y control integral del proyecto y determinar oportunamente las acciones necesarias para garantizar el logro de los objetivos previstos de acuerdo con las condiciones establecidas en el capítulo V de los términos de referencia del concurso público No. SEA-C-007 de 2005.</t>
  </si>
  <si>
    <t>AGENCIA NACIONAL DE INFRAESTRUTURA - ANI</t>
  </si>
  <si>
    <t>Contrato No. 282 de 2013: Interventoría técnica, económica, financiera, jurídica, administrativa, operativa, medio ambiental y socio predial del contrato de concesión bajo un esquema de asociación público privada que se derive del proceso licitatorio VJ-VE-LP-005-2012 correspondiente al corredor “Loboguerrero-Buga"</t>
  </si>
  <si>
    <t>Sociedade  Pública de Investimentos de Galicia, S.A. (Xunta de Galicia – Gobierno regional)</t>
  </si>
  <si>
    <t>Asistencia técnica para control y vigilancia de obra (interventoria o supervisión de obras) y coordinación de seguridad y salud proyecto construcción de la autovía AG-64 Ferrol - Vilalba. Tramo: Igrexafeita - Espiñaredo</t>
  </si>
  <si>
    <t>Dirección General de Carreteras - Demarcación Carreteras del Estado (Ministerio de Fomento - Gobierno de España)</t>
  </si>
  <si>
    <t>Consultoría y asistencia para el control y vigilancia de las obras: autovía A-8 del Cantábrico. Tramo: Mondoñedo - Lorenzana</t>
  </si>
  <si>
    <t>CM023PO06</t>
  </si>
  <si>
    <t>INTERVENTORIA TECNICA, ADMINISTRATIVA, FINANCIERA, SOCIAL Y AMBIENTAL PARA CONSTRUCCIÓN, REHABILITACIÓN Y CONSERVACIÓN DE VIAS PARA LA RUTA ALIMENTADORES DEL SISTEMA INTRGEADO TRANSMILENIO ZONA 4, GRUPO 1 EN BOGOTA D.C</t>
  </si>
  <si>
    <t>INTERVENTORIA INTEGRAL DEL CONTRATO DE CONCESIÓN QUE INCLUYE PERO NO SE LIMITA A LA INTERVENTORIA TECNICA, FINANCIERA, CONTABLE, JURIDICA, MEDIO-AMBIENTAL, SOCIO-AMBIENTAL, SOCIO-PREDIAL, ADMINISTRATIVA, DE SEGUROS, OPERATIVA Y DE MANTENIMIENTO DE CONTRATO DE CONCESIÓN, EN EL CUAL HACE PARTE DEL PROYECTO VIAL RUTA DEL SOL Y QUE CORRESPONDE AL SECTOR 1 COMPRENDIDO ENTRE TOBIA GRANDE/VILLETA- GUADUAS EL KORAN</t>
  </si>
  <si>
    <t>INTERVENTORIA INTEGRAL QUE INCLUYE PERO NO SE LIMITA A LA INTERVENTORIA TECNICA, FINANCIERA, ADMINISTRATIVA, JURIDICA, GESTION SOCIAL, PREDIAL Y AMBIENTAL PARA EL MEJORAMIENTO DEL PROYECTO TRANSVERSAL DEL CUSIANA FASE EN EL PROGRAMA DE CORREDORES PRIORITARIOS PARA LA PROSPERIDAD</t>
  </si>
  <si>
    <t>INTERVENTORIA INTEGRAL QUE INCLUYE PERO NO SE LIMITA A LA INTERVENTORIA TECNICA, FINANCIERA, ADMINISTRATIVA, JURIDICA, GESTION SOCIAL, PREDIAL Y AMBIENTAL PARA EL MEJORAMIENTO DEL PROYECTO CORREDOR HONDA MANIZALES FASE 2 EN EL PROGRAMA DE CORREDORES PRIORITARIOS PARA LA PROSPERIDAD</t>
  </si>
  <si>
    <t>CM023PO07</t>
  </si>
  <si>
    <t>GENERALITAT VALENCIA (CONSELLERÍA DÍNFRAESTRUCTES TERRITORI ME AMBIENT)</t>
  </si>
  <si>
    <t>ASISTENCIA TECNICA PARA LA EJECUCIÓN DEL PROYECTO DE CONSTRUCCIÓN DEL TERCER CARRIL DE LA AUTOVIA DE LLIRIA, TRAMO TVV-BYPASS. PATERNA (VALENCIA)</t>
  </si>
  <si>
    <t>CONTROL Y VIGILANCIA DE LAS OBRAS DE SEGURIDAD VIAL: MEJORA INTEGRAL DE LA SEGURIDADVIAL EN LA N-340. TRAMO: ALMENARA-NULES (CLAVE: 33-CS-5620)</t>
  </si>
  <si>
    <t>APOYO A LA DIRECCIÓN DE LA OBRA CIERRE RONDA NORTE DE VALENCIA Y CONEXIONES CON MAESTRO RODRIGO-BENIMAMET, CV-35, BURJASSOT Y FUTUTRA VIAL PARQUE NORTE (VALENCIA)</t>
  </si>
  <si>
    <t>GENERALITAT VALENCIA</t>
  </si>
  <si>
    <t>APOYO A LA DIRECCIÓN DE LA OBRA: RONDA NORTE DE VALENCIA, TRAMO BENIMAMET- CIUDAD FALLERA Y MODIFICACIÓN NO. 1</t>
  </si>
  <si>
    <t>INTERVENTORÍA TÉCNICA, ADMINISTRATIVA, TÉCNICA, FINANCIERA, AMBIENTAL, OPERATIVA Y JURÍDICA AL PLAN DE INVERSIONES DE LOS CONTRATOS DE CONCESIÓN PORTUARIA NO 006 DE 1993, 009 DE 1994 Y 003 DE 2008- SUSCRITOS ENTRE LA NACIÓN-SUPERTINTENDENCIA GENERAL DE PUERTOS Y/O EL INSTITUTO NACIONAL DE CONCESIONES INCO, HOY ADMINISTRADO POR LA ANI Y LAS SOCIEDADES PORTUARIA REGIONAL DE SANTA MARTA S.A, Y LA SOCIEDAD TERMINAL DE CONTENEDORES DE CARTAGENA S.A-CONTECAR S.A, RESPECTIVAMENTE Y OTROSIES, ASÍ COMO REGULAR LOS TERMINOS Y CONDICIONES BAJO LOS CUALES LA ANI PAGARA AL INTERVENTOR DE FORMA MENSUAL LA CONTRAPRESTCION OFRECIDA POR EL INTERVENTOR Y ACEPTADA POR LA ANID DURANTE EL CONCURSO DE MERITO ABIERTOS, CONSISTENTE EN UNA SUMA GLOBAL FIJA, QUE INCLUYE LOS COSTOS DIRECTOS, VIATICOS, HONORARIOS Y EL IMPUESTO AL VALOR AGREGADO IVA.</t>
  </si>
  <si>
    <t>INTERVENTORIA INTEGRAL DEL CONTRATO DE CONCESIÓN, QUE INCLUYE PERO NO SE LIMITA A LA INTERVENTORIA TECNICA, FINANCIERA, CONTABLE, JURIDICA, MEDIOAMBIENTAL, SOCIO-PREDIAL, ADMINISTRATIVA, DE SEGUROS, OPERATIVA Y DE MANTENIMIENTO DEL CONTRATO DE CONCESIÓN NO 002 DE 2007 Y DEMAS DOCUMENTOS QUE LO MODIFIQUEN, ADICIONEN O COMPLEMENTEN PARA LA CONCESIÓN VIAL. ALCANCE CONTRATO DE CONCESIÓN NO 002 DE 2007: ESTUDIOS Y DISEÑOS DEFINITIVOS, GESTION PREDIAL, GESTION SOCIAL, GESTION AMBIENTAL, FINANCIACIÓN, CONSTRUCCIÓN, REHABILITACIÓN, MEJORAMIENTO, OPERACIÓN Y MANTENIMIENTO DEL PROYECTO DE CONCESION VIAL CORDOBA-SUCRE.</t>
  </si>
  <si>
    <t>CM023PO08</t>
  </si>
  <si>
    <t>SECRETARIA DE ORAS PUBLICAS DE BARRANQUILLA</t>
  </si>
  <si>
    <t>INTERVENTORIA A LA CONSTRUCCION Y RECONSTRUCCIÓN DE LA ESTRUCTURA DE PAVIMENTO RIGIDO EN LA MALLA VIAL CORRESPONDIENTE A LOS SECTORES I, II Y III DE LA ZONA COMPRENDIDA ENTRE LAS CALLES 30 A 45 EXCLUSIVE Y LAS CARRERAS 21 A 41 INCLUSIVE EN LA CIUDAD DE BARRANQUILLA</t>
  </si>
  <si>
    <t>AREA METROPOLITANA DE BARRANQUILLA</t>
  </si>
  <si>
    <t>INTERVENTORIA GENERAL PARA LA RECONSTRUCCION DE LA CALLE 17 ENTRE LAS CARRERAS 38 DE BARRANQUILLA Y SU INTERSECCIÓN CON LA CALLE 30 EN EL MUNICIPIO DE SOLEDAD EN EL SITIO DENOMINADO LA VIRGENCITA.</t>
  </si>
  <si>
    <t>INTERVENTORIA A LAS OBRAS QUE DEBERA EMPRENDER EL AREA METROPOLOTANA DE BARRANQUILLA PARA LA CONSTRUCCIÓN DEL PUENTE VEHICULAR Y DE LOS INTERCAMBIOS VIALES LOCALIZADOS EN LA INTERSECCION DE LA CALLE 45 MURILLO CON LA AVENIDA CIRCUNVALAR</t>
  </si>
  <si>
    <t>INTERVENTORIA PARA EL MEJORAMIENTO Y MANTENIMIENTO INTEGRAL DE LA RUTA BUENAVENTURA BUGA DEL CORREDOR VIAL DEL PACIFICO ( INCLUIDO MANTENIMIENTO RUTINARIO, LA SEÑALIZACIÓN, EL MONITOREO Y LA VIGILANCIA DE LOS CONTEOS DE TRANSITO) RUTA 40 TRAMO 4001.</t>
  </si>
  <si>
    <t>GOBERNACION DEL CESAR</t>
  </si>
  <si>
    <t>INTERVENTORIA TECNICA, ADMINISTRATIVA, FINANCIERA Y AMBIENTAL A CONTRATOS DE OBRAS MAYORES A EJECUTARSE DE LA VIGENCIA 2011 EN EL DEPARTAMENTO DEL CESAR CON RECURSOS DEL FONDO NACIONAL DE CALAMIDADES, SUCUENTA COLOMBIA HUMANITARIA</t>
  </si>
  <si>
    <t>INTERVENTORIA TECICA, ADMINISTRATIVA, FINANCIERA, LEGARL, SOCIAL Y AMBIENTAL DE LAS OBRAS Y ACTIVIDADES PARA LA MALLA VIAL ARTERIAL, INTERMEDIA Y LOCAL, DE LOS DISTRITIS DE CONSERVACION EN LA CIUDAD DE BOGOTA D.C CORRESPONDIENTE AL GRUPO 1</t>
  </si>
  <si>
    <t>GOBERNACION DE LA GUAJIRA</t>
  </si>
  <si>
    <t>INTERVENTORAI TECNICA, ADMINISTRATIVA, FINANCIERA, AMBIENTAL Y SOCIAL AL CONTRATO DE OBRA PUBLICA NO 382 DE 2012, CUYO OBJETO ES LA CONSTRUCCIÓN DE LA PRIMERA ETAPA DE LAS VIAS PRIORIZADAS EN EL PLAN DEL DEPARTAMENTO DE LA GUAJIRA.</t>
  </si>
  <si>
    <t>INCO</t>
  </si>
  <si>
    <t>INTERVENTORIA TECNICA, ADMINISTRATIVA, FINANCIERA Y OPERATIVA DEL CONTRATO DE CONCESION PARA LA REHABILITACION, CONSERVACION OPERACIÓN Y EXPLOTACION DE LA RED ATLANTICO.</t>
  </si>
  <si>
    <t>INTERVENTORIA TECNICA, ADMINISTRATIVA, FINANCIERA, LEGAL, SOCIAL Y AMBIENTAL DE LAS OBRAS Y ACTIVIDADES PARA LA MALLA VIAL ARTERIAL, INTEMEDIA Y LOCAL DE LOS DISTRITOS DE CONSERVACION EN LA CIUDAD DE BOGOTA D.C CORRESPONDIENTE AL GRUPO 3.</t>
  </si>
  <si>
    <t>2CM023PO02</t>
  </si>
  <si>
    <t>DISTRITO DE BARRANQUILLA</t>
  </si>
  <si>
    <t>INTERVENTORIA A LOS TRABAJOS DE DISEÑO, CONSTRUCCION, REHABILITACION Y MANTENIMEINTO DE LA MALLA VIAL DE BARRANQUILLA POR EL SISTEMA DE CONCESIÓN</t>
  </si>
  <si>
    <t>Gobernación de Antioquia</t>
  </si>
  <si>
    <t xml:space="preserve">Interventoría de la ampliación, rectificación y pavimentación de la carretera La Metida - Concordia </t>
  </si>
  <si>
    <t xml:space="preserve"> Interventoría técnica, administrativa, financiera y ambiental  de la Construccion del Contrato de Concesión No. 97-CO-20-1738: Proyecto Desarrollo Vial de Aburra Norte (Niquia - Hatillo) y Auditoria de Aforos de Recaudos en las Estaciones de Peaje del proyecto.</t>
  </si>
  <si>
    <t xml:space="preserve">Transmilenio S.A. </t>
  </si>
  <si>
    <t>Interventoría técnica, administrativa y financiera del contrato de las obras de mantenimiento de la Infraestructura del sistema de transporte masivo de la ciudad de Bogotá D.C.</t>
  </si>
  <si>
    <t xml:space="preserve">Ministerio de Fomento </t>
  </si>
  <si>
    <t>Control y vigilancia de las obras: Nueva Ronda de circunvalación oeste de Malaga Tramo: Conexión MA-417- Autovía A-357 del Guadalhorce. Provincia de Malga</t>
  </si>
  <si>
    <t>EURO</t>
  </si>
  <si>
    <t>Control y vigilancia de las obras: Autovía A-50 Tramo: Narros del Castillo - Peñaranda de Bracamonte. Provincia de Salamanca y Ávila.</t>
  </si>
  <si>
    <t>Supervision del Proyecto las obras de mantenimiento y explotacion de las autopistas de peaje R-3 de Madrid a Arganda del Rey R-5 de Madrid a Navalcarnero y M-50 entre la A-6 y la M-409 Provincia de Madrid</t>
  </si>
  <si>
    <t>Control y Vigilancia de las obras Autovia de la Plata A-66 Carretera N-630 de Gijón al Puerto de sevilla Tramo: Clzada de Valduciel - Salmanca, Provincia de Salamanca</t>
  </si>
  <si>
    <t>Agencia Nacional de Infraestructura - ANI</t>
  </si>
  <si>
    <t>Interventoria tecnica, financiera, operativa predial, socio ambiental y legal del proyecto concesion Malla Vial del valle del Cauca y Cauca</t>
  </si>
  <si>
    <t>TRANSCARIBE</t>
  </si>
  <si>
    <t xml:space="preserve">Asesoria e interventoria tecnica, administrativa y ambiental en la construccion de un tramo de corredor del sistema integrado de Transporte masivo Yranscaribe desde Cuatro Vientos a Bazurto </t>
  </si>
  <si>
    <t xml:space="preserve">Instituto Nacional de Desarrollo Urbano - IDU </t>
  </si>
  <si>
    <t xml:space="preserve">Interventoría técnica, administrativa, financiera y ambiental para las intevenciones integrales de la malla vial local del grupo vial Fase I - grupo 2 (Localidad de Suba) con recursos cofinanciados entre el IDU y fondos de desarrollo local, en la ciudad de bogotá D.C. </t>
  </si>
  <si>
    <t>Asesoría e interventoria tecnica, financiera y ambiental para la construccion d un tramo de corredor del sistema integrado de transporte masivo Trasncaribe del Amparo a Cuatro Vientos Cartagena de Indias DT y C</t>
  </si>
  <si>
    <t>Secretaria de Obras y servicios de la Ciudad de Mexico</t>
  </si>
  <si>
    <t>Supervisión a la construcción de los puentes vehiculares Fray Servando y Av. Del taller en el cruce de Francisco de Paso y Troncoso y Av. Del Taller</t>
  </si>
  <si>
    <t>PESO MEXICANO</t>
  </si>
  <si>
    <t>Supervisión a la construcción del distribuidor vial (puente vehicular) Ermita Iztapalapa eje 3 Oriente, delegación Iztapalapa</t>
  </si>
  <si>
    <t>Supervision de la construccion del corredor vial de la linea 4 metrobus buenavista - centro historico - San Lazaro con extensión al aeropuerto internacional de la Ciudad de Mexico en una longitud de26,3 km con influencia en las delegaciones Cuahetemoc y venustiano carranza</t>
  </si>
  <si>
    <t xml:space="preserve">Interventoría tecnica y administrativa, financiera, legal, social y ambiental de las obras y actividades para la malla vial arterial inmediata y local de los distritos de conservacion en la ciudad de Bogotá D.C. correspondiente al grupo 2 - centro </t>
  </si>
  <si>
    <t xml:space="preserve">Acción Social </t>
  </si>
  <si>
    <t>Interventoria administrativa, tecnica, ambiental y financiera para el diseño, la rehabilitación y recuperacion de la via rioblanco - Chaparral y la via Ataco planadas en el departamento del tolima por porcentaje sobre el valor de los diseños y las obras.</t>
  </si>
  <si>
    <t>Instituto Nacional de Vías - INVIAS</t>
  </si>
  <si>
    <t>Interventoria del mejoramiento y mantenimiento integral de la ruta la Mata - Bosconia del corredor vial del Magdalena (Incluido el mantenimiento rutinario, la señalizacion, el monitoreo y vigilancia y los conteos de transito) Ruta 45 tramo 4515 Y 4516</t>
  </si>
  <si>
    <t>Interventoría tecnica, administrativa y contable de  la Ampliacion, rectificacion y pavimentacion de la carretera Guatape - San Rafael - San Carlos</t>
  </si>
  <si>
    <t>Interventoria de las obras de rehabilitacion del sector Quibdo -  Yuto</t>
  </si>
  <si>
    <t>Interventoria para el mejoramiento  y pavimentacion de la carretera Fuente de Oro - Puerto Lleras - Cruce Puerto Rico - Puerto Arturo . San José del Guaviare sector cruce Puerto Rico - Puerto Arturo</t>
  </si>
  <si>
    <t>Interventoria técnica en su etapa de construcción de la Concesion del proyecto vial deominado Desarrollo Vial del Norte de Bogotá en el departamento de Cundinamarca</t>
  </si>
  <si>
    <t>Consultores en Ingeniería S.A.S. por medio de su matriz Restrepo y Uribe S.A.S.</t>
  </si>
  <si>
    <t>Interventoria al Contrato de Concesion No. 007/2010 proyecto vial Ruta del Sol - sector 3</t>
  </si>
  <si>
    <t>Ejecución</t>
  </si>
  <si>
    <t xml:space="preserve">EJECUCION </t>
  </si>
  <si>
    <t>-</t>
  </si>
  <si>
    <t>Interventoria tecnica y financiera en su etapa de construccion de la concesion del sector de Santa Fe de Bogota - Caqueza (Puente Real) que incluye la construccion del tunel de Boqueron (Lungitud aproximada 2.3 km</t>
  </si>
  <si>
    <t xml:space="preserve">Interventoría de la ampliación, rectificación y pavimentación de la carretera Bolombolo - Santa Fé de Antioquia </t>
  </si>
  <si>
    <t>Alcaldía de Cartagena</t>
  </si>
  <si>
    <t>Interventoría integral (Técnica, Administrativa, Ambiental y Financiera) del proyecto vial en Concesión corredor de acceso rápido a la variante de Cartagena, Alcaldía Mayor</t>
  </si>
  <si>
    <t xml:space="preserve">Consultoría, asesoría e interventoria tecnica y administrativa de las obras de pavimentacion de los sectores Remolino - Ciudad bolivar y Remolino - Jardin de la carretera Amaga - Jardin </t>
  </si>
  <si>
    <t xml:space="preserve">Consultoría, asesoría e interventoria tecnica y administrativa de las obras de rehabilitacion del sector Oiba - Socorro - San Gil de la carretera Barbosa - Oiba - Bucaramanaga. </t>
  </si>
  <si>
    <t>Interventoria tecnica, legal, financiera, administrativa, ambiental, predial y social del proyecto "Estudios y diseños, gestión social, predial, ambiental y mejoramiento del proyecto corredor del sur y Marginal de la Selva</t>
  </si>
  <si>
    <t>Interventoría técnica y administrativa para la construccion de las vias de acceso a barrios en la localidad de Usme así: Acceso UE-3 (Barrios el Virrey y los Comuneros),  acceso UE-5 (barrios Alfonso Lopez, Lareforma, La Alborada y El Progreso) Acceso UE-6 (Barrios serranias, Lorenzo, Alcantuz y Antonio Jose de Sucre) y acceso UE-8 ( Barrios el Danubio y la Fiscala) en Bogotá</t>
  </si>
  <si>
    <t>Ministerio de Fomento Dirección general de carreteras</t>
  </si>
  <si>
    <t>Asistencia técnica para el control y vigilancia de las obras acceso sur al aeropuerto de Malaga</t>
  </si>
  <si>
    <t>Consultoría y asistencia técnica para el control y vigilancia de las obras: Autovía del mediterraneo CN-340 de Cadiz y Gibraltar a Barcelona tramo ronda este - rincón de la Victoria</t>
  </si>
  <si>
    <t>Asistencia tecnica de control y vigilancia de la obra: Acceso al puerto de Malaga segunda fase MA-22 tramo MA-21 central térmica</t>
  </si>
  <si>
    <t xml:space="preserve">Consultoría y asistencia técnica para el control y vigilancia de las obras: Autovía A-44, autovía de Sierra Nevada, tramo Izbor- Velez de Benaudalia. </t>
  </si>
  <si>
    <t>Contratista: CEMOSA EN UT CEMOSA-ESTEYCO</t>
  </si>
  <si>
    <t>Asistencia técnica para el control y vigilancia de las obras: Autovía del mediterraneo CN-340 DE Cadiz y Gilbraltar a Barcelona, Tramo: Albarrobo - Frigiliana (Provincia de Malaga)</t>
  </si>
  <si>
    <t>Interventoría técnica, Administrativa, financiera y operativa al contrato de concesión para la rehabilitación conservación y explotación de la red férrea del Atlántico No de contrato 04-0197-0-2001</t>
  </si>
  <si>
    <t>Secretaria de comunicaciones y transportes subsecretaria de infraestructura</t>
  </si>
  <si>
    <t>Ingeniero independiente (supervisión) para la construcción de la nueva autopista concesionada Amozoc-Perote en los estados de puebla Tlaxcala y Veracruz</t>
  </si>
  <si>
    <t>Interventoría para el mejoramiento y mantenimiento integral de la ruta caucacia- Sincelejo del corredor vial de occidente (incluido el mantenimiento rutinario, la señalización, el monitoreo y vigilancia y los conteos de transito) Ruta 25 tramo 2513 y 2514</t>
  </si>
  <si>
    <t>Interventoría de las obras de Construcción y pavimentación de la vía alterna interna, sector Piñal (pr3-sena pr4+300) incluyen intersección a desnivel a la altura del Sena ruta 40 tramo 4001</t>
  </si>
  <si>
    <t>Interventoría que incluye pero no se limita a la Interventoría técnica, financiera, administrativa, jurídica, gestión social, predial y ambiental del proyecto corredor de las Palmeras fase II para el programa de la prosperidad modulo I</t>
  </si>
  <si>
    <t>Alcaldía de Orocure</t>
  </si>
  <si>
    <t>Interventoría técnica , administrativa, financiera y legal de para construcción para la segunda etapa del proyecto de pavimentos en los barrios el centro, la candelaria, escalones, la manga, tierra blanca y unión del municipio de Orocua Departamento de Casanare</t>
  </si>
  <si>
    <t>Interventoría técnica , administrativa, financiera y Ambeintal de Precio global fijo para la construcción de la fase I de la avenida Villavicencio entre avenida Cali a La avenida Tital y para la construcción de la fase I de la avenida Tintal entre Avenida Villavicencio a la Avenida Bosa</t>
  </si>
  <si>
    <t>Interventoría técnica y administrativa para el mejoramiento de la carretera fuente de oro-  Puerto lleras en el departamento del Meta</t>
  </si>
  <si>
    <t>Interventoría Técnica, operativa y Financiera del contrato de Concesión No. 0275 de 1996, Desarrollo Vial del Oriente de Medellín y Valle de Rio negro y conexión a Puerto Triunfo</t>
  </si>
  <si>
    <t>Interventoría Técnica, Financiera y operativa en la etapa de operación del contrato de Concesión No. 0275 de 1996 Devimed</t>
  </si>
  <si>
    <t>Interventoría técnica, financiera, operativa predial, socio ambiental y legal del proyecto concesión Malla Vial del valle del Cauca y Cauca</t>
  </si>
  <si>
    <t>Si</t>
  </si>
  <si>
    <t>Control y vigilancia (supervisión) de las obras: Autovía A-50 Avila - Salamanca Tramo: San Pedro del Arroyo - Chaherrero</t>
  </si>
  <si>
    <t>Instituto Nacional de Vias - INVIAS</t>
  </si>
  <si>
    <t>Interventoria para el mejoramiento y la pavimentación de la carretera Santa Cecilia - Pueblo Rico - Apia</t>
  </si>
  <si>
    <t>Interventoria al contrato de Concesion No. 106 del 5 de junio de 2003 para la adecuacion de  la troncal NQS sector norte comprendido entre el tramo comprendido entre la calle 92 y la calle 68</t>
  </si>
  <si>
    <t>Supervision tecnica y de control administrativo y financiero para la construccion del puente que conectara a la calzada Ignacio Zaragoza con la Autopista Mexico - Puebla, con una gaza de incorporación a la calzada ermita Iztapalpa</t>
  </si>
  <si>
    <t>Supervision de la contrucción del distribuidor vial San Antonio en los tramos IV, V y VI</t>
  </si>
  <si>
    <t>Interventoria tecnica, financiera, operativa predial, socio ambiental y legal del proyecto concesion Malla Vial del valle del Cauca y Cauca - MVVCC, en el marco del contrato de Concesion 005 de 1999.</t>
  </si>
  <si>
    <t>Interventoria integral que incluye pero no se limita a la interventoria, financiera, administrativa, técnica, legal-operativa, ambiental y de seguridad del contrato de Concesiona No. 10000078-ok 2010, cuyo objeto es la concesion de las terminales aeropuertos de nororiente.aeropuertos camilo daza de Cucuta, Palonegro de Bucaramanga, yARIGUIES de Barrancabermeja, Alfonso Lopez de Valledupar, Simon Bolivar de SantaMarta y Almirante Padilla de Santa Marta</t>
  </si>
  <si>
    <t>Secretaria de comunicaciones y transporte subsecretaria de infraestructura</t>
  </si>
  <si>
    <t>Gobernación del estado de San Luis de Potosi</t>
  </si>
  <si>
    <t>Ingeniero independiente (supervisión) para la construcción de la nueva autopista concesionada cerritos entronque aTula en el estado de San Luis de Postosi</t>
  </si>
  <si>
    <t>INTERVENTORÍA INTEGRAL QUE INCLUYE PERO NO SE LIMITA A LA INTERVENTORÍA TÉCNICA, FINANCIERA, CONTABLE, ADMINISTRATIVA, JURÍDICA, MEDIOAMBIENTAL Y SOCIO-PREDIAL, AL CONTRATO DE CONCESIÓN SUSCRITOS POR EL INCO, HOY POR LA AGENCIA NACIONAL DE INFRAESTRUCTURAS, AL CONTRATO DE CONCESIÓN No.113 DE 1997, Y DEMÁS DOCUMENTOS QUE LO MODIFIQUEN, ADICIONEN O COMPLETEN, PARA LA CONCESIÓN - DESARROLLO VIAL ARMENIA – PEREIRA – MANIZALES</t>
  </si>
  <si>
    <t xml:space="preserve">REALIZAR LA INTERVENTORÍA INTEGRAL QUE INCLUYE PERO NO SE LIMITA A LA INTERVENTORÍA TÉCNICA,JURIDICA, ADMINISTRATIVA, FINANCIERA, OPERATIVA, PREDIAL Y SOCIO-AMBIENTAL, AL CONTRATO DE CONCESIÓN NO 006 DE 2007 PARA LA CONCESION AREA METROPOLITANA DE CUCUTA CONCESIONARIA SAN SIMON S.A </t>
  </si>
  <si>
    <t>PROPONENTE LIDER, 51 % DE LA EXPERIENCIA REQUERIDA</t>
  </si>
  <si>
    <t>10% DE LA EXP GENERAL REQUERIDA</t>
  </si>
  <si>
    <t>NO APLICA</t>
  </si>
  <si>
    <t>CM023P017</t>
  </si>
  <si>
    <t>UNIDAD ADMINISTRATIVA ESPECIAL DE REHABILITACION Y MANTENIMIENTO VIAL - UAERMV</t>
  </si>
  <si>
    <t>Interventoria Tecnica, Administrativa, Financiera y Ambiental al suministro de todos los insumos y servicios necesarios para el mantenimiento vial por ejecución directa a cargo de la UAERMV</t>
  </si>
  <si>
    <t>UNIDAD ADMINISTRATIVA ESPECIAL DE REHABILITACION Y MANTENIMIENTO VIAL - UAERMV.</t>
  </si>
  <si>
    <t>Interventoria de los estudios y diseños, pavimentacion y/o repavimentacion de las vias incluidas dentro del programa de pavimentacion de infraestructura vial de integracion y desarrollo grupo 6 via Betania -Puerto Boy con una longitud de 9.24 KMS; via Caramanta - Valparaiso con una longitud de 13.10 KMS en el Departamento de Antioquia</t>
  </si>
  <si>
    <t>Interventoria a la obras de modernizacion y expansion de la concesion de la administracion, operación, explotacion comercial, mantenimiento, modernizacion y expansion del aeropuerto Internacional El Dorado de la ciudad de Bogota</t>
  </si>
  <si>
    <t>En ejecucion</t>
  </si>
  <si>
    <t>TRANSMILENIO S.A</t>
  </si>
  <si>
    <t>Interventoria tecnica, administrativa, financiera y legal del contrato de las obras de mantenimiento de la infraestructura del sistema de transporte masivo de la ciudad de Bogota</t>
  </si>
  <si>
    <t>CM023P018</t>
  </si>
  <si>
    <t>GOBERNACION DE SUCRE</t>
  </si>
  <si>
    <t>Interventoria Tecnica, Administrativa, Financiera y Ambiental para las obras de mejoramiento en pavimento asfaltico de la via Sampues - San Benito Abad Municipios de Sampues (K49+500) y San Benito Abad (K0+000) en el departamento de Sucre.</t>
  </si>
  <si>
    <t>Interventoria Tecnica, Administrativa, Financiera, y Ambiental para el mejoramiento en pavimentos asfaltico de la via Sincelejo - Cerrito de la Palma, Laguna, Flor, San Antonio de Palmito departamento de Sucre.</t>
  </si>
  <si>
    <t>Control y Vigilancia de las obras Autovia A50 Avila-Salamanca CN501 de Madrid a Salamanca Tramo Villar de Gallimazo - Encinas de Abajo Provincia de Salamanca</t>
  </si>
  <si>
    <t>Interventoria del contrato de concesión que incluye pero no se limita a la Interventoria, Administrativa, Tecnica, Legal, Operativa, Ambiental y de Seguridad Aeroportuaria del Contrato de Concesión 8000011OK de 2008</t>
  </si>
  <si>
    <t>CM023P019</t>
  </si>
  <si>
    <t xml:space="preserve">CONTRATO No. SEA-016
Interventoría integral del Contrato de Concesión, que incluye pero no se limita a la interventoría técnica, financiera, contable, jurídica, medioambiental, socio-predial, administrativa, de seguros, operativa y de mantenimiento del Contrato de Concesión, el cual hace parte del Proyecto Vial Ruta del Sol y que corresponde al Sector 2 comprendido entre Puerto Salgar - San Roque </t>
  </si>
  <si>
    <t>MINISTERIO DE OBRAS PUBLICAS DE CHILES</t>
  </si>
  <si>
    <t xml:space="preserve">Asesoría a la Inspección Fiscal para la construcción de las obras del proyecto Mejoramiento Ruta X-25, Sector Cruce Ruta 7- Puerto Cisnes, Tramo Dm. 0,00 al Dm. 16,5000, Provincia de Aysén, Región de Aysén. </t>
  </si>
  <si>
    <t>CLP</t>
  </si>
  <si>
    <t>INSTITUTO DE DESARROLLO URBANO IDU</t>
  </si>
  <si>
    <t xml:space="preserve">Contrato No.196-2006
Interventoría técnica, administrativa, financiera y socio ambiental para la construcción y/o rehabilitación de vías en las localidades de Usaquen, Teusaquillo, Barrios Unidos, Antonio Nariño y Engativa. Grupo 1 en Bogotá </t>
  </si>
  <si>
    <t xml:space="preserve">Contrato No. MC-IT-01-13
Interventoría Técnica, Adminsitrativa, Financiera, Social y Ambiental para la adecuación de la condición funcional vial de los corredores pretroncales y alimentadores del Sistema Integrado de Transporte Masivo STIM-MIO, para los Grupos </t>
  </si>
  <si>
    <t>CM023P020</t>
  </si>
  <si>
    <t>CONSELLERIA D INFRAESTRUCTURAS TERRITORI MED AMBIENT</t>
  </si>
  <si>
    <t>Consultoria y asistencia tecnica de direccion, control y vigilancia de las obras (interventoria) de la prolongacion de la linea T4 de tranvia, Metrovalencia, tramo Radio Television Valenciana RTW BARRIO DE LA Coma /V alterna</t>
  </si>
  <si>
    <t>Consultoria y asistencia tecnica de direccion, control y vigilancia de las obras (interventoria) de la autovia de plana (CV-10) Pobla Tornesa - Villanova d Alcolea (Aeropuerto) Castellon</t>
  </si>
  <si>
    <t>Interventoria de los estudios y diseños, pavimentacion y/o repavimentacion de las vias incluidas desde el programa de pavimentacion de infraestructura vial de integracion y desarrollo grupo 26 via Santiago-Berrio-Perales con una longitud de 16 Km en el Departamento de Antioquia; via Transversal Boyaca (Dos y medio el Oasis) (Segmento) con una longitud de 20 Km en el Departamento de Boyaca</t>
  </si>
  <si>
    <t>COL</t>
  </si>
  <si>
    <t>P20-03</t>
  </si>
  <si>
    <t>Interventoria Tecnica, Administrativa, Financiera, Social y Ambiental de la construccion de corredores y obras complementarias del sistema integrado de transporte masivo de pasajeros de Santiago de Cali, de acuerdo a los siguientes frentes: Troncal Sur en la Carrera 15/Diagonal 15/Calle 75 entre carrera 23 (Autopista Sur) y terminal del pueblo mallarino; frente 2: Pretroncal via Navarro de la Calle 121 / Carrera 25 entre carrera 28F (via Navarro) y calle 75 ( Canal Puerto Mallarino)</t>
  </si>
  <si>
    <t>ALCALDIA DE SANTIAGO DE CALI</t>
  </si>
  <si>
    <t>Interventoria Tecnica, Socio Ambiental, Legal, Administrativa, Predial y Financiera, a los contratos de concesion No. 005-010, 004-010 y 003-010, derivados de la licitacion publica 4151-OP-09-2009, Grupo 1 - Prolongacion de la avenida circunvalar, autopista sur entre calles 5 y cra 56, ampliacion de la carrera 80 entre calle 5 y la Interseccion  con la Av. Circunvalar, Calle 16 entre carreras 50 y 105 via a la Paz Interseccion vial al desnivel autopista sur (Calle 10)  Carrera 63B, solucion peatonal Autopista sur Calle 10-Carrera 68</t>
  </si>
  <si>
    <t>SECRETARIA DE INFRAESTRUCTURA VIAL Y VALORIZACION SANTIAGO DE CALI</t>
  </si>
  <si>
    <t>Interventoria tecnica, financiera y ambiental, para los estudios y diseños construccion y mejoramiento de la transversal 103 entre las carreras 26 y 28D por el sistema de concesion</t>
  </si>
  <si>
    <t>CM023P021</t>
  </si>
  <si>
    <t xml:space="preserve">DEPARTAMENTO DE TERRITORIO Y SOSTENIBILIDAD </t>
  </si>
  <si>
    <t>Direccion de las obras (Interventoria/Supervision) de construccion de carril reservado para autobuses y vehiculos de alta ocupacion a la autopista e-58 entre el nudo de Ripollet y la Avenida Meridiana</t>
  </si>
  <si>
    <t>INFRAESTRUCTURES CAL.</t>
  </si>
  <si>
    <t>Asistencia tecnica Unidad de evaluacion y supervision de proyectos y obra Concesion Desdoblamiento del Eje transversal Carretera C-25 PK132+300 al 180+400 Tramo Manresa - Vic Clave AC-DC-050682</t>
  </si>
  <si>
    <t>AJUNTAMIENTO DE BARCELONA</t>
  </si>
  <si>
    <t>Seguimiento y control de los proyectos y obras mejora infraestructura del transporte en la ciudad de Barcelona</t>
  </si>
  <si>
    <t>Interventoria Tecnica, Financiera y operativa en la Etapa de Preconstruccion y construccion del contrato de Concesion GG-040-2004. Concesion Bogota-Girardot.</t>
  </si>
  <si>
    <t>CM023P022</t>
  </si>
  <si>
    <t>Contrato No. 04-0243-0-99. Interventoría Técnica, Administrativa y Financiera del Contrato de Concesion Para La Rehabilitación, conservación, operación y explotación de la red pacífica (Buenaventura - La Felisa y Zarzal - La Tebaida) y de la construcción explotación y mantenimiento de la central de transferencia de carga de La Felisa. Longitud de la Red Concesionada: 498 KM</t>
  </si>
  <si>
    <t>Contrato No. 020 de 2009. Interventoria técnica, administrativa, legal, operativa, financiera, predial, social y ambiental al contrato de concesión no. GG-040-2004, celebrado entre el Intituto Nacional de Concesiones - INCO y la Sociedad Concesión Autopista Bogotá - Girardot.</t>
  </si>
  <si>
    <t>Contrato No. 035 de 2006. Realizarla Interventoría Integral del Contrato de Concesión para la rehabilitación, reconstrucción, conservación, mantenimiento, operación y explotación de la Red Férrea del Pacífico (Buenaventura - La Felisa y Zarzal - La Tebaida), debiendo revisar, verificar, analizar y conceptuar permanentemente sobre todos los aspectos técnicos, socio - ambientales, prediales, financieros, operativos, jurídicos y administrativos relacionados con el Contrato de Concesión de la red férrea del Pacífico No. 09-CONP-98.</t>
  </si>
  <si>
    <t>Contrato No. IDU-067-2009. Interventoría Técnica, Administrativa, Financiera, Legal, Social y Ambiental, Para La Construcción de La Avenida Laureano Gómez (AK 9) Desde Av. San Juan Bosco (AC  170) hasta La AV. Cedritos (AC  147) Y Construcción De La Calzada Sur De La Avenida San José (AC  170) desde Avenida Boyacá Hasta Avenida Cota (AK 91), Correspondientes a las Obras con Código De Obra 101 Y 107 Del Acuerdo 180 De 2005 de valorización, en Bogotá D.C.</t>
  </si>
  <si>
    <t xml:space="preserve">Contrato No. IDU-075-2009. Interventoría Técnica, Administrativa, Financiera,  Legal,  Social, Ambiental  de La Construcción de Las Siguientes Obras  del acuerdo 180 del 2005 de valorización, en Bogotá D.C.: A) La intersección de la Avenida Paseo del  Country (carrera 15), con la avenida Carlos lleras Restrepo (calle 100), proyecto código de obra 160. B. Intersección a desnivel  de AV Germán Arciniegas (carrera 11) por  AV Laureano Gómez  (carrera 9), proyecto código de obra 102. C. Avenida Germán Arciniegas (carrera 11) desde calle 106 hasta Av Laureano Gómez (carrera 9) proyecto código de obra 103.  </t>
  </si>
  <si>
    <t xml:space="preserve">TREN DE OCCIDENTE S.A </t>
  </si>
  <si>
    <t>Realizar actividades de supervisión técnica y control de calidad en la rehabilitación y recuperación del corredor férreo Concesionado en el sector  Zaragoza - La Felisa</t>
  </si>
  <si>
    <t>CM023P023</t>
  </si>
  <si>
    <t>TRANSMETRO</t>
  </si>
  <si>
    <t>Interventoria Tecnica, Administrativa, Financiera y ambiental para la construccion de las obras del Sistema Integrado de Transporte Masivo, del Distrito de Barranquilla y su area Metropolitana, Sistema Transmetro, de acuerdo a los planos de Intervencion de cada uno de los componentes</t>
  </si>
  <si>
    <t>INSTITUTO NACIONAL DE VIAS - INVIAS</t>
  </si>
  <si>
    <t>Interventoria de las obras de construccion y pavimentacion de la vía alterna interna a Buenaventura, sector Viaducto K7 - Interseccion Citronela, Ruta 40 Tramo 4001.</t>
  </si>
  <si>
    <t>Desarrollo vial Transversal del Sur. Modulo 2. Interventorias para el mejoramiento y mantenimiento del corredor Tumaco-Pasto-Mocoa.</t>
  </si>
  <si>
    <t>En Ejecución</t>
  </si>
  <si>
    <t>CM023P024</t>
  </si>
  <si>
    <t>CONTRATO DE INTERVENTORIA No. SEA 069 DEL 20 DE ABRIL DE 2012. El objeto del presente contrato es regular los terminos y condiciones bajo los cuales el interventor se obliga a ejecutal para la AGENCIA la Interventoria Integral del contrato de Concesion, que incluye, pero no se limita a la Interventoria Tecnica, Financiera, contable, Juridica, Medioambiental, Social-Predial, administrativa, de seguros, operativa y de Mantenimiento del Contrato de Concesion No. 008 de  2007 y demas documentos que lo modifiquen, adicionen o complementen para la Concesion Vial Ruta Caribe, asi como regular los terminos y condciones bajo los cuales la AGENCIA pagara al Interventor de forma Mensual la contraprestacion ofrecida por el interventor y aceptada por la AGENCIA durante el concurso de meritos abierto consistentes en una suma global fija.</t>
  </si>
  <si>
    <t>Control y Vigilancia de las obras: N-340 de Cadiz y Gibraltar a Barcelona Autovia A-7 Tramo: Muro de Alcoy - Puerto Albaida</t>
  </si>
  <si>
    <t>Consultoria y Asistencia Tecnica en materia de control y vigilancia, coordinador en materia de medio ambiente y seguridad y salud de las obras: M-40 Remodelacion con el enlace de la carretera M-511, Clave 47-M-1201</t>
  </si>
  <si>
    <t>Interventoria para el mejoramiento y mantenimiento integral de la ruta Calarca-Ibague y variante de Ibague del corredor vial del Pacifico (incluido mantenimiento rutinario, señalizacion, el monitoreo, vigilancia y los conteos de transito)</t>
  </si>
  <si>
    <t>ALCALDIA SANTIAGO DE CALI</t>
  </si>
  <si>
    <t>Interventoria Administrativa, Tecnica, Financiera, Social, Ambiental y Legal del contrato de Concesion No. 146 de 2003 para ala Adecuacion de la Troncal de la Avenida Suba al Sistema Transmilenio, para el tramo No. 2: Comprendido entre la Calle 127 A y la Avenida Ciudad de Cali, en Bogota D.C</t>
  </si>
  <si>
    <t>CADA INTEGRANTE (AL MENOS UN CONTRATO CON EL 10% DE LA EXP GENERAL REQUERIDA</t>
  </si>
  <si>
    <t>SMMLV finalización del contrato (CERTIFICACIÓN RUP) PONDERADO</t>
  </si>
  <si>
    <t>Ingeniería Aeronáutica</t>
  </si>
  <si>
    <t>Clase    23</t>
  </si>
  <si>
    <t>APORTA EXPERIENCIA DE LA MATRIZ ACI PROYECTOS SAS FOLIO RUP 149</t>
  </si>
  <si>
    <t>METROPLUS S.A.</t>
  </si>
  <si>
    <t>Supervision para la construccion de dos tramos de corredor para el sistema Integrado de Transporte Masivo, Metroplus del Valle de Aburra. Lote 1: calle 30 entre Carreras 70 y 87 y Lote 2 carrera 45 entre calle 67 y 86, incluye la adecuacion de las carreras 44 y 46 entre calles 67 y 93</t>
  </si>
  <si>
    <t>Interventoria tecnica, financiera y operativa en la etapa de operación del Contrato de Concesion No. 0447 de 1994 carretera Santafe de Bogota (Puente el Cortijo) . Siberia - La Punta - El Chuscal - La Vega - Rio Tobia - Villeta con base en el acta de incorporacion del acuerdo conciliatorio suscrito entre la Sociedad Concesionaria Sabana de Occidente y el Instituto Nacional de Concesiones - INCO - dentro del Contrato de Concesion No. 0447 de 1994, suscrita el 10 de enero de 2008. De igual manera debera efectuar la interventoria de las actividades de mantenimiento que se desarrollen durante la vigencia del contrato.</t>
  </si>
  <si>
    <t>Interventoria Tecnica, Administrativa, financiera y ambiental, para las intervenciones integrales a la malla vial local del grupo vial fase II, grupo 2 (Localidades Fontibon, Puente Aranda y Barrios Unidos), con recursos confinados entre el IDU y los Fondos de Desarrollo Local en la ciudad de Bogota D.C.</t>
  </si>
  <si>
    <t>Interventoría técnica, financiera, ambiental y operativa en la etapa de construcción del contrato de Concesión No. 113 de 1997 Desarrollo Vial Armenia - Pereira - Manizales.</t>
  </si>
  <si>
    <t>Interventoría Técnica, Jurídica, Administrativa, Operativa y Financiera al Contrato de Concesión No 0377 de 2002 Concesión “Briceño - Tunja  - Sogamoso” Celebrado Entre el Instituto Nacional de Concesiones y el Consorcio Solarte Solarte.</t>
  </si>
  <si>
    <t xml:space="preserve">Interventoría Técnica, Financiera, Operativa, Predial, Socioambiental y legal del proyecto de Concesion Vial Santa Marta - Riohacha - Paraguachon, en el marco del contrato de concesión 445 de 1194 de conformidad con los terminos de referencia del concurso. </t>
  </si>
  <si>
    <t xml:space="preserve">INTERVENTORÍA TÉCNICA, ADMINISTRATIVA, LEGAL, FINANCIERA, AMBIENTAL Y SOCIAL DE LAS OBRAS DE CONSTRUCCIÓN Y TODAS LAS ACTIVIDADES NECESARIAS PARA LA EJECUCIÓN DE LA CALLE 26 (AVENIDA JORGE ELIECER GAITÁN) Y LA CARRERA 10a (AV. FERNANDO MAZUELA), AL SISTEMA TRANSMILENIO, DEL TRAMO 3 QUE COMPRENDE LA ADECUACIÓN DE LA CARRERA 10a (AVENIDA FERNANDO MAZUERA) AL SISTEMA TRANSMILENIO EN EL TRAMO 4 COMPRENDIDO ENTRE CALLE 7 Y CALLE 26, EN BOGOTÁ D.C. Y EL TRAMO 5 COMPRENDIDO ENTRE CALLE 26 Y CALLE 34 Y ADECUACIÓN DE LA CALLE 26 (AVENIDA JORGE ELIECER GAITÁN) AL SISTEMA TRANSMILENIO EN EL TRAMO 5 COMPRENDIDO ENTRE CARRERA 19 Y LA CARRERA 13, INCLUYE CONEXIÓN OPERACIONAL CON LA TRONCAL CARACAS, EN BOGOTÁ D.C., Y EN EL TRAMO 6 COMPRENDIDO ENTRE CARRERA 13 Y CARRERA 3 Y CARRERA 3 ENTRE CALLE 26 Y CALLE 19, EN BOGOTÁ D.C., COMPRENDIDOS EN EL GRUPO 3 ENTRE CALLE 26 Y CALLE 19, EN BOGOTÁ D.C., COMPRENDIDOS EN EL GRUPO 3 DE LA LICITACIÓN PUBLICA NUMERO IDU - LP - DG - 022 - 2007  EN BOGOTÁ D.C. </t>
  </si>
  <si>
    <t>EXPERIENCIA APORTADA DE YAMIL MONTENEGRO CALDERON REPRESENTANTE LEGAL</t>
  </si>
  <si>
    <t>CM023P044</t>
  </si>
  <si>
    <t>INTERVENTORÍA TÉCNICA, ADMINISTRATIVA, LEGAL, FINANCIERA Y AMBIENTAL PARA LA ADECUACIÓN DE LA TRONCAL NQS AL SISTEMA DE TRANSMILENIO, TRAMO SUR, SUR, ENTRE LA AVENIDA CIUDAD DE VILLAVICENCIO Y EL LÍMITE DEL DISTRITO CON SOACHA, INCLUYE PORTAL Y PATIO EN BOGOTÁ D. C.</t>
  </si>
  <si>
    <t>INVIAS</t>
  </si>
  <si>
    <t>INTERVENTORÍA PARA EL MEJORAMIENTO Y MANTENIMIENTO INTEGRAL DE LA RUTA RUMICHACA - PASTO - MOJARRAS DEL CORREDOR VIAL DE OCCIDENTE (INCLUIDO EL MANTENIMIENTO RUTINARIO, LA SEÑALIZACIÓN, EL MONITOREO Y VIGILANCIA A LOS CONTEOS DE TRÁNSITO), RUTA 25, TRAMO 2501 Y 2502</t>
  </si>
  <si>
    <t>INTERVENTORIA TECNICA, FINANCIERA Y OPERATIVA EN LA ETAPA DE OPERACIÓN DEL CONTRTO DE CONCESION NRO. 0937 DE 1995, SANTAFE DE BOGOTA (FONTIBON) - FACATATIVA - LOS ALPES. DE IGUAL MANERA DEBERA EFECTUAR LA INTERVENTORIA DE LAS ACTIVIDADES QUE SE REALICEN DURANTE LAS ETAPAS DE OPERACION DE LOS TRAMOS QUE SE DESARROLLEN DURANTE LA VIGENCIA DE ESTE CONTRATO.</t>
  </si>
  <si>
    <t>INTERVENTORÍA TÉCNICA, FINANCIERA Y OPERATIVA EN LA ETAPA DE CONSTRUCCIÓN DEL CONTRATO DE CONCESIÓN NO. 005 DE 1999, MALLA VIAL DEL VALLE DEL CAUCA Y CUACA. DE IGUAL MANERA DEBE EFECTUAR LA INTERVENTORÍA DE LAS ACTIVIDADES QUE SE REALICEN DURANTE LAS ETAPAS DE OPERACIÓN DE LOS TRAMOS QUE SE DESARROLLEN DURANTE LA VIGENCIA DEL CONTRATO.</t>
  </si>
  <si>
    <t>ALCALDIA DE MEDELLIN</t>
  </si>
  <si>
    <t>INTERVENTORIA PARA LA CONSTRUCCION DEL PUENTE DE LA  CALLE 4 SUR  Y OBRAS COMPLEMENTARIAS</t>
  </si>
  <si>
    <t>INTERVENTORÍA INTEGRAL QUE INCLUYE PERO NO SE LIMITA A LA INTERVENTORÍA TÉCNICA, FINANCIERA, ADMINISTRATIVA, JURIDICA, GESTION SOCIAL, PREDIAL Y AMBIENTAL PARA EL MEJORAMIENTO, GESTION SOCIAL, PREDIAL Y AMBIENTAL DEL PROYECTO CORREDOR TRANSVERSAL MEDELLIN - QUIBDO FASE 2, PARA EL PROGRAMA CORREDORES PRIORITARIOS PARA LA PROSPERIDAD - MODULO 1</t>
  </si>
  <si>
    <t>EN EJECUCION</t>
  </si>
  <si>
    <t>EN EJECUCIÒN</t>
  </si>
  <si>
    <t>CM023P045</t>
  </si>
  <si>
    <t>Interventoría de las obras de rehabilitación de la carretera Bucaramanga - Santa Marta, sector San Alberto - San Roque.</t>
  </si>
  <si>
    <t>Interventoría de las obras de pavimentación del sector K133+000 al K146+900 de la carretera Zaragoza - Caucasia.</t>
  </si>
  <si>
    <t>SECRETARIA DE INFRAETRUCTURA FISICA DE LA GOBERNACION DE ANTIOQUIA (GERENCIA DE MEGAPROYECTOS DEL DEPARTAMENTO DE ANTIOQUIA)</t>
  </si>
  <si>
    <t>Interventoría de la construcción del Proyecto Conexión Vial Aburrá - Río Cauca (Túnel de Occidente)</t>
  </si>
  <si>
    <t>DEPARTAMENTO DE ANTIOQUIA - DEPARTAMENTO ADMINISTRATIVO DE VALORIZACION</t>
  </si>
  <si>
    <t>Interventoría de la ampliación, rectificación y pavimentación de la carretera Don Matías - Entrerrios - Santa Rosa</t>
  </si>
  <si>
    <t>Interventoría para la terminación de los estudios y construcción del viaducto Cajones y sus acceso PR48+991 al PR49+271 de la carretera Cajamarca - Ibagué, ruta 40 tramo 4003</t>
  </si>
  <si>
    <t>CM023P046</t>
  </si>
  <si>
    <t>INTERVENTORÍA TÉCNICA, FINANCIERA Y OPERATIVA EN LA ETAPA DE CONSTRUCCIÓN DEL PROYECTO VIAL ARMENIA - PEREIRA - MANIZALES.</t>
  </si>
  <si>
    <t>INTERVENTORIA PARA EL MEJORAMIENTO Y PAVIMENTACION DE LA CARRETERA CUCUTA - PAMPLONA - MALAGA RUTA 55, TRAMO 5505, SECTOR PR140+000 AL PR71+680.</t>
  </si>
  <si>
    <t>INTERVENTORÍA AL CONTRATO DE CONCESIÓN NO. 179 DE 2003PARA LA ADECUACIÓN DE LA TRONCAL NQS SECTOR SUR AL SISTEMA TRANSMILENIO, PARA LOS TRAMOS COMPRENDIDOS ENTRE LA CALLE 10 Y LA ESCUELA GENERAL SANTANDER.</t>
  </si>
  <si>
    <t>INTERVENTORIA DE LOS ESTUDIOS Y DISEÑOS, PAVIMENTACION Y/O REPAVIMENTACION DE LAS VIAS INCLUIDAS DENTRO DEL PROGRAMA DE PAVIMENTACION DE INFRAESTRUCTURA VIAL DE INTEGRACION Y DESARROLLO GRUPO 85 VIA COROZAL BETULIA CON UNA LONGITUD DE 17,3 KILOMETROS VIA TOLU VIEJO VARSOVIA - PALMITO CON UNA LONGITUD DE 7 KILOMETROS EN EL DEPARTAMENTO DE SUCRE</t>
  </si>
  <si>
    <t>AMB</t>
  </si>
  <si>
    <t>REALIZACION DE LA INTERVENTORIA TECNICA Y ADMINISTRATIVA DE LAS OBRAS CORRESPONDIENTES A LA RECONSTRUCCION EN CONCRETO RIGIDO Y FLEXIBLE DE LA PROLONGACION DE LA AVENIDA MURILLO ENTRE LA INTERSECCION CON LA AVENIDA CINCURVALAR Y ACCESO PRINCIPAL DE LA GRAN CENTRAL DE ABASTOS DEL CARIBE</t>
  </si>
  <si>
    <t>INTERVENTORIA PARA LA CONSTRUCCION DEL PARQUE INTERCAMBIADOR VIAL NEOMUNDO Y OBRAS COMPLEMENTARIAS EN EL MUNICIPIO DE BUCARAMANGA - SANTANDER</t>
  </si>
  <si>
    <t>CM023P047</t>
  </si>
  <si>
    <t>AENA Aeropuertos S.A.</t>
  </si>
  <si>
    <t>Asistencia técnica para el control y vigilancia de la obra pista de vuelo 18R-36L y balizamiento CAT II/III de la pista 18R-36L, calles de rodaje, central eléctrica lado aire fase II en el aeropuerto de Madrid Barajas</t>
  </si>
  <si>
    <t>USD</t>
  </si>
  <si>
    <t>Ministerio de Fomento</t>
  </si>
  <si>
    <t>Consultoría y asistencia técnica para la realización del control y vigilancia de las obras: Autovía A-63 de Oviedo a la Espina. Tramo: Salas - La Espina (1a calzada)</t>
  </si>
  <si>
    <t>Aeronáutica Civil - Agencia Nacional de Infraestructura</t>
  </si>
  <si>
    <t>Interventoría operativa, ambiental y de mantenimiento para la concesión de la administración, operación, explotación comercial, mantenimiento, modernización y expansión del aeropuerto internacional El Dorado de la Ciudad de Bogotá D.C.</t>
  </si>
  <si>
    <t>Agencia Nacional de Infraestructura</t>
  </si>
  <si>
    <t>Interventoría técnica administrativa, financiera, ambiental, operativa y jurídica al plan de inversión de los Contratos de Concesión Portuaria No. 006 de 1993, 009 de 1994 y 003 de 2008 - suscritos entre la nación - Superintendencia General de Puertos y/o el Instituto Nacional de Concesiones INCO, hoy administrado por la Agencia Nacional de Infraestructura y las Sociedades Portuarias Regional de Santa Marta S.A., Regional de Buenaventura S.A. y la Sociedad Terminal de Contenedores de Cartagena S.A. CONECTAR S.A., respectivamente, sus adicionales y otrosíes, así como regular los términos y condiciones bajo las cuales la Agencia Nacional de Infraestructura pagará al interventor de forma mensual la contraprestación ofrecida por este.</t>
  </si>
  <si>
    <t>CM023P048</t>
  </si>
  <si>
    <t>INSTITUTO DE NACIONAL DE VIAS</t>
  </si>
  <si>
    <t>Interventoría para el Mejoramiento y Mantenimiento Integral de la Ruta Hatillo (Cruce Don Matías) - Caucásia del Corredor Vial de Occidente (Incluido el Mantenimiento Rutinario, la Señalización, el Monitoreo y Vigilancia y los conteos de tránsito) Ruta 25 Tramo 2510, 2511 y 2512.</t>
  </si>
  <si>
    <t>INSTITUTO DE DESARROLLO URBANO</t>
  </si>
  <si>
    <t>Interventoría técnica, administrativa, financiera, legal, social  y ambiental para la ampliación de la autopista norte entre calles 180 a 192 y construcción de las obras complementarias del puente norte de la calle 183 (futura avenida san Antonio) por Autopista Norte entre Carrera 36 y la carrera 47. en Bogotá D.C.</t>
  </si>
  <si>
    <t>Interventoría técnica, administrativa, financiera, ambiental y social para la rehabilitación de tramos rojos de las vías de la malla vial arterial principal y complementaria correspondiente al Grupo 1 en Bogotá D.C</t>
  </si>
  <si>
    <t>Interventoría técnica, administrativa , financiera y ambiental para la construcción de la Avenida Ciudad de Cali desde la Transversal 91 hasta el aproche oriental de los puentes Vehiculares sobre el Brazo del Humedal Juan Amarillo en Bogotá D.C</t>
  </si>
  <si>
    <t>Interventoría de la Construcción y pavimentación del sector Quebrada Las Doradas - Depresión el Vergel - Orrapihuasi de la carretera Altamira Florencia.  Incluye diseño de obras de protección, estabilización y drenaje de más de 20 sitios de taludes inestables.</t>
  </si>
  <si>
    <t>INSTITUTO NACIONAL DE VIAS</t>
  </si>
  <si>
    <t>Interventoria de las obras de pavimantacion de la Carretera Cebadal-Consacá-Sandoná - Pasto.</t>
  </si>
  <si>
    <t>CM023P041</t>
  </si>
  <si>
    <t>CM023P042</t>
  </si>
  <si>
    <t>CM023P043</t>
  </si>
  <si>
    <t>Supervision para la construccion de dos tramos de corredor para el sistema integrado de transporte masivo, metroplus del valle de Aburra. Ote 1: calle 30 entre carreras 70 y 87 y lote 2 carrera 45 entre calle 67 y 86, uncluye la adecuacion de las carreras 44 y 46 entre calle 67 y 93</t>
  </si>
  <si>
    <t>P42-02</t>
  </si>
  <si>
    <t>P42-03</t>
  </si>
  <si>
    <t>Asesoria e Interventoria tecnica, administrativa y ambiental en la construccion de un tramo de corredor del sistema Integrado de Transporte Masivo Transcaribe desde cuatro vientos a Bazurto en Cartagena de Indias Distrito Turistico y Cultural</t>
  </si>
  <si>
    <t>P42-04</t>
  </si>
  <si>
    <t>Interventoría Técnica, Financiera, Operativa, Predial, Socioambiental y legal del proyecto de Concesion Vial Santa Marta - Riohacha - Paraguachon, en el marco del contrato de concesión 445 de 1194 de conformidad con los terminos de referencia del concurso.</t>
  </si>
  <si>
    <t xml:space="preserve">Interventoria tecnica, financiera, operativa, predial, socio-ambiental, predial y socio-ambiental del proyect concesion vial VILLAVICENCIO -GRANADA, VILLAVICENCIO - PUERTO LOPEZ Y VILLAVICENCIO - CUMARAL - K7 VIA PARATEBUENO DENOMINADO CARRETERAS NACIONALES DEL META, en el marco del contrato de concesion No. 0446/94. </t>
  </si>
  <si>
    <t>ALCALDIA MEDELLIN</t>
  </si>
  <si>
    <t>DEPARTAMENTO DE ANTIOQUIA - GERENCIA DE PROYECTOS ESTRATEGICOS, ANTES GERENCIA DE CONCESIONES</t>
  </si>
  <si>
    <t>Interventoria tecnica y financiera durante las etapas de diseño y construccion de la concesion para el desarrillo vial del Aburrà (Doble Calzada Niquìa - El Hatillo).</t>
  </si>
  <si>
    <t>AGENCIA NACIONAL DE INFRAESTRUCTURA</t>
  </si>
  <si>
    <t>Interventoria Integral del Contrato de Concesiòn, que incluye pero no se limita a la Interventoria Tecnica, financiera, operativa, contable, juridica, medioambiental, socio predial, administrativa, del Contrato de Concesion No003 de 2006, incluido el "alcance opcional - Tunel Daza, segun el modificatorio No 1 del 28 de diciembre de 2007 y demas documentos que lo modifiquen, adicionen o complementen para la Concesion "Rumichaca - Pasto - Chagui - Aeropuerto". Concesionaria Desarrollo Vial de Nariño S.A., asì como regular los terminos y condiciones bajo los cuales la AGENCIA pagara al Interventoria de forma mensual la contraprestacion ofrecida por el Interventor y aceptada por la AGENCIA durante el Concurso de Meritos Abierto por la AGENCIA durante el Concurso de Meritos Abierto conssitente en una suma global fija.</t>
  </si>
  <si>
    <t>GERENCIA DE MEGAPROYECTOS DEL DEPARTAMENTO DE ANTIOQUIA</t>
  </si>
  <si>
    <t>INTERVENTORÍA TECNICA, ADMINISTRATIVA, LEGAL, FINANCIERA, AMBIENTAL Y SOCIAL AL CONTRATO DE CONCESIÓN NO. 179 DE LA ADECUACIÓN DE LA TRONCAL NQS SECTOR SUR AL SISTEMA TRANSMILENIO, TRAMO 1.</t>
  </si>
  <si>
    <t>INTERVENTORIA DE LOS ESTUDIOS Y DISEÑOS, PAVIMENTACION Y/O REPAVIMENTACION DE LAS VIAS INCLUIDAS DENTRO DEL PROGRAMA DE PAVIMENTACION DE INFRAESTRUCTURA VIAL  DE INTEGRACIONY DESARROLLO GRUPO 85 VIA COROZAL BETULIA CON UNA LONGITUD DE 17,3 KILOMETROS VIA TOLU VIEJO NARSOVIA - PALMITO CON UNA LONGITUD DE 7 KILOMETROS EN EL DEPARTAMENTO DE SUCRE</t>
  </si>
  <si>
    <t>Instituto Nacional de Vias - Invias</t>
  </si>
  <si>
    <t>Interventorías para el mejoramiento y mantenimiento del corredor Tumaco-Pasto Mocoa</t>
  </si>
  <si>
    <t>"Consultoría y asistencia para la realización del control y vigilancia de las obras: Autovía A-66 ruta de la plata carretera N-630 de Gijón al puerto de Sevilla. Tramo: Morales del Vino- Corrales provincia de Zamora"</t>
  </si>
  <si>
    <t>"Consultoría y asistencia para el control y vigilancia de las obras (Interventoría): Eje Atlántico de alta velocidad. Variante de Portas(Pontevedra). Tramo II: Portas- Vila García de Arrousa. Plataforma y vía. Supresión de P.N. en la R.F. de Galicia. Línea Monforte - Vigo, Pk 33/307, 35/347, 36/289 y 37/908 del Municipio de Coles (Orense)"</t>
  </si>
  <si>
    <t>Interventoría técnica administrativa, financiera, ambiental, operativa y juridica Concesión portuaria No. SEA-015</t>
  </si>
  <si>
    <t>INSTITUTO DE NACIONAL DE VIAS - INSTITUO NACIONAL DE CONCESIONES INCO</t>
  </si>
  <si>
    <t xml:space="preserve">Interventoría técnica, operativa y financiera en la etapa de operación del contrato de concesión 503 de 1994, Carretera Cartagena - Barranquilla.  Incluye revisión de sistemas de tratamiento de suelos para estabilización de taludes y arcillas expansivas. </t>
  </si>
  <si>
    <t>CM023P049</t>
  </si>
  <si>
    <t>CM023P050</t>
  </si>
  <si>
    <t>ALPHA GRUPO CONSULTOR S.AS</t>
  </si>
  <si>
    <t>CM023P025</t>
  </si>
  <si>
    <t>Interventoría Técnica, Administrativa, Financiera y Operativa en la etapa de operaciòn del contrato de Concesiòn No 0446 de 1994. Proyecto vial Villavicencio-Granada; Villavicencio-Puerto Lopez y Villavicencio-Restrepo-Cumaral-K7 Vìa a Paratebueno, denominado Carreteras Nacionales del Meta.</t>
  </si>
  <si>
    <t>INSTITUTO NACIONAL DE VÌAS - INVIAS</t>
  </si>
  <si>
    <t>Interventoría de los estudios y diseños, pavimentación y/o repavimentación de las vías incluidas dentro del programa de pavimentación de infraestructura vial de integración y desarrollo GRUPO 65 TRAMO 1 vía fuente de oro - San Jose del Guaviare con una longitud de 28,50 kilometros; TRAMO 2 via fuente de oro - San Jose del Guaviare con una longitud de 27,25 Kilometros en el departamento del Meta.</t>
  </si>
  <si>
    <t>Interventoría Técnica, Jurídica, Administrativa, Operativa y Financiera al contrato de Concesión "Girardot-Ibague-Cajamarca" celebrado entre el Instituto Nacional de Concesiones y la Concesionaria San Rafael S.A.</t>
  </si>
  <si>
    <t>Interventoría para el mejoramiento y mantenimiento de las carreteras Cucuta-Puerto Santander (Sector PR2+0900-Puerto Santander) código 5507, Aguaclara-Ocaña código 7007, Ocaña - Alto el Pozo-Sardinata, código 7008, Sardinata. Cucuta (Sector Sardinata el Zulia) código 7009 Rionegro-San Alberto código 45A08 y Ocaña Convenciòn (Sector la Ondina convención) código 70 NS01, Módulo 3.</t>
  </si>
  <si>
    <t>Consultoría, Asesoría e Interventoría Técnica y Administrativa para la Construcción y Pavimentación de la carretera Popayan-Totoró-Inza. Sector Popayan-Tororó.</t>
  </si>
  <si>
    <t>INTERVENTORIA DE LOS ESTUDIOS Y DISEÑOS, PAVIMENTACIÓN Y/O REPAVIMENTACIÓN DE LAS VIAS INCLUIDAS DENTRO DEL PROGRAMA DE PAVIMENTACIÓN DE INFRAESTRUCTURA VIAL DE INTEGRACIÓN Y DESARROLLO GRUPO 61 TRAMO 1 VIA PIVIJAY - FUNDACIÓN CON UNA LONGITUD DE 51,50 KILOMETROS; TRAMO 2 VIA SALAMINA - PIVIJAY CON UNA LONGITUD DE 3,50 KILOMETROS EN EL DEPARTAMENTO DEL MAGDALENA.</t>
  </si>
  <si>
    <t>CM023P026</t>
  </si>
  <si>
    <t>MINISTERIO DE OBRAS PÚBLICAS DE CHILE</t>
  </si>
  <si>
    <t>Consultoría (Urbana Interurbana) de la asesoría a la inspección Fiscal (Interventoría) de la construcción de la obra "Concesión Ruta 5 Tramo Santiago-Tolca y acceso sur a Santiago.</t>
  </si>
  <si>
    <t>Situación de Control INGELOG S.A. (Chile)</t>
  </si>
  <si>
    <t>Asesoría a la inspección Fiscal (Interventoría) a la Construcción de la Concesión Internacional vial Santiago-Valparaiso-Viña del Mar</t>
  </si>
  <si>
    <t>MINISTERIO DE FOMENTO (ESPAÑA)</t>
  </si>
  <si>
    <t>Control y vigilancia (Interventoría) de las obras "AutovíaA-8 del Cantábrico CN-634 de San Sebastían a Santiago de Compostela Tramo: Ribadeo-Reinante.</t>
  </si>
  <si>
    <t>ADIF (ESPAÑA)</t>
  </si>
  <si>
    <t>Consultoría y Asistencia (Interventoría) para el control y vigilancia de las obras del nuevo acceso ferroviario al Norte y Noroeste de España. Tramo Soto del Real-Segovia. Infraestructura y Vía. Lote No. 05</t>
  </si>
  <si>
    <t>CM023P027</t>
  </si>
  <si>
    <t>Interventoría a los diseños y a la construcciçon de las obras de modernización y expansiòn del aeropuerto internacional el dorado "Luis Carlos Galán Sarmiento" de la ciudad de Bogotá en Colombia.</t>
  </si>
  <si>
    <t>Interventoría Técnica, Administrativa, Financiera y ambiental para las intervenciones integrales a la malla vial local del grupo vial fase II-grupo 1 (localidades Santafe, Antonio Nariño, Candelaria, Chapinero, Teusaquillo y Mártires) con recursos cofinanciados entre el idu y los fondos de desarrollo local, en la ciudad de Bogotá D.C.</t>
  </si>
  <si>
    <t>Interventoría de los estudios y diseños, pavimentación y/o repavimentación de las vías incluidas dentro del programa de pavimentación de infraestructura vial de integración y desarrollo GRUPO 69 Pasto-Buesaco-El empate con una longitud de 22,88 Kilometros en el departamento de Nariño.</t>
  </si>
  <si>
    <t>Interventoría para el mejoramiento y mantenimiento de las carreteras Carreto-Calamar-Ponedera-Palmar de Varela, códigos 2515 y 2516, Sabanalarga-Barranquilla, código 9006 y Cármen de Bolivar-Zambrano-Plato-Pueblo Nuevo-Bosconia, códigos 8001, 8002 y 8003, Módulo No. 5.</t>
  </si>
  <si>
    <t>Interventoría para el mejoramiento y pavimentación de la transversal del carare sector Vélez-Landázuri, tramo K8+700-K16+500, ruta 62 tramo 6208</t>
  </si>
  <si>
    <t>Interventoría para la revisión y actualización de estudios y diseños, reconstrucción, pavimentación y/o repavimentación de la vía La Apartada-Ayapel del K0+000 al K15+000 con una longitud de 15 km en el departamento de Córdoba Módulo 1</t>
  </si>
  <si>
    <t>CM023P028</t>
  </si>
  <si>
    <t>MINISTERIO DE FOMENTO  (ESPAÑA)</t>
  </si>
  <si>
    <t>CONTROL Y VIGILANCIA DE LAS OBRAS AUTOVIA DEL MEDITERRANEO CN-340 DE CADIZ Y GIBRALTAR A BARCELONA. TRAMO: ALMUÑECAR (LA HERRADURA) - ALMUÑECAR (TARAMAY). PROVINCIA DE GRANADA</t>
  </si>
  <si>
    <t>INTERVENTORIA TECNICA, AMBIENTAL, LEGAL, ADMINISTRATIVA, PREDIAL, FINANCIERA, Y OPERATIVA EN LA ETAPA DE OPERACIÓN DEL CONTRATO DE CONCESION No. 0849 DE 1995 DESARROLLO VIAL CARRETERA NEIVA-ESPINAL-GIRARDOT.</t>
  </si>
  <si>
    <t>INTERVENTORIA PARA EL MEJORAMIENTO Y PAVIMENTACION DE LA CARRETERA FUENTE DE ORO-PUERTO LLERAS-CRUCE PUERTO RICO-PUERTO ARTURO -SAN JOSE DEL GUAVIARE, SECTOR CRUCE DE PUERTO RICO-PUERTO ARTURO K62+000 AL K81+000.</t>
  </si>
  <si>
    <t>INTERVENTORIA PARA EL MEJORAMIENTO Y PAVIMENTACION DE LA CARRETERA FUENTE DE ORO-PUERTO LLERAS-CRUCE PUERTO RICO-PUERTO ARTURO-SAN JOSE DEL GUAVIARE, SECTOR FUENTE DE ORO-PUERTO LLERAS, K0+000 AL K20+000.</t>
  </si>
  <si>
    <t>INTERVENTORIA TECNICA, ADMINISTRATIVA, FINANCIERA Y AMBIENTAL DE LA ADECUACIÓN DE LA TRONCAL AMERICAS AL SISTEMA TRANSMILENIO, TRAMO 1 ENTRE PUENTE ARANDA Y LA CARRERA 70B, EN BOGOTÁ D.C.</t>
  </si>
  <si>
    <t>CM023P029</t>
  </si>
  <si>
    <t>Interventoría técnica y Financiera en sus etapas de diseño y programación y construcción de la concesión de la carretera Espinal-Neiva del tramo 06 Neiva Castilla y el sector Castilla-Espinal-Girardot localización de Regis-Topográficos y redes de Infraestructura.</t>
  </si>
  <si>
    <t>Interventoría de las obras de construcción y pavimentación de la vía alterna, interna a buenaventura, sector, intersección SENA-Viaducto 7 ruta tramo 4001</t>
  </si>
  <si>
    <t>Consultoría, Asesoría e Interventoría Técnica y Administrativa de las obras de rehabilitación del sector río Ariguani-Fundación, construcción y pavimentación de la variante de fundación y de la rehabilitación del sector Bosconia-Rio Ariguani de la carretera Bucaramanga-Santa Marta</t>
  </si>
  <si>
    <t>Interventoría técnica, administrativa, legal Financiera, Ambiental y Social para la ejecución de las obras de construcción y todas las actividades necesarias para la adecuación de la calle 26 (Avenida Jorge Eliecer Gaitán) y de la carrera 10a (Avenida Fernando Mazuera), al sistema transmilenio en el tramo 3 comprendido entre la transversal 76 y la carrera 42B y el tramo 4 comprendido entre la carrera 42B y la carrera 19, grupo 4 de la licitación Pública IDU-LP-DG-022-2007 en Bogotá D.C.</t>
  </si>
  <si>
    <t>Interventoría de los estudios y diseños, pavimentación y/o repavimentación de las vías incluidas dentro del programa de pavimentación de infraestructura vial de integración y desarrollo GRUPO 55 vía Acevedo-Pitalito con una longitud de 7 Km Vía Ruta 45 Guacayo-La laguna (segmento) con una longitud de 10 Km vía San Agustín-El Estrecho-Obando con una longitud de 6 Km en el departamento del Huila.</t>
  </si>
  <si>
    <t>Interventoría de los estudios y diseños, pavimentación y/o repavimentación de las vías incluidas dentro del programa de pavimentación de infraestructura vial de integración y desarrollo GRUPO 26 vía Santiago-Berrio-Peralescon una longitud de 10 Km en el departamento de Antioquia; Vía Transversal Boyaca (Dos y medio-El Oasis) (segmento) con una longitud de 20 Km en el departamento de Boyaca.</t>
  </si>
  <si>
    <t>CM023P030</t>
  </si>
  <si>
    <t>PROVINCIA DE CROTONE - SECTOR OBRAS PÚBLICAS (ITALIA)</t>
  </si>
  <si>
    <t>Trabajos de modernización de la carretera que conecta la Ss107 con Crotonei y Trepidó Lote 1. Certificación relativa a la ejecución del servicio de proyecto y supervisión de trabajos.</t>
  </si>
  <si>
    <t>ITALFER (ITALIA)</t>
  </si>
  <si>
    <t>Certificación de prestaciones de ingeniería llevadas a cabo por el Consorcio Tplav en el ámbito del sistema Ferroviario Italiano de alta velocidad.</t>
  </si>
  <si>
    <t>MINISTERIO DE OBRAS PÚBLICAS Y COMUNICACIONES (PARAGUAY)</t>
  </si>
  <si>
    <t>Adquisición de servicios de Fiscalización de las obras de construcción de la ruta Juqueri - San Roque Gonzalez en el Departamento de Paraguari</t>
  </si>
  <si>
    <t>PYG</t>
  </si>
  <si>
    <t>CONTROL Y VIGILANCIA DE LAS OBRAS AUTOVIA A-66 DE LA PLATA CN-630 DE GIRON A SEVILLA. TRAMO: FUENTE DE CANTOS (N) FUENTE DE CANTOS (S)</t>
  </si>
  <si>
    <t>CM023P031</t>
  </si>
  <si>
    <t>Consultoría y asistencia para el control  y vigilancia de las obras de la Autovía A-50 Ávila-Salamanca, en el tramo: Peñalba de Ávila-San Pedro del arroyo (Provincia de Ávila)</t>
  </si>
  <si>
    <t>Consultoría y asistencia para el control  y vigilancia de las obras de la Autovía A-62, en el tramo: Ciudad Rodrigo-Fuentes de Oroño (Provincia de Salamanca)</t>
  </si>
  <si>
    <t>Consultoría y asistencia para el control  y vigilancia de las obras de la Autovía A-34, en el tramo: Cambrils-Variante de Vilaseca (Provincia de Tarragona)</t>
  </si>
  <si>
    <t>Interventoría al Contrato de Concesión No. 044 de 1993 para la rehabilitación, construcción, Mejoramiento, Conservación, mantenimiento y operación de la vía Barranquilla-Cienaga entre las abcisas K0+000 al K62+000</t>
  </si>
  <si>
    <t>Interventoría técnica, legal, financiera, administrativa, ambiental, predial y social del proyecto "Estudios y diseños, gestión social, predial, ambiental y mejoramiento del proyecto Transversal del Libertador" que dentro de la ejecución del contrato se incluye la construcción de las obras de drenaje, estructura de pavimento rígido, construcción de obras en sitios críticos de os sectores de Córdoba y Guacanas, Construcción de Pontones y Puentes.</t>
  </si>
  <si>
    <t>GOBERNACIÓN DE ARAUCA</t>
  </si>
  <si>
    <t>Interventoría Técnica, Administrativa, Financiera y ambiental a las obras de mejoramiento, construcción y pavimentación de la vía Arauca-Tame en el sector Rio Lipa (K111+190) y la Antioqueña (K151+772) Municipio de Arauca, Departamento de Arauca.</t>
  </si>
  <si>
    <t>CM023P032</t>
  </si>
  <si>
    <t>INSTITUTO DE INFRAESTRUCTURA Y CONCESIONES DE CUNDINAMARCA</t>
  </si>
  <si>
    <t>Contratar la Interventoría técnica, socioambiental, jurídica y financiera de un periodo de la etapa de operación y para las actividades de la etapa preoperativa de las obras adicionales de las concesiones viales del departamento de Cundinamarca.</t>
  </si>
  <si>
    <t>Interventoría integral del contrato de Concesión que incluye pero no se limita a la interventoría técnica, financiera, contable, jurídica, medio ambiental, socio predial, administrativa, de seguros, operativa y de mantenimiento del contrato de Concesión No.SEA-016 el cual hace parte del proyecto vial Ruta del Sol y que corresponde al sector 2 comprendido entre Puerto Salgar y San Roque.</t>
  </si>
  <si>
    <t xml:space="preserve">Interventoría técnica, socio-ambiental, administrativa y financiera de los siguientes proyectos: Estudios, diseños, construcción, mejoramiento rehabilitación y pavimentación de la red de troncales y red colectora a cargo del departamento de Cundinamarca para las siguientes vías 1). Vía Carmen de Curupa-Ubate, Municipio de Carmen de Curupa; 2). Vía Ubate-Cucunuba, Municipio de Ubate; 3). Vía Chocontá-Cucunuba, Municipio de Chocontá; 4). Vía sector la vuelta de Tres Esquinas, Municipio de Suesca; 5). Vía La Punta-Tenjo, Municipio de Tenjo; 6). Vía Siberia-Tenjo, Municipio de Tenjo; 7). Vía Boqueron Pandi, Municipio de Pandi; 8). Vía Tocaima Agua de Dios, Municipios de Tocaima y Agua de Dios; 9). Vía Troncal del Magdalena, sector Girardot-Cambao, Departamento de Cundinamarca; 10). Vía la Shell-Arbelaez, Municipio de Arbelaez; 11). Vía Caqueza-Ubate, Municipios de Caqueza y Ubate; 12). Vía Ubaque-La laguna, Municipio de Ubaque; 13). Vía Villeta-Utica-Caparrapi, Municipio de Villeta; 14). Diagnóstico, estudios, diseños, construcción, mejoramiento, mantenimiento y pavimentación de la Concesión troncal del Tequendama integrado por los trayectos viales Chuzaca-El Colegio-El Triunfo-Viotá- El Portillo del Departamento de Cundinamarca (Construcción en el K2+900, K14+600 y K4+750 del tramo Chusaca-el Colegio, Obras de Estabilización). </t>
  </si>
  <si>
    <t>Interventoría técnica, socio-ambiental, administrativa y financiera de los proyectos: 1. Rehabilitacion de la vía Tenjo-La Punta-Siberia-Tenjo-Tabio-Cajica, Municipio de Tenjo. 2. Mejoramiento de la vía Subachoque. 3. Estudios, diseños y pavimentación vía casco urbano de Madrid, Los Arboles-Puente Piedra en el Municipio de Madrid, 4. Mejoramiento de la vía Zipaquira-Nemocon-Suesca, Municipio de Zipaquirá, 5. Rehabilitación de la vía Capellania-Guacheta, 6. Mejoramiento y pavimentación de la Autopista Medellín parque la Florida costado occidental aeropuerto El Dorado, Municipio de Cota Cundinamarca; 7. Mejoramiento y rehabilitación de la vía Los Alpes-Quipile-Cajitas, Municipio Quipile, 8. Rehabilitación de la via Cartagenita-Zipacon-Cachipa-La Gran Vía-Tena-Los Alpes-Petaluma-Anolaima-Corralejas y San Carlos-La Florida, 9. Rehabilitación y mejoramiento de la vía Puerta Amarilla (Ricaurte) Los Manueles-Agua de Dios-Tocaima y construcción puente sobre el río Bogotá, 10. Mejoramiento vía Zipaquirá-Pacho-La Palma, Municipio de Pacho Departamento de Cundinamarca.</t>
  </si>
  <si>
    <t>Interventoría de los estudios y diseños, pavimentación y/o repavimentación de las vías incluidas dentro del programa de pavimentación de infraestructura vial de integración y desarrollo GRUPO 63 vía Puerto López-Puerto Gaitán con una longitud de 29,3 Km en el departamento del Meta.</t>
  </si>
  <si>
    <t>Interventoría de los estudios y diseños, pavimentación y/o repavimentación de las vías incluidas dentro del programa de pavimentación de infraestructura vial de integración y desarrollo GRUPO 93 vía Barbacoas-Junín con una longitud de 25 Km en el departamento de Nariño.</t>
  </si>
  <si>
    <t>INTERVENTORIA PARA EL MEJORAMIENTO Y MANTENIMIENTO DE LAS CARRETERAS CUCUTA - PUERTO SANTANDER (SECTOE PR2 + 0900 - PUERTO SANTANDER) CODIGO 5507, AGUACLARA - OCAÑA CODIGO 7007, OCAÑA  - ALTO EL POZO- SARDINATA, CODIGO 7008, SARDINATA - CUCUTA (SECTOR SARDINATA - EL ZULIA) CODIGO 7009, RIONEGRO - SAN ALBERTO CODIGO 45 A 08 Y OCAÑA - CONVENCION (SECTOR LA ONDINA - CONVENCION) CODIGO 70NS01.</t>
  </si>
  <si>
    <t>Interventoría integral del contrato de Concesión que incluye pero no se limita a la interventoría técnica, financiera, contable, jurídica, medio ambiental, socio predial, operativa y administrativa del contrato de Concesión No. 007 de 2007</t>
  </si>
  <si>
    <t>Interventoría integral del contrato de Concesión que incluye pero no se limita a la interventoría técnica, financiera, contable, jurídica, medio ambiental, socio predial, administrativa, de seguros, operativa y de mantenimiento del contrato de Concesión No. 008 de 2007 y demás documentos que lo modifiquen adicionen o complementen para la Concesión vial Ruta Caribe, asi como regular los términos y condiciones bajo los cuales la AGENCIA pagará al interventor de forma mensual la contraprestación ofrecida por el Interventor y aceptada por la AGENCIA durante el Concurso de Méritos abiertos consistentes en una suma global fija.</t>
  </si>
  <si>
    <t>INTERSA S.A.</t>
  </si>
  <si>
    <t>INTERVENTORÍA TECNICA, LEGAL, ADMINISTRATIVA, FINANCIERA Y OPERATIVA DEL CONTRATO DE CONCESIÓN NO 070 DE 2005, PARA DISEÑO, CONSTRUCCIÓN, OPERACIÓN Y MANTENIMENTO DE LA MALLA VIAL DE LA CENTRAL DE ABASTOS S.A (CORABASTOS) EN LA CIUDAD DE BOGOTA.</t>
  </si>
  <si>
    <t>Alcaldía de Barranquilla</t>
  </si>
  <si>
    <t xml:space="preserve">InterventorÍa a los trabajos de diseño, contruccion, rehabilitacion y mantenimiento de la mmalLa vial del distrito de Barranquilla por el sistema de concesión. </t>
  </si>
  <si>
    <t xml:space="preserve">Transmetro </t>
  </si>
  <si>
    <t xml:space="preserve">Interventoría técnica, administrativa, financiera y ambiental para el mejoramiento integral de vías en las zonas de precarga del sistema de transporte masivo del distrito de Barranquilla y su area metropolitana sistema transmetro, de acuerdo con los plano de intervención de cada uno de los componentes grupo No. 1, 2,3, 4 y 5 </t>
  </si>
  <si>
    <t>NVIAS</t>
  </si>
  <si>
    <t>Interventoria de los estudios y diseños, pavimentacion y/o repavimentacion de las vias incluidas dentro del programa de pavimentacion de infraestructura vial de integracion y desarrollo grupo 2</t>
  </si>
  <si>
    <t xml:space="preserve">Gobernación de Atlantico </t>
  </si>
  <si>
    <t xml:space="preserve">Interventoria de las obras (reconstruccion de los tramos erosionados) de la carretera Guaimaral ( Tubaral) los pocitos ( Galapa) Juan Mina (Barranquilla) en el departamento de Atlantico </t>
  </si>
  <si>
    <t>Interventoria tecnica, administrativa, financiera y ambiental para el mejoramiento integral de vias en las zonas de precarga del sistema de transporte masivo del distrito de Barranquilla y su area metropolitana sistema transmetro de acuero con los planos de intervencion de cada uno de los componentes grupo No. 1,2,3,4,5</t>
  </si>
  <si>
    <t>Interventoria tecnica, financiera y operativa del contrato de concesion No. 0444 de 1994 Bogota - Villavicencio</t>
  </si>
  <si>
    <t>GOBERNACION DE CASANARE</t>
  </si>
  <si>
    <t>Interventoria, asesoria tecnica y administrativa para las obras de ampliacion rectificicacion y pavimentacion de la via Pore - Trinidad Sector K17+000 a Trinidad, Departamento de Casanare</t>
  </si>
  <si>
    <t>Interventoria tecnica, financiera y operativa del contrato de Concesion No. 0444 de 1994 Bogota - Villavicencio.</t>
  </si>
  <si>
    <t>NO APACERE EN EL RUP, POR LO TANTO NO SE INCLUYE EN EL TOTAL DE LA EXPERIENCIA ACREDITADA</t>
  </si>
  <si>
    <t>Como mínimo uno (1) de los contratos principales, mediante los cuales se va a acreditar la experiencia específica, deberá ser de supervisión o interventoría de una concesión de un proyecto de infraestructura de transporte celebrado y ejecutado y/o en ejecución en Colombia y que incluya por lo menos dentro de su objeto y/o alcance la supervisión o interventoría que pueda ser Técnica y Financiero, y/o Técnica y Social, y/o Técnica y Ambiental del proyecto.</t>
  </si>
  <si>
    <t xml:space="preserve">NO </t>
  </si>
  <si>
    <t xml:space="preserve">  NO </t>
  </si>
  <si>
    <t>EN PROCESO DE SUBSANACION</t>
  </si>
  <si>
    <t>PENDIENTE</t>
  </si>
  <si>
    <t xml:space="preserve">3) Bienes o servicios nacionales o trato nacional </t>
  </si>
  <si>
    <t xml:space="preserve">6) 10% Nomina Discapacidad  según Pliego de Condiciones </t>
  </si>
  <si>
    <t xml:space="preserve">ACREDITA EL INTEGRANTE EL 25% DE LA EXPERIENCIA GENERAL Y ESPECIFICA </t>
  </si>
  <si>
    <t>SMMLV aportado por integrante Ex General</t>
  </si>
  <si>
    <t>SMMLV aportado por integrante Ex Especifica</t>
  </si>
  <si>
    <t>La certificación del contrato 1 relacionado en el formato 5 realiza una salvedad en tanto los SMMV se encuentran a vigencia de año 2000. Pon tanto se solicita el total de la facturación del contrato y copia de la última factura para realizar la aclaración.</t>
  </si>
  <si>
    <t>En ejecución</t>
  </si>
  <si>
    <t>CERTIFICA EXPERIENCIA HIDROESTUDIO, INGENIEROS Y CONSULTORES LIMITADA, ABSORBIDA POR HMV SAS, FOLIOS 158-171</t>
  </si>
  <si>
    <t>Sumatoria SMMLV aportada por Integrante</t>
  </si>
  <si>
    <t>ACREDITA</t>
  </si>
  <si>
    <t>CUMPLE</t>
  </si>
  <si>
    <t>CUMPLIMIENTO NUMERAL 6. CRITERIOS DE DESEMPATE</t>
  </si>
  <si>
    <t>INTEGRANTE QUE ACREDITA % NOMINA DISCAPACIDAD</t>
  </si>
  <si>
    <t>25%*60%= 15% PO</t>
  </si>
  <si>
    <t>DESEMPATE 25% (40*EG+4*5%*EE)</t>
  </si>
  <si>
    <t>25% (40*EG+4*5%*EE)</t>
  </si>
  <si>
    <t>Se constato con la supervisión del contrato que el porcentaje de participación corresponde efectivamente al 75%.</t>
  </si>
  <si>
    <t xml:space="preserve">Presupuesto oficial SMLMV </t>
  </si>
  <si>
    <t>NO HABIL</t>
  </si>
  <si>
    <t>El Formato No. 5 no concuerda con la certificación en su objeto, y fechas de inicio-fin (folio 154) motivo por el cual este contrato no se tiene en cuenta. No obstante lo anterior, con los demás contratos el proponente acredita la experiencia general solicitada en el pliego de condiciones, razón por la cual esto no afecta su habilitación por este concepto.</t>
  </si>
  <si>
    <t>Pendiente Acuerdo de Garantía de INYPSA INFORMES Y PROYECTOS S.A. (España) e  INYPSA INFORMES Y PROYECTOS COLOMBIA S.A.S. (Colombia) .</t>
  </si>
  <si>
    <t xml:space="preserve">Teniendo en cuenta lo dispuesto en el literal i) del numeral No. 5.1.1 Experiencia Especifica del pliego de condiciones del presente concurso, se solicita aclarar el formato No. 6 en lo que respecta a los contratos de orden No. 3 y 4, ajustando el mismo de conformidad al pliego de condiciones.
</t>
  </si>
  <si>
    <t>Por tratarse de un contrato en ejecución con la Agencia Nacional de Infraestructura, se requiere a la supervisión del proyecto al interior de la entidad para informar el último valor facturado a Enero del 2016.</t>
  </si>
  <si>
    <t xml:space="preserve">PENDIENTE </t>
  </si>
  <si>
    <t xml:space="preserve">NO CUMPLE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</si>
</sst>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2" formatCode="_-&quot;$&quot;* #,##0_-;\-&quot;$&quot;* #,##0_-;_-&quot;$&quot;* &quot;-&quot;_-;_-@_-"/>
    <numFmt numFmtId="41" formatCode="_-* #,##0_-;\-* #,##0_-;_-* &quot;-&quot;_-;_-@_-"/>
    <numFmt numFmtId="44" formatCode="_-&quot;$&quot;* #,##0.00_-;\-&quot;$&quot;* #,##0.00_-;_-&quot;$&quot;* &quot;-&quot;??_-;_-@_-"/>
    <numFmt numFmtId="164" formatCode="_(&quot;$&quot;\ * #,##0.00_);_(&quot;$&quot;\ * \(#,##0.00\);_(&quot;$&quot;\ * &quot;-&quot;??_);_(@_)"/>
    <numFmt numFmtId="165" formatCode="_(* #,##0.00_);_(* \(#,##0.00\);_(* &quot;-&quot;??_);_(@_)"/>
    <numFmt numFmtId="166" formatCode="dd/mm/yyyy;@"/>
    <numFmt numFmtId="167" formatCode="_ * #,##0.00_ ;_ * \-#,##0.00_ ;_ * &quot;-&quot;??_ ;_ @_ "/>
    <numFmt numFmtId="168" formatCode="&quot;$&quot;#,##0;[Red]&quot;$&quot;#,##0"/>
    <numFmt numFmtId="169" formatCode="_-[$$-240A]\ * #,##0_-;_-[$$-240A]\ * #,##0\-;_-[$$-240A]\ * &quot;-&quot;_-;_-@_-"/>
    <numFmt numFmtId="170" formatCode="_-[$$-409]* #,##0.00_ ;_-[$$-409]* \-#,##0.00\ ;_-[$$-409]* &quot;-&quot;??_ ;_-@_ "/>
    <numFmt numFmtId="171" formatCode="0.0000"/>
    <numFmt numFmtId="172" formatCode="0.0%"/>
    <numFmt numFmtId="173" formatCode="&quot;$&quot;#,##0.00;[Red]&quot;$&quot;#,##0.00"/>
    <numFmt numFmtId="174" formatCode="_([$€-2]\ * #,##0.00_);_([$€-2]\ * \(#,##0.00\);_([$€-2]\ * &quot;-&quot;??_);_(@_)"/>
    <numFmt numFmtId="175" formatCode="#,##0.00000"/>
    <numFmt numFmtId="176" formatCode="_-[$$-240A]* #,##0.00000_-;\-[$$-240A]* #,##0.00000_-;_-[$$-240A]* &quot;-&quot;??_-;_-@_-"/>
    <numFmt numFmtId="177" formatCode="_-[$$-240A]* #,##0.00_-;\-[$$-240A]* #,##0.00_-;_-[$$-240A]* &quot;-&quot;??_-;_-@_-"/>
    <numFmt numFmtId="178" formatCode="_-[$$-240A]* #,##0.0000_-;\-[$$-240A]* #,##0.0000_-;_-[$$-240A]* &quot;-&quot;??_-;_-@_-"/>
  </numFmts>
  <fonts count="35" x14ac:knownFonts="1">
    <font>
      <sz val="12"/>
      <color theme="1"/>
      <name val="Calibri"/>
      <family val="2"/>
      <scheme val="minor"/>
    </font>
    <font>
      <sz val="12"/>
      <color theme="1"/>
      <name val="Calibri"/>
      <family val="2"/>
      <scheme val="minor"/>
    </font>
    <font>
      <sz val="12"/>
      <color theme="0"/>
      <name val="Calibri"/>
      <family val="2"/>
      <scheme val="minor"/>
    </font>
    <font>
      <sz val="11"/>
      <color theme="1"/>
      <name val="Arial"/>
      <family val="2"/>
    </font>
    <font>
      <sz val="11"/>
      <color theme="0"/>
      <name val="Arial"/>
      <family val="2"/>
    </font>
    <font>
      <sz val="11"/>
      <color rgb="FF000000"/>
      <name val="Arial"/>
      <family val="2"/>
    </font>
    <font>
      <u/>
      <sz val="9.9"/>
      <color theme="10"/>
      <name val="Calibri"/>
      <family val="2"/>
    </font>
    <font>
      <sz val="10"/>
      <name val="Arial"/>
      <family val="2"/>
    </font>
    <font>
      <sz val="11"/>
      <color theme="1"/>
      <name val="Calibri"/>
      <family val="2"/>
      <scheme val="minor"/>
    </font>
    <font>
      <u/>
      <sz val="12"/>
      <color theme="10"/>
      <name val="Calibri"/>
      <family val="2"/>
      <scheme val="minor"/>
    </font>
    <font>
      <u/>
      <sz val="12"/>
      <color theme="11"/>
      <name val="Calibri"/>
      <family val="2"/>
      <scheme val="minor"/>
    </font>
    <font>
      <b/>
      <sz val="14"/>
      <color theme="0"/>
      <name val="Arial"/>
      <family val="2"/>
    </font>
    <font>
      <b/>
      <sz val="11"/>
      <color theme="0"/>
      <name val="Arial"/>
      <family val="2"/>
    </font>
    <font>
      <b/>
      <i/>
      <sz val="12"/>
      <color theme="1"/>
      <name val="Calibri"/>
      <family val="2"/>
      <scheme val="minor"/>
    </font>
    <font>
      <sz val="11"/>
      <name val="Arial"/>
      <family val="2"/>
    </font>
    <font>
      <b/>
      <sz val="10"/>
      <color rgb="FF000000"/>
      <name val="Arial"/>
      <family val="2"/>
    </font>
    <font>
      <b/>
      <i/>
      <sz val="11"/>
      <color theme="1"/>
      <name val="Arial"/>
      <family val="2"/>
    </font>
    <font>
      <sz val="8"/>
      <color theme="0"/>
      <name val="Calibri"/>
      <family val="2"/>
      <scheme val="minor"/>
    </font>
    <font>
      <sz val="8"/>
      <name val="Calibri"/>
      <family val="2"/>
      <scheme val="minor"/>
    </font>
    <font>
      <sz val="12"/>
      <color theme="1"/>
      <name val="Arial"/>
      <family val="2"/>
    </font>
    <font>
      <sz val="8"/>
      <color theme="1"/>
      <name val="Calibri"/>
      <family val="2"/>
      <scheme val="minor"/>
    </font>
    <font>
      <b/>
      <sz val="9"/>
      <color theme="0"/>
      <name val="Arial"/>
      <family val="2"/>
    </font>
    <font>
      <sz val="8"/>
      <color theme="1"/>
      <name val="Calibri"/>
      <family val="2"/>
      <scheme val="minor"/>
    </font>
    <font>
      <b/>
      <sz val="9"/>
      <color theme="0"/>
      <name val="Arial"/>
      <family val="2"/>
    </font>
    <font>
      <b/>
      <sz val="11"/>
      <name val="Arial"/>
      <family val="2"/>
    </font>
    <font>
      <sz val="11"/>
      <color theme="1"/>
      <name val="Arial"/>
      <family val="2"/>
    </font>
    <font>
      <b/>
      <u/>
      <sz val="11"/>
      <color theme="0"/>
      <name val="Arial"/>
      <family val="2"/>
    </font>
    <font>
      <sz val="12"/>
      <name val="Arial"/>
      <family val="2"/>
    </font>
    <font>
      <sz val="11"/>
      <color theme="1"/>
      <name val="Calibri"/>
      <family val="2"/>
    </font>
    <font>
      <sz val="11"/>
      <color rgb="FFFF0000"/>
      <name val="Arial"/>
      <family val="2"/>
    </font>
    <font>
      <sz val="11"/>
      <color theme="1"/>
      <name val="Arial"/>
      <family val="2"/>
    </font>
    <font>
      <b/>
      <i/>
      <sz val="11"/>
      <color theme="0"/>
      <name val="Arial"/>
      <family val="2"/>
    </font>
    <font>
      <b/>
      <sz val="11"/>
      <color theme="1"/>
      <name val="Arial"/>
      <family val="2"/>
    </font>
    <font>
      <sz val="8"/>
      <color rgb="FF000000"/>
      <name val="Calibri"/>
      <family val="2"/>
      <scheme val="minor"/>
    </font>
    <font>
      <sz val="8"/>
      <color rgb="FFFFFFFF"/>
      <name val="Calibri"/>
      <family val="2"/>
      <scheme val="minor"/>
    </font>
  </fonts>
  <fills count="13">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rgb="FF000000"/>
      </patternFill>
    </fill>
  </fills>
  <borders count="60">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bottom/>
      <diagonal/>
    </border>
    <border>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s>
  <cellStyleXfs count="64">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6" fillId="0" borderId="0" applyNumberFormat="0" applyFill="0" applyBorder="0" applyAlignment="0" applyProtection="0">
      <alignment vertical="top"/>
      <protection locked="0"/>
    </xf>
    <xf numFmtId="41" fontId="1" fillId="0" borderId="0" applyFont="0" applyFill="0" applyBorder="0" applyAlignment="0" applyProtection="0"/>
    <xf numFmtId="167" fontId="7" fillId="0" borderId="0" applyFont="0" applyFill="0" applyBorder="0" applyAlignment="0" applyProtection="0"/>
    <xf numFmtId="42" fontId="1" fillId="0" borderId="0" applyFont="0" applyFill="0" applyBorder="0" applyAlignment="0" applyProtection="0"/>
    <xf numFmtId="164" fontId="7" fillId="0" borderId="0" applyFont="0" applyFill="0" applyBorder="0" applyAlignment="0" applyProtection="0"/>
    <xf numFmtId="0" fontId="8" fillId="0" borderId="0"/>
    <xf numFmtId="0" fontId="7" fillId="0" borderId="0"/>
    <xf numFmtId="0" fontId="7" fillId="0" borderId="0"/>
    <xf numFmtId="9"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709">
    <xf numFmtId="0" fontId="0" fillId="0" borderId="0" xfId="0"/>
    <xf numFmtId="0" fontId="3" fillId="0" borderId="0" xfId="0" applyFont="1" applyBorder="1" applyAlignment="1">
      <alignment vertical="center"/>
    </xf>
    <xf numFmtId="0" fontId="0" fillId="0" borderId="0" xfId="0" applyBorder="1" applyAlignment="1">
      <alignment vertical="center"/>
    </xf>
    <xf numFmtId="170" fontId="3" fillId="0" borderId="0" xfId="0" applyNumberFormat="1" applyFont="1" applyBorder="1" applyAlignment="1">
      <alignment vertical="center"/>
    </xf>
    <xf numFmtId="0" fontId="4" fillId="5" borderId="11" xfId="2" applyFont="1" applyFill="1" applyBorder="1" applyAlignment="1">
      <alignment horizontal="center" vertical="center"/>
    </xf>
    <xf numFmtId="0" fontId="4" fillId="5" borderId="12" xfId="2" applyFont="1" applyFill="1" applyBorder="1" applyAlignment="1">
      <alignment horizontal="center" vertical="center"/>
    </xf>
    <xf numFmtId="0" fontId="0" fillId="0" borderId="0" xfId="0" applyFont="1" applyBorder="1" applyAlignment="1">
      <alignment vertical="center"/>
    </xf>
    <xf numFmtId="0" fontId="15" fillId="0" borderId="11" xfId="0" applyFont="1" applyFill="1" applyBorder="1" applyAlignment="1">
      <alignment vertical="center" wrapText="1"/>
    </xf>
    <xf numFmtId="3" fontId="3" fillId="0" borderId="12" xfId="0" applyNumberFormat="1" applyFont="1" applyFill="1" applyBorder="1" applyAlignment="1">
      <alignment vertical="center"/>
    </xf>
    <xf numFmtId="0" fontId="16" fillId="0" borderId="0" xfId="0" applyFont="1" applyBorder="1" applyAlignment="1">
      <alignment vertical="center"/>
    </xf>
    <xf numFmtId="0" fontId="13" fillId="0" borderId="0" xfId="0" applyFont="1" applyBorder="1" applyAlignment="1">
      <alignment vertical="center"/>
    </xf>
    <xf numFmtId="0" fontId="3" fillId="0" borderId="13" xfId="0" applyFont="1" applyBorder="1" applyAlignment="1">
      <alignment vertical="center"/>
    </xf>
    <xf numFmtId="4" fontId="3" fillId="0" borderId="14" xfId="0" applyNumberFormat="1" applyFont="1" applyFill="1" applyBorder="1" applyAlignment="1">
      <alignment vertical="center"/>
    </xf>
    <xf numFmtId="0" fontId="4" fillId="5" borderId="15" xfId="2" applyFont="1" applyFill="1" applyBorder="1" applyAlignment="1">
      <alignment horizontal="center" vertical="center"/>
    </xf>
    <xf numFmtId="0" fontId="5" fillId="0" borderId="13" xfId="0" applyFont="1" applyBorder="1" applyAlignment="1">
      <alignment vertical="center" wrapText="1"/>
    </xf>
    <xf numFmtId="14" fontId="5" fillId="0" borderId="14" xfId="0" applyNumberFormat="1" applyFont="1" applyFill="1" applyBorder="1" applyAlignment="1">
      <alignment vertical="center"/>
    </xf>
    <xf numFmtId="14" fontId="3" fillId="0" borderId="0" xfId="0" applyNumberFormat="1" applyFont="1" applyBorder="1" applyAlignment="1">
      <alignment vertical="center"/>
    </xf>
    <xf numFmtId="4" fontId="3" fillId="0" borderId="16" xfId="0" applyNumberFormat="1" applyFont="1" applyBorder="1" applyAlignment="1">
      <alignment horizontal="center" vertical="center" wrapText="1"/>
    </xf>
    <xf numFmtId="0" fontId="5" fillId="0" borderId="17" xfId="0" applyFont="1" applyBorder="1" applyAlignment="1">
      <alignment vertical="center" wrapText="1"/>
    </xf>
    <xf numFmtId="14" fontId="3" fillId="0" borderId="18" xfId="0" applyNumberFormat="1" applyFont="1" applyFill="1" applyBorder="1" applyAlignment="1">
      <alignment vertical="center"/>
    </xf>
    <xf numFmtId="0" fontId="5" fillId="0" borderId="0" xfId="0" applyFont="1" applyBorder="1" applyAlignment="1">
      <alignment vertical="center" wrapText="1"/>
    </xf>
    <xf numFmtId="10" fontId="3" fillId="0" borderId="0" xfId="0" applyNumberFormat="1" applyFont="1" applyBorder="1" applyAlignment="1">
      <alignment vertical="center"/>
    </xf>
    <xf numFmtId="0" fontId="4" fillId="5" borderId="13" xfId="2" applyFont="1" applyFill="1" applyBorder="1" applyAlignment="1">
      <alignment horizontal="center" vertical="center"/>
    </xf>
    <xf numFmtId="0" fontId="4" fillId="5" borderId="14" xfId="2" applyFont="1" applyFill="1" applyBorder="1" applyAlignment="1">
      <alignment horizontal="center" vertical="center"/>
    </xf>
    <xf numFmtId="0" fontId="3" fillId="0" borderId="13" xfId="0" applyFont="1" applyBorder="1" applyAlignment="1">
      <alignment horizontal="center" vertical="center"/>
    </xf>
    <xf numFmtId="170" fontId="3" fillId="0" borderId="14" xfId="0" applyNumberFormat="1" applyFont="1" applyBorder="1" applyAlignment="1">
      <alignment vertical="center"/>
    </xf>
    <xf numFmtId="171" fontId="3" fillId="0" borderId="0" xfId="0" applyNumberFormat="1" applyFont="1" applyBorder="1" applyAlignment="1">
      <alignment vertical="center"/>
    </xf>
    <xf numFmtId="0" fontId="3" fillId="0" borderId="17" xfId="0" applyFont="1" applyBorder="1" applyAlignment="1">
      <alignment horizontal="center" vertical="center"/>
    </xf>
    <xf numFmtId="170" fontId="3" fillId="0" borderId="18" xfId="0" applyNumberFormat="1" applyFont="1" applyBorder="1" applyAlignment="1">
      <alignment vertical="center"/>
    </xf>
    <xf numFmtId="0" fontId="3" fillId="0" borderId="0" xfId="0" applyFont="1" applyAlignment="1">
      <alignment vertical="center"/>
    </xf>
    <xf numFmtId="0" fontId="3" fillId="0" borderId="0" xfId="0" applyFont="1"/>
    <xf numFmtId="0" fontId="0" fillId="0" borderId="0" xfId="0" applyFont="1"/>
    <xf numFmtId="0" fontId="19" fillId="0" borderId="0" xfId="0" applyFont="1"/>
    <xf numFmtId="0" fontId="17" fillId="5" borderId="23" xfId="3" applyFont="1" applyFill="1" applyBorder="1" applyAlignment="1">
      <alignment horizontal="center" vertical="center" wrapText="1"/>
    </xf>
    <xf numFmtId="41" fontId="18" fillId="8" borderId="2" xfId="3"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41" fontId="20" fillId="0" borderId="2" xfId="0" applyNumberFormat="1" applyFont="1" applyBorder="1" applyAlignment="1">
      <alignment horizontal="center" vertical="center" wrapText="1"/>
    </xf>
    <xf numFmtId="0" fontId="3" fillId="0" borderId="0" xfId="0" applyFont="1" applyAlignment="1">
      <alignment wrapText="1"/>
    </xf>
    <xf numFmtId="0" fontId="0" fillId="0" borderId="0" xfId="0" applyAlignment="1">
      <alignment wrapText="1"/>
    </xf>
    <xf numFmtId="0" fontId="20" fillId="0" borderId="0" xfId="0" applyFont="1"/>
    <xf numFmtId="0" fontId="20" fillId="0" borderId="0" xfId="0" applyFont="1" applyAlignment="1">
      <alignment horizontal="left"/>
    </xf>
    <xf numFmtId="41" fontId="20" fillId="0" borderId="0" xfId="0" applyNumberFormat="1" applyFont="1" applyAlignment="1">
      <alignment horizontal="center"/>
    </xf>
    <xf numFmtId="0" fontId="3" fillId="0" borderId="24" xfId="0" applyFont="1" applyFill="1" applyBorder="1" applyAlignment="1">
      <alignment horizontal="left" vertical="center" wrapText="1"/>
    </xf>
    <xf numFmtId="4" fontId="3" fillId="0" borderId="26" xfId="0" applyNumberFormat="1" applyFont="1" applyBorder="1" applyAlignment="1">
      <alignment horizontal="center" vertical="center" wrapText="1"/>
    </xf>
    <xf numFmtId="10" fontId="17" fillId="5" borderId="23" xfId="3" applyNumberFormat="1" applyFont="1" applyFill="1" applyBorder="1" applyAlignment="1">
      <alignment horizontal="center" vertical="center" wrapText="1"/>
    </xf>
    <xf numFmtId="10" fontId="20" fillId="0" borderId="2" xfId="0" applyNumberFormat="1" applyFont="1" applyBorder="1" applyAlignment="1">
      <alignment horizontal="center" vertical="center" wrapText="1"/>
    </xf>
    <xf numFmtId="10" fontId="20" fillId="0" borderId="0" xfId="0" applyNumberFormat="1" applyFont="1" applyAlignment="1">
      <alignment horizontal="center"/>
    </xf>
    <xf numFmtId="0" fontId="20" fillId="0" borderId="5" xfId="0" applyFont="1" applyBorder="1" applyAlignment="1">
      <alignment horizontal="center" vertical="center" wrapText="1"/>
    </xf>
    <xf numFmtId="0" fontId="20" fillId="0" borderId="2" xfId="0" applyFont="1" applyBorder="1" applyAlignment="1">
      <alignment horizontal="left"/>
    </xf>
    <xf numFmtId="10" fontId="20" fillId="0" borderId="2" xfId="0" applyNumberFormat="1" applyFont="1" applyBorder="1" applyAlignment="1">
      <alignment horizontal="center"/>
    </xf>
    <xf numFmtId="0" fontId="20" fillId="0" borderId="2" xfId="0" applyFont="1" applyBorder="1" applyAlignment="1">
      <alignment vertical="center"/>
    </xf>
    <xf numFmtId="10" fontId="20" fillId="0" borderId="2" xfId="0" applyNumberFormat="1" applyFont="1" applyBorder="1" applyAlignment="1">
      <alignment horizontal="center" vertical="center"/>
    </xf>
    <xf numFmtId="0" fontId="20" fillId="0" borderId="5" xfId="0" applyFont="1" applyBorder="1" applyAlignment="1">
      <alignment vertical="center" wrapText="1"/>
    </xf>
    <xf numFmtId="0" fontId="22" fillId="0" borderId="2" xfId="0" applyFont="1" applyBorder="1" applyAlignment="1">
      <alignment horizontal="left" vertical="center" wrapText="1"/>
    </xf>
    <xf numFmtId="0" fontId="20" fillId="0" borderId="2" xfId="0" applyFont="1" applyBorder="1" applyAlignment="1">
      <alignment vertical="center" wrapText="1"/>
    </xf>
    <xf numFmtId="41" fontId="20" fillId="0" borderId="2" xfId="0" applyNumberFormat="1" applyFont="1" applyBorder="1" applyAlignment="1">
      <alignment horizontal="center"/>
    </xf>
    <xf numFmtId="9" fontId="20" fillId="0" borderId="2" xfId="1" applyFont="1" applyBorder="1" applyAlignment="1">
      <alignment horizontal="center" vertical="center" wrapText="1"/>
    </xf>
    <xf numFmtId="172" fontId="20" fillId="0" borderId="2" xfId="1" applyNumberFormat="1" applyFont="1" applyBorder="1" applyAlignment="1">
      <alignment horizontal="center" vertical="center" wrapText="1"/>
    </xf>
    <xf numFmtId="166" fontId="12" fillId="5" borderId="5" xfId="2"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166" fontId="12" fillId="0" borderId="2" xfId="2" applyNumberFormat="1" applyFont="1" applyFill="1" applyBorder="1" applyAlignment="1">
      <alignment horizontal="center" vertical="center" wrapText="1"/>
    </xf>
    <xf numFmtId="166" fontId="24" fillId="0" borderId="2" xfId="2"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1" fontId="25" fillId="0" borderId="2" xfId="0" applyNumberFormat="1" applyFont="1" applyFill="1" applyBorder="1" applyAlignment="1">
      <alignment horizontal="center" vertical="center" wrapText="1"/>
    </xf>
    <xf numFmtId="9" fontId="3" fillId="0" borderId="2" xfId="12" applyFont="1" applyFill="1" applyBorder="1" applyAlignment="1">
      <alignment horizontal="center" vertical="center"/>
    </xf>
    <xf numFmtId="166"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3" fillId="0" borderId="2" xfId="0" applyNumberFormat="1" applyFont="1" applyFill="1" applyBorder="1" applyAlignment="1">
      <alignment vertical="center"/>
    </xf>
    <xf numFmtId="168" fontId="3" fillId="0" borderId="2" xfId="0" applyNumberFormat="1" applyFont="1" applyFill="1" applyBorder="1" applyAlignment="1">
      <alignment horizontal="center" vertical="center"/>
    </xf>
    <xf numFmtId="3" fontId="3" fillId="0" borderId="2" xfId="1" applyNumberFormat="1" applyFont="1" applyFill="1" applyBorder="1" applyAlignment="1">
      <alignment horizontal="center" vertical="center"/>
    </xf>
    <xf numFmtId="4" fontId="3" fillId="0" borderId="2" xfId="1"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lignment vertical="center"/>
    </xf>
    <xf numFmtId="9" fontId="3" fillId="0" borderId="2" xfId="12" applyFont="1" applyFill="1" applyBorder="1" applyAlignment="1">
      <alignment horizontal="center" vertical="center" wrapText="1"/>
    </xf>
    <xf numFmtId="168" fontId="3" fillId="0" borderId="2" xfId="0" applyNumberFormat="1" applyFont="1" applyFill="1" applyBorder="1" applyAlignment="1">
      <alignment vertical="center" wrapText="1"/>
    </xf>
    <xf numFmtId="0" fontId="0" fillId="0" borderId="2" xfId="0" applyFill="1" applyBorder="1" applyAlignment="1">
      <alignment vertical="center" wrapText="1"/>
    </xf>
    <xf numFmtId="9" fontId="0" fillId="0" borderId="2" xfId="1" applyFont="1" applyFill="1" applyBorder="1" applyAlignment="1">
      <alignment horizontal="center" vertical="center"/>
    </xf>
    <xf numFmtId="9" fontId="3" fillId="0" borderId="2" xfId="1" applyFont="1" applyFill="1" applyBorder="1" applyAlignment="1">
      <alignment horizontal="center" vertical="center"/>
    </xf>
    <xf numFmtId="14" fontId="3" fillId="0" borderId="2" xfId="12" applyNumberFormat="1" applyFont="1" applyFill="1" applyBorder="1" applyAlignment="1">
      <alignment horizontal="center" vertical="center"/>
    </xf>
    <xf numFmtId="14" fontId="3" fillId="0" borderId="2" xfId="0" applyNumberFormat="1" applyFont="1" applyFill="1" applyBorder="1" applyAlignment="1">
      <alignment horizontal="center" vertical="center"/>
    </xf>
    <xf numFmtId="4" fontId="3" fillId="0" borderId="2" xfId="0" applyNumberFormat="1" applyFont="1" applyFill="1" applyBorder="1" applyAlignment="1">
      <alignment horizontal="center" vertical="center"/>
    </xf>
    <xf numFmtId="0" fontId="0" fillId="0" borderId="2" xfId="0" applyFill="1" applyBorder="1" applyAlignment="1">
      <alignment vertical="center"/>
    </xf>
    <xf numFmtId="0" fontId="5" fillId="0" borderId="2" xfId="0" applyFont="1" applyFill="1" applyBorder="1" applyAlignment="1">
      <alignment horizontal="left" vertical="center" wrapText="1"/>
    </xf>
    <xf numFmtId="9" fontId="5" fillId="0" borderId="2" xfId="0" applyNumberFormat="1" applyFont="1" applyFill="1" applyBorder="1" applyAlignment="1">
      <alignment horizontal="center" vertical="center"/>
    </xf>
    <xf numFmtId="166" fontId="5" fillId="0" borderId="2" xfId="0" applyNumberFormat="1" applyFont="1" applyFill="1" applyBorder="1" applyAlignment="1">
      <alignment horizontal="center" vertical="center" wrapText="1"/>
    </xf>
    <xf numFmtId="168" fontId="5" fillId="0" borderId="2" xfId="0" applyNumberFormat="1" applyFont="1" applyFill="1" applyBorder="1" applyAlignment="1">
      <alignment vertical="center"/>
    </xf>
    <xf numFmtId="168" fontId="5" fillId="0" borderId="2"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13" fillId="6" borderId="2" xfId="0" applyFont="1" applyFill="1" applyBorder="1" applyAlignment="1">
      <alignment vertical="center" wrapText="1"/>
    </xf>
    <xf numFmtId="0" fontId="3" fillId="6" borderId="2" xfId="0" applyFont="1" applyFill="1" applyBorder="1" applyAlignment="1">
      <alignment horizontal="left" vertical="center" wrapText="1"/>
    </xf>
    <xf numFmtId="9" fontId="3" fillId="6" borderId="2" xfId="12" applyFont="1" applyFill="1" applyBorder="1" applyAlignment="1">
      <alignment horizontal="center" vertical="center" wrapText="1"/>
    </xf>
    <xf numFmtId="166" fontId="3" fillId="6" borderId="2" xfId="0" applyNumberFormat="1" applyFont="1" applyFill="1" applyBorder="1" applyAlignment="1">
      <alignment horizontal="center" vertical="center" wrapText="1"/>
    </xf>
    <xf numFmtId="0" fontId="3" fillId="6" borderId="2" xfId="0" applyNumberFormat="1" applyFont="1" applyFill="1" applyBorder="1" applyAlignment="1">
      <alignment horizontal="center" vertical="center" wrapText="1"/>
    </xf>
    <xf numFmtId="168" fontId="3" fillId="6" borderId="2" xfId="0" applyNumberFormat="1" applyFont="1" applyFill="1" applyBorder="1" applyAlignment="1">
      <alignment vertical="center" wrapText="1"/>
    </xf>
    <xf numFmtId="168" fontId="3" fillId="6" borderId="2" xfId="0" applyNumberFormat="1" applyFont="1" applyFill="1" applyBorder="1" applyAlignment="1">
      <alignment horizontal="center" vertical="center" wrapText="1"/>
    </xf>
    <xf numFmtId="1" fontId="3" fillId="6" borderId="2" xfId="0" applyNumberFormat="1" applyFont="1" applyFill="1" applyBorder="1" applyAlignment="1">
      <alignment horizontal="center" vertical="center" wrapText="1"/>
    </xf>
    <xf numFmtId="0" fontId="3" fillId="0" borderId="2" xfId="0" applyFont="1" applyBorder="1" applyAlignment="1">
      <alignment vertical="center"/>
    </xf>
    <xf numFmtId="0" fontId="3" fillId="6" borderId="2" xfId="0" applyFont="1" applyFill="1" applyBorder="1" applyAlignment="1">
      <alignment vertical="center" wrapText="1"/>
    </xf>
    <xf numFmtId="9" fontId="3" fillId="6" borderId="2" xfId="1" applyFont="1" applyFill="1" applyBorder="1" applyAlignment="1">
      <alignment horizontal="center" vertical="center"/>
    </xf>
    <xf numFmtId="14" fontId="3" fillId="6" borderId="2" xfId="12" applyNumberFormat="1" applyFont="1" applyFill="1" applyBorder="1" applyAlignment="1">
      <alignment horizontal="center" vertical="center"/>
    </xf>
    <xf numFmtId="14" fontId="3" fillId="6" borderId="2" xfId="0" applyNumberFormat="1" applyFont="1" applyFill="1" applyBorder="1" applyAlignment="1">
      <alignment horizontal="center" vertical="center"/>
    </xf>
    <xf numFmtId="0" fontId="3" fillId="6" borderId="2" xfId="0" applyNumberFormat="1" applyFont="1" applyFill="1" applyBorder="1" applyAlignment="1">
      <alignment horizontal="center" vertical="center"/>
    </xf>
    <xf numFmtId="168" fontId="3" fillId="6" borderId="2" xfId="0" applyNumberFormat="1" applyFont="1" applyFill="1" applyBorder="1" applyAlignment="1">
      <alignment horizontal="center" vertical="center"/>
    </xf>
    <xf numFmtId="169" fontId="3" fillId="6" borderId="2" xfId="0" applyNumberFormat="1" applyFont="1" applyFill="1" applyBorder="1" applyAlignment="1">
      <alignment horizontal="center" vertical="center"/>
    </xf>
    <xf numFmtId="0" fontId="0" fillId="0" borderId="2" xfId="0" applyBorder="1" applyAlignment="1">
      <alignment vertical="center"/>
    </xf>
    <xf numFmtId="0" fontId="3" fillId="0" borderId="4" xfId="0" applyFont="1" applyFill="1" applyBorder="1" applyAlignment="1">
      <alignment vertical="center"/>
    </xf>
    <xf numFmtId="0" fontId="3" fillId="0" borderId="23" xfId="0" applyFont="1" applyFill="1" applyBorder="1" applyAlignment="1">
      <alignment horizontal="center" vertical="center"/>
    </xf>
    <xf numFmtId="0" fontId="13" fillId="0" borderId="23"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23" xfId="0" applyFont="1" applyFill="1" applyBorder="1" applyAlignment="1">
      <alignment vertical="center" wrapText="1"/>
    </xf>
    <xf numFmtId="9" fontId="3" fillId="0" borderId="23" xfId="12" applyFont="1" applyFill="1" applyBorder="1" applyAlignment="1">
      <alignment horizontal="center" vertical="center"/>
    </xf>
    <xf numFmtId="166" fontId="3" fillId="0" borderId="23" xfId="0" applyNumberFormat="1" applyFont="1" applyFill="1" applyBorder="1" applyAlignment="1">
      <alignment horizontal="center" vertical="center" wrapText="1"/>
    </xf>
    <xf numFmtId="168" fontId="3" fillId="0" borderId="23" xfId="0" applyNumberFormat="1" applyFont="1" applyFill="1" applyBorder="1" applyAlignment="1">
      <alignment horizontal="center" vertical="center" wrapText="1"/>
    </xf>
    <xf numFmtId="168" fontId="3" fillId="0" borderId="23" xfId="0" applyNumberFormat="1" applyFont="1" applyFill="1" applyBorder="1" applyAlignment="1">
      <alignment vertical="center"/>
    </xf>
    <xf numFmtId="3" fontId="3" fillId="0" borderId="23" xfId="1" applyNumberFormat="1" applyFont="1" applyFill="1" applyBorder="1" applyAlignment="1">
      <alignment horizontal="center" vertical="center"/>
    </xf>
    <xf numFmtId="4" fontId="3" fillId="0" borderId="23" xfId="1" applyNumberFormat="1" applyFont="1" applyFill="1" applyBorder="1" applyAlignment="1">
      <alignment horizontal="center" vertical="center"/>
    </xf>
    <xf numFmtId="4" fontId="3" fillId="0" borderId="23" xfId="0" applyNumberFormat="1" applyFont="1" applyFill="1" applyBorder="1" applyAlignment="1">
      <alignment horizontal="center" vertical="center" wrapText="1"/>
    </xf>
    <xf numFmtId="1" fontId="3" fillId="0" borderId="23" xfId="0" applyNumberFormat="1" applyFont="1" applyFill="1" applyBorder="1" applyAlignment="1">
      <alignment horizontal="center" vertical="center" wrapText="1"/>
    </xf>
    <xf numFmtId="0" fontId="3" fillId="0" borderId="28"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28" xfId="0" applyFont="1" applyFill="1" applyBorder="1" applyAlignment="1">
      <alignment vertical="center" wrapText="1"/>
    </xf>
    <xf numFmtId="0" fontId="3" fillId="0" borderId="28" xfId="0" applyFont="1" applyFill="1" applyBorder="1" applyAlignment="1">
      <alignment horizontal="left" vertical="center" wrapText="1"/>
    </xf>
    <xf numFmtId="0" fontId="3" fillId="0" borderId="28" xfId="0" applyFont="1" applyFill="1" applyBorder="1" applyAlignment="1">
      <alignment vertical="center" wrapText="1"/>
    </xf>
    <xf numFmtId="1" fontId="25" fillId="0" borderId="28" xfId="0" applyNumberFormat="1" applyFont="1" applyFill="1" applyBorder="1" applyAlignment="1">
      <alignment horizontal="center" vertical="center" wrapText="1"/>
    </xf>
    <xf numFmtId="9" fontId="3" fillId="0" borderId="28" xfId="12" applyFont="1" applyFill="1" applyBorder="1" applyAlignment="1">
      <alignment horizontal="center" vertical="center"/>
    </xf>
    <xf numFmtId="166" fontId="3" fillId="0" borderId="28" xfId="0" applyNumberFormat="1" applyFont="1" applyFill="1" applyBorder="1" applyAlignment="1">
      <alignment horizontal="center" vertical="center" wrapText="1"/>
    </xf>
    <xf numFmtId="0" fontId="3" fillId="0" borderId="28" xfId="0" applyNumberFormat="1" applyFont="1" applyFill="1" applyBorder="1" applyAlignment="1">
      <alignment horizontal="center" vertical="center" wrapText="1"/>
    </xf>
    <xf numFmtId="168" fontId="3" fillId="0" borderId="28" xfId="0" applyNumberFormat="1" applyFont="1" applyFill="1" applyBorder="1" applyAlignment="1">
      <alignment horizontal="center" vertical="center" wrapText="1"/>
    </xf>
    <xf numFmtId="168" fontId="3" fillId="0" borderId="28" xfId="0" applyNumberFormat="1" applyFont="1" applyFill="1" applyBorder="1" applyAlignment="1">
      <alignment vertical="center"/>
    </xf>
    <xf numFmtId="168" fontId="3" fillId="0" borderId="28" xfId="0" applyNumberFormat="1" applyFont="1" applyFill="1" applyBorder="1" applyAlignment="1">
      <alignment horizontal="center" vertical="center"/>
    </xf>
    <xf numFmtId="3" fontId="3" fillId="0" borderId="28" xfId="1" applyNumberFormat="1" applyFont="1" applyFill="1" applyBorder="1" applyAlignment="1">
      <alignment horizontal="center" vertical="center"/>
    </xf>
    <xf numFmtId="4" fontId="3" fillId="0" borderId="28" xfId="1" applyNumberFormat="1" applyFont="1" applyFill="1" applyBorder="1" applyAlignment="1">
      <alignment horizontal="center" vertical="center"/>
    </xf>
    <xf numFmtId="4" fontId="3" fillId="0" borderId="28"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3" fillId="0" borderId="33" xfId="0" applyFont="1" applyFill="1" applyBorder="1" applyAlignment="1">
      <alignment horizontal="center" vertical="center"/>
    </xf>
    <xf numFmtId="0" fontId="13" fillId="0" borderId="33" xfId="0" applyFont="1" applyFill="1" applyBorder="1" applyAlignment="1">
      <alignment vertical="center" wrapText="1"/>
    </xf>
    <xf numFmtId="0" fontId="3" fillId="0" borderId="33" xfId="0" applyFont="1" applyFill="1" applyBorder="1" applyAlignment="1">
      <alignment horizontal="left" vertical="center" wrapText="1"/>
    </xf>
    <xf numFmtId="0" fontId="3" fillId="0" borderId="33" xfId="0" applyFont="1" applyFill="1" applyBorder="1" applyAlignment="1">
      <alignment vertical="center" wrapText="1"/>
    </xf>
    <xf numFmtId="1" fontId="25" fillId="0" borderId="33" xfId="0" applyNumberFormat="1" applyFont="1" applyFill="1" applyBorder="1" applyAlignment="1">
      <alignment horizontal="center" vertical="center" wrapText="1"/>
    </xf>
    <xf numFmtId="9" fontId="3" fillId="0" borderId="33" xfId="12" applyFont="1" applyFill="1" applyBorder="1" applyAlignment="1">
      <alignment horizontal="center" vertical="center"/>
    </xf>
    <xf numFmtId="166" fontId="3" fillId="0" borderId="33" xfId="0" applyNumberFormat="1" applyFont="1" applyFill="1" applyBorder="1" applyAlignment="1">
      <alignment horizontal="center" vertical="center" wrapText="1"/>
    </xf>
    <xf numFmtId="0" fontId="3" fillId="0" borderId="33" xfId="0" applyNumberFormat="1" applyFont="1" applyFill="1" applyBorder="1" applyAlignment="1">
      <alignment horizontal="center" vertical="center" wrapText="1"/>
    </xf>
    <xf numFmtId="168" fontId="3" fillId="0" borderId="33" xfId="0" applyNumberFormat="1" applyFont="1" applyFill="1" applyBorder="1" applyAlignment="1">
      <alignment horizontal="center" vertical="center" wrapText="1"/>
    </xf>
    <xf numFmtId="168" fontId="3" fillId="0" borderId="33" xfId="0" applyNumberFormat="1" applyFont="1" applyFill="1" applyBorder="1" applyAlignment="1">
      <alignment vertical="center"/>
    </xf>
    <xf numFmtId="168" fontId="3" fillId="0" borderId="33" xfId="0" applyNumberFormat="1" applyFont="1" applyFill="1" applyBorder="1" applyAlignment="1">
      <alignment horizontal="center" vertical="center"/>
    </xf>
    <xf numFmtId="3" fontId="3" fillId="0" borderId="33" xfId="1" applyNumberFormat="1" applyFont="1" applyFill="1" applyBorder="1" applyAlignment="1">
      <alignment horizontal="center" vertical="center"/>
    </xf>
    <xf numFmtId="4" fontId="3" fillId="0" borderId="33" xfId="1" applyNumberFormat="1" applyFont="1" applyFill="1" applyBorder="1" applyAlignment="1">
      <alignment horizontal="center" vertical="center"/>
    </xf>
    <xf numFmtId="4" fontId="3" fillId="0" borderId="33"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0" fontId="3" fillId="0" borderId="34" xfId="0" applyFont="1" applyFill="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25" fillId="0" borderId="28" xfId="0" applyNumberFormat="1" applyFont="1" applyFill="1" applyBorder="1" applyAlignment="1">
      <alignment horizontal="center" vertical="center" wrapText="1"/>
    </xf>
    <xf numFmtId="1" fontId="25" fillId="0" borderId="2" xfId="0" applyNumberFormat="1" applyFont="1" applyFill="1" applyBorder="1" applyAlignment="1">
      <alignment horizontal="center" vertical="center" wrapText="1"/>
    </xf>
    <xf numFmtId="0" fontId="0" fillId="0" borderId="4" xfId="0" applyFill="1" applyBorder="1" applyAlignment="1">
      <alignment vertical="center"/>
    </xf>
    <xf numFmtId="9" fontId="3" fillId="0" borderId="23" xfId="12" applyFont="1" applyFill="1" applyBorder="1" applyAlignment="1">
      <alignment horizontal="center" vertical="center" wrapText="1"/>
    </xf>
    <xf numFmtId="0" fontId="3" fillId="0" borderId="23" xfId="0" applyNumberFormat="1" applyFont="1" applyFill="1" applyBorder="1" applyAlignment="1">
      <alignment horizontal="center" vertical="center" wrapText="1"/>
    </xf>
    <xf numFmtId="168" fontId="3" fillId="0" borderId="23" xfId="0" applyNumberFormat="1" applyFont="1" applyFill="1" applyBorder="1" applyAlignment="1">
      <alignment vertical="center" wrapText="1"/>
    </xf>
    <xf numFmtId="9" fontId="3" fillId="0" borderId="28" xfId="12" applyFont="1" applyFill="1" applyBorder="1" applyAlignment="1">
      <alignment horizontal="center" vertical="center" wrapText="1"/>
    </xf>
    <xf numFmtId="168" fontId="3" fillId="0" borderId="28" xfId="0" applyNumberFormat="1" applyFont="1" applyFill="1" applyBorder="1" applyAlignment="1">
      <alignment vertical="center" wrapText="1"/>
    </xf>
    <xf numFmtId="9" fontId="3" fillId="0" borderId="33" xfId="12" applyFont="1" applyFill="1" applyBorder="1" applyAlignment="1">
      <alignment horizontal="center" vertical="center" wrapText="1"/>
    </xf>
    <xf numFmtId="168" fontId="3" fillId="0" borderId="33" xfId="0" applyNumberFormat="1" applyFont="1" applyFill="1" applyBorder="1" applyAlignment="1">
      <alignment vertical="center" wrapText="1"/>
    </xf>
    <xf numFmtId="0" fontId="0" fillId="0" borderId="31" xfId="0" applyFill="1" applyBorder="1" applyAlignment="1">
      <alignment horizontal="left" vertical="center" wrapText="1"/>
    </xf>
    <xf numFmtId="0" fontId="3" fillId="0" borderId="35" xfId="0" applyFont="1" applyFill="1" applyBorder="1" applyAlignment="1">
      <alignment horizontal="left" vertical="center" wrapText="1"/>
    </xf>
    <xf numFmtId="1" fontId="3" fillId="0" borderId="25" xfId="0" applyNumberFormat="1"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4" fillId="0" borderId="34" xfId="0" applyFont="1" applyFill="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68" fontId="3" fillId="0" borderId="6" xfId="0" applyNumberFormat="1" applyFont="1" applyFill="1" applyBorder="1" applyAlignment="1">
      <alignment vertical="center"/>
    </xf>
    <xf numFmtId="168" fontId="3" fillId="0" borderId="4" xfId="0" applyNumberFormat="1" applyFont="1" applyFill="1" applyBorder="1" applyAlignment="1">
      <alignment horizontal="center" vertical="center" wrapText="1"/>
    </xf>
    <xf numFmtId="168" fontId="3" fillId="0" borderId="25" xfId="0" applyNumberFormat="1" applyFont="1" applyFill="1" applyBorder="1" applyAlignment="1">
      <alignment horizontal="center" vertical="center"/>
    </xf>
    <xf numFmtId="0" fontId="3" fillId="0" borderId="25" xfId="0" applyFont="1" applyFill="1" applyBorder="1" applyAlignment="1">
      <alignment horizontal="center" vertical="center"/>
    </xf>
    <xf numFmtId="3" fontId="3" fillId="0" borderId="25" xfId="1" applyNumberFormat="1" applyFont="1" applyFill="1" applyBorder="1" applyAlignment="1">
      <alignment horizontal="center" vertical="center"/>
    </xf>
    <xf numFmtId="4" fontId="3" fillId="0" borderId="25" xfId="1" applyNumberFormat="1" applyFont="1" applyFill="1" applyBorder="1" applyAlignment="1">
      <alignment horizontal="center" vertical="center"/>
    </xf>
    <xf numFmtId="168" fontId="3" fillId="0" borderId="25"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3" fontId="3" fillId="0" borderId="33" xfId="0" applyNumberFormat="1" applyFont="1" applyFill="1" applyBorder="1" applyAlignment="1">
      <alignment horizontal="center" vertical="center" wrapText="1"/>
    </xf>
    <xf numFmtId="1" fontId="3" fillId="0" borderId="24" xfId="0" applyNumberFormat="1" applyFont="1" applyFill="1" applyBorder="1" applyAlignment="1">
      <alignment horizontal="center" vertical="center" wrapText="1"/>
    </xf>
    <xf numFmtId="10" fontId="3" fillId="0" borderId="28" xfId="12" applyNumberFormat="1" applyFont="1" applyFill="1" applyBorder="1" applyAlignment="1">
      <alignment horizontal="center" vertical="center"/>
    </xf>
    <xf numFmtId="0" fontId="27" fillId="0" borderId="2" xfId="10" applyFont="1" applyBorder="1" applyAlignment="1">
      <alignment horizontal="center" vertical="center" wrapText="1"/>
    </xf>
    <xf numFmtId="0" fontId="27" fillId="0" borderId="2" xfId="0" applyFont="1" applyBorder="1" applyAlignment="1">
      <alignment horizontal="justify" vertical="center" wrapText="1"/>
    </xf>
    <xf numFmtId="0" fontId="27" fillId="0" borderId="23" xfId="10" applyFont="1" applyBorder="1" applyAlignment="1">
      <alignment horizontal="justify" vertical="center" wrapText="1"/>
    </xf>
    <xf numFmtId="9" fontId="27" fillId="0" borderId="2" xfId="10" applyNumberFormat="1" applyFont="1" applyBorder="1" applyAlignment="1">
      <alignment horizontal="center" vertical="center"/>
    </xf>
    <xf numFmtId="15" fontId="27" fillId="0" borderId="4" xfId="0" applyNumberFormat="1" applyFont="1" applyFill="1" applyBorder="1" applyAlignment="1" applyProtection="1">
      <alignment horizontal="center" vertical="center" wrapText="1"/>
    </xf>
    <xf numFmtId="15" fontId="27" fillId="0" borderId="2" xfId="0" applyNumberFormat="1" applyFont="1" applyFill="1" applyBorder="1" applyAlignment="1" applyProtection="1">
      <alignment horizontal="center" vertical="center" wrapText="1"/>
    </xf>
    <xf numFmtId="0" fontId="14" fillId="0" borderId="2" xfId="0" applyFont="1" applyBorder="1" applyAlignment="1">
      <alignment horizontal="left" vertical="center" wrapText="1"/>
    </xf>
    <xf numFmtId="3" fontId="3" fillId="0" borderId="2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68" fontId="3" fillId="0" borderId="5" xfId="0" applyNumberFormat="1" applyFont="1" applyFill="1" applyBorder="1" applyAlignment="1">
      <alignment horizontal="center" vertical="center" wrapText="1"/>
    </xf>
    <xf numFmtId="168" fontId="3" fillId="0" borderId="5"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66" fontId="12" fillId="5" borderId="5" xfId="2"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66" fontId="3" fillId="0" borderId="2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13"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1" fontId="3" fillId="0" borderId="5" xfId="0" applyNumberFormat="1" applyFont="1" applyFill="1" applyBorder="1" applyAlignment="1">
      <alignment horizontal="center" vertical="center" wrapText="1"/>
    </xf>
    <xf numFmtId="9" fontId="3" fillId="0" borderId="5" xfId="12" applyFont="1" applyFill="1" applyBorder="1" applyAlignment="1">
      <alignment horizontal="center" vertical="center"/>
    </xf>
    <xf numFmtId="166"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168" fontId="3" fillId="0" borderId="5" xfId="0" applyNumberFormat="1" applyFont="1" applyFill="1" applyBorder="1" applyAlignment="1">
      <alignment vertical="center"/>
    </xf>
    <xf numFmtId="3" fontId="3" fillId="0" borderId="5" xfId="1" applyNumberFormat="1" applyFont="1" applyFill="1" applyBorder="1" applyAlignment="1">
      <alignment horizontal="center" vertical="center"/>
    </xf>
    <xf numFmtId="4" fontId="3" fillId="0" borderId="5" xfId="1" applyNumberFormat="1"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24" xfId="0" applyFont="1" applyFill="1" applyBorder="1" applyAlignment="1">
      <alignment vertical="center" wrapText="1"/>
    </xf>
    <xf numFmtId="9" fontId="3" fillId="0" borderId="24" xfId="12" applyFont="1" applyFill="1" applyBorder="1" applyAlignment="1">
      <alignment horizontal="center" vertical="center"/>
    </xf>
    <xf numFmtId="166" fontId="3" fillId="0" borderId="24"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168" fontId="3" fillId="0" borderId="24" xfId="0" applyNumberFormat="1" applyFont="1" applyFill="1" applyBorder="1" applyAlignment="1">
      <alignment horizontal="center" vertical="center" wrapText="1"/>
    </xf>
    <xf numFmtId="168" fontId="3" fillId="0" borderId="24" xfId="0" applyNumberFormat="1" applyFont="1" applyFill="1" applyBorder="1" applyAlignment="1">
      <alignment vertical="center"/>
    </xf>
    <xf numFmtId="168" fontId="3" fillId="0" borderId="24" xfId="0" applyNumberFormat="1" applyFont="1" applyFill="1" applyBorder="1" applyAlignment="1">
      <alignment horizontal="center" vertical="center"/>
    </xf>
    <xf numFmtId="0" fontId="3" fillId="0" borderId="24" xfId="0" applyFont="1" applyFill="1" applyBorder="1" applyAlignment="1">
      <alignment horizontal="center" vertical="center"/>
    </xf>
    <xf numFmtId="3" fontId="3" fillId="0" borderId="24" xfId="1" applyNumberFormat="1" applyFont="1" applyFill="1" applyBorder="1" applyAlignment="1">
      <alignment horizontal="center" vertical="center"/>
    </xf>
    <xf numFmtId="4" fontId="3" fillId="0" borderId="24" xfId="1" applyNumberFormat="1" applyFont="1" applyFill="1" applyBorder="1" applyAlignment="1">
      <alignment horizontal="center" vertical="center"/>
    </xf>
    <xf numFmtId="4" fontId="3" fillId="0" borderId="24" xfId="0" applyNumberFormat="1" applyFont="1" applyFill="1" applyBorder="1" applyAlignment="1">
      <alignment horizontal="center" vertical="center" wrapText="1"/>
    </xf>
    <xf numFmtId="172" fontId="3" fillId="0" borderId="28" xfId="12" applyNumberFormat="1" applyFont="1" applyFill="1" applyBorder="1" applyAlignment="1">
      <alignment horizontal="center" vertical="center"/>
    </xf>
    <xf numFmtId="166" fontId="12" fillId="0" borderId="5" xfId="2" applyNumberFormat="1" applyFont="1" applyFill="1" applyBorder="1" applyAlignment="1">
      <alignment horizontal="center" vertical="center" wrapText="1"/>
    </xf>
    <xf numFmtId="168" fontId="28" fillId="0" borderId="28" xfId="0" applyNumberFormat="1" applyFont="1" applyFill="1" applyBorder="1" applyAlignment="1">
      <alignment horizontal="center" vertical="center"/>
    </xf>
    <xf numFmtId="168" fontId="3" fillId="0" borderId="28" xfId="1" applyNumberFormat="1" applyFont="1" applyFill="1" applyBorder="1" applyAlignment="1">
      <alignment horizontal="center" vertical="center"/>
    </xf>
    <xf numFmtId="0" fontId="3" fillId="0" borderId="28" xfId="0" applyFont="1" applyFill="1" applyBorder="1" applyAlignment="1">
      <alignment vertical="center"/>
    </xf>
    <xf numFmtId="168" fontId="28" fillId="0" borderId="2" xfId="0" applyNumberFormat="1" applyFont="1" applyFill="1" applyBorder="1" applyAlignment="1">
      <alignment horizontal="center" vertical="center"/>
    </xf>
    <xf numFmtId="0" fontId="14" fillId="0" borderId="2" xfId="0" applyFont="1" applyFill="1" applyBorder="1" applyAlignment="1">
      <alignment horizontal="left" vertical="center" wrapText="1"/>
    </xf>
    <xf numFmtId="0" fontId="13" fillId="0" borderId="5" xfId="0" applyFont="1" applyFill="1" applyBorder="1" applyAlignment="1">
      <alignment horizontal="center" vertical="center" wrapText="1"/>
    </xf>
    <xf numFmtId="4" fontId="3" fillId="10" borderId="5" xfId="0" applyNumberFormat="1" applyFont="1" applyFill="1" applyBorder="1" applyAlignment="1">
      <alignment horizontal="center" vertical="center" wrapText="1"/>
    </xf>
    <xf numFmtId="4" fontId="29" fillId="0" borderId="5" xfId="0" applyNumberFormat="1" applyFont="1" applyFill="1" applyBorder="1" applyAlignment="1">
      <alignment horizontal="center" vertical="center" wrapText="1"/>
    </xf>
    <xf numFmtId="0" fontId="3" fillId="0" borderId="5" xfId="0" applyFont="1" applyFill="1" applyBorder="1" applyAlignment="1">
      <alignment vertical="center"/>
    </xf>
    <xf numFmtId="0" fontId="29" fillId="0" borderId="2" xfId="0" applyFont="1" applyFill="1" applyBorder="1" applyAlignment="1">
      <alignment horizontal="left" vertical="center" wrapText="1"/>
    </xf>
    <xf numFmtId="168" fontId="28" fillId="0" borderId="5" xfId="0" applyNumberFormat="1" applyFont="1" applyFill="1" applyBorder="1" applyAlignment="1">
      <alignment horizontal="center" vertical="center"/>
    </xf>
    <xf numFmtId="0" fontId="29" fillId="0" borderId="5" xfId="0" applyFont="1" applyFill="1" applyBorder="1" applyAlignment="1">
      <alignment horizontal="left" vertical="center" wrapText="1"/>
    </xf>
    <xf numFmtId="0" fontId="3" fillId="10" borderId="5" xfId="0" applyFont="1" applyFill="1" applyBorder="1" applyAlignment="1">
      <alignment horizontal="left" vertical="center" wrapText="1"/>
    </xf>
    <xf numFmtId="0" fontId="0" fillId="0" borderId="2" xfId="0" applyFill="1" applyBorder="1" applyAlignment="1">
      <alignment horizontal="left" vertical="center" wrapText="1"/>
    </xf>
    <xf numFmtId="173" fontId="3" fillId="0" borderId="28" xfId="0" applyNumberFormat="1" applyFont="1" applyFill="1" applyBorder="1" applyAlignment="1">
      <alignment vertical="center"/>
    </xf>
    <xf numFmtId="173" fontId="3" fillId="0" borderId="2" xfId="0" applyNumberFormat="1" applyFont="1" applyFill="1" applyBorder="1" applyAlignment="1">
      <alignment vertical="center"/>
    </xf>
    <xf numFmtId="0" fontId="5" fillId="0" borderId="2" xfId="0" applyFont="1" applyFill="1" applyBorder="1" applyAlignment="1">
      <alignment vertical="center" wrapText="1"/>
    </xf>
    <xf numFmtId="0" fontId="3" fillId="0" borderId="33" xfId="0" applyFont="1" applyFill="1" applyBorder="1" applyAlignment="1">
      <alignment vertical="center"/>
    </xf>
    <xf numFmtId="0" fontId="3" fillId="6" borderId="23" xfId="0" applyFont="1" applyFill="1" applyBorder="1" applyAlignment="1">
      <alignment horizontal="center" vertical="center"/>
    </xf>
    <xf numFmtId="0" fontId="13" fillId="6" borderId="23" xfId="0" applyFont="1" applyFill="1" applyBorder="1" applyAlignment="1">
      <alignment vertical="center" wrapText="1"/>
    </xf>
    <xf numFmtId="0" fontId="3" fillId="6" borderId="23" xfId="0" applyFont="1" applyFill="1" applyBorder="1" applyAlignment="1">
      <alignment horizontal="left" vertical="center" wrapText="1"/>
    </xf>
    <xf numFmtId="9" fontId="3" fillId="6" borderId="23" xfId="12" applyFont="1" applyFill="1" applyBorder="1" applyAlignment="1">
      <alignment horizontal="center" vertical="center" wrapText="1"/>
    </xf>
    <xf numFmtId="166" fontId="3" fillId="6" borderId="23" xfId="0" applyNumberFormat="1" applyFont="1" applyFill="1" applyBorder="1" applyAlignment="1">
      <alignment horizontal="center" vertical="center" wrapText="1"/>
    </xf>
    <xf numFmtId="0" fontId="3" fillId="6" borderId="23" xfId="0" applyNumberFormat="1" applyFont="1" applyFill="1" applyBorder="1" applyAlignment="1">
      <alignment horizontal="center" vertical="center" wrapText="1"/>
    </xf>
    <xf numFmtId="168" fontId="3" fillId="6" borderId="23" xfId="0" applyNumberFormat="1" applyFont="1" applyFill="1" applyBorder="1" applyAlignment="1">
      <alignment vertical="center" wrapText="1"/>
    </xf>
    <xf numFmtId="168" fontId="3" fillId="6" borderId="23" xfId="0" applyNumberFormat="1" applyFont="1" applyFill="1" applyBorder="1" applyAlignment="1">
      <alignment horizontal="center" vertical="center" wrapText="1"/>
    </xf>
    <xf numFmtId="1" fontId="3" fillId="6" borderId="23" xfId="0" applyNumberFormat="1" applyFont="1" applyFill="1" applyBorder="1" applyAlignment="1">
      <alignment horizontal="center" vertical="center" wrapText="1"/>
    </xf>
    <xf numFmtId="0" fontId="3" fillId="0" borderId="23" xfId="0" applyFont="1" applyBorder="1" applyAlignment="1">
      <alignment vertical="center"/>
    </xf>
    <xf numFmtId="0" fontId="14" fillId="0" borderId="28" xfId="0" applyFont="1" applyFill="1" applyBorder="1" applyAlignment="1">
      <alignment horizontal="left" vertical="center" wrapText="1"/>
    </xf>
    <xf numFmtId="168" fontId="3" fillId="0" borderId="5" xfId="1" applyNumberFormat="1" applyFont="1" applyFill="1" applyBorder="1" applyAlignment="1">
      <alignment horizontal="center" vertical="center"/>
    </xf>
    <xf numFmtId="168" fontId="3" fillId="0" borderId="23" xfId="0" applyNumberFormat="1" applyFont="1" applyFill="1" applyBorder="1" applyAlignment="1">
      <alignment horizontal="center" vertical="center"/>
    </xf>
    <xf numFmtId="0" fontId="3" fillId="0" borderId="23" xfId="0" applyFont="1" applyFill="1" applyBorder="1" applyAlignment="1">
      <alignment vertical="center"/>
    </xf>
    <xf numFmtId="9" fontId="3" fillId="0" borderId="28" xfId="1" applyFont="1" applyFill="1" applyBorder="1" applyAlignment="1">
      <alignment horizontal="center" vertical="center"/>
    </xf>
    <xf numFmtId="14" fontId="3" fillId="0" borderId="28" xfId="12" applyNumberFormat="1" applyFont="1" applyFill="1" applyBorder="1" applyAlignment="1">
      <alignment horizontal="center" vertical="center"/>
    </xf>
    <xf numFmtId="14" fontId="3" fillId="0" borderId="28" xfId="0" applyNumberFormat="1" applyFont="1" applyFill="1" applyBorder="1" applyAlignment="1">
      <alignment horizontal="center" vertical="center"/>
    </xf>
    <xf numFmtId="0" fontId="0" fillId="0" borderId="28" xfId="0" applyFill="1" applyBorder="1" applyAlignment="1">
      <alignment vertical="center"/>
    </xf>
    <xf numFmtId="0" fontId="0" fillId="0" borderId="33" xfId="0" applyFill="1" applyBorder="1" applyAlignment="1">
      <alignment vertical="center" wrapText="1"/>
    </xf>
    <xf numFmtId="9" fontId="0" fillId="0" borderId="33" xfId="1" applyFont="1" applyFill="1" applyBorder="1" applyAlignment="1">
      <alignment horizontal="center" vertical="center"/>
    </xf>
    <xf numFmtId="0" fontId="0" fillId="0" borderId="33" xfId="0" applyFill="1" applyBorder="1" applyAlignment="1">
      <alignment horizontal="left" vertical="center" wrapText="1"/>
    </xf>
    <xf numFmtId="1" fontId="3" fillId="0" borderId="1" xfId="0" applyNumberFormat="1" applyFont="1" applyFill="1" applyBorder="1" applyAlignment="1">
      <alignment horizontal="center" vertical="center" wrapText="1"/>
    </xf>
    <xf numFmtId="0" fontId="3" fillId="0" borderId="22" xfId="0" applyFont="1" applyFill="1" applyBorder="1" applyAlignment="1">
      <alignment vertical="center"/>
    </xf>
    <xf numFmtId="0" fontId="3" fillId="0" borderId="20" xfId="0" applyFont="1" applyFill="1" applyBorder="1" applyAlignment="1">
      <alignment vertical="center"/>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9" fontId="5" fillId="0" borderId="5" xfId="0" applyNumberFormat="1" applyFont="1" applyFill="1" applyBorder="1" applyAlignment="1">
      <alignment horizontal="center" vertical="center"/>
    </xf>
    <xf numFmtId="166" fontId="5" fillId="0" borderId="5"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174" fontId="3" fillId="0" borderId="23" xfId="0" applyNumberFormat="1" applyFont="1" applyFill="1" applyBorder="1" applyAlignment="1">
      <alignment vertical="center"/>
    </xf>
    <xf numFmtId="0" fontId="3" fillId="0" borderId="23" xfId="0" applyNumberFormat="1" applyFont="1" applyFill="1" applyBorder="1" applyAlignment="1">
      <alignment horizontal="center" vertical="center"/>
    </xf>
    <xf numFmtId="173" fontId="3" fillId="0" borderId="23" xfId="0" applyNumberFormat="1" applyFont="1" applyFill="1" applyBorder="1" applyAlignment="1">
      <alignment horizontal="center" vertical="center" wrapText="1"/>
    </xf>
    <xf numFmtId="174" fontId="3" fillId="0" borderId="2" xfId="0" applyNumberFormat="1" applyFont="1" applyFill="1" applyBorder="1" applyAlignment="1">
      <alignment vertical="center"/>
    </xf>
    <xf numFmtId="173" fontId="3" fillId="0" borderId="2" xfId="0" applyNumberFormat="1" applyFont="1" applyFill="1" applyBorder="1" applyAlignment="1">
      <alignment vertical="center" wrapText="1"/>
    </xf>
    <xf numFmtId="175" fontId="3" fillId="0" borderId="2" xfId="1" applyNumberFormat="1" applyFont="1" applyFill="1" applyBorder="1" applyAlignment="1">
      <alignment horizontal="center" vertical="center"/>
    </xf>
    <xf numFmtId="173" fontId="3" fillId="0" borderId="2"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172" fontId="3" fillId="0" borderId="33" xfId="12" applyNumberFormat="1" applyFont="1" applyFill="1" applyBorder="1" applyAlignment="1">
      <alignment horizontal="center" vertical="center"/>
    </xf>
    <xf numFmtId="173" fontId="3" fillId="0" borderId="33" xfId="0" applyNumberFormat="1" applyFont="1" applyFill="1" applyBorder="1" applyAlignment="1">
      <alignment vertical="center"/>
    </xf>
    <xf numFmtId="174" fontId="3" fillId="0" borderId="28" xfId="0" applyNumberFormat="1" applyFont="1" applyFill="1" applyBorder="1" applyAlignment="1">
      <alignment vertical="center"/>
    </xf>
    <xf numFmtId="174" fontId="5" fillId="0" borderId="2" xfId="0" applyNumberFormat="1" applyFont="1" applyFill="1" applyBorder="1" applyAlignment="1">
      <alignment vertical="center"/>
    </xf>
    <xf numFmtId="173" fontId="3" fillId="0" borderId="28" xfId="0" applyNumberFormat="1" applyFont="1" applyFill="1" applyBorder="1" applyAlignment="1">
      <alignment vertical="center" wrapText="1"/>
    </xf>
    <xf numFmtId="173" fontId="3" fillId="0" borderId="33" xfId="0" applyNumberFormat="1" applyFont="1" applyFill="1" applyBorder="1" applyAlignment="1">
      <alignment vertical="center" wrapText="1"/>
    </xf>
    <xf numFmtId="173" fontId="3" fillId="6" borderId="2" xfId="0" applyNumberFormat="1" applyFont="1" applyFill="1" applyBorder="1" applyAlignment="1">
      <alignment vertical="center" wrapText="1"/>
    </xf>
    <xf numFmtId="174" fontId="3" fillId="0" borderId="5" xfId="0" applyNumberFormat="1" applyFont="1" applyFill="1" applyBorder="1" applyAlignment="1">
      <alignment vertical="center"/>
    </xf>
    <xf numFmtId="0" fontId="0" fillId="0" borderId="5" xfId="0" applyFill="1" applyBorder="1" applyAlignment="1">
      <alignment vertical="center" wrapText="1"/>
    </xf>
    <xf numFmtId="173" fontId="3" fillId="0" borderId="5" xfId="0" applyNumberFormat="1" applyFont="1" applyFill="1" applyBorder="1" applyAlignment="1">
      <alignment vertical="center"/>
    </xf>
    <xf numFmtId="168" fontId="5" fillId="0" borderId="5" xfId="0" applyNumberFormat="1" applyFont="1" applyFill="1" applyBorder="1" applyAlignment="1">
      <alignment vertical="center"/>
    </xf>
    <xf numFmtId="168" fontId="5" fillId="0" borderId="5" xfId="0" applyNumberFormat="1" applyFont="1" applyFill="1" applyBorder="1" applyAlignment="1">
      <alignment horizontal="center" vertical="center"/>
    </xf>
    <xf numFmtId="0" fontId="14" fillId="0" borderId="40" xfId="0" applyFont="1" applyFill="1" applyBorder="1" applyAlignment="1">
      <alignment horizontal="left" vertical="center" wrapText="1"/>
    </xf>
    <xf numFmtId="0" fontId="3" fillId="0" borderId="42" xfId="0" applyFont="1" applyFill="1" applyBorder="1" applyAlignment="1">
      <alignment vertical="center"/>
    </xf>
    <xf numFmtId="166" fontId="3" fillId="11" borderId="2" xfId="0" applyNumberFormat="1" applyFont="1" applyFill="1" applyBorder="1" applyAlignment="1">
      <alignment horizontal="center" vertical="center" wrapText="1"/>
    </xf>
    <xf numFmtId="0" fontId="3" fillId="11" borderId="2" xfId="0" applyNumberFormat="1" applyFont="1" applyFill="1" applyBorder="1" applyAlignment="1">
      <alignment horizontal="center" vertical="center" wrapText="1"/>
    </xf>
    <xf numFmtId="0" fontId="5" fillId="0" borderId="33" xfId="0" applyFont="1" applyFill="1" applyBorder="1" applyAlignment="1">
      <alignment horizontal="left" vertical="center" wrapText="1"/>
    </xf>
    <xf numFmtId="0" fontId="20" fillId="0" borderId="5" xfId="0"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166" fontId="12" fillId="5" borderId="5" xfId="2" applyNumberFormat="1" applyFont="1" applyFill="1" applyBorder="1" applyAlignment="1">
      <alignment horizontal="center" vertical="center" wrapText="1"/>
    </xf>
    <xf numFmtId="1" fontId="3" fillId="0" borderId="25"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3" xfId="0" applyFont="1" applyFill="1" applyBorder="1" applyAlignment="1">
      <alignment horizontal="left" vertical="center" wrapText="1"/>
    </xf>
    <xf numFmtId="0" fontId="30" fillId="0" borderId="2" xfId="0" applyFont="1" applyFill="1" applyBorder="1" applyAlignment="1">
      <alignment vertical="center" wrapText="1"/>
    </xf>
    <xf numFmtId="1" fontId="3" fillId="0" borderId="42" xfId="0" applyNumberFormat="1" applyFont="1" applyFill="1" applyBorder="1" applyAlignment="1">
      <alignment horizontal="center" vertical="center" wrapText="1"/>
    </xf>
    <xf numFmtId="166" fontId="30" fillId="0" borderId="2" xfId="0" applyNumberFormat="1" applyFont="1" applyFill="1" applyBorder="1" applyAlignment="1">
      <alignment horizontal="center" vertical="center" wrapText="1"/>
    </xf>
    <xf numFmtId="168" fontId="30" fillId="0" borderId="2" xfId="0" applyNumberFormat="1" applyFont="1" applyFill="1" applyBorder="1" applyAlignment="1">
      <alignment vertical="center"/>
    </xf>
    <xf numFmtId="4" fontId="3" fillId="0" borderId="2" xfId="0" applyNumberFormat="1" applyFont="1" applyFill="1" applyBorder="1" applyAlignment="1">
      <alignment vertical="center"/>
    </xf>
    <xf numFmtId="0" fontId="30" fillId="0" borderId="0" xfId="0" applyFont="1" applyFill="1" applyBorder="1" applyAlignment="1">
      <alignment vertical="center" wrapText="1"/>
    </xf>
    <xf numFmtId="168" fontId="30" fillId="0" borderId="2" xfId="0" applyNumberFormat="1" applyFont="1" applyFill="1" applyBorder="1" applyAlignment="1">
      <alignment vertical="center" wrapText="1"/>
    </xf>
    <xf numFmtId="0" fontId="30" fillId="0" borderId="33" xfId="0" applyFont="1" applyFill="1" applyBorder="1" applyAlignment="1">
      <alignment horizontal="left" vertical="center" wrapText="1"/>
    </xf>
    <xf numFmtId="0" fontId="30" fillId="0" borderId="33" xfId="0" applyFont="1" applyFill="1" applyBorder="1" applyAlignment="1">
      <alignment vertical="center" wrapText="1"/>
    </xf>
    <xf numFmtId="166" fontId="30" fillId="0" borderId="33" xfId="0" applyNumberFormat="1" applyFont="1" applyFill="1" applyBorder="1" applyAlignment="1">
      <alignment horizontal="center" vertical="center" wrapText="1"/>
    </xf>
    <xf numFmtId="168" fontId="30" fillId="0" borderId="33" xfId="0" applyNumberFormat="1" applyFont="1" applyFill="1" applyBorder="1" applyAlignment="1">
      <alignment vertical="center"/>
    </xf>
    <xf numFmtId="0" fontId="3" fillId="0" borderId="33" xfId="0" applyFont="1" applyFill="1" applyBorder="1" applyAlignment="1">
      <alignment horizontal="center" vertical="center" wrapText="1"/>
    </xf>
    <xf numFmtId="0" fontId="3" fillId="0" borderId="2" xfId="0" quotePrefix="1" applyFont="1" applyFill="1" applyBorder="1" applyAlignment="1">
      <alignment vertical="center" wrapText="1"/>
    </xf>
    <xf numFmtId="168" fontId="3" fillId="0" borderId="2" xfId="0" applyNumberFormat="1" applyFont="1" applyFill="1" applyBorder="1" applyAlignment="1">
      <alignment horizontal="right" vertical="center"/>
    </xf>
    <xf numFmtId="0" fontId="30" fillId="0" borderId="2" xfId="0" applyFont="1" applyFill="1" applyBorder="1" applyAlignment="1">
      <alignment horizontal="center" vertical="center"/>
    </xf>
    <xf numFmtId="0" fontId="13" fillId="0" borderId="42" xfId="0" applyFont="1" applyFill="1" applyBorder="1" applyAlignment="1">
      <alignment horizontal="center" vertical="center" wrapText="1"/>
    </xf>
    <xf numFmtId="0" fontId="13" fillId="0" borderId="43" xfId="0" applyFont="1" applyFill="1" applyBorder="1" applyAlignment="1">
      <alignment horizontal="left" vertical="center" wrapText="1"/>
    </xf>
    <xf numFmtId="0" fontId="30" fillId="0" borderId="2" xfId="0" applyFont="1" applyFill="1" applyBorder="1" applyAlignment="1">
      <alignment horizontal="left" vertical="center" wrapText="1"/>
    </xf>
    <xf numFmtId="9" fontId="30" fillId="0" borderId="2" xfId="13" applyFont="1" applyFill="1" applyBorder="1" applyAlignment="1">
      <alignment horizontal="left" vertical="center" wrapText="1"/>
    </xf>
    <xf numFmtId="9" fontId="3" fillId="0" borderId="43" xfId="12" applyFont="1" applyFill="1" applyBorder="1" applyAlignment="1">
      <alignment horizontal="center" vertical="center"/>
    </xf>
    <xf numFmtId="14" fontId="30" fillId="0" borderId="2" xfId="0" applyNumberFormat="1" applyFont="1" applyFill="1" applyBorder="1" applyAlignment="1">
      <alignment horizontal="center" vertical="center" wrapText="1"/>
    </xf>
    <xf numFmtId="0" fontId="3" fillId="0" borderId="42" xfId="0" applyNumberFormat="1" applyFont="1" applyFill="1" applyBorder="1" applyAlignment="1">
      <alignment horizontal="center" vertical="center" wrapText="1"/>
    </xf>
    <xf numFmtId="168" fontId="3" fillId="0" borderId="43" xfId="0" applyNumberFormat="1" applyFont="1" applyFill="1" applyBorder="1" applyAlignment="1">
      <alignment horizontal="center" vertical="center" wrapText="1"/>
    </xf>
    <xf numFmtId="168" fontId="3" fillId="0" borderId="42"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left" vertical="center" wrapText="1"/>
    </xf>
    <xf numFmtId="9" fontId="3" fillId="0" borderId="6" xfId="12"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68" fontId="3" fillId="0" borderId="6" xfId="0" applyNumberFormat="1" applyFont="1" applyFill="1" applyBorder="1" applyAlignment="1">
      <alignment horizontal="center" vertical="center" wrapText="1"/>
    </xf>
    <xf numFmtId="9" fontId="3" fillId="0" borderId="6" xfId="12" applyFont="1" applyFill="1" applyBorder="1" applyAlignment="1">
      <alignment horizontal="center" vertical="center"/>
    </xf>
    <xf numFmtId="168" fontId="3" fillId="0" borderId="4" xfId="0" applyNumberFormat="1" applyFont="1" applyFill="1" applyBorder="1" applyAlignment="1">
      <alignment horizontal="center" vertical="center"/>
    </xf>
    <xf numFmtId="0" fontId="30" fillId="0" borderId="33"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6" xfId="0" applyFont="1" applyFill="1" applyBorder="1" applyAlignment="1">
      <alignment horizontal="left" vertical="center" wrapText="1"/>
    </xf>
    <xf numFmtId="0" fontId="30" fillId="0" borderId="5" xfId="0" applyFont="1" applyFill="1" applyBorder="1" applyAlignment="1">
      <alignment horizontal="left" vertical="center" wrapText="1"/>
    </xf>
    <xf numFmtId="9" fontId="30" fillId="0" borderId="33" xfId="13" applyFont="1" applyFill="1" applyBorder="1" applyAlignment="1">
      <alignment horizontal="left" vertical="center" wrapText="1"/>
    </xf>
    <xf numFmtId="9" fontId="3" fillId="0" borderId="36" xfId="12" applyFont="1" applyFill="1" applyBorder="1" applyAlignment="1">
      <alignment horizontal="center" vertical="center"/>
    </xf>
    <xf numFmtId="14" fontId="30" fillId="0" borderId="5" xfId="0" applyNumberFormat="1" applyFont="1" applyFill="1" applyBorder="1" applyAlignment="1">
      <alignment horizontal="center" vertical="center" wrapText="1"/>
    </xf>
    <xf numFmtId="14" fontId="30" fillId="0" borderId="33" xfId="0" applyNumberFormat="1" applyFont="1" applyFill="1" applyBorder="1" applyAlignment="1">
      <alignment horizontal="center" vertical="center" wrapText="1"/>
    </xf>
    <xf numFmtId="0" fontId="3" fillId="0" borderId="38" xfId="0" applyNumberFormat="1" applyFont="1" applyFill="1" applyBorder="1" applyAlignment="1">
      <alignment horizontal="center" vertical="center" wrapText="1"/>
    </xf>
    <xf numFmtId="168" fontId="3" fillId="0" borderId="36" xfId="0" applyNumberFormat="1" applyFont="1" applyFill="1" applyBorder="1" applyAlignment="1">
      <alignment horizontal="center" vertical="center" wrapText="1"/>
    </xf>
    <xf numFmtId="168" fontId="30" fillId="0" borderId="33" xfId="0" applyNumberFormat="1" applyFont="1" applyFill="1" applyBorder="1" applyAlignment="1">
      <alignment vertical="center" wrapText="1"/>
    </xf>
    <xf numFmtId="168" fontId="3" fillId="0" borderId="38" xfId="0" applyNumberFormat="1" applyFont="1" applyFill="1" applyBorder="1" applyAlignment="1">
      <alignment horizontal="center" vertical="center"/>
    </xf>
    <xf numFmtId="0" fontId="13" fillId="0" borderId="20" xfId="0" applyFont="1" applyFill="1" applyBorder="1" applyAlignment="1">
      <alignment horizontal="center" vertical="center" wrapText="1"/>
    </xf>
    <xf numFmtId="0" fontId="3" fillId="0" borderId="1" xfId="0" applyFont="1" applyFill="1" applyBorder="1" applyAlignment="1">
      <alignment vertical="center" wrapText="1"/>
    </xf>
    <xf numFmtId="9" fontId="3" fillId="0" borderId="5" xfId="1" applyFont="1" applyFill="1" applyBorder="1" applyAlignment="1">
      <alignment horizontal="center" vertical="center"/>
    </xf>
    <xf numFmtId="14" fontId="3" fillId="0" borderId="5" xfId="12" applyNumberFormat="1" applyFont="1" applyFill="1" applyBorder="1" applyAlignment="1">
      <alignment horizontal="center" vertical="center"/>
    </xf>
    <xf numFmtId="14" fontId="3" fillId="0" borderId="5" xfId="0" applyNumberFormat="1" applyFont="1" applyFill="1" applyBorder="1" applyAlignment="1">
      <alignment horizontal="center" vertical="center"/>
    </xf>
    <xf numFmtId="168" fontId="3" fillId="0" borderId="5" xfId="0" applyNumberFormat="1" applyFont="1" applyFill="1" applyBorder="1" applyAlignment="1">
      <alignment horizontal="right" vertical="center"/>
    </xf>
    <xf numFmtId="0" fontId="20" fillId="0" borderId="5" xfId="0" applyFont="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166" fontId="12" fillId="5" borderId="5" xfId="2" applyNumberFormat="1" applyFont="1" applyFill="1" applyBorder="1" applyAlignment="1">
      <alignment horizontal="center" vertical="center" wrapText="1"/>
    </xf>
    <xf numFmtId="1" fontId="3" fillId="0" borderId="25"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4" xfId="0" applyNumberFormat="1" applyFont="1" applyFill="1" applyBorder="1" applyAlignment="1">
      <alignment horizontal="center" vertical="center" wrapText="1"/>
    </xf>
    <xf numFmtId="1" fontId="3" fillId="0" borderId="2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2" fontId="3" fillId="0" borderId="2" xfId="12" applyNumberFormat="1" applyFont="1" applyFill="1" applyBorder="1" applyAlignment="1">
      <alignment horizontal="center" vertical="center"/>
    </xf>
    <xf numFmtId="14" fontId="3" fillId="0" borderId="28" xfId="0" applyNumberFormat="1" applyFont="1" applyFill="1" applyBorder="1" applyAlignment="1">
      <alignment horizontal="center" vertical="center" wrapText="1"/>
    </xf>
    <xf numFmtId="44" fontId="3" fillId="0" borderId="28" xfId="0" applyNumberFormat="1" applyFont="1" applyFill="1" applyBorder="1" applyAlignment="1">
      <alignment vertical="center"/>
    </xf>
    <xf numFmtId="14" fontId="3" fillId="0" borderId="2" xfId="0" applyNumberFormat="1" applyFont="1" applyFill="1" applyBorder="1" applyAlignment="1">
      <alignment horizontal="center" vertical="center" wrapText="1"/>
    </xf>
    <xf numFmtId="44" fontId="3" fillId="0" borderId="2" xfId="0" applyNumberFormat="1" applyFont="1" applyFill="1" applyBorder="1" applyAlignment="1">
      <alignment vertical="center"/>
    </xf>
    <xf numFmtId="15" fontId="3" fillId="0" borderId="28" xfId="0" applyNumberFormat="1" applyFont="1" applyFill="1" applyBorder="1" applyAlignment="1">
      <alignment horizontal="center" vertical="center" wrapText="1"/>
    </xf>
    <xf numFmtId="164" fontId="3" fillId="0" borderId="28" xfId="0" applyNumberFormat="1" applyFont="1" applyFill="1" applyBorder="1" applyAlignment="1">
      <alignment vertical="center"/>
    </xf>
    <xf numFmtId="15"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vertical="center"/>
    </xf>
    <xf numFmtId="15" fontId="5" fillId="0" borderId="2" xfId="0" applyNumberFormat="1" applyFont="1" applyFill="1" applyBorder="1" applyAlignment="1">
      <alignment horizontal="center" vertical="center" wrapText="1"/>
    </xf>
    <xf numFmtId="164" fontId="5" fillId="0" borderId="2" xfId="0" applyNumberFormat="1" applyFont="1" applyFill="1" applyBorder="1" applyAlignment="1">
      <alignment vertical="center"/>
    </xf>
    <xf numFmtId="15" fontId="3" fillId="0" borderId="33" xfId="0" applyNumberFormat="1" applyFont="1" applyFill="1" applyBorder="1" applyAlignment="1">
      <alignment horizontal="center" vertical="center" wrapText="1"/>
    </xf>
    <xf numFmtId="164" fontId="3" fillId="0" borderId="33" xfId="0" applyNumberFormat="1" applyFont="1" applyFill="1" applyBorder="1" applyAlignment="1">
      <alignment vertical="center"/>
    </xf>
    <xf numFmtId="172" fontId="3" fillId="0" borderId="2" xfId="12" applyNumberFormat="1" applyFont="1" applyFill="1" applyBorder="1" applyAlignment="1">
      <alignment horizontal="center" vertical="center" wrapText="1"/>
    </xf>
    <xf numFmtId="165" fontId="3" fillId="0" borderId="28" xfId="0" applyNumberFormat="1" applyFont="1" applyFill="1" applyBorder="1" applyAlignment="1">
      <alignment vertical="center"/>
    </xf>
    <xf numFmtId="165" fontId="3" fillId="0" borderId="2" xfId="0" applyNumberFormat="1" applyFont="1" applyFill="1" applyBorder="1" applyAlignment="1">
      <alignment vertical="center"/>
    </xf>
    <xf numFmtId="14" fontId="3" fillId="0" borderId="33" xfId="0" applyNumberFormat="1" applyFont="1" applyFill="1" applyBorder="1" applyAlignment="1">
      <alignment horizontal="center" vertical="center" wrapText="1"/>
    </xf>
    <xf numFmtId="44" fontId="3" fillId="0" borderId="33" xfId="0" applyNumberFormat="1" applyFont="1" applyFill="1" applyBorder="1" applyAlignment="1">
      <alignment vertical="center"/>
    </xf>
    <xf numFmtId="0" fontId="20" fillId="0" borderId="2" xfId="0" applyFont="1" applyFill="1" applyBorder="1" applyAlignment="1">
      <alignment horizontal="center" vertical="center"/>
    </xf>
    <xf numFmtId="0" fontId="5" fillId="0" borderId="33" xfId="0" applyFont="1" applyFill="1" applyBorder="1" applyAlignment="1">
      <alignment vertical="center" wrapText="1"/>
    </xf>
    <xf numFmtId="9" fontId="5" fillId="0" borderId="33" xfId="0" applyNumberFormat="1" applyFont="1" applyFill="1" applyBorder="1" applyAlignment="1">
      <alignment horizontal="center" vertical="center"/>
    </xf>
    <xf numFmtId="15" fontId="5" fillId="0" borderId="33" xfId="0" applyNumberFormat="1" applyFont="1" applyFill="1" applyBorder="1" applyAlignment="1">
      <alignment horizontal="center" vertical="center" wrapText="1"/>
    </xf>
    <xf numFmtId="164" fontId="5" fillId="0" borderId="33" xfId="0" applyNumberFormat="1" applyFont="1" applyFill="1" applyBorder="1" applyAlignment="1">
      <alignment vertical="center"/>
    </xf>
    <xf numFmtId="168" fontId="5" fillId="0" borderId="33" xfId="0" applyNumberFormat="1" applyFont="1" applyFill="1" applyBorder="1" applyAlignment="1">
      <alignment horizontal="center" vertical="center"/>
    </xf>
    <xf numFmtId="9" fontId="3" fillId="0" borderId="33" xfId="1" applyFont="1" applyFill="1" applyBorder="1" applyAlignment="1">
      <alignment horizontal="center" vertical="center"/>
    </xf>
    <xf numFmtId="15" fontId="3" fillId="0" borderId="33" xfId="12" applyNumberFormat="1" applyFont="1" applyFill="1" applyBorder="1" applyAlignment="1">
      <alignment horizontal="center" vertical="center"/>
    </xf>
    <xf numFmtId="15" fontId="3" fillId="0" borderId="33" xfId="0" applyNumberFormat="1" applyFont="1" applyFill="1" applyBorder="1" applyAlignment="1">
      <alignment horizontal="center" vertical="center"/>
    </xf>
    <xf numFmtId="165" fontId="3" fillId="0" borderId="33" xfId="0" applyNumberFormat="1" applyFont="1" applyFill="1" applyBorder="1" applyAlignment="1">
      <alignment horizontal="center" vertical="center"/>
    </xf>
    <xf numFmtId="0" fontId="13" fillId="0" borderId="25" xfId="0" applyFont="1" applyFill="1" applyBorder="1" applyAlignment="1">
      <alignment vertical="center" wrapText="1"/>
    </xf>
    <xf numFmtId="0" fontId="3" fillId="0" borderId="25" xfId="0" applyFont="1" applyFill="1" applyBorder="1" applyAlignment="1">
      <alignment horizontal="left" vertical="center" wrapText="1"/>
    </xf>
    <xf numFmtId="0" fontId="16" fillId="0" borderId="2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33" xfId="0" applyFont="1" applyFill="1" applyBorder="1" applyAlignment="1">
      <alignment horizontal="center" vertical="center"/>
    </xf>
    <xf numFmtId="0" fontId="16" fillId="6" borderId="23" xfId="0" applyFont="1" applyFill="1" applyBorder="1" applyAlignment="1">
      <alignment horizontal="center" vertical="center"/>
    </xf>
    <xf numFmtId="0" fontId="16" fillId="6" borderId="2" xfId="0" applyFont="1" applyFill="1" applyBorder="1" applyAlignment="1">
      <alignment horizontal="center" vertical="center"/>
    </xf>
    <xf numFmtId="0" fontId="16" fillId="0" borderId="23"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33" xfId="0" applyFont="1" applyFill="1" applyBorder="1" applyAlignment="1">
      <alignment horizontal="center" vertical="center"/>
    </xf>
    <xf numFmtId="0" fontId="16" fillId="0" borderId="25" xfId="0" applyFont="1" applyFill="1" applyBorder="1" applyAlignment="1">
      <alignment horizontal="center" vertical="center"/>
    </xf>
    <xf numFmtId="176" fontId="3" fillId="0" borderId="23" xfId="1" applyNumberFormat="1" applyFont="1" applyFill="1" applyBorder="1" applyAlignment="1">
      <alignment horizontal="center" vertical="center"/>
    </xf>
    <xf numFmtId="177" fontId="3" fillId="0" borderId="23" xfId="1" applyNumberFormat="1" applyFont="1" applyFill="1" applyBorder="1" applyAlignment="1">
      <alignment horizontal="center" vertical="center"/>
    </xf>
    <xf numFmtId="3" fontId="3" fillId="0" borderId="23" xfId="0" applyNumberFormat="1" applyFont="1" applyFill="1" applyBorder="1" applyAlignment="1">
      <alignment horizontal="center" vertical="center" wrapText="1"/>
    </xf>
    <xf numFmtId="173" fontId="3" fillId="0" borderId="23" xfId="0" applyNumberFormat="1" applyFont="1" applyFill="1" applyBorder="1" applyAlignment="1">
      <alignment vertical="center"/>
    </xf>
    <xf numFmtId="173" fontId="3" fillId="0" borderId="2" xfId="0" applyNumberFormat="1" applyFont="1" applyFill="1" applyBorder="1" applyAlignment="1">
      <alignment horizontal="center" vertical="center" wrapText="1"/>
    </xf>
    <xf numFmtId="178" fontId="3" fillId="0" borderId="23" xfId="1" applyNumberFormat="1" applyFont="1" applyFill="1" applyBorder="1" applyAlignment="1">
      <alignment horizontal="center" vertical="center"/>
    </xf>
    <xf numFmtId="178" fontId="3" fillId="0" borderId="33" xfId="1" applyNumberFormat="1" applyFont="1" applyFill="1" applyBorder="1" applyAlignment="1">
      <alignment horizontal="center" vertical="center"/>
    </xf>
    <xf numFmtId="177" fontId="3" fillId="0" borderId="33"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xf>
    <xf numFmtId="173" fontId="3" fillId="0" borderId="25" xfId="0" applyNumberFormat="1" applyFont="1" applyFill="1" applyBorder="1" applyAlignment="1">
      <alignment vertical="center"/>
    </xf>
    <xf numFmtId="177" fontId="3" fillId="0" borderId="1"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177" fontId="3" fillId="0" borderId="2" xfId="1" applyNumberFormat="1" applyFont="1" applyFill="1" applyBorder="1" applyAlignment="1">
      <alignment horizontal="center" vertical="center"/>
    </xf>
    <xf numFmtId="173" fontId="3" fillId="0" borderId="33" xfId="0" applyNumberFormat="1" applyFont="1" applyFill="1" applyBorder="1" applyAlignment="1">
      <alignment horizontal="center" vertical="center" wrapText="1"/>
    </xf>
    <xf numFmtId="173" fontId="5" fillId="0" borderId="2" xfId="0" applyNumberFormat="1" applyFont="1" applyFill="1" applyBorder="1" applyAlignment="1">
      <alignment vertical="center"/>
    </xf>
    <xf numFmtId="0" fontId="3" fillId="10" borderId="4" xfId="0" applyFont="1" applyFill="1" applyBorder="1" applyAlignment="1">
      <alignment vertical="center"/>
    </xf>
    <xf numFmtId="0" fontId="3" fillId="10" borderId="2" xfId="0" applyFont="1" applyFill="1" applyBorder="1" applyAlignment="1">
      <alignment vertical="center"/>
    </xf>
    <xf numFmtId="0" fontId="14"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10" fontId="20" fillId="0" borderId="2"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3" fillId="0" borderId="23" xfId="0" applyNumberFormat="1" applyFont="1" applyFill="1" applyBorder="1" applyAlignment="1">
      <alignment horizontal="center" vertical="center" wrapText="1"/>
    </xf>
    <xf numFmtId="1" fontId="3" fillId="0" borderId="25"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 fontId="3" fillId="0" borderId="4" xfId="0" applyNumberFormat="1" applyFont="1" applyFill="1" applyBorder="1" applyAlignment="1">
      <alignment horizontal="center" vertical="center" wrapText="1"/>
    </xf>
    <xf numFmtId="1" fontId="3" fillId="0" borderId="42" xfId="0" applyNumberFormat="1" applyFont="1" applyFill="1" applyBorder="1" applyAlignment="1">
      <alignment horizontal="center" vertical="center" wrapText="1"/>
    </xf>
    <xf numFmtId="1" fontId="3" fillId="0" borderId="38"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 fontId="25"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11" borderId="28" xfId="0" applyFont="1" applyFill="1" applyBorder="1" applyAlignment="1">
      <alignment vertical="center" wrapText="1"/>
    </xf>
    <xf numFmtId="1" fontId="3" fillId="11" borderId="28" xfId="0" applyNumberFormat="1" applyFont="1" applyFill="1" applyBorder="1" applyAlignment="1">
      <alignment horizontal="center" vertical="center" wrapText="1"/>
    </xf>
    <xf numFmtId="0" fontId="3" fillId="11" borderId="28" xfId="0" applyFont="1" applyFill="1" applyBorder="1" applyAlignment="1">
      <alignment horizontal="center" vertical="center"/>
    </xf>
    <xf numFmtId="0" fontId="32" fillId="11" borderId="28" xfId="0" applyFont="1" applyFill="1" applyBorder="1" applyAlignment="1">
      <alignment horizontal="center" vertical="center"/>
    </xf>
    <xf numFmtId="0" fontId="13" fillId="11" borderId="28" xfId="0" applyFont="1" applyFill="1" applyBorder="1" applyAlignment="1">
      <alignment vertical="center" wrapText="1"/>
    </xf>
    <xf numFmtId="0" fontId="3" fillId="11" borderId="28" xfId="0" applyFont="1" applyFill="1" applyBorder="1" applyAlignment="1">
      <alignment horizontal="left" vertical="center" wrapText="1"/>
    </xf>
    <xf numFmtId="9" fontId="3" fillId="11" borderId="28" xfId="12" applyFont="1" applyFill="1" applyBorder="1" applyAlignment="1">
      <alignment horizontal="center" vertical="center"/>
    </xf>
    <xf numFmtId="166" fontId="3" fillId="11" borderId="28" xfId="0" applyNumberFormat="1" applyFont="1" applyFill="1" applyBorder="1" applyAlignment="1">
      <alignment horizontal="center" vertical="center" wrapText="1"/>
    </xf>
    <xf numFmtId="0" fontId="3" fillId="11" borderId="28" xfId="0" applyNumberFormat="1" applyFont="1" applyFill="1" applyBorder="1" applyAlignment="1">
      <alignment horizontal="center" vertical="center" wrapText="1"/>
    </xf>
    <xf numFmtId="168" fontId="3" fillId="11" borderId="28" xfId="0" applyNumberFormat="1" applyFont="1" applyFill="1" applyBorder="1" applyAlignment="1">
      <alignment horizontal="center" vertical="center" wrapText="1"/>
    </xf>
    <xf numFmtId="168" fontId="3" fillId="11" borderId="28" xfId="0" applyNumberFormat="1" applyFont="1" applyFill="1" applyBorder="1" applyAlignment="1">
      <alignment vertical="center"/>
    </xf>
    <xf numFmtId="168" fontId="3" fillId="11" borderId="28" xfId="0" applyNumberFormat="1" applyFont="1" applyFill="1" applyBorder="1" applyAlignment="1">
      <alignment horizontal="center" vertical="center"/>
    </xf>
    <xf numFmtId="3" fontId="3" fillId="11" borderId="28" xfId="1" applyNumberFormat="1" applyFont="1" applyFill="1" applyBorder="1" applyAlignment="1">
      <alignment horizontal="center" vertical="center"/>
    </xf>
    <xf numFmtId="4" fontId="3" fillId="11" borderId="28" xfId="1" applyNumberFormat="1" applyFont="1" applyFill="1" applyBorder="1" applyAlignment="1">
      <alignment horizontal="center" vertical="center"/>
    </xf>
    <xf numFmtId="4" fontId="3" fillId="11" borderId="28" xfId="0" applyNumberFormat="1" applyFont="1" applyFill="1" applyBorder="1" applyAlignment="1">
      <alignment horizontal="center" vertical="center" wrapText="1"/>
    </xf>
    <xf numFmtId="0" fontId="13" fillId="11" borderId="28"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3" xfId="0" applyFont="1" applyFill="1" applyBorder="1" applyAlignment="1">
      <alignment horizontal="left" vertical="center"/>
    </xf>
    <xf numFmtId="0" fontId="3" fillId="0" borderId="25" xfId="0" applyFont="1" applyFill="1" applyBorder="1" applyAlignment="1">
      <alignment horizontal="left" vertical="center"/>
    </xf>
    <xf numFmtId="0" fontId="13" fillId="0" borderId="2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3" fillId="0" borderId="1" xfId="0" applyFont="1" applyFill="1" applyBorder="1" applyAlignment="1">
      <alignment vertical="center" wrapText="1"/>
    </xf>
    <xf numFmtId="9" fontId="3" fillId="0" borderId="5" xfId="12" applyFont="1" applyFill="1" applyBorder="1" applyAlignment="1">
      <alignment horizontal="center" vertical="center" wrapText="1"/>
    </xf>
    <xf numFmtId="173" fontId="3" fillId="0" borderId="5" xfId="0" applyNumberFormat="1" applyFont="1" applyFill="1" applyBorder="1" applyAlignment="1">
      <alignment vertical="center" wrapText="1"/>
    </xf>
    <xf numFmtId="0" fontId="33" fillId="0" borderId="2" xfId="0" applyNumberFormat="1" applyFont="1" applyFill="1" applyBorder="1" applyAlignment="1">
      <alignment horizontal="center" vertical="center"/>
    </xf>
    <xf numFmtId="0" fontId="5" fillId="0" borderId="24" xfId="0" applyFont="1" applyFill="1" applyBorder="1" applyAlignment="1">
      <alignment horizontal="left" vertical="center" wrapText="1"/>
    </xf>
    <xf numFmtId="0" fontId="3" fillId="0" borderId="28" xfId="0" applyFont="1" applyFill="1" applyBorder="1" applyAlignment="1">
      <alignment horizontal="left" vertical="center"/>
    </xf>
    <xf numFmtId="0" fontId="13" fillId="0" borderId="24" xfId="0" applyFont="1" applyFill="1" applyBorder="1" applyAlignment="1">
      <alignment vertical="center" wrapText="1"/>
    </xf>
    <xf numFmtId="9" fontId="3" fillId="0" borderId="36" xfId="12" applyFont="1" applyFill="1" applyBorder="1" applyAlignment="1">
      <alignment horizontal="center" vertical="center" wrapText="1"/>
    </xf>
    <xf numFmtId="168" fontId="3" fillId="0" borderId="38" xfId="0" applyNumberFormat="1" applyFont="1" applyFill="1" applyBorder="1" applyAlignment="1">
      <alignment horizontal="center" vertical="center" wrapText="1"/>
    </xf>
    <xf numFmtId="0" fontId="20" fillId="0" borderId="23"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1" fontId="3" fillId="0" borderId="2"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4" fontId="20" fillId="0" borderId="2" xfId="0" applyNumberFormat="1" applyFont="1" applyBorder="1" applyAlignment="1">
      <alignment horizontal="center" vertical="center" wrapText="1"/>
    </xf>
    <xf numFmtId="0" fontId="20" fillId="0" borderId="0" xfId="0" applyFont="1" applyAlignment="1">
      <alignment wrapText="1"/>
    </xf>
    <xf numFmtId="4" fontId="20" fillId="0" borderId="2" xfId="0" applyNumberFormat="1" applyFont="1" applyBorder="1" applyAlignment="1">
      <alignment horizontal="center" vertical="center"/>
    </xf>
    <xf numFmtId="2" fontId="20" fillId="0" borderId="2" xfId="0" applyNumberFormat="1" applyFont="1" applyBorder="1" applyAlignment="1">
      <alignment horizontal="center" vertical="center"/>
    </xf>
    <xf numFmtId="4" fontId="20" fillId="0" borderId="48" xfId="0" applyNumberFormat="1" applyFont="1" applyBorder="1" applyAlignment="1">
      <alignment horizontal="center" vertical="center"/>
    </xf>
    <xf numFmtId="0" fontId="20" fillId="0" borderId="48" xfId="0" applyFont="1" applyBorder="1" applyAlignment="1">
      <alignment horizontal="center" vertical="center"/>
    </xf>
    <xf numFmtId="0" fontId="20" fillId="0" borderId="0" xfId="0" applyFont="1" applyBorder="1" applyAlignment="1">
      <alignment horizontal="center" vertical="center"/>
    </xf>
    <xf numFmtId="0" fontId="20" fillId="0" borderId="1" xfId="0" applyFont="1" applyBorder="1"/>
    <xf numFmtId="1" fontId="3" fillId="9" borderId="2" xfId="0" applyNumberFormat="1" applyFont="1" applyFill="1" applyBorder="1" applyAlignment="1">
      <alignment horizontal="center" vertical="center" wrapText="1"/>
    </xf>
    <xf numFmtId="168" fontId="3" fillId="10" borderId="28" xfId="0" applyNumberFormat="1" applyFont="1" applyFill="1" applyBorder="1" applyAlignment="1">
      <alignment vertical="center"/>
    </xf>
    <xf numFmtId="4" fontId="3" fillId="0" borderId="25" xfId="0" applyNumberFormat="1"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28" xfId="0" applyFont="1" applyBorder="1" applyAlignment="1">
      <alignment horizontal="left" vertical="center" wrapText="1"/>
    </xf>
    <xf numFmtId="9" fontId="20" fillId="0" borderId="28" xfId="1" applyFont="1" applyBorder="1" applyAlignment="1">
      <alignment horizontal="center" vertical="center" wrapText="1"/>
    </xf>
    <xf numFmtId="0" fontId="33" fillId="0" borderId="28" xfId="0" applyNumberFormat="1" applyFont="1" applyFill="1" applyBorder="1" applyAlignment="1">
      <alignment horizontal="center" vertical="center"/>
    </xf>
    <xf numFmtId="0" fontId="20" fillId="0" borderId="33" xfId="0" applyFont="1" applyBorder="1" applyAlignment="1">
      <alignment horizontal="center" vertical="center" wrapText="1"/>
    </xf>
    <xf numFmtId="0" fontId="20" fillId="0" borderId="33" xfId="0" applyFont="1" applyBorder="1" applyAlignment="1">
      <alignment horizontal="left" vertical="center" wrapText="1"/>
    </xf>
    <xf numFmtId="9" fontId="20" fillId="0" borderId="33" xfId="1" applyFont="1" applyBorder="1" applyAlignment="1">
      <alignment horizontal="center" vertical="center" wrapText="1"/>
    </xf>
    <xf numFmtId="0" fontId="33" fillId="0" borderId="33" xfId="0" applyNumberFormat="1" applyFont="1" applyFill="1" applyBorder="1" applyAlignment="1">
      <alignment horizontal="center" vertical="center"/>
    </xf>
    <xf numFmtId="0" fontId="20" fillId="0" borderId="28" xfId="0" applyFont="1" applyBorder="1" applyAlignment="1">
      <alignment horizontal="center" vertical="center"/>
    </xf>
    <xf numFmtId="0" fontId="20" fillId="0" borderId="33" xfId="0" applyFont="1" applyBorder="1" applyAlignment="1">
      <alignment horizontal="center" vertical="center"/>
    </xf>
    <xf numFmtId="0" fontId="20" fillId="0" borderId="51" xfId="0" applyFont="1" applyFill="1" applyBorder="1" applyAlignment="1">
      <alignment horizontal="center" vertical="center" wrapText="1"/>
    </xf>
    <xf numFmtId="0" fontId="20" fillId="0" borderId="51" xfId="0" applyFont="1" applyBorder="1" applyAlignment="1">
      <alignment horizontal="center" vertical="center" wrapText="1"/>
    </xf>
    <xf numFmtId="0" fontId="20" fillId="0" borderId="51" xfId="0" applyFont="1" applyBorder="1" applyAlignment="1">
      <alignment horizontal="left" vertical="center" wrapText="1"/>
    </xf>
    <xf numFmtId="9" fontId="20" fillId="0" borderId="51" xfId="1" applyFont="1" applyBorder="1" applyAlignment="1">
      <alignment horizontal="center" vertical="center" wrapText="1"/>
    </xf>
    <xf numFmtId="0" fontId="20" fillId="0" borderId="51" xfId="0" applyFont="1" applyBorder="1" applyAlignment="1">
      <alignment horizontal="center" vertical="center"/>
    </xf>
    <xf numFmtId="0" fontId="33" fillId="0" borderId="51" xfId="0" applyNumberFormat="1" applyFont="1" applyFill="1" applyBorder="1" applyAlignment="1">
      <alignment horizontal="center" vertical="center"/>
    </xf>
    <xf numFmtId="4" fontId="20" fillId="0" borderId="23" xfId="0" applyNumberFormat="1" applyFont="1" applyBorder="1" applyAlignment="1">
      <alignment horizontal="center" vertical="center" wrapText="1"/>
    </xf>
    <xf numFmtId="0" fontId="20" fillId="0" borderId="23" xfId="0" applyFont="1" applyFill="1" applyBorder="1" applyAlignment="1">
      <alignment horizontal="center" vertical="center"/>
    </xf>
    <xf numFmtId="4" fontId="20" fillId="0" borderId="28" xfId="0" applyNumberFormat="1" applyFont="1" applyBorder="1" applyAlignment="1">
      <alignment horizontal="center" vertical="center" wrapText="1"/>
    </xf>
    <xf numFmtId="4" fontId="20" fillId="0" borderId="33" xfId="0" applyNumberFormat="1" applyFont="1" applyBorder="1" applyAlignment="1">
      <alignment horizontal="center" vertical="center" wrapText="1"/>
    </xf>
    <xf numFmtId="4" fontId="20" fillId="0" borderId="23" xfId="0" applyNumberFormat="1" applyFont="1" applyBorder="1" applyAlignment="1">
      <alignment horizontal="center" vertical="center"/>
    </xf>
    <xf numFmtId="4" fontId="20" fillId="0" borderId="28" xfId="0" applyNumberFormat="1" applyFont="1" applyBorder="1" applyAlignment="1">
      <alignment horizontal="center" vertical="center"/>
    </xf>
    <xf numFmtId="4" fontId="20" fillId="0" borderId="33" xfId="0" applyNumberFormat="1" applyFont="1" applyBorder="1" applyAlignment="1">
      <alignment horizontal="center" vertical="center"/>
    </xf>
    <xf numFmtId="0" fontId="20" fillId="0" borderId="52" xfId="0" applyFont="1" applyBorder="1" applyAlignment="1">
      <alignment vertical="center" wrapText="1"/>
    </xf>
    <xf numFmtId="0" fontId="20" fillId="0"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0" borderId="24" xfId="0" applyFont="1" applyBorder="1" applyAlignment="1">
      <alignment horizontal="left" vertical="center" wrapText="1"/>
    </xf>
    <xf numFmtId="9" fontId="20" fillId="0" borderId="24" xfId="1" applyFont="1" applyBorder="1" applyAlignment="1">
      <alignment horizontal="center" vertical="center" wrapText="1"/>
    </xf>
    <xf numFmtId="0" fontId="20" fillId="0" borderId="24" xfId="0" applyFont="1" applyBorder="1" applyAlignment="1">
      <alignment horizontal="center" vertical="center"/>
    </xf>
    <xf numFmtId="0" fontId="33" fillId="0" borderId="24" xfId="0" applyNumberFormat="1" applyFont="1" applyFill="1" applyBorder="1" applyAlignment="1">
      <alignment horizontal="center" vertical="center"/>
    </xf>
    <xf numFmtId="4" fontId="20" fillId="0" borderId="51" xfId="0" applyNumberFormat="1" applyFont="1" applyBorder="1" applyAlignment="1">
      <alignment horizontal="center" vertical="center"/>
    </xf>
    <xf numFmtId="4" fontId="20" fillId="0" borderId="51" xfId="0" applyNumberFormat="1" applyFont="1" applyBorder="1" applyAlignment="1">
      <alignment horizontal="center" vertical="center" wrapText="1"/>
    </xf>
    <xf numFmtId="172" fontId="20" fillId="0" borderId="28" xfId="1" applyNumberFormat="1" applyFont="1" applyBorder="1" applyAlignment="1">
      <alignment horizontal="center" vertical="center" wrapText="1"/>
    </xf>
    <xf numFmtId="2" fontId="20" fillId="0" borderId="33" xfId="0" applyNumberFormat="1" applyFont="1" applyBorder="1" applyAlignment="1">
      <alignment horizontal="center" vertical="center"/>
    </xf>
    <xf numFmtId="172" fontId="20" fillId="0" borderId="33" xfId="1" applyNumberFormat="1" applyFont="1" applyBorder="1" applyAlignment="1">
      <alignment horizontal="center" vertical="center" wrapText="1"/>
    </xf>
    <xf numFmtId="10" fontId="20" fillId="0" borderId="28" xfId="0" applyNumberFormat="1" applyFont="1" applyBorder="1" applyAlignment="1">
      <alignment horizontal="center" vertical="center" wrapText="1"/>
    </xf>
    <xf numFmtId="2" fontId="20" fillId="0" borderId="28" xfId="0" applyNumberFormat="1" applyFont="1" applyBorder="1" applyAlignment="1">
      <alignment horizontal="center" vertical="center"/>
    </xf>
    <xf numFmtId="10" fontId="20" fillId="0" borderId="33" xfId="0" applyNumberFormat="1" applyFont="1" applyBorder="1" applyAlignment="1">
      <alignment horizontal="center" vertical="center" wrapText="1"/>
    </xf>
    <xf numFmtId="0" fontId="20" fillId="0" borderId="33" xfId="0" applyFont="1" applyFill="1" applyBorder="1" applyAlignment="1">
      <alignment horizontal="left" vertical="center" wrapText="1"/>
    </xf>
    <xf numFmtId="10" fontId="20" fillId="0" borderId="33" xfId="0" applyNumberFormat="1" applyFont="1" applyFill="1" applyBorder="1" applyAlignment="1">
      <alignment horizontal="center" vertical="center" wrapText="1"/>
    </xf>
    <xf numFmtId="4" fontId="20" fillId="0" borderId="28" xfId="0" applyNumberFormat="1" applyFont="1" applyFill="1" applyBorder="1" applyAlignment="1">
      <alignment horizontal="center" vertical="center"/>
    </xf>
    <xf numFmtId="4" fontId="20" fillId="0" borderId="33" xfId="0" applyNumberFormat="1" applyFont="1" applyFill="1" applyBorder="1" applyAlignment="1">
      <alignment horizontal="center" vertical="center"/>
    </xf>
    <xf numFmtId="0" fontId="20" fillId="0" borderId="28" xfId="0" applyFont="1" applyBorder="1" applyAlignment="1">
      <alignment horizontal="left"/>
    </xf>
    <xf numFmtId="10" fontId="20" fillId="0" borderId="28" xfId="0" applyNumberFormat="1" applyFont="1" applyBorder="1" applyAlignment="1">
      <alignment horizontal="center"/>
    </xf>
    <xf numFmtId="0" fontId="20" fillId="0" borderId="33" xfId="0" applyFont="1" applyBorder="1" applyAlignment="1">
      <alignment horizontal="left"/>
    </xf>
    <xf numFmtId="10" fontId="20" fillId="0" borderId="33" xfId="0" applyNumberFormat="1" applyFont="1" applyBorder="1" applyAlignment="1">
      <alignment horizontal="center"/>
    </xf>
    <xf numFmtId="0" fontId="20" fillId="0" borderId="50" xfId="0" applyFont="1" applyBorder="1" applyAlignment="1">
      <alignment horizontal="center" vertical="center" wrapText="1"/>
    </xf>
    <xf numFmtId="0" fontId="20" fillId="0" borderId="51" xfId="0" applyFont="1" applyFill="1" applyBorder="1" applyAlignment="1">
      <alignment horizontal="center" vertical="center"/>
    </xf>
    <xf numFmtId="0" fontId="20" fillId="0" borderId="51" xfId="0" applyFont="1" applyBorder="1" applyAlignment="1">
      <alignment vertical="center"/>
    </xf>
    <xf numFmtId="10" fontId="20" fillId="0" borderId="51" xfId="0" applyNumberFormat="1" applyFont="1" applyBorder="1" applyAlignment="1">
      <alignment horizontal="center"/>
    </xf>
    <xf numFmtId="10" fontId="20" fillId="0" borderId="51" xfId="0" applyNumberFormat="1" applyFont="1" applyBorder="1" applyAlignment="1">
      <alignment horizontal="center" vertical="center"/>
    </xf>
    <xf numFmtId="0" fontId="20" fillId="0" borderId="0" xfId="0" applyFont="1" applyAlignment="1">
      <alignment horizontal="center"/>
    </xf>
    <xf numFmtId="0" fontId="20" fillId="0" borderId="4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55" xfId="0" applyFont="1" applyFill="1" applyBorder="1" applyAlignment="1">
      <alignment horizontal="center" vertical="center"/>
    </xf>
    <xf numFmtId="0" fontId="20" fillId="0" borderId="21" xfId="0" applyFont="1" applyFill="1" applyBorder="1" applyAlignment="1">
      <alignment horizontal="center" vertical="center"/>
    </xf>
    <xf numFmtId="4" fontId="20" fillId="0" borderId="27" xfId="0" applyNumberFormat="1" applyFont="1" applyBorder="1" applyAlignment="1">
      <alignment horizontal="center" vertical="center" wrapText="1"/>
    </xf>
    <xf numFmtId="0" fontId="20" fillId="0" borderId="28" xfId="0" applyFont="1" applyFill="1" applyBorder="1" applyAlignment="1">
      <alignment horizontal="center" vertical="center"/>
    </xf>
    <xf numFmtId="4" fontId="20" fillId="0" borderId="30" xfId="0" applyNumberFormat="1" applyFont="1" applyBorder="1" applyAlignment="1">
      <alignment horizontal="center" vertical="center" wrapText="1"/>
    </xf>
    <xf numFmtId="4" fontId="20" fillId="0" borderId="32" xfId="0" applyNumberFormat="1" applyFont="1" applyBorder="1" applyAlignment="1">
      <alignment horizontal="center" vertical="center" wrapText="1"/>
    </xf>
    <xf numFmtId="0" fontId="20" fillId="0" borderId="33" xfId="0" applyFont="1" applyFill="1" applyBorder="1" applyAlignment="1">
      <alignment horizontal="center" vertical="center"/>
    </xf>
    <xf numFmtId="4" fontId="20" fillId="0" borderId="27" xfId="0" applyNumberFormat="1" applyFont="1" applyBorder="1" applyAlignment="1">
      <alignment horizontal="center" vertical="center"/>
    </xf>
    <xf numFmtId="4" fontId="20" fillId="0" borderId="32" xfId="0" applyNumberFormat="1" applyFont="1" applyBorder="1" applyAlignment="1">
      <alignment horizontal="center" vertical="center"/>
    </xf>
    <xf numFmtId="4" fontId="20" fillId="0" borderId="50" xfId="0" applyNumberFormat="1" applyFont="1" applyBorder="1" applyAlignment="1">
      <alignment horizontal="center" vertical="center"/>
    </xf>
    <xf numFmtId="0" fontId="20" fillId="0" borderId="10" xfId="0" applyFont="1" applyBorder="1" applyAlignment="1">
      <alignment horizontal="center" vertical="center" wrapText="1"/>
    </xf>
    <xf numFmtId="4" fontId="20" fillId="0" borderId="30" xfId="0" applyNumberFormat="1" applyFont="1" applyBorder="1" applyAlignment="1">
      <alignment horizontal="center" vertical="center"/>
    </xf>
    <xf numFmtId="2" fontId="20" fillId="0" borderId="50" xfId="0" applyNumberFormat="1" applyFont="1" applyBorder="1" applyAlignment="1">
      <alignment horizontal="center" vertical="center"/>
    </xf>
    <xf numFmtId="2" fontId="20" fillId="0" borderId="51" xfId="0" applyNumberFormat="1" applyFont="1" applyBorder="1" applyAlignment="1">
      <alignment horizontal="center" vertical="center"/>
    </xf>
    <xf numFmtId="2" fontId="20" fillId="0" borderId="27" xfId="0" applyNumberFormat="1" applyFont="1" applyBorder="1" applyAlignment="1">
      <alignment horizontal="center" vertical="center"/>
    </xf>
    <xf numFmtId="2" fontId="20" fillId="0" borderId="32" xfId="0" applyNumberFormat="1" applyFont="1" applyBorder="1" applyAlignment="1">
      <alignment horizontal="center" vertical="center"/>
    </xf>
    <xf numFmtId="2" fontId="20" fillId="0" borderId="30" xfId="0" applyNumberFormat="1" applyFont="1" applyBorder="1" applyAlignment="1">
      <alignment horizontal="center" vertical="center"/>
    </xf>
    <xf numFmtId="4" fontId="20" fillId="0" borderId="27" xfId="0" applyNumberFormat="1" applyFont="1" applyFill="1" applyBorder="1" applyAlignment="1">
      <alignment horizontal="center" vertical="center"/>
    </xf>
    <xf numFmtId="4" fontId="20" fillId="0" borderId="32" xfId="0" applyNumberFormat="1" applyFont="1" applyFill="1" applyBorder="1" applyAlignment="1">
      <alignment horizontal="center" vertical="center"/>
    </xf>
    <xf numFmtId="4" fontId="20" fillId="0" borderId="5" xfId="0" applyNumberFormat="1" applyFont="1" applyBorder="1" applyAlignment="1">
      <alignment horizontal="center" vertical="center"/>
    </xf>
    <xf numFmtId="4" fontId="20" fillId="0" borderId="5" xfId="0" applyNumberFormat="1" applyFont="1" applyBorder="1" applyAlignment="1">
      <alignment horizontal="center" vertical="center" wrapText="1"/>
    </xf>
    <xf numFmtId="0" fontId="20" fillId="0" borderId="19" xfId="0" applyFont="1" applyFill="1" applyBorder="1" applyAlignment="1">
      <alignment horizontal="center" vertical="center"/>
    </xf>
    <xf numFmtId="0" fontId="20" fillId="0" borderId="5" xfId="0" applyFont="1" applyFill="1" applyBorder="1" applyAlignment="1">
      <alignment horizontal="center" vertical="center"/>
    </xf>
    <xf numFmtId="0" fontId="20" fillId="10" borderId="10" xfId="0" applyFont="1" applyFill="1" applyBorder="1" applyAlignment="1">
      <alignment horizontal="center" vertical="center" wrapText="1"/>
    </xf>
    <xf numFmtId="4" fontId="0" fillId="0" borderId="0" xfId="0" applyNumberFormat="1" applyBorder="1" applyAlignment="1">
      <alignment vertical="center"/>
    </xf>
    <xf numFmtId="2" fontId="0" fillId="0" borderId="0" xfId="0" applyNumberFormat="1" applyBorder="1" applyAlignment="1">
      <alignment vertical="center"/>
    </xf>
    <xf numFmtId="0" fontId="20" fillId="0" borderId="50" xfId="0" applyFont="1" applyFill="1" applyBorder="1" applyAlignment="1">
      <alignment vertical="center" wrapText="1"/>
    </xf>
    <xf numFmtId="0" fontId="3" fillId="0" borderId="2" xfId="0" applyFont="1" applyFill="1" applyBorder="1" applyAlignment="1">
      <alignment horizontal="center" vertical="center"/>
    </xf>
    <xf numFmtId="1" fontId="3" fillId="9" borderId="25" xfId="0" applyNumberFormat="1" applyFont="1" applyFill="1" applyBorder="1" applyAlignment="1">
      <alignment horizontal="center" vertical="center" wrapText="1"/>
    </xf>
    <xf numFmtId="1" fontId="3" fillId="9" borderId="33" xfId="0" applyNumberFormat="1"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1" fontId="14" fillId="9" borderId="28" xfId="0" applyNumberFormat="1" applyFont="1" applyFill="1" applyBorder="1" applyAlignment="1">
      <alignment horizontal="center" vertical="center" wrapText="1"/>
    </xf>
    <xf numFmtId="0" fontId="17" fillId="4" borderId="19" xfId="0" applyFont="1" applyFill="1" applyBorder="1" applyAlignment="1">
      <alignment horizontal="center" wrapText="1"/>
    </xf>
    <xf numFmtId="0" fontId="17" fillId="4" borderId="8" xfId="0" applyFont="1" applyFill="1" applyBorder="1" applyAlignment="1">
      <alignment horizontal="center" wrapText="1"/>
    </xf>
    <xf numFmtId="41" fontId="18" fillId="7" borderId="2" xfId="0" applyNumberFormat="1" applyFont="1" applyFill="1" applyBorder="1" applyAlignment="1">
      <alignment horizontal="center" vertical="center" wrapText="1"/>
    </xf>
    <xf numFmtId="0" fontId="17" fillId="4" borderId="21" xfId="0" applyFont="1" applyFill="1" applyBorder="1" applyAlignment="1">
      <alignment horizontal="center" wrapText="1"/>
    </xf>
    <xf numFmtId="0" fontId="17" fillId="4" borderId="3" xfId="0" applyFont="1" applyFill="1" applyBorder="1" applyAlignment="1">
      <alignment horizontal="center" wrapText="1"/>
    </xf>
    <xf numFmtId="0" fontId="20" fillId="0" borderId="5"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xf>
    <xf numFmtId="0" fontId="20" fillId="0" borderId="23" xfId="0" applyFont="1" applyBorder="1" applyAlignment="1">
      <alignment horizontal="center" vertical="center"/>
    </xf>
    <xf numFmtId="0" fontId="20" fillId="0" borderId="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8" xfId="0" applyFont="1" applyBorder="1" applyAlignment="1">
      <alignment horizontal="center" vertical="center"/>
    </xf>
    <xf numFmtId="0" fontId="20" fillId="0" borderId="2"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17" fillId="5" borderId="2" xfId="3" applyFont="1" applyFill="1" applyBorder="1" applyAlignment="1">
      <alignment horizontal="center" vertical="center" wrapText="1"/>
    </xf>
    <xf numFmtId="0" fontId="17" fillId="5" borderId="5" xfId="3" applyFont="1" applyFill="1" applyBorder="1" applyAlignment="1">
      <alignment horizontal="center" vertical="center" wrapText="1"/>
    </xf>
    <xf numFmtId="10" fontId="17" fillId="5" borderId="2" xfId="3" applyNumberFormat="1" applyFont="1" applyFill="1" applyBorder="1" applyAlignment="1">
      <alignment horizontal="center" vertical="center" wrapText="1"/>
    </xf>
    <xf numFmtId="10" fontId="17" fillId="5" borderId="5" xfId="3" applyNumberFormat="1"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4" fillId="12" borderId="5" xfId="0" applyFont="1" applyFill="1" applyBorder="1" applyAlignment="1">
      <alignment horizontal="center" vertical="center" wrapText="1"/>
    </xf>
    <xf numFmtId="166" fontId="17" fillId="5" borderId="19" xfId="2" applyNumberFormat="1" applyFont="1" applyFill="1" applyBorder="1" applyAlignment="1">
      <alignment horizontal="center" vertical="center" wrapText="1"/>
    </xf>
    <xf numFmtId="166" fontId="17" fillId="5" borderId="53" xfId="2" applyNumberFormat="1" applyFont="1" applyFill="1" applyBorder="1" applyAlignment="1">
      <alignment horizontal="center" vertical="center" wrapText="1"/>
    </xf>
    <xf numFmtId="166" fontId="17" fillId="5" borderId="8" xfId="2" applyNumberFormat="1" applyFont="1" applyFill="1" applyBorder="1" applyAlignment="1">
      <alignment horizontal="center" vertical="center" wrapText="1"/>
    </xf>
    <xf numFmtId="166" fontId="17" fillId="5" borderId="54" xfId="2" applyNumberFormat="1" applyFont="1" applyFill="1" applyBorder="1" applyAlignment="1">
      <alignment horizontal="center" vertical="center" wrapText="1"/>
    </xf>
    <xf numFmtId="166" fontId="17" fillId="5" borderId="0" xfId="2" applyNumberFormat="1"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17" fillId="5" borderId="20" xfId="2" applyFont="1" applyFill="1" applyBorder="1" applyAlignment="1">
      <alignment horizontal="center" vertical="center" textRotation="90" wrapText="1"/>
    </xf>
    <xf numFmtId="0" fontId="17" fillId="5" borderId="49" xfId="2" applyFont="1" applyFill="1" applyBorder="1" applyAlignment="1">
      <alignment horizontal="center" vertical="center" textRotation="90" wrapText="1"/>
    </xf>
    <xf numFmtId="0" fontId="17" fillId="5" borderId="0" xfId="2" applyFont="1" applyFill="1" applyBorder="1" applyAlignment="1">
      <alignment horizontal="center" vertical="center" textRotation="90" wrapText="1"/>
    </xf>
    <xf numFmtId="0" fontId="17" fillId="5" borderId="54" xfId="2" applyFont="1" applyFill="1" applyBorder="1" applyAlignment="1">
      <alignment horizontal="center" vertical="center" textRotation="90" wrapText="1"/>
    </xf>
    <xf numFmtId="0" fontId="20" fillId="0" borderId="56" xfId="0" applyFont="1" applyBorder="1" applyAlignment="1">
      <alignment horizontal="center" vertical="center" wrapText="1"/>
    </xf>
    <xf numFmtId="0" fontId="20" fillId="0" borderId="58" xfId="0" applyFont="1" applyBorder="1" applyAlignment="1">
      <alignment horizontal="center" vertical="center" wrapText="1"/>
    </xf>
    <xf numFmtId="0" fontId="20" fillId="10" borderId="56" xfId="0" applyFont="1" applyFill="1" applyBorder="1" applyAlignment="1">
      <alignment horizontal="center" vertical="center" wrapText="1"/>
    </xf>
    <xf numFmtId="0" fontId="20" fillId="10" borderId="57" xfId="0" applyFont="1" applyFill="1" applyBorder="1" applyAlignment="1">
      <alignment horizontal="center" vertical="center" wrapText="1"/>
    </xf>
    <xf numFmtId="0" fontId="20" fillId="10" borderId="58" xfId="0" applyFont="1" applyFill="1" applyBorder="1" applyAlignment="1">
      <alignment horizontal="center" vertical="center" wrapText="1"/>
    </xf>
    <xf numFmtId="0" fontId="20" fillId="0" borderId="57" xfId="0" applyFont="1" applyBorder="1" applyAlignment="1">
      <alignment horizontal="center" vertical="center" wrapText="1"/>
    </xf>
    <xf numFmtId="0" fontId="20" fillId="11" borderId="56" xfId="0" applyFont="1" applyFill="1" applyBorder="1" applyAlignment="1">
      <alignment horizontal="center" vertical="center" wrapText="1"/>
    </xf>
    <xf numFmtId="0" fontId="20" fillId="11" borderId="57" xfId="0" applyFont="1" applyFill="1" applyBorder="1" applyAlignment="1">
      <alignment horizontal="center" vertical="center" wrapText="1"/>
    </xf>
    <xf numFmtId="0" fontId="20" fillId="11" borderId="58" xfId="0" applyFont="1" applyFill="1" applyBorder="1" applyAlignment="1">
      <alignment horizontal="center" vertical="center" wrapText="1"/>
    </xf>
    <xf numFmtId="1" fontId="3" fillId="0" borderId="28"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33"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2" xfId="0" applyFont="1" applyFill="1" applyBorder="1" applyAlignment="1">
      <alignment horizontal="center" vertical="center"/>
    </xf>
    <xf numFmtId="1" fontId="3" fillId="0" borderId="5" xfId="0" applyNumberFormat="1" applyFont="1" applyFill="1" applyBorder="1" applyAlignment="1">
      <alignment horizontal="center" vertical="center" wrapText="1"/>
    </xf>
    <xf numFmtId="1" fontId="3" fillId="9" borderId="28" xfId="0" applyNumberFormat="1" applyFont="1" applyFill="1" applyBorder="1" applyAlignment="1">
      <alignment horizontal="center" vertical="center" wrapText="1"/>
    </xf>
    <xf numFmtId="1" fontId="3" fillId="9" borderId="2" xfId="0" applyNumberFormat="1" applyFont="1" applyFill="1" applyBorder="1" applyAlignment="1">
      <alignment horizontal="center" vertical="center" wrapText="1"/>
    </xf>
    <xf numFmtId="1" fontId="3" fillId="9" borderId="33" xfId="0" applyNumberFormat="1" applyFont="1" applyFill="1" applyBorder="1" applyAlignment="1">
      <alignment horizontal="center" vertical="center" wrapText="1"/>
    </xf>
    <xf numFmtId="166" fontId="11" fillId="5" borderId="2" xfId="2" applyNumberFormat="1" applyFont="1" applyFill="1" applyBorder="1" applyAlignment="1">
      <alignment horizontal="center" vertical="center" wrapText="1"/>
    </xf>
    <xf numFmtId="166" fontId="11" fillId="5" borderId="5" xfId="2" applyNumberFormat="1" applyFont="1" applyFill="1" applyBorder="1" applyAlignment="1">
      <alignment horizontal="center" vertical="center" wrapText="1"/>
    </xf>
    <xf numFmtId="166" fontId="12" fillId="5" borderId="2" xfId="2" applyNumberFormat="1" applyFont="1" applyFill="1" applyBorder="1" applyAlignment="1">
      <alignment horizontal="center" vertical="center" wrapText="1"/>
    </xf>
    <xf numFmtId="166" fontId="12" fillId="4" borderId="2" xfId="2" applyNumberFormat="1" applyFont="1" applyFill="1" applyBorder="1" applyAlignment="1">
      <alignment horizontal="center" vertical="center" wrapText="1"/>
    </xf>
    <xf numFmtId="166" fontId="12" fillId="4" borderId="5" xfId="2" applyNumberFormat="1" applyFont="1" applyFill="1" applyBorder="1" applyAlignment="1">
      <alignment horizontal="center" vertical="center" wrapText="1"/>
    </xf>
    <xf numFmtId="166" fontId="21" fillId="4" borderId="2" xfId="2" applyNumberFormat="1" applyFont="1" applyFill="1" applyBorder="1" applyAlignment="1">
      <alignment horizontal="center" vertical="center" wrapText="1"/>
    </xf>
    <xf numFmtId="166" fontId="21" fillId="4" borderId="5" xfId="2" applyNumberFormat="1" applyFont="1" applyFill="1" applyBorder="1" applyAlignment="1">
      <alignment horizontal="center" vertical="center" wrapText="1"/>
    </xf>
    <xf numFmtId="166" fontId="21" fillId="4" borderId="1" xfId="2" applyNumberFormat="1" applyFont="1" applyFill="1" applyBorder="1" applyAlignment="1">
      <alignment horizontal="center" vertical="center" wrapText="1"/>
    </xf>
    <xf numFmtId="166" fontId="12" fillId="5" borderId="5" xfId="2" applyNumberFormat="1" applyFont="1" applyFill="1" applyBorder="1" applyAlignment="1">
      <alignment horizontal="center" vertical="center" wrapText="1"/>
    </xf>
    <xf numFmtId="166" fontId="21" fillId="5" borderId="2" xfId="2" applyNumberFormat="1" applyFont="1" applyFill="1" applyBorder="1" applyAlignment="1">
      <alignment horizontal="center" vertical="center" wrapText="1"/>
    </xf>
    <xf numFmtId="166" fontId="21" fillId="5" borderId="5" xfId="2" applyNumberFormat="1" applyFont="1" applyFill="1" applyBorder="1" applyAlignment="1">
      <alignment horizontal="center" vertical="center" wrapText="1"/>
    </xf>
    <xf numFmtId="9" fontId="12" fillId="5" borderId="2" xfId="1" applyFont="1" applyFill="1" applyBorder="1" applyAlignment="1">
      <alignment horizontal="center" vertical="center" wrapText="1"/>
    </xf>
    <xf numFmtId="9" fontId="12" fillId="5" borderId="5" xfId="1" applyFont="1" applyFill="1" applyBorder="1" applyAlignment="1">
      <alignment horizontal="center" vertical="center" wrapText="1"/>
    </xf>
    <xf numFmtId="14" fontId="12" fillId="5" borderId="2" xfId="2" applyNumberFormat="1" applyFont="1" applyFill="1" applyBorder="1" applyAlignment="1">
      <alignment horizontal="center" vertical="center" wrapText="1"/>
    </xf>
    <xf numFmtId="14" fontId="12" fillId="5" borderId="5" xfId="2" applyNumberFormat="1" applyFont="1" applyFill="1" applyBorder="1" applyAlignment="1">
      <alignment horizontal="center" vertical="center" wrapText="1"/>
    </xf>
    <xf numFmtId="0" fontId="12" fillId="5" borderId="2" xfId="2" applyNumberFormat="1" applyFont="1" applyFill="1" applyBorder="1" applyAlignment="1">
      <alignment horizontal="center" vertical="center" wrapText="1"/>
    </xf>
    <xf numFmtId="0" fontId="12" fillId="5" borderId="5" xfId="2" applyNumberFormat="1" applyFont="1" applyFill="1" applyBorder="1" applyAlignment="1">
      <alignment horizontal="center" vertical="center" wrapText="1"/>
    </xf>
    <xf numFmtId="166" fontId="31" fillId="5" borderId="2" xfId="2" applyNumberFormat="1" applyFont="1" applyFill="1" applyBorder="1" applyAlignment="1">
      <alignment horizontal="center" vertical="center" wrapText="1"/>
    </xf>
    <xf numFmtId="166" fontId="31" fillId="5" borderId="5" xfId="2" applyNumberFormat="1" applyFont="1" applyFill="1" applyBorder="1" applyAlignment="1">
      <alignment horizontal="center" vertical="center" wrapText="1"/>
    </xf>
    <xf numFmtId="166" fontId="12" fillId="4" borderId="24" xfId="2" applyNumberFormat="1" applyFont="1" applyFill="1" applyBorder="1" applyAlignment="1">
      <alignment horizontal="center" vertical="center" wrapText="1"/>
    </xf>
    <xf numFmtId="1" fontId="3" fillId="0" borderId="25"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4" xfId="0" applyNumberFormat="1" applyFont="1" applyFill="1" applyBorder="1" applyAlignment="1">
      <alignment horizontal="center" vertical="center" wrapText="1"/>
    </xf>
    <xf numFmtId="1" fontId="3" fillId="0" borderId="23" xfId="0" applyNumberFormat="1" applyFont="1" applyFill="1" applyBorder="1" applyAlignment="1">
      <alignment horizontal="center" vertical="center" wrapText="1"/>
    </xf>
    <xf numFmtId="0" fontId="3" fillId="0" borderId="4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9" xfId="0" applyFont="1" applyFill="1" applyBorder="1" applyAlignment="1">
      <alignment horizontal="center" vertical="center"/>
    </xf>
    <xf numFmtId="0" fontId="12" fillId="4" borderId="2" xfId="2" applyNumberFormat="1" applyFont="1" applyFill="1" applyBorder="1" applyAlignment="1">
      <alignment horizontal="center" vertical="center" wrapText="1"/>
    </xf>
    <xf numFmtId="0" fontId="12" fillId="4" borderId="5" xfId="2" applyNumberFormat="1" applyFont="1" applyFill="1" applyBorder="1" applyAlignment="1">
      <alignment horizontal="center" vertical="center" wrapText="1"/>
    </xf>
    <xf numFmtId="166" fontId="12" fillId="4" borderId="1" xfId="2"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43" xfId="0" applyNumberFormat="1" applyFont="1" applyFill="1" applyBorder="1" applyAlignment="1">
      <alignment horizontal="center" vertical="center" wrapText="1"/>
    </xf>
    <xf numFmtId="1" fontId="3" fillId="0" borderId="44" xfId="0" applyNumberFormat="1" applyFont="1" applyFill="1" applyBorder="1" applyAlignment="1">
      <alignment horizontal="center" vertical="center" wrapText="1"/>
    </xf>
    <xf numFmtId="1" fontId="3" fillId="0" borderId="42" xfId="0" applyNumberFormat="1"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1" fontId="3" fillId="0" borderId="36" xfId="0" applyNumberFormat="1" applyFont="1" applyFill="1" applyBorder="1" applyAlignment="1">
      <alignment horizontal="center" vertical="center" wrapText="1"/>
    </xf>
    <xf numFmtId="1" fontId="3" fillId="0" borderId="37" xfId="0" applyNumberFormat="1" applyFont="1" applyFill="1" applyBorder="1" applyAlignment="1">
      <alignment horizontal="center" vertical="center" wrapText="1"/>
    </xf>
    <xf numFmtId="1" fontId="3" fillId="0" borderId="38" xfId="0" applyNumberFormat="1" applyFont="1" applyFill="1" applyBorder="1" applyAlignment="1">
      <alignment horizontal="center" vertical="center" wrapText="1"/>
    </xf>
    <xf numFmtId="166" fontId="23" fillId="4" borderId="5" xfId="2" applyNumberFormat="1" applyFont="1" applyFill="1" applyBorder="1" applyAlignment="1">
      <alignment horizontal="center" vertical="center" wrapText="1"/>
    </xf>
    <xf numFmtId="1" fontId="25" fillId="0" borderId="28" xfId="0" applyNumberFormat="1" applyFont="1" applyFill="1" applyBorder="1" applyAlignment="1">
      <alignment horizontal="center" vertical="center" wrapText="1"/>
    </xf>
    <xf numFmtId="1" fontId="25" fillId="0" borderId="2" xfId="0" applyNumberFormat="1" applyFont="1" applyFill="1" applyBorder="1" applyAlignment="1">
      <alignment horizontal="center" vertical="center" wrapText="1"/>
    </xf>
    <xf numFmtId="1" fontId="25" fillId="0" borderId="33" xfId="0" applyNumberFormat="1" applyFont="1" applyFill="1" applyBorder="1" applyAlignment="1">
      <alignment horizontal="center" vertical="center" wrapText="1"/>
    </xf>
    <xf numFmtId="1" fontId="25" fillId="0" borderId="23" xfId="0" applyNumberFormat="1" applyFont="1" applyFill="1" applyBorder="1" applyAlignment="1">
      <alignment horizontal="center" vertical="center" wrapText="1"/>
    </xf>
    <xf numFmtId="0" fontId="0" fillId="0" borderId="40" xfId="0" applyFill="1" applyBorder="1" applyAlignment="1">
      <alignment horizontal="center" vertical="center" wrapText="1"/>
    </xf>
    <xf numFmtId="0" fontId="0" fillId="0" borderId="59" xfId="0" applyFill="1" applyBorder="1" applyAlignment="1">
      <alignment horizontal="center" vertical="center" wrapText="1"/>
    </xf>
    <xf numFmtId="166" fontId="12" fillId="5" borderId="1" xfId="2" applyNumberFormat="1" applyFont="1" applyFill="1" applyBorder="1" applyAlignment="1">
      <alignment horizontal="center" vertical="center" wrapText="1"/>
    </xf>
  </cellXfs>
  <cellStyles count="64">
    <cellStyle name="60% - Énfasis1" xfId="2" builtinId="32"/>
    <cellStyle name="60% - Énfasis3" xfId="3" builtinId="40"/>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2" xfId="4"/>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Millares [0] 2" xfId="5"/>
    <cellStyle name="Millares 2" xfId="6"/>
    <cellStyle name="Moneda [0] 2" xfId="7"/>
    <cellStyle name="Moneda 2 12 2" xfId="8"/>
    <cellStyle name="Normal" xfId="0" builtinId="0"/>
    <cellStyle name="Normal 11 45 9" xfId="9"/>
    <cellStyle name="Normal 2" xfId="10"/>
    <cellStyle name="Normal 3" xfId="11"/>
    <cellStyle name="Porcentaje" xfId="1" builtinId="5"/>
    <cellStyle name="Porcentual 2" xfId="12"/>
    <cellStyle name="Porcentual 2 2" xfId="13"/>
  </cellStyles>
  <dxfs count="6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patternType="solid">
          <fgColor indexed="64"/>
          <bgColor theme="0" tint="-4.9989318521683403E-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desempate%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VA5_ANI/Downloads/MATRIZ%20TECNICA%20VJ-VGC-023-2015%20NUS9-02-20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0902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EVA3_ANI/AppData/Local/Microsoft/Windows/Temporary%20Internet%20Files/Content.IE5/Q2I7BP33/EVALUACI&#211;N%20DE%20INTERVENTOR&#205;A%20-%20VIAS%20DE%20NUS/Copia%20de%20MATRIZ%20TECNICA%20VJ-VGC-023-2015%20NUS%20(Compilado)%20ANDR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5_ANI/Downloads/MATRIZ%20TECNICA%20VJ-VGC-023-2015%20NUS%20DEFINITIV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prop%2042-4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VA1_ANI/Downloads/MATRIZ%20TECNICA%20VJ-VGC-023-2015%20NUS9-02-201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desemp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17-24%20DESEMP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VA3_ANI/AppData/Local/Microsoft/Windows/Temporary%20Internet%20Files/Content.IE5/R82JMC2U/MATRIZ%20TECNICA%20VJ-VGC-023-2015%20NUS%2011-02-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42-48%20DESEMP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Copia%20de%20MATRIZ%20TECNICA%20VJ-VGC-023-2015%20NUS%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DEFINITIV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20DEFINITIVA%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ramirez/AppData/Local/Microsoft/Windows/Temporary%20Internet%20Files/Content.Outlook/Y2JWMDD0/MATRIZ%20TECNICA%20VJ-VGC-023-2015%20NUS9-0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8."/>
      <sheetName val="EXP ESPEC. 1-8."/>
      <sheetName val="MATRIZ DESEMPATE"/>
      <sheetName val="EXP GEN. 9-16"/>
      <sheetName val="EXP ESPEC. 9 - 16"/>
      <sheetName val="EXP GEN. 17-24"/>
      <sheetName val="EXP ESPEC. 17-24"/>
      <sheetName val="EXP GEN. 25-32"/>
      <sheetName val="EXP ESPEC. 25-32"/>
      <sheetName val="EXP GEN. 33-40"/>
      <sheetName val="EXP ESPEC. 33-40"/>
      <sheetName val="EXP GEN. 41-50"/>
      <sheetName val="EXP ESPEC. 41-50"/>
      <sheetName val="DESEMPATE"/>
    </sheetNames>
    <sheetDataSet>
      <sheetData sheetId="0" refreshError="1"/>
      <sheetData sheetId="1" refreshError="1"/>
      <sheetData sheetId="2">
        <row r="3">
          <cell r="U3">
            <v>6287.228457399232</v>
          </cell>
        </row>
        <row r="4">
          <cell r="U4">
            <v>16671.569818932901</v>
          </cell>
        </row>
        <row r="5">
          <cell r="U5">
            <v>3816.7756618181825</v>
          </cell>
        </row>
        <row r="6">
          <cell r="U6">
            <v>10431.770307224026</v>
          </cell>
        </row>
        <row r="8">
          <cell r="U8">
            <v>8547.7715941385432</v>
          </cell>
        </row>
        <row r="9">
          <cell r="U9">
            <v>5579.2003582142224</v>
          </cell>
        </row>
        <row r="10">
          <cell r="U10">
            <v>11887.450734073096</v>
          </cell>
        </row>
        <row r="11">
          <cell r="U11">
            <v>21960.584908858302</v>
          </cell>
        </row>
        <row r="12">
          <cell r="U12">
            <v>9859.9272042332213</v>
          </cell>
        </row>
        <row r="13">
          <cell r="U13">
            <v>8158.74</v>
          </cell>
        </row>
        <row r="14">
          <cell r="U14">
            <v>2768.1380448208929</v>
          </cell>
        </row>
        <row r="15">
          <cell r="U15">
            <v>5447.5800378640779</v>
          </cell>
        </row>
        <row r="16">
          <cell r="U16">
            <v>2454.9580197222781</v>
          </cell>
        </row>
        <row r="17">
          <cell r="U17">
            <v>2968.6105394402034</v>
          </cell>
        </row>
        <row r="18">
          <cell r="U18">
            <v>2876.5870933298042</v>
          </cell>
        </row>
        <row r="19">
          <cell r="U19">
            <v>3760.5458848039216</v>
          </cell>
        </row>
        <row r="20">
          <cell r="U20">
            <v>3679.6090194577728</v>
          </cell>
        </row>
        <row r="21">
          <cell r="U21">
            <v>8524.6732916355486</v>
          </cell>
        </row>
        <row r="22">
          <cell r="U22">
            <v>17768.923519875207</v>
          </cell>
        </row>
        <row r="23">
          <cell r="U23">
            <v>5772.3083124721206</v>
          </cell>
        </row>
        <row r="24">
          <cell r="U24">
            <v>5114.6891620147171</v>
          </cell>
        </row>
        <row r="25">
          <cell r="U25">
            <v>4631.0972824869305</v>
          </cell>
        </row>
        <row r="26">
          <cell r="U26">
            <v>2786.4638932257317</v>
          </cell>
        </row>
        <row r="27">
          <cell r="U27">
            <v>8743.5463166595619</v>
          </cell>
        </row>
        <row r="28">
          <cell r="U28">
            <v>4260.5268880241447</v>
          </cell>
        </row>
        <row r="29">
          <cell r="U29">
            <v>4657.5619961165048</v>
          </cell>
        </row>
        <row r="30">
          <cell r="U30">
            <v>10806.953213315746</v>
          </cell>
        </row>
        <row r="31">
          <cell r="U31">
            <v>3040.6323847402596</v>
          </cell>
        </row>
        <row r="32">
          <cell r="U32">
            <v>5491.6768777838133</v>
          </cell>
        </row>
        <row r="33">
          <cell r="U33">
            <v>3328.1616928990302</v>
          </cell>
        </row>
        <row r="34">
          <cell r="U34">
            <v>4440.288838424166</v>
          </cell>
        </row>
        <row r="35">
          <cell r="U35">
            <v>4085.1771588203515</v>
          </cell>
        </row>
        <row r="36">
          <cell r="U36">
            <v>4948.0507270200296</v>
          </cell>
        </row>
        <row r="39">
          <cell r="U39">
            <v>2693.1876899696049</v>
          </cell>
        </row>
        <row r="40">
          <cell r="U40">
            <v>3242.789290780142</v>
          </cell>
        </row>
        <row r="41">
          <cell r="U41">
            <v>4241.479805101143</v>
          </cell>
        </row>
        <row r="42">
          <cell r="U42">
            <v>5447.5800378640779</v>
          </cell>
        </row>
        <row r="43">
          <cell r="U43">
            <v>4326.2347368506498</v>
          </cell>
        </row>
      </sheetData>
      <sheetData sheetId="3">
        <row r="3">
          <cell r="W3">
            <v>3816.7756618181825</v>
          </cell>
        </row>
        <row r="4">
          <cell r="W4">
            <v>10431.770307224026</v>
          </cell>
        </row>
        <row r="5">
          <cell r="W5">
            <v>13059.04594043137</v>
          </cell>
        </row>
        <row r="6">
          <cell r="W6">
            <v>4621.8066493665046</v>
          </cell>
        </row>
        <row r="7">
          <cell r="W7">
            <v>8547.7715941385432</v>
          </cell>
        </row>
        <row r="8">
          <cell r="W8">
            <v>5579.2003582142224</v>
          </cell>
        </row>
        <row r="9">
          <cell r="W9">
            <v>11887.450734073096</v>
          </cell>
        </row>
        <row r="10">
          <cell r="W10">
            <v>21960.584908858302</v>
          </cell>
        </row>
        <row r="11">
          <cell r="W11">
            <v>8158.74</v>
          </cell>
        </row>
        <row r="12">
          <cell r="W12">
            <v>2768.1380448208929</v>
          </cell>
        </row>
        <row r="13">
          <cell r="W13">
            <v>5447.5800378640779</v>
          </cell>
        </row>
        <row r="14">
          <cell r="W14">
            <v>2454.9580197222781</v>
          </cell>
        </row>
        <row r="15">
          <cell r="W15">
            <v>3760.5458848039216</v>
          </cell>
        </row>
        <row r="16">
          <cell r="W16">
            <v>8524.6732916355486</v>
          </cell>
        </row>
        <row r="17">
          <cell r="W17">
            <v>11414.481608450702</v>
          </cell>
        </row>
        <row r="18">
          <cell r="W18">
            <v>3944.8275169635745</v>
          </cell>
        </row>
        <row r="19">
          <cell r="W19">
            <v>6799.6596234948538</v>
          </cell>
        </row>
        <row r="20">
          <cell r="W20">
            <v>5114.6891620147171</v>
          </cell>
        </row>
        <row r="21">
          <cell r="W21">
            <v>4631.0972824869305</v>
          </cell>
        </row>
        <row r="22">
          <cell r="W22">
            <v>2786.4638932257317</v>
          </cell>
        </row>
        <row r="23">
          <cell r="W23">
            <v>4657.5619961165048</v>
          </cell>
        </row>
        <row r="24">
          <cell r="W24">
            <v>10806.953213315746</v>
          </cell>
        </row>
        <row r="25">
          <cell r="W25">
            <v>3040.6323847402596</v>
          </cell>
        </row>
        <row r="26">
          <cell r="W26">
            <v>5491.6768777838133</v>
          </cell>
        </row>
        <row r="27">
          <cell r="W27">
            <v>4440.288838424166</v>
          </cell>
        </row>
        <row r="28">
          <cell r="W28">
            <v>4085.1771588203515</v>
          </cell>
        </row>
        <row r="29">
          <cell r="W29">
            <v>4948.0507270200296</v>
          </cell>
        </row>
        <row r="31">
          <cell r="W31">
            <v>2693.1876899696049</v>
          </cell>
        </row>
        <row r="32">
          <cell r="W32">
            <v>3242.789290780142</v>
          </cell>
        </row>
        <row r="33">
          <cell r="W33">
            <v>3868.9687670454546</v>
          </cell>
        </row>
        <row r="34">
          <cell r="W34">
            <v>4326.2347368506498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7-24"/>
      <sheetName val="EXP ESPEC. 17-24"/>
      <sheetName val="DESEMPATE"/>
      <sheetName val="EXP ESPEC. 41"/>
    </sheetNames>
    <sheetDataSet>
      <sheetData sheetId="0" refreshError="1">
        <row r="4">
          <cell r="C4" t="str">
            <v>P01-01</v>
          </cell>
          <cell r="D4" t="str">
            <v>LKS COLOMBIA S.A.S.</v>
          </cell>
        </row>
        <row r="5">
          <cell r="C5" t="str">
            <v>P01-02</v>
          </cell>
          <cell r="D5" t="str">
            <v>NOGALL S.A.</v>
          </cell>
        </row>
        <row r="6">
          <cell r="C6" t="str">
            <v>P01-03</v>
          </cell>
          <cell r="D6" t="str">
            <v>CGR S.A.S.</v>
          </cell>
        </row>
        <row r="7">
          <cell r="C7" t="str">
            <v>P02-01</v>
          </cell>
          <cell r="D7" t="str">
            <v xml:space="preserve">AFA CONSULTORES Y CONSTRUCTORES S.A  E.S.P. </v>
          </cell>
        </row>
        <row r="8">
          <cell r="C8" t="str">
            <v>P02-02</v>
          </cell>
          <cell r="D8" t="str">
            <v xml:space="preserve">INCGROUP S.A.S </v>
          </cell>
        </row>
        <row r="9">
          <cell r="C9" t="str">
            <v>P03-01</v>
          </cell>
          <cell r="D9" t="str">
            <v>INGENIEROS CIVILES ESPECIALISTAS LTDA</v>
          </cell>
        </row>
        <row r="10">
          <cell r="C10" t="str">
            <v>P03-02</v>
          </cell>
          <cell r="D10" t="str">
            <v>INGENIERIA DE PROYECTOS S.A.S.</v>
          </cell>
        </row>
        <row r="11">
          <cell r="C11" t="str">
            <v>P04-01</v>
          </cell>
          <cell r="D11" t="str">
            <v>CONSULTORIA INTOK DE COLOMBIA Y ASOCIADOS S.A.S.</v>
          </cell>
        </row>
        <row r="12">
          <cell r="C12" t="str">
            <v>P04-02</v>
          </cell>
          <cell r="D12" t="str">
            <v>GOMEZ CAJIAO Y ASOCIADOS S.A.</v>
          </cell>
        </row>
        <row r="13">
          <cell r="C13" t="str">
            <v>P05-01</v>
          </cell>
          <cell r="D13" t="str">
            <v>ICEACSA CONSULTORES SUCURSAL COLOMBIA</v>
          </cell>
        </row>
        <row r="14">
          <cell r="C14" t="str">
            <v>P05-02</v>
          </cell>
          <cell r="D14" t="str">
            <v>GEOTECNIA Y CIMIENTOS INGEOCIM S.A.S.</v>
          </cell>
        </row>
        <row r="15">
          <cell r="C15" t="str">
            <v>P06-01</v>
          </cell>
          <cell r="D15" t="str">
            <v>VELNEC S.A.</v>
          </cell>
        </row>
        <row r="16">
          <cell r="C16" t="str">
            <v>P06-02</v>
          </cell>
          <cell r="D16" t="str">
            <v>CONSULTORES INTERVENTORES COLOMBIANOS S.A.S.  - CONCIC S.A.S.</v>
          </cell>
        </row>
        <row r="17">
          <cell r="C17" t="str">
            <v>P07-01</v>
          </cell>
          <cell r="D17" t="str">
            <v>SERTIC S.A.S.</v>
          </cell>
        </row>
        <row r="18">
          <cell r="C18" t="str">
            <v>P07-02</v>
          </cell>
          <cell r="D18" t="str">
            <v>CPS INGENIEROS OBRA CIVIL Y MEDIO AMBIENTE SUCURSAL COLOMBIA SL</v>
          </cell>
        </row>
        <row r="19">
          <cell r="C19" t="str">
            <v>P08-01</v>
          </cell>
          <cell r="D19" t="str">
            <v>INGENOBRAS CONSTRUCCIONES Y CONSULTORIA S.A.S. - INGENOBRAS S.A.S.</v>
          </cell>
        </row>
        <row r="20">
          <cell r="C20" t="str">
            <v>P08-02</v>
          </cell>
          <cell r="D20" t="str">
            <v>JOSE MANUEL GUARDO POLO</v>
          </cell>
        </row>
        <row r="21">
          <cell r="C21" t="str">
            <v>P09-01</v>
          </cell>
          <cell r="D21" t="str">
            <v>ARREDONDO MADRID INGENIEROS CIVILES (AIM ) LIMITADA</v>
          </cell>
        </row>
        <row r="22">
          <cell r="C22" t="str">
            <v>P09-02</v>
          </cell>
          <cell r="D22" t="str">
            <v>INGENIERIA INTEGRAL DE OBRAS INGEOBRAS S.A.S.</v>
          </cell>
        </row>
        <row r="23">
          <cell r="C23" t="str">
            <v>P10-01</v>
          </cell>
          <cell r="D23" t="str">
            <v xml:space="preserve">GETINSA INGENIERIA SL SUCURSAL COLOMBIA </v>
          </cell>
        </row>
        <row r="24">
          <cell r="C24" t="str">
            <v>P10-02</v>
          </cell>
          <cell r="D24" t="str">
            <v xml:space="preserve">EUROESTUDIOS INGENIEROS DE CONSULTA S.A.S. </v>
          </cell>
        </row>
        <row r="25">
          <cell r="C25" t="str">
            <v>P11-01</v>
          </cell>
          <cell r="D25" t="str">
            <v>INGENIERIA Y CONSULTORIA INGECON S.A.S.</v>
          </cell>
        </row>
        <row r="26">
          <cell r="C26" t="str">
            <v>P11-02</v>
          </cell>
          <cell r="D26" t="str">
            <v>CONSULTORIA INTEGRAL EN INGENIERIA S.A. DE CV</v>
          </cell>
        </row>
        <row r="27">
          <cell r="C27" t="str">
            <v>P12-01</v>
          </cell>
          <cell r="D27" t="str">
            <v>PROYECTOS E INTERVENTORIAS LIMITADA</v>
          </cell>
        </row>
        <row r="28">
          <cell r="C28" t="str">
            <v>P12-02</v>
          </cell>
          <cell r="D28" t="str">
            <v>INENIERA DE ESTUDIOS Y ASESORIAS S.A.S. INESAS</v>
          </cell>
        </row>
        <row r="29">
          <cell r="C29" t="str">
            <v>P13-01</v>
          </cell>
          <cell r="D29" t="str">
            <v>COMPAÑÍA COLOMBIANA DE CONSULTORES S.A.S. (CCC)</v>
          </cell>
        </row>
        <row r="30">
          <cell r="C30" t="str">
            <v>P13-02</v>
          </cell>
          <cell r="D30" t="str">
            <v>CONSULTORES EN INGENIERIA S.A.S.</v>
          </cell>
        </row>
        <row r="31">
          <cell r="C31" t="str">
            <v>P14-01</v>
          </cell>
          <cell r="D31" t="str">
            <v>SEDIC</v>
          </cell>
        </row>
        <row r="32">
          <cell r="C32" t="str">
            <v>P14-02</v>
          </cell>
          <cell r="D32" t="str">
            <v>CB INGENIEROS</v>
          </cell>
        </row>
        <row r="33">
          <cell r="C33" t="str">
            <v>P15-01</v>
          </cell>
          <cell r="D33" t="str">
            <v>CEMOSA (COLOMBIA)</v>
          </cell>
        </row>
        <row r="34">
          <cell r="C34" t="str">
            <v>P15-02</v>
          </cell>
          <cell r="D34" t="str">
            <v>INGENIERIA Y DESARROLLO XIMA DE COLOMBIA S.A.S.</v>
          </cell>
        </row>
        <row r="35">
          <cell r="C35" t="str">
            <v>P16-01</v>
          </cell>
          <cell r="D35" t="str">
            <v>SUPERING S.A.S.</v>
          </cell>
        </row>
        <row r="36">
          <cell r="C36" t="str">
            <v>P17-01</v>
          </cell>
          <cell r="D36" t="str">
            <v>INZETT S.A.S.</v>
          </cell>
        </row>
        <row r="37">
          <cell r="C37" t="str">
            <v>P17-02</v>
          </cell>
          <cell r="D37" t="str">
            <v>CIVING INGENIEROS CONTRATISTAS S EN C</v>
          </cell>
        </row>
        <row r="38">
          <cell r="C38" t="str">
            <v>P17-03</v>
          </cell>
          <cell r="D38" t="str">
            <v>J FELIPE ARDILA V &amp; CIA S.A.S.</v>
          </cell>
        </row>
        <row r="39">
          <cell r="C39" t="str">
            <v>P18-01</v>
          </cell>
          <cell r="D39" t="str">
            <v>GRUPO POSSO S.A.S.</v>
          </cell>
        </row>
        <row r="40">
          <cell r="C40" t="str">
            <v>P18-02</v>
          </cell>
          <cell r="D40" t="str">
            <v>GINPROSA COLOMBIA S.A.S.</v>
          </cell>
        </row>
        <row r="41">
          <cell r="C41" t="str">
            <v>P18-03</v>
          </cell>
          <cell r="D41" t="str">
            <v>C &amp; M CONSULTORES  S.A.</v>
          </cell>
        </row>
        <row r="42">
          <cell r="C42" t="str">
            <v>P19-01</v>
          </cell>
          <cell r="D42" t="str">
            <v>GRUPO METRO COLOMBIA (GMC INGENIEROS S.A.)</v>
          </cell>
        </row>
        <row r="43">
          <cell r="C43" t="str">
            <v>P19-02</v>
          </cell>
          <cell r="D43" t="str">
            <v>GC&amp;Q INGENIEROS CONSULTORES S.A.S.</v>
          </cell>
        </row>
        <row r="44">
          <cell r="C44" t="str">
            <v>P20-01</v>
          </cell>
          <cell r="D44" t="str">
            <v>IV INGENIEROS CONSULTORES E INTERVENTOR S.A.S.</v>
          </cell>
        </row>
        <row r="45">
          <cell r="C45" t="str">
            <v>P20-02</v>
          </cell>
          <cell r="D45" t="str">
            <v>CELQO S.A.S.</v>
          </cell>
        </row>
        <row r="46">
          <cell r="C46" t="str">
            <v>P20-03</v>
          </cell>
          <cell r="D46" t="str">
            <v>ALPHA GRUPO CONSULTOR S.AS</v>
          </cell>
        </row>
        <row r="47">
          <cell r="C47" t="str">
            <v>P21-01</v>
          </cell>
          <cell r="D47" t="str">
            <v>BAG ENGINEERING CONSULTANCY GROUP S.A.S.</v>
          </cell>
        </row>
        <row r="48">
          <cell r="C48" t="str">
            <v>P21-02</v>
          </cell>
          <cell r="D48" t="str">
            <v>INGENIEROS PROYECTOS CONSULTORIAS IPC S.A.S.</v>
          </cell>
        </row>
        <row r="49">
          <cell r="C49" t="str">
            <v>P22-01</v>
          </cell>
          <cell r="D49" t="str">
            <v>DIEGO FERNANDO FONSECA CHAVES</v>
          </cell>
        </row>
        <row r="50">
          <cell r="C50" t="str">
            <v>P22-02</v>
          </cell>
          <cell r="D50" t="str">
            <v>B&amp;C S.A.</v>
          </cell>
        </row>
        <row r="51">
          <cell r="C51" t="str">
            <v>P23-01</v>
          </cell>
          <cell r="D51" t="str">
            <v>INTERVENTORIAS Y DISEÑOS S.A.</v>
          </cell>
        </row>
        <row r="52">
          <cell r="C52" t="str">
            <v>P23-02</v>
          </cell>
          <cell r="D52" t="str">
            <v>ESTRUCTURADOR COLOMBIA S.A.S.</v>
          </cell>
        </row>
        <row r="53">
          <cell r="C53" t="str">
            <v>P24-01</v>
          </cell>
          <cell r="D53" t="str">
            <v>GRUSAMAR INGENIERIA Y CONSULTING SL SUCURSAL EN COLOMBIA</v>
          </cell>
        </row>
        <row r="54">
          <cell r="C54" t="str">
            <v>P24-02</v>
          </cell>
          <cell r="D54" t="str">
            <v>JUAN AMADO LIZARAZO</v>
          </cell>
        </row>
        <row r="55">
          <cell r="C55" t="str">
            <v>P25-01</v>
          </cell>
          <cell r="D55" t="str">
            <v>JOYCO</v>
          </cell>
        </row>
        <row r="56">
          <cell r="C56" t="str">
            <v>P26-01</v>
          </cell>
          <cell r="D56" t="str">
            <v>INGEANDINA CONSULTORES DE INGENIERIA S.A.S.</v>
          </cell>
        </row>
        <row r="57">
          <cell r="C57" t="str">
            <v>P26-02</v>
          </cell>
          <cell r="D57" t="str">
            <v>APPLUS NORCONTROL CONSULTORIA E INGENIERIA S.A.S.</v>
          </cell>
        </row>
        <row r="58">
          <cell r="C58" t="str">
            <v>P27-01</v>
          </cell>
          <cell r="D58" t="str">
            <v>CONSTRUCTORA A &amp; C SOCIEDAD ANONIMA</v>
          </cell>
        </row>
        <row r="59">
          <cell r="C59" t="str">
            <v>P27-02</v>
          </cell>
          <cell r="D59" t="str">
            <v>COPEBA LTDA</v>
          </cell>
        </row>
        <row r="60">
          <cell r="C60" t="str">
            <v>P27-03</v>
          </cell>
          <cell r="D60" t="str">
            <v>GERMAN BALLESTAS BERDEJO</v>
          </cell>
        </row>
        <row r="61">
          <cell r="C61" t="str">
            <v>P28-01</v>
          </cell>
          <cell r="D61" t="str">
            <v>AYESA COLOMBIA INGENIERIA Y ARQUITECTURA S.A.S.</v>
          </cell>
        </row>
        <row r="62">
          <cell r="C62" t="str">
            <v>P28-02</v>
          </cell>
        </row>
        <row r="63">
          <cell r="C63" t="str">
            <v>P29-01</v>
          </cell>
          <cell r="D63" t="str">
            <v>PROYECTOS CONSTRUCCIONES CIVILES Y VIALES LIMITADA</v>
          </cell>
        </row>
        <row r="64">
          <cell r="C64" t="str">
            <v>P29-02</v>
          </cell>
          <cell r="D64" t="str">
            <v>CAYCO S.A.S.</v>
          </cell>
        </row>
        <row r="65">
          <cell r="C65" t="str">
            <v>P30-01</v>
          </cell>
          <cell r="D65" t="str">
            <v>PROGIN SPA</v>
          </cell>
        </row>
        <row r="66">
          <cell r="C66" t="str">
            <v>P30-02</v>
          </cell>
          <cell r="D66" t="str">
            <v>D &amp; B INGENIEROS CIVILES S.A.S.</v>
          </cell>
        </row>
        <row r="67">
          <cell r="C67" t="str">
            <v>P30-03</v>
          </cell>
          <cell r="D67" t="str">
            <v>INYPSA INFORMES Y PROYECTOS COLOMBIA S.A.S.</v>
          </cell>
        </row>
        <row r="68">
          <cell r="C68" t="str">
            <v>P31-01</v>
          </cell>
          <cell r="D68" t="str">
            <v>EUROCONTROL S.A.</v>
          </cell>
        </row>
        <row r="69">
          <cell r="C69" t="str">
            <v>P31-02</v>
          </cell>
          <cell r="D69" t="str">
            <v>TOP SUELOS INGENIERIA S.A.S.</v>
          </cell>
        </row>
        <row r="70">
          <cell r="C70" t="str">
            <v>P31-03</v>
          </cell>
          <cell r="D70" t="str">
            <v>GARPER INGENIERÍA CIA S.A.S.</v>
          </cell>
        </row>
        <row r="71">
          <cell r="C71" t="str">
            <v>P32-01</v>
          </cell>
          <cell r="D71" t="str">
            <v>SERVICIOS DE INGENIERIA Y CONSTRUCCION LIMITADA "SERVINC LTDA"</v>
          </cell>
        </row>
        <row r="72">
          <cell r="C72" t="str">
            <v>P32-02</v>
          </cell>
          <cell r="D72" t="str">
            <v>VQM S.A.S.</v>
          </cell>
        </row>
        <row r="73">
          <cell r="C73" t="str">
            <v>P33-01</v>
          </cell>
          <cell r="D73" t="str">
            <v>GIC GERENCIA INTERVENTORIA Y CONSULTORIA S.A.S.</v>
          </cell>
        </row>
        <row r="74">
          <cell r="C74" t="str">
            <v>P33-02</v>
          </cell>
          <cell r="D74" t="str">
            <v>CONSULTORES UNIDOS S.A.</v>
          </cell>
        </row>
        <row r="75">
          <cell r="C75" t="str">
            <v>P34-01</v>
          </cell>
          <cell r="D75" t="str">
            <v>MAB INGENIERIA DE VALOR S.A.</v>
          </cell>
        </row>
        <row r="76">
          <cell r="C76" t="str">
            <v>P34-02</v>
          </cell>
          <cell r="D76" t="str">
            <v>MAB SERVICIOS S.A.S.</v>
          </cell>
        </row>
        <row r="77">
          <cell r="C77" t="str">
            <v>P35-01</v>
          </cell>
          <cell r="D77" t="str">
            <v>PABLO EMILIO BRAVO CONSULTORES S.A.S</v>
          </cell>
        </row>
        <row r="78">
          <cell r="C78" t="str">
            <v>P35-02</v>
          </cell>
          <cell r="D78" t="str">
            <v>ESTUDIOS TECNICOS S.A.S.</v>
          </cell>
        </row>
        <row r="79">
          <cell r="C79" t="str">
            <v>P35-03</v>
          </cell>
          <cell r="D79" t="str">
            <v>SIGA INGENIERIA Y CONSULTORIA S.A. SUCURSAL COLOMBIA</v>
          </cell>
        </row>
        <row r="80">
          <cell r="C80" t="str">
            <v>P36-01</v>
          </cell>
          <cell r="D80" t="str">
            <v>CONSULTORES DE INGENIERIA UG 21 SL SUCURSAL</v>
          </cell>
        </row>
        <row r="81">
          <cell r="C81" t="str">
            <v>P36-02</v>
          </cell>
          <cell r="D81" t="str">
            <v>ARDANUY COLOMBIA S.A.S.</v>
          </cell>
        </row>
        <row r="82">
          <cell r="C82" t="str">
            <v>P36-03</v>
          </cell>
          <cell r="D82" t="str">
            <v>GNC INGENIERIA S.A.S.</v>
          </cell>
        </row>
        <row r="83">
          <cell r="C83" t="str">
            <v>P37-01</v>
          </cell>
          <cell r="D83" t="str">
            <v>ETA S.A.</v>
          </cell>
        </row>
        <row r="84">
          <cell r="C84" t="str">
            <v>P37-02</v>
          </cell>
          <cell r="D84" t="str">
            <v>INTERPRO S.A.S.</v>
          </cell>
        </row>
        <row r="85">
          <cell r="C85" t="str">
            <v>P38-01</v>
          </cell>
          <cell r="D85" t="str">
            <v>SERINCO COLOMBIA</v>
          </cell>
        </row>
        <row r="86">
          <cell r="C86" t="str">
            <v>P38-02</v>
          </cell>
          <cell r="D86" t="str">
            <v>DICONSULTORIA S.A.</v>
          </cell>
        </row>
        <row r="87">
          <cell r="C87" t="str">
            <v>P39-01</v>
          </cell>
          <cell r="D87" t="str">
            <v>SMA S.A.</v>
          </cell>
        </row>
        <row r="88">
          <cell r="C88" t="str">
            <v>P39-02</v>
          </cell>
          <cell r="D88" t="str">
            <v>WSP SERVICIOS S.A.S.</v>
          </cell>
        </row>
        <row r="89">
          <cell r="C89" t="str">
            <v>P40-01</v>
          </cell>
          <cell r="D89" t="str">
            <v>PLANES S.A.</v>
          </cell>
        </row>
        <row r="90">
          <cell r="C90" t="str">
            <v>P40-02</v>
          </cell>
          <cell r="D90" t="str">
            <v>HIDROCONSULTA S.A.S.</v>
          </cell>
        </row>
        <row r="91">
          <cell r="C91" t="str">
            <v>P41-01</v>
          </cell>
          <cell r="D91" t="str">
            <v>BATEMAN INGENIERIA S.A.</v>
          </cell>
        </row>
        <row r="92">
          <cell r="C92" t="str">
            <v>P41-02</v>
          </cell>
          <cell r="D92" t="str">
            <v>ECOVIAS S.A.S.</v>
          </cell>
        </row>
        <row r="93">
          <cell r="C93" t="str">
            <v>P42-01</v>
          </cell>
          <cell r="D93" t="str">
            <v>3 B PROYECTOS S.A.S.</v>
          </cell>
        </row>
        <row r="94">
          <cell r="C94" t="str">
            <v>P43-01</v>
          </cell>
          <cell r="D94" t="str">
            <v>INRAESTRUCTURA INTEGRAL S.A.S.</v>
          </cell>
        </row>
        <row r="95">
          <cell r="C95" t="str">
            <v>P43-02</v>
          </cell>
          <cell r="D95" t="str">
            <v>CANO JIMENEZ ESTUDIOS S.A.</v>
          </cell>
        </row>
        <row r="96">
          <cell r="C96" t="str">
            <v>P44-01</v>
          </cell>
          <cell r="D96" t="str">
            <v>CONSULTORES TECNICOS Y ECONOMICOS S.A.</v>
          </cell>
        </row>
        <row r="97">
          <cell r="C97" t="str">
            <v>P44-02</v>
          </cell>
          <cell r="D97" t="str">
            <v>CONSULTORES E INTERVENTORES TECNICOS S.A.S</v>
          </cell>
        </row>
        <row r="98">
          <cell r="C98" t="str">
            <v>P45-01</v>
          </cell>
          <cell r="D98" t="str">
            <v>INTEGRAL DISEÑOS E INTERVENTORIA S.A.S.</v>
          </cell>
        </row>
        <row r="99">
          <cell r="C99" t="str">
            <v>P46-01</v>
          </cell>
          <cell r="D99" t="str">
            <v>INGETEC G &amp; C</v>
          </cell>
        </row>
        <row r="100">
          <cell r="C100" t="str">
            <v>P46-02</v>
          </cell>
          <cell r="D100" t="str">
            <v>CEAS</v>
          </cell>
        </row>
        <row r="101">
          <cell r="C101" t="str">
            <v>P47-01</v>
          </cell>
          <cell r="D101" t="str">
            <v>INGENIERIA CONSULTORIA Y PLANEACION S.A. INCOPLAN S.A.</v>
          </cell>
        </row>
        <row r="102">
          <cell r="C102" t="str">
            <v>P47-02</v>
          </cell>
          <cell r="D102" t="str">
            <v>SONDEOS ESTRUCTURAS Y GEOTECNIA SUCURSAL S.A.</v>
          </cell>
        </row>
        <row r="103">
          <cell r="C103" t="str">
            <v>P48-01</v>
          </cell>
          <cell r="D103" t="str">
            <v>HMV CONSULTORIA</v>
          </cell>
        </row>
        <row r="104">
          <cell r="C104" t="str">
            <v>P49-01</v>
          </cell>
          <cell r="D104" t="str">
            <v>LA VIALIDAD LIMITADA</v>
          </cell>
        </row>
        <row r="105">
          <cell r="C105" t="str">
            <v>P49-02</v>
          </cell>
          <cell r="D105" t="str">
            <v>ARENAS DE LA HOZ CONSULTORES S.A.S.</v>
          </cell>
        </row>
        <row r="106">
          <cell r="C106" t="str">
            <v>P49-03</v>
          </cell>
          <cell r="D106" t="str">
            <v>SILVA CARREÑO Y ASOCIADOS S.A.S.</v>
          </cell>
        </row>
        <row r="107">
          <cell r="C107" t="str">
            <v>P50-01</v>
          </cell>
          <cell r="D107" t="str">
            <v>TECNOLOGIAS Y CONSULTORIAS AMBIENTALES Y GESTION S.A.</v>
          </cell>
        </row>
        <row r="108">
          <cell r="C108" t="str">
            <v>P50-02</v>
          </cell>
          <cell r="D108" t="str">
            <v>PROYECTOS TECNICOS DE COLOMBIA</v>
          </cell>
        </row>
        <row r="109">
          <cell r="C109" t="str">
            <v>P50-03</v>
          </cell>
          <cell r="D109" t="str">
            <v>HORACIO FRANCISCO MENDOZA MARTINEZ</v>
          </cell>
        </row>
      </sheetData>
      <sheetData sheetId="1" refreshError="1">
        <row r="5">
          <cell r="D5">
            <v>1931.0428561832061</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row r="35">
          <cell r="B35" t="str">
            <v>P24-01</v>
          </cell>
        </row>
      </sheetData>
      <sheetData sheetId="3" refreshError="1">
        <row r="31">
          <cell r="B31" t="str">
            <v>P24-01</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25-32"/>
      <sheetName val="EXP ESPEC. 25-32"/>
      <sheetName val="EXP G. 1-8"/>
      <sheetName val="EXP G. 9-16"/>
      <sheetName val="EXP G. 17-24"/>
      <sheetName val="EXP G.41-50"/>
      <sheetName val="DESEMPATE"/>
    </sheetNames>
    <sheetDataSet>
      <sheetData sheetId="0" refreshError="1">
        <row r="4">
          <cell r="C4" t="str">
            <v>P01-01</v>
          </cell>
          <cell r="D4" t="str">
            <v>LKS COLOMBIA S.A.S.</v>
          </cell>
        </row>
        <row r="5">
          <cell r="C5" t="str">
            <v>P01-02</v>
          </cell>
          <cell r="D5" t="str">
            <v>NOGALL S.A.</v>
          </cell>
        </row>
        <row r="6">
          <cell r="C6" t="str">
            <v>P01-03</v>
          </cell>
          <cell r="D6" t="str">
            <v>CGR S.A.S.</v>
          </cell>
        </row>
        <row r="7">
          <cell r="C7" t="str">
            <v>P02-01</v>
          </cell>
          <cell r="D7" t="str">
            <v xml:space="preserve">AFA CONSULTORES Y CONSTRUCTORES S.A  E.S.P. </v>
          </cell>
        </row>
        <row r="8">
          <cell r="C8" t="str">
            <v>P02-02</v>
          </cell>
          <cell r="D8" t="str">
            <v xml:space="preserve">INCGROUP S.A.S </v>
          </cell>
        </row>
        <row r="9">
          <cell r="C9" t="str">
            <v>P03-01</v>
          </cell>
          <cell r="D9" t="str">
            <v>INGENIEROS CIVILES ESPECIALISTAS LTDA</v>
          </cell>
        </row>
        <row r="10">
          <cell r="C10" t="str">
            <v>P03-02</v>
          </cell>
          <cell r="D10" t="str">
            <v>INGENIERIA DE PROYECTOS S.A.S.</v>
          </cell>
        </row>
        <row r="11">
          <cell r="C11" t="str">
            <v>P04-01</v>
          </cell>
          <cell r="D11" t="str">
            <v>CONSULTORIA INTOK DE COLOMBIA Y ASOCIADOS S.A.S.</v>
          </cell>
        </row>
        <row r="12">
          <cell r="C12" t="str">
            <v>P04-02</v>
          </cell>
          <cell r="D12" t="str">
            <v>GOMEZ CAJIAO Y ASOCIADOS S.A.</v>
          </cell>
        </row>
        <row r="13">
          <cell r="C13" t="str">
            <v>P05-01</v>
          </cell>
          <cell r="D13" t="str">
            <v>ICEACSA CONSULTORES SUCURSAL COLOMBIA</v>
          </cell>
        </row>
        <row r="14">
          <cell r="C14" t="str">
            <v>P05-02</v>
          </cell>
          <cell r="D14" t="str">
            <v>GEOTECNIA Y CIMIENTOS INGEOCIM S.A.S.</v>
          </cell>
        </row>
        <row r="15">
          <cell r="C15" t="str">
            <v>P06-01</v>
          </cell>
          <cell r="D15" t="str">
            <v>VELNEC S.A.</v>
          </cell>
        </row>
        <row r="16">
          <cell r="C16" t="str">
            <v>P06-02</v>
          </cell>
          <cell r="D16" t="str">
            <v>CONSULTORES INTERVENTORES COLOMBIANOS S.A.S.  - CONCIC S.A.S.</v>
          </cell>
        </row>
        <row r="17">
          <cell r="C17" t="str">
            <v>P07-01</v>
          </cell>
          <cell r="D17" t="str">
            <v>SERTIC S.A.S.</v>
          </cell>
        </row>
        <row r="18">
          <cell r="C18" t="str">
            <v>P07-02</v>
          </cell>
          <cell r="D18" t="str">
            <v>CPS INGENIEROS OBRA CIVIL Y MEDIO AMBIENTE SUCURSAL COLOMBIA SL</v>
          </cell>
        </row>
        <row r="19">
          <cell r="C19" t="str">
            <v>P08-01</v>
          </cell>
          <cell r="D19" t="str">
            <v>INGENOBRAS CONSTRUCCIONES Y CONSULTORIA S.A.S. - INGENOBRAS S.A.S.</v>
          </cell>
        </row>
        <row r="20">
          <cell r="C20" t="str">
            <v>P08-02</v>
          </cell>
          <cell r="D20" t="str">
            <v>JOSE MANUEL GUARDO POLO</v>
          </cell>
        </row>
        <row r="21">
          <cell r="C21" t="str">
            <v>P09-01</v>
          </cell>
          <cell r="D21" t="str">
            <v>ARREDONDO MADRID INGENIEROS CIVILES (AIM ) LIMITADA</v>
          </cell>
        </row>
        <row r="22">
          <cell r="C22" t="str">
            <v>P09-02</v>
          </cell>
          <cell r="D22" t="str">
            <v>INGENIERIA INTEGRAL DE OBRAS INGEOBRAS S.A.S.</v>
          </cell>
        </row>
        <row r="23">
          <cell r="C23" t="str">
            <v>P10-01</v>
          </cell>
          <cell r="D23" t="str">
            <v xml:space="preserve">GETINSA INGENIERIA SL SUCURSAL COLOMBIA </v>
          </cell>
        </row>
        <row r="24">
          <cell r="C24" t="str">
            <v>P10-02</v>
          </cell>
          <cell r="D24" t="str">
            <v xml:space="preserve">EUROESTUDIOS INGENIEROS DE CONSULTA S.A.S. </v>
          </cell>
        </row>
        <row r="25">
          <cell r="C25" t="str">
            <v>P11-01</v>
          </cell>
          <cell r="D25" t="str">
            <v>INGENIERIA Y CONSULTORIA INGECON S.A.S.</v>
          </cell>
        </row>
        <row r="26">
          <cell r="C26" t="str">
            <v>P11-02</v>
          </cell>
          <cell r="D26" t="str">
            <v>CONSULTORIA INTEGRAL EN INGENIERIA S.A. DE CV</v>
          </cell>
        </row>
        <row r="27">
          <cell r="C27" t="str">
            <v>P12-01</v>
          </cell>
          <cell r="D27" t="str">
            <v>PROYECTOS E INTERVENTORIAS LIMITADA</v>
          </cell>
        </row>
        <row r="28">
          <cell r="C28" t="str">
            <v>P12-02</v>
          </cell>
          <cell r="D28" t="str">
            <v>INENIERA DE ESTUDIOS Y ASESORIAS S.A.S. INESAS</v>
          </cell>
        </row>
        <row r="29">
          <cell r="C29" t="str">
            <v>P13-01</v>
          </cell>
          <cell r="D29" t="str">
            <v>COMPAÑÍA COLOMBIANA DE CONSULTORES S.A.S. (CCC)</v>
          </cell>
        </row>
        <row r="30">
          <cell r="C30" t="str">
            <v>P13-02</v>
          </cell>
          <cell r="D30" t="str">
            <v>CONSULTORES EN INGENIERIA S.A.S.</v>
          </cell>
        </row>
        <row r="31">
          <cell r="C31" t="str">
            <v>P14-01</v>
          </cell>
          <cell r="D31" t="str">
            <v>SEDIC</v>
          </cell>
        </row>
        <row r="32">
          <cell r="C32" t="str">
            <v>P14-02</v>
          </cell>
          <cell r="D32" t="str">
            <v>CB INGENIEROS</v>
          </cell>
        </row>
        <row r="33">
          <cell r="C33" t="str">
            <v>P15-01</v>
          </cell>
          <cell r="D33" t="str">
            <v>CEMOSA (COLOMBIA)</v>
          </cell>
        </row>
        <row r="34">
          <cell r="C34" t="str">
            <v>P15-02</v>
          </cell>
          <cell r="D34" t="str">
            <v>INGENIERIA Y DESARROLLO XIMA DE COLOMBIA S.A.S.</v>
          </cell>
        </row>
        <row r="35">
          <cell r="C35" t="str">
            <v>P16-01</v>
          </cell>
          <cell r="D35" t="str">
            <v>SUPERING S.A.S.</v>
          </cell>
        </row>
        <row r="36">
          <cell r="C36" t="str">
            <v>P17-01</v>
          </cell>
          <cell r="D36" t="str">
            <v>INZETT S.A.S.</v>
          </cell>
        </row>
        <row r="37">
          <cell r="C37" t="str">
            <v>P17-02</v>
          </cell>
          <cell r="D37" t="str">
            <v>CIVING INGENIEROS CONTRATISTAS S EN C</v>
          </cell>
        </row>
        <row r="38">
          <cell r="C38" t="str">
            <v>P17-03</v>
          </cell>
          <cell r="D38" t="str">
            <v>J FELIPE ARDILA V &amp; CIA S.A.S.</v>
          </cell>
        </row>
        <row r="39">
          <cell r="C39" t="str">
            <v>P18-01</v>
          </cell>
          <cell r="D39" t="str">
            <v>GRUPO POSSO S.A.S.</v>
          </cell>
        </row>
        <row r="40">
          <cell r="C40" t="str">
            <v>P18-02</v>
          </cell>
          <cell r="D40" t="str">
            <v>GINPROSA COLOMBIA S.A.S.</v>
          </cell>
        </row>
        <row r="41">
          <cell r="C41" t="str">
            <v>P18-03</v>
          </cell>
          <cell r="D41" t="str">
            <v>C &amp; M CONSULTORES  S.A.</v>
          </cell>
        </row>
        <row r="42">
          <cell r="C42" t="str">
            <v>P19-01</v>
          </cell>
          <cell r="D42" t="str">
            <v>GRUPO METRO COLOMBIA (GMC INGENIEROS S.A.)</v>
          </cell>
        </row>
        <row r="43">
          <cell r="C43" t="str">
            <v>P19-02</v>
          </cell>
          <cell r="D43" t="str">
            <v>GC&amp;Q INGENIEROS CONSULTORES S.A.S.</v>
          </cell>
        </row>
        <row r="44">
          <cell r="C44" t="str">
            <v>P20-01</v>
          </cell>
          <cell r="D44" t="str">
            <v>IV INGENIEROS CONSULTORES E INTERVENTOR S.A.S.</v>
          </cell>
        </row>
        <row r="45">
          <cell r="C45" t="str">
            <v>P20-02</v>
          </cell>
          <cell r="D45" t="str">
            <v>CELQO S.A.S.</v>
          </cell>
        </row>
        <row r="46">
          <cell r="C46" t="str">
            <v>P21-01</v>
          </cell>
          <cell r="D46" t="str">
            <v>BAG ENGINEERING CONSULTANCY GROUP S.A.S.</v>
          </cell>
        </row>
        <row r="47">
          <cell r="C47" t="str">
            <v>P21-02</v>
          </cell>
          <cell r="D47" t="str">
            <v>INGENIEROS PROYECTOS CONSULTORIAS IPC S.A.S.</v>
          </cell>
        </row>
        <row r="48">
          <cell r="C48" t="str">
            <v>P22-01</v>
          </cell>
          <cell r="D48" t="str">
            <v>DIEGO FERNANDO FONSECA CHAVES</v>
          </cell>
        </row>
        <row r="49">
          <cell r="C49" t="str">
            <v>P22-02</v>
          </cell>
          <cell r="D49" t="str">
            <v>B&amp;C S.A.</v>
          </cell>
        </row>
        <row r="50">
          <cell r="C50" t="str">
            <v>P23-01</v>
          </cell>
          <cell r="D50" t="str">
            <v>INTERVENTORIAS Y DISEÑOS S.A.</v>
          </cell>
        </row>
        <row r="51">
          <cell r="C51" t="str">
            <v>P23-02</v>
          </cell>
          <cell r="D51" t="str">
            <v>ESTRUCTURADOR COLOMBIA S.A.S.</v>
          </cell>
        </row>
        <row r="52">
          <cell r="C52" t="str">
            <v>P24-01</v>
          </cell>
          <cell r="D52" t="str">
            <v>GRUSAMAR INGENIERIA Y CONSULTING SL SUCURSAL EN COLOMBIA</v>
          </cell>
        </row>
        <row r="53">
          <cell r="C53" t="str">
            <v>P24-02</v>
          </cell>
          <cell r="D53" t="str">
            <v>JUAN AMADO LIZARAZO</v>
          </cell>
        </row>
        <row r="54">
          <cell r="C54" t="str">
            <v>P25-01</v>
          </cell>
          <cell r="D54" t="str">
            <v>JOYCO</v>
          </cell>
        </row>
        <row r="55">
          <cell r="C55" t="str">
            <v>P26-01</v>
          </cell>
          <cell r="D55" t="str">
            <v>INGEANDINA CONSULTORES DE INGENIERIA S.A.S.</v>
          </cell>
        </row>
        <row r="56">
          <cell r="C56" t="str">
            <v>P26-02</v>
          </cell>
          <cell r="D56" t="str">
            <v>APPLUS NORCONTROL CONSULTORIA E INGENIERIA S.A.S.</v>
          </cell>
        </row>
        <row r="57">
          <cell r="C57" t="str">
            <v>P27-01</v>
          </cell>
          <cell r="D57" t="str">
            <v>CONSTRUCTORA A &amp; C SOCIEDAD ANONIMA</v>
          </cell>
        </row>
        <row r="58">
          <cell r="C58" t="str">
            <v>P27-02</v>
          </cell>
          <cell r="D58" t="str">
            <v>COPEBA LTDA</v>
          </cell>
        </row>
        <row r="59">
          <cell r="C59" t="str">
            <v>P27-03</v>
          </cell>
          <cell r="D59" t="str">
            <v>GERMAN BALLESTAS BERDEJO</v>
          </cell>
        </row>
        <row r="60">
          <cell r="C60" t="str">
            <v>P28-01</v>
          </cell>
          <cell r="D60" t="str">
            <v>AYESA COLOMBIA INGENIERIA Y ARQUITECTURA S.A.S.</v>
          </cell>
        </row>
        <row r="61">
          <cell r="C61" t="str">
            <v>P28-02</v>
          </cell>
          <cell r="D61" t="str">
            <v>INTERSA S.A.</v>
          </cell>
        </row>
        <row r="62">
          <cell r="C62" t="str">
            <v>P29-01</v>
          </cell>
          <cell r="D62" t="str">
            <v>PROYECTOS CONSTRUCCIONES CIVILES Y VIALES LIMITADA</v>
          </cell>
        </row>
        <row r="63">
          <cell r="C63" t="str">
            <v>P29-02</v>
          </cell>
          <cell r="D63" t="str">
            <v>CAYCO S.A.S.</v>
          </cell>
        </row>
        <row r="64">
          <cell r="C64" t="str">
            <v>P30-01</v>
          </cell>
          <cell r="D64" t="str">
            <v>PROGIN SPA</v>
          </cell>
        </row>
        <row r="65">
          <cell r="C65" t="str">
            <v>P30-02</v>
          </cell>
          <cell r="D65" t="str">
            <v>D &amp; B INGENIEROS CIVILES S.A.S.</v>
          </cell>
        </row>
        <row r="66">
          <cell r="C66" t="str">
            <v>P30-03</v>
          </cell>
          <cell r="D66" t="str">
            <v>INYPSA INFORMES Y PROYECTOS COLOMBIA S.A.S.</v>
          </cell>
        </row>
        <row r="67">
          <cell r="C67" t="str">
            <v>P31-01</v>
          </cell>
          <cell r="D67" t="str">
            <v>EUROCONTROL S.A.</v>
          </cell>
        </row>
        <row r="68">
          <cell r="C68" t="str">
            <v>P31-02</v>
          </cell>
          <cell r="D68" t="str">
            <v>TOP SUELOS INGENIERIA S.A.S.</v>
          </cell>
        </row>
        <row r="69">
          <cell r="C69" t="str">
            <v>P31-03</v>
          </cell>
          <cell r="D69" t="str">
            <v>GARPER INGENIERÍA CIA S.A.S.</v>
          </cell>
        </row>
        <row r="70">
          <cell r="C70" t="str">
            <v>P32-01</v>
          </cell>
          <cell r="D70" t="str">
            <v>SERVICIOS DE INGENIERIA Y CONSTRUCCION LIMITADA "SERVINC LTDA"</v>
          </cell>
        </row>
        <row r="71">
          <cell r="C71" t="str">
            <v>P32-02</v>
          </cell>
          <cell r="D71" t="str">
            <v>VQM S.A.S.</v>
          </cell>
        </row>
        <row r="72">
          <cell r="C72" t="str">
            <v>P33-01</v>
          </cell>
          <cell r="D72" t="str">
            <v>GIC GERENCIA INTERVENTORIA Y CONSULTORIA S.A.S.</v>
          </cell>
        </row>
        <row r="73">
          <cell r="C73" t="str">
            <v>P33-02</v>
          </cell>
          <cell r="D73" t="str">
            <v>CONSULTORES UNIDOS S.A.</v>
          </cell>
        </row>
        <row r="74">
          <cell r="C74" t="str">
            <v>P34-01</v>
          </cell>
          <cell r="D74" t="str">
            <v>MAB INGENIERIA DE VALOR S.A.</v>
          </cell>
        </row>
        <row r="75">
          <cell r="C75" t="str">
            <v>P34-02</v>
          </cell>
          <cell r="D75" t="str">
            <v>MAB SERVICIOS S.A.S.</v>
          </cell>
        </row>
        <row r="76">
          <cell r="C76" t="str">
            <v>P35-01</v>
          </cell>
          <cell r="D76" t="str">
            <v>PABLO EMILIO BRAVO CONSULTORES S.A.S</v>
          </cell>
        </row>
        <row r="77">
          <cell r="C77" t="str">
            <v>P35-02</v>
          </cell>
          <cell r="D77" t="str">
            <v>ESTUDIOS TECNICOS S.A.S.</v>
          </cell>
        </row>
        <row r="78">
          <cell r="C78" t="str">
            <v>P35-03</v>
          </cell>
          <cell r="D78" t="str">
            <v>SIGA INGENIERIA Y CONSULTORIA S.A. SUCURSAL COLOMBIA</v>
          </cell>
        </row>
        <row r="79">
          <cell r="C79" t="str">
            <v>P36-01</v>
          </cell>
          <cell r="D79" t="str">
            <v>CONSULTORES DE INGENIERIA UG 21 SL SUCURSAL</v>
          </cell>
        </row>
        <row r="80">
          <cell r="C80" t="str">
            <v>P36-02</v>
          </cell>
          <cell r="D80" t="str">
            <v>ARDANUY COLOMBIA S.A.S.</v>
          </cell>
        </row>
        <row r="81">
          <cell r="C81" t="str">
            <v>P36-03</v>
          </cell>
          <cell r="D81" t="str">
            <v>GNC INGENIERIA S.A.S.</v>
          </cell>
        </row>
        <row r="82">
          <cell r="C82" t="str">
            <v>P37-01</v>
          </cell>
          <cell r="D82" t="str">
            <v>ETA S.A.</v>
          </cell>
        </row>
        <row r="83">
          <cell r="C83" t="str">
            <v>P37-02</v>
          </cell>
          <cell r="D83" t="str">
            <v>INTERPRO S.A.S.</v>
          </cell>
        </row>
        <row r="84">
          <cell r="C84" t="str">
            <v>P38-01</v>
          </cell>
          <cell r="D84" t="str">
            <v>SERINCO COLOMBIA</v>
          </cell>
        </row>
        <row r="85">
          <cell r="C85" t="str">
            <v>P38-02</v>
          </cell>
          <cell r="D85" t="str">
            <v>DICONSULTORIA S.A.</v>
          </cell>
        </row>
        <row r="86">
          <cell r="C86" t="str">
            <v>P39-01</v>
          </cell>
          <cell r="D86" t="str">
            <v>SMA S.A.</v>
          </cell>
        </row>
        <row r="87">
          <cell r="C87" t="str">
            <v>P39-02</v>
          </cell>
          <cell r="D87" t="str">
            <v>WSP SERVICIOS S.A.S.</v>
          </cell>
        </row>
        <row r="88">
          <cell r="C88" t="str">
            <v>P40-01</v>
          </cell>
          <cell r="D88" t="str">
            <v>PLANES S.A.</v>
          </cell>
        </row>
        <row r="89">
          <cell r="C89" t="str">
            <v>P40-02</v>
          </cell>
          <cell r="D89" t="str">
            <v>HIDROCONSULTA S.A.S.</v>
          </cell>
        </row>
        <row r="90">
          <cell r="C90" t="str">
            <v>P41-01</v>
          </cell>
          <cell r="D90" t="str">
            <v>BATEMAN INGENIERIA S.A.</v>
          </cell>
        </row>
        <row r="91">
          <cell r="C91" t="str">
            <v>P41-02</v>
          </cell>
          <cell r="D91" t="str">
            <v>ECOVIAS S.A.S.</v>
          </cell>
        </row>
        <row r="92">
          <cell r="C92" t="str">
            <v>P42-01</v>
          </cell>
          <cell r="D92" t="str">
            <v>3 B PROYECTOS S.A.S.</v>
          </cell>
        </row>
        <row r="93">
          <cell r="C93" t="str">
            <v>P43-01</v>
          </cell>
          <cell r="D93" t="str">
            <v>INRAESTRUCTURA INTEGRAL S.A.S.</v>
          </cell>
        </row>
        <row r="94">
          <cell r="C94" t="str">
            <v>P43-02</v>
          </cell>
          <cell r="D94" t="str">
            <v>CANO JIMENEZ ESTUDIOS S.A.</v>
          </cell>
        </row>
        <row r="95">
          <cell r="C95" t="str">
            <v>P44-01</v>
          </cell>
          <cell r="D95" t="str">
            <v>CONSULTORES TECNICOS Y ECONOMICOS S.A.</v>
          </cell>
        </row>
        <row r="96">
          <cell r="C96" t="str">
            <v>P44-02</v>
          </cell>
          <cell r="D96" t="str">
            <v>CONSULTORES E INTERVENTORES TECNICOS S.A.S</v>
          </cell>
        </row>
        <row r="97">
          <cell r="C97" t="str">
            <v>P45-01</v>
          </cell>
          <cell r="D97" t="str">
            <v>INTEGRAL DISEÑOS E INTERVENTORIA S.A.S.</v>
          </cell>
        </row>
        <row r="98">
          <cell r="C98" t="str">
            <v>P46-01</v>
          </cell>
          <cell r="D98" t="str">
            <v>INGETEC G &amp; C</v>
          </cell>
        </row>
        <row r="99">
          <cell r="C99" t="str">
            <v>P46-02</v>
          </cell>
          <cell r="D99" t="str">
            <v>CEAS</v>
          </cell>
        </row>
        <row r="100">
          <cell r="C100" t="str">
            <v>P47-01</v>
          </cell>
          <cell r="D100" t="str">
            <v>INGENIERIA CONSULTORIA Y PLANEACION S.A. INCOPLAN S.A.</v>
          </cell>
        </row>
        <row r="101">
          <cell r="C101" t="str">
            <v>P47-02</v>
          </cell>
          <cell r="D101" t="str">
            <v>SONDEOS ESTRUCTURAS Y GEOTECNIA SUCURSAL S.A.</v>
          </cell>
        </row>
        <row r="102">
          <cell r="C102" t="str">
            <v>P48-01</v>
          </cell>
          <cell r="D102" t="str">
            <v>HMV CONSULTORIA</v>
          </cell>
        </row>
        <row r="103">
          <cell r="C103" t="str">
            <v>P49-01</v>
          </cell>
          <cell r="D103" t="str">
            <v>LA VIALIDAD LIMITADA</v>
          </cell>
        </row>
        <row r="104">
          <cell r="C104" t="str">
            <v>P49-02</v>
          </cell>
          <cell r="D104" t="str">
            <v>ARENAS DE LA HOZ CONSULTORES S.A.S.</v>
          </cell>
        </row>
        <row r="105">
          <cell r="C105" t="str">
            <v>P49-03</v>
          </cell>
          <cell r="D105" t="str">
            <v>SILVA CARREÑO Y ASOCIADOS S.A.S.</v>
          </cell>
        </row>
        <row r="106">
          <cell r="C106" t="str">
            <v>P50-01</v>
          </cell>
          <cell r="D106" t="str">
            <v>TECNOLOGIAS Y CONSULTORIAS AMBIENTALES Y GESTION S.A.</v>
          </cell>
        </row>
        <row r="107">
          <cell r="C107" t="str">
            <v>P50-02</v>
          </cell>
          <cell r="D107" t="str">
            <v>PROYECTOS TECNICOS DE COLOMBIA</v>
          </cell>
        </row>
        <row r="108">
          <cell r="C108" t="str">
            <v>P50-03</v>
          </cell>
          <cell r="D108" t="str">
            <v>HORACIO FRANCISCO MENDOZA MARTINEZ</v>
          </cell>
        </row>
      </sheetData>
      <sheetData sheetId="1" refreshError="1">
        <row r="5">
          <cell r="D5">
            <v>1931.0428561832061</v>
          </cell>
          <cell r="F5">
            <v>9848.3185665343499</v>
          </cell>
          <cell r="H5">
            <v>19310.428561832061</v>
          </cell>
          <cell r="J5">
            <v>2413.8035702290076</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8."/>
      <sheetName val="EXP ESPEC. 1-8."/>
      <sheetName val="EXP GEN. 9-16 y 49"/>
      <sheetName val="EXP ESPEC. 9 - 16 y 49"/>
      <sheetName val="EXP GEN. 33-40"/>
      <sheetName val="EXP ESPEC. 33-40"/>
      <sheetName val="DESEMPATE"/>
    </sheetNames>
    <sheetDataSet>
      <sheetData sheetId="0"/>
      <sheetData sheetId="1">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9-16"/>
      <sheetName val="EXP ESPEC. 9 - 16 "/>
      <sheetName val="EXP G. 1-8"/>
      <sheetName val="EXP G. 9-16"/>
      <sheetName val="DESEMPATE"/>
      <sheetName val="EXP G. 17-24"/>
      <sheetName val="EXP G. 25-32"/>
      <sheetName val="EXP G.41-50"/>
    </sheetNames>
    <sheetDataSet>
      <sheetData sheetId="0" refreshError="1"/>
      <sheetData sheetId="1" refreshError="1">
        <row r="5">
          <cell r="F5">
            <v>9848.3185665343499</v>
          </cell>
          <cell r="H5">
            <v>19310.428561832061</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42-48"/>
      <sheetName val="EXP ESPEC. 42-48"/>
      <sheetName val="DESEMPATE"/>
    </sheetNames>
    <sheetDataSet>
      <sheetData sheetId="0" refreshError="1">
        <row r="4">
          <cell r="C4" t="str">
            <v>P01-01</v>
          </cell>
          <cell r="D4" t="str">
            <v>LKS COLOMBIA S.A.S.</v>
          </cell>
        </row>
        <row r="5">
          <cell r="C5" t="str">
            <v>P01-02</v>
          </cell>
          <cell r="D5" t="str">
            <v>NOGALL S.A.</v>
          </cell>
        </row>
        <row r="6">
          <cell r="C6" t="str">
            <v>P01-03</v>
          </cell>
          <cell r="D6" t="str">
            <v>CGR S.A.S.</v>
          </cell>
        </row>
        <row r="7">
          <cell r="C7" t="str">
            <v>P02-01</v>
          </cell>
          <cell r="D7" t="str">
            <v xml:space="preserve">AFA CONSULTORES Y CONSTRUCTORES S.A  E.S.P. </v>
          </cell>
        </row>
        <row r="8">
          <cell r="C8" t="str">
            <v>P02-02</v>
          </cell>
          <cell r="D8" t="str">
            <v xml:space="preserve">INCGROUP S.A.S </v>
          </cell>
        </row>
        <row r="9">
          <cell r="C9" t="str">
            <v>P03-01</v>
          </cell>
          <cell r="D9" t="str">
            <v>INGENIEROS CIVILES ESPECIALISTAS LTDA</v>
          </cell>
        </row>
        <row r="10">
          <cell r="C10" t="str">
            <v>P03-02</v>
          </cell>
          <cell r="D10" t="str">
            <v>INGENIERIA DE PROYECTOS S.A.S.</v>
          </cell>
        </row>
        <row r="11">
          <cell r="C11" t="str">
            <v>P04-01</v>
          </cell>
          <cell r="D11" t="str">
            <v>CONSULTORIA INTOK DE COLOMBIA Y ASOCIADOS S.A.S.</v>
          </cell>
        </row>
        <row r="12">
          <cell r="C12" t="str">
            <v>P04-02</v>
          </cell>
          <cell r="D12" t="str">
            <v>GOMEZ CAJIAO Y ASOCIADOS S.A.</v>
          </cell>
        </row>
        <row r="13">
          <cell r="C13" t="str">
            <v>P05-01</v>
          </cell>
          <cell r="D13" t="str">
            <v>ICEACSA CONSULTORES SUCURSAL COLOMBIA</v>
          </cell>
        </row>
        <row r="14">
          <cell r="C14" t="str">
            <v>P05-02</v>
          </cell>
          <cell r="D14" t="str">
            <v>GEOTECNIA Y CIMIENTOS INGEOCIM S.A.S.</v>
          </cell>
        </row>
        <row r="15">
          <cell r="C15" t="str">
            <v>P06-01</v>
          </cell>
          <cell r="D15" t="str">
            <v>VELNEC S.A.</v>
          </cell>
        </row>
        <row r="16">
          <cell r="C16" t="str">
            <v>P06-02</v>
          </cell>
          <cell r="D16" t="str">
            <v>CONSULTORES INTERVENTORES COLOMBIANOS S.A.S.  - CONCIC S.A.S.</v>
          </cell>
        </row>
        <row r="17">
          <cell r="C17" t="str">
            <v>P07-01</v>
          </cell>
          <cell r="D17" t="str">
            <v>SERTIC S.A.S.</v>
          </cell>
        </row>
        <row r="18">
          <cell r="C18" t="str">
            <v>P07-02</v>
          </cell>
          <cell r="D18" t="str">
            <v>CPS INGENIEROS OBRA CIVIL Y MEDIO AMBIENTE SUCURSAL COLOMBIA SL</v>
          </cell>
        </row>
        <row r="19">
          <cell r="C19" t="str">
            <v>P08-01</v>
          </cell>
          <cell r="D19" t="str">
            <v>INGENOBRAS CONSTRUCCIONES Y CONSULTORIA S.A.S. - INGENOBRAS S.A.S.</v>
          </cell>
        </row>
        <row r="20">
          <cell r="C20" t="str">
            <v>P08-02</v>
          </cell>
          <cell r="D20" t="str">
            <v>JOSE MANUEL GUARDO POLO</v>
          </cell>
        </row>
        <row r="21">
          <cell r="C21" t="str">
            <v>P09-01</v>
          </cell>
          <cell r="D21" t="str">
            <v>ARREDONDO MADRID INGENIEROS CIVILES (AIM ) LIMITADA</v>
          </cell>
        </row>
        <row r="22">
          <cell r="C22" t="str">
            <v>P09-02</v>
          </cell>
          <cell r="D22" t="str">
            <v>INGENIERIA INTEGRAL DE OBRAS INGEOBRAS S.A.S.</v>
          </cell>
        </row>
        <row r="23">
          <cell r="C23" t="str">
            <v>P10-01</v>
          </cell>
          <cell r="D23" t="str">
            <v xml:space="preserve">GETINSA INGENIERIA SL SUCURSAL COLOMBIA </v>
          </cell>
        </row>
        <row r="24">
          <cell r="C24" t="str">
            <v>P10-02</v>
          </cell>
          <cell r="D24" t="str">
            <v xml:space="preserve">EUROESTUDIOS INGENIEROS DE CONSULTA S.A.S. </v>
          </cell>
        </row>
        <row r="25">
          <cell r="C25" t="str">
            <v>P11-01</v>
          </cell>
          <cell r="D25" t="str">
            <v>INGENIERIA Y CONSULTORIA INGECON S.A.S.</v>
          </cell>
        </row>
        <row r="26">
          <cell r="C26" t="str">
            <v>P11-02</v>
          </cell>
          <cell r="D26" t="str">
            <v>CONSULTORIA INTEGRAL EN INGENIERIA S.A. DE CV</v>
          </cell>
        </row>
        <row r="27">
          <cell r="C27" t="str">
            <v>P12-01</v>
          </cell>
          <cell r="D27" t="str">
            <v>PROYECTOS E INTERVENTORIAS LIMITADA</v>
          </cell>
        </row>
        <row r="28">
          <cell r="C28" t="str">
            <v>P12-02</v>
          </cell>
          <cell r="D28" t="str">
            <v>INENIERA DE ESTUDIOS Y ASESORIAS S.A.S. INESAS</v>
          </cell>
        </row>
        <row r="29">
          <cell r="C29" t="str">
            <v>P13-01</v>
          </cell>
          <cell r="D29" t="str">
            <v>COMPAÑÍA COLOMBIANA DE CONSULTORES S.A.S. (CCC)</v>
          </cell>
        </row>
        <row r="30">
          <cell r="C30" t="str">
            <v>P13-02</v>
          </cell>
          <cell r="D30" t="str">
            <v>CONSULTORES EN INGENIERIA S.A.S.</v>
          </cell>
        </row>
        <row r="31">
          <cell r="C31" t="str">
            <v>P14-01</v>
          </cell>
          <cell r="D31" t="str">
            <v>SEDIC</v>
          </cell>
        </row>
        <row r="32">
          <cell r="C32" t="str">
            <v>P14-02</v>
          </cell>
          <cell r="D32" t="str">
            <v>CB INGENIEROS</v>
          </cell>
        </row>
        <row r="33">
          <cell r="C33" t="str">
            <v>P15-01</v>
          </cell>
          <cell r="D33" t="str">
            <v>CEMOSA (COLOMBIA)</v>
          </cell>
        </row>
        <row r="34">
          <cell r="C34" t="str">
            <v>P15-02</v>
          </cell>
          <cell r="D34" t="str">
            <v>INGENIERIA Y DESARROLLO XIMA DE COLOMBIA S.A.S.</v>
          </cell>
        </row>
        <row r="35">
          <cell r="C35" t="str">
            <v>P16-01</v>
          </cell>
          <cell r="D35" t="str">
            <v>SUPERING S.A.S.</v>
          </cell>
        </row>
        <row r="36">
          <cell r="C36" t="str">
            <v>P17-01</v>
          </cell>
          <cell r="D36" t="str">
            <v>INZETT S.A.S.</v>
          </cell>
        </row>
        <row r="37">
          <cell r="C37" t="str">
            <v>P17-02</v>
          </cell>
          <cell r="D37" t="str">
            <v>CIVING INGENIEROS CONTRATISTAS S EN C</v>
          </cell>
        </row>
        <row r="38">
          <cell r="C38" t="str">
            <v>P17-03</v>
          </cell>
          <cell r="D38" t="str">
            <v>J FELIPE ARDILA V &amp; CIA S.A.S.</v>
          </cell>
        </row>
        <row r="39">
          <cell r="C39" t="str">
            <v>P18-01</v>
          </cell>
          <cell r="D39" t="str">
            <v>GRUPO POSSO S.A.S.</v>
          </cell>
        </row>
        <row r="40">
          <cell r="C40" t="str">
            <v>P18-02</v>
          </cell>
          <cell r="D40" t="str">
            <v>GINPROSA COLOMBIA S.A.S.</v>
          </cell>
        </row>
        <row r="41">
          <cell r="C41" t="str">
            <v>P18-03</v>
          </cell>
          <cell r="D41" t="str">
            <v>C &amp; M CONSULTORES  S.A.</v>
          </cell>
        </row>
        <row r="42">
          <cell r="C42" t="str">
            <v>P19-01</v>
          </cell>
          <cell r="D42" t="str">
            <v>GRUPO METRO COLOMBIA (GMC INGENIEROS S.A.)</v>
          </cell>
        </row>
        <row r="43">
          <cell r="C43" t="str">
            <v>P19-02</v>
          </cell>
          <cell r="D43" t="str">
            <v>GC&amp;Q INGENIEROS CONSULTORES S.A.S.</v>
          </cell>
        </row>
        <row r="44">
          <cell r="C44" t="str">
            <v>P20-01</v>
          </cell>
          <cell r="D44" t="str">
            <v>IV INGENIEROS CONSULTORES E INTERVENTOR S.A.S.</v>
          </cell>
        </row>
        <row r="45">
          <cell r="C45" t="str">
            <v>P20-02</v>
          </cell>
          <cell r="D45" t="str">
            <v>CELQO S.A.S.</v>
          </cell>
        </row>
        <row r="46">
          <cell r="C46" t="str">
            <v>P21-01</v>
          </cell>
          <cell r="D46" t="str">
            <v>BAG ENGINEERING CONSULTANCY GROUP S.A.S.</v>
          </cell>
        </row>
        <row r="47">
          <cell r="C47" t="str">
            <v>P21-02</v>
          </cell>
          <cell r="D47" t="str">
            <v>INGENIEROS PROYECTOS CONSULTORIAS IPC S.A.S.</v>
          </cell>
        </row>
        <row r="48">
          <cell r="C48" t="str">
            <v>P22-01</v>
          </cell>
          <cell r="D48" t="str">
            <v>DIEGO FERNANDO FONSECA CHAVES</v>
          </cell>
        </row>
        <row r="49">
          <cell r="C49" t="str">
            <v>P22-02</v>
          </cell>
          <cell r="D49" t="str">
            <v>B&amp;C S.A.</v>
          </cell>
        </row>
        <row r="50">
          <cell r="C50" t="str">
            <v>P23-01</v>
          </cell>
          <cell r="D50" t="str">
            <v>INTERVENTORIAS Y DISEÑOS S.A.</v>
          </cell>
        </row>
        <row r="51">
          <cell r="C51" t="str">
            <v>P23-02</v>
          </cell>
          <cell r="D51" t="str">
            <v>ESTRUCTURADOR COLOMBIA S.A.S.</v>
          </cell>
        </row>
        <row r="52">
          <cell r="C52" t="str">
            <v>P24-01</v>
          </cell>
          <cell r="D52" t="str">
            <v>GRUSAMAR INGENIERIA Y CONSULTING SL SUCURSAL EN COLOMBIA</v>
          </cell>
        </row>
        <row r="53">
          <cell r="C53" t="str">
            <v>P24-02</v>
          </cell>
          <cell r="D53" t="str">
            <v>JUAN AMADO LIZARAZO</v>
          </cell>
        </row>
        <row r="54">
          <cell r="C54" t="str">
            <v>P25-01</v>
          </cell>
          <cell r="D54" t="str">
            <v>JOYCO</v>
          </cell>
        </row>
        <row r="55">
          <cell r="C55" t="str">
            <v>P26-01</v>
          </cell>
          <cell r="D55" t="str">
            <v>INGEANDINA CONSULTORES DE INGENIERIA S.A.S.</v>
          </cell>
        </row>
        <row r="56">
          <cell r="C56" t="str">
            <v>P26-02</v>
          </cell>
          <cell r="D56" t="str">
            <v>APPLUS NORCONTROL CONSULTORIA E INGENIERIA S.A.S.</v>
          </cell>
        </row>
        <row r="57">
          <cell r="C57" t="str">
            <v>P27-01</v>
          </cell>
          <cell r="D57" t="str">
            <v>CONSTRUCTORA A &amp; C SOCIEDAD ANONIMA</v>
          </cell>
        </row>
        <row r="58">
          <cell r="C58" t="str">
            <v>P27-02</v>
          </cell>
          <cell r="D58" t="str">
            <v>COPEBA LTDA</v>
          </cell>
        </row>
        <row r="59">
          <cell r="C59" t="str">
            <v>P27-03</v>
          </cell>
          <cell r="D59" t="str">
            <v>GERMAN BALLESTAS BERDEJO</v>
          </cell>
        </row>
        <row r="60">
          <cell r="C60" t="str">
            <v>P28-01</v>
          </cell>
          <cell r="D60" t="str">
            <v>AYESA COLOMBIA INGENIERIA Y ARQUITECTURA S.A.S.</v>
          </cell>
        </row>
        <row r="61">
          <cell r="C61" t="str">
            <v>P28-02</v>
          </cell>
        </row>
        <row r="62">
          <cell r="C62" t="str">
            <v>P29-01</v>
          </cell>
          <cell r="D62" t="str">
            <v>PROYECTOS CONSTRUCCIONES CIVILES Y VIALES LIMITADA</v>
          </cell>
        </row>
        <row r="63">
          <cell r="C63" t="str">
            <v>P29-02</v>
          </cell>
          <cell r="D63" t="str">
            <v>CAYCO S.A.S.</v>
          </cell>
        </row>
        <row r="64">
          <cell r="C64" t="str">
            <v>P30-01</v>
          </cell>
          <cell r="D64" t="str">
            <v>PROGIN SPA</v>
          </cell>
        </row>
        <row r="65">
          <cell r="C65" t="str">
            <v>P30-02</v>
          </cell>
          <cell r="D65" t="str">
            <v>D &amp; B INGENIEROS CIVILES S.A.S.</v>
          </cell>
        </row>
        <row r="66">
          <cell r="C66" t="str">
            <v>P30-03</v>
          </cell>
          <cell r="D66" t="str">
            <v>INYPSA INFORMES Y PROYECTOS COLOMBIA S.A.S.</v>
          </cell>
        </row>
        <row r="67">
          <cell r="C67" t="str">
            <v>P31-01</v>
          </cell>
          <cell r="D67" t="str">
            <v>EUROCONTROL S.A.</v>
          </cell>
        </row>
        <row r="68">
          <cell r="C68" t="str">
            <v>P31-02</v>
          </cell>
          <cell r="D68" t="str">
            <v>TOP SUELOS INGENIERIA S.A.S.</v>
          </cell>
        </row>
        <row r="69">
          <cell r="C69" t="str">
            <v>P31-03</v>
          </cell>
          <cell r="D69" t="str">
            <v>GARPER INGENIERÍA CIA S.A.S.</v>
          </cell>
        </row>
        <row r="70">
          <cell r="C70" t="str">
            <v>P32-01</v>
          </cell>
          <cell r="D70" t="str">
            <v>SERVICIOS DE INGENIERIA Y CONSTRUCCION LIMITADA "SERVINC LTDA"</v>
          </cell>
        </row>
        <row r="71">
          <cell r="C71" t="str">
            <v>P32-02</v>
          </cell>
          <cell r="D71" t="str">
            <v>VQM S.A.S.</v>
          </cell>
        </row>
        <row r="72">
          <cell r="C72" t="str">
            <v>P33-01</v>
          </cell>
          <cell r="D72" t="str">
            <v>GIC GERENCIA INTERVENTORIA Y CONSULTORIA S.A.S.</v>
          </cell>
        </row>
        <row r="73">
          <cell r="C73" t="str">
            <v>P33-02</v>
          </cell>
          <cell r="D73" t="str">
            <v>CONSULTORES UNIDOS S.A.</v>
          </cell>
        </row>
        <row r="74">
          <cell r="C74" t="str">
            <v>P34-01</v>
          </cell>
          <cell r="D74" t="str">
            <v>MAB INGENIERIA DE VALOR S.A.</v>
          </cell>
        </row>
        <row r="75">
          <cell r="C75" t="str">
            <v>P34-02</v>
          </cell>
          <cell r="D75" t="str">
            <v>MAB SERVICIOS S.A.S.</v>
          </cell>
        </row>
        <row r="76">
          <cell r="C76" t="str">
            <v>P35-01</v>
          </cell>
          <cell r="D76" t="str">
            <v>PABLO EMILIO BRAVO CONSULTORES S.A.S</v>
          </cell>
        </row>
        <row r="77">
          <cell r="C77" t="str">
            <v>P35-02</v>
          </cell>
          <cell r="D77" t="str">
            <v>ESTUDIOS TECNICOS S.A.S.</v>
          </cell>
        </row>
        <row r="78">
          <cell r="C78" t="str">
            <v>P35-03</v>
          </cell>
          <cell r="D78" t="str">
            <v>SIGA INGENIERIA Y CONSULTORIA S.A. SUCURSAL COLOMBIA</v>
          </cell>
        </row>
        <row r="79">
          <cell r="C79" t="str">
            <v>P36-01</v>
          </cell>
          <cell r="D79" t="str">
            <v>CONSULTORES DE INGENIERIA UG 21 SL SUCURSAL</v>
          </cell>
        </row>
        <row r="80">
          <cell r="C80" t="str">
            <v>P36-02</v>
          </cell>
          <cell r="D80" t="str">
            <v>ARDANUY COLOMBIA S.A.S.</v>
          </cell>
        </row>
        <row r="81">
          <cell r="C81" t="str">
            <v>P36-03</v>
          </cell>
          <cell r="D81" t="str">
            <v>GNC INGENIERIA S.A.S.</v>
          </cell>
        </row>
        <row r="82">
          <cell r="C82" t="str">
            <v>P37-01</v>
          </cell>
          <cell r="D82" t="str">
            <v>ETA S.A.</v>
          </cell>
        </row>
        <row r="83">
          <cell r="C83" t="str">
            <v>P37-02</v>
          </cell>
          <cell r="D83" t="str">
            <v>INTERPRO S.A.S.</v>
          </cell>
        </row>
        <row r="84">
          <cell r="C84" t="str">
            <v>P38-01</v>
          </cell>
          <cell r="D84" t="str">
            <v>SERINCO COLOMBIA</v>
          </cell>
        </row>
        <row r="85">
          <cell r="C85" t="str">
            <v>P38-02</v>
          </cell>
          <cell r="D85" t="str">
            <v>DICONSULTORIA S.A.</v>
          </cell>
        </row>
        <row r="86">
          <cell r="C86" t="str">
            <v>P39-01</v>
          </cell>
          <cell r="D86" t="str">
            <v>SMA S.A.</v>
          </cell>
        </row>
        <row r="87">
          <cell r="C87" t="str">
            <v>P39-02</v>
          </cell>
          <cell r="D87" t="str">
            <v>WSP SERVICIOS S.A.S.</v>
          </cell>
        </row>
        <row r="88">
          <cell r="C88" t="str">
            <v>P40-01</v>
          </cell>
          <cell r="D88" t="str">
            <v>PLANES S.A.</v>
          </cell>
        </row>
        <row r="89">
          <cell r="C89" t="str">
            <v>P40-02</v>
          </cell>
          <cell r="D89" t="str">
            <v>HIDROCONSULTA S.A.S.</v>
          </cell>
        </row>
        <row r="90">
          <cell r="C90" t="str">
            <v>P41-01</v>
          </cell>
          <cell r="D90" t="str">
            <v>BATEMAN INGENIERIA S.A.</v>
          </cell>
        </row>
        <row r="91">
          <cell r="C91" t="str">
            <v>P41-02</v>
          </cell>
          <cell r="D91" t="str">
            <v>ECOVIAS S.A.S.</v>
          </cell>
        </row>
        <row r="92">
          <cell r="C92" t="str">
            <v>P42-01</v>
          </cell>
          <cell r="D92" t="str">
            <v>3 B PROYECTOS S.A.S.</v>
          </cell>
        </row>
        <row r="93">
          <cell r="C93" t="str">
            <v>P43-01</v>
          </cell>
          <cell r="D93" t="str">
            <v>INRAESTRUCTURA INTEGRAL S.A.S.</v>
          </cell>
        </row>
        <row r="94">
          <cell r="C94" t="str">
            <v>P43-02</v>
          </cell>
          <cell r="D94" t="str">
            <v>CANO JIMENEZ ESTUDIOS S.A.</v>
          </cell>
        </row>
        <row r="95">
          <cell r="C95" t="str">
            <v>P44-01</v>
          </cell>
          <cell r="D95" t="str">
            <v>CONSULTORES TECNICOS Y ECONOMICOS S.A.</v>
          </cell>
        </row>
        <row r="96">
          <cell r="C96" t="str">
            <v>P44-02</v>
          </cell>
          <cell r="D96" t="str">
            <v>CONSULTORES E INTERVENTORES TECNICOS S.A.S</v>
          </cell>
        </row>
        <row r="97">
          <cell r="C97" t="str">
            <v>P45-01</v>
          </cell>
          <cell r="D97" t="str">
            <v>INTEGRAL DISEÑOS E INTERVENTORIA S.A.S.</v>
          </cell>
        </row>
        <row r="98">
          <cell r="C98" t="str">
            <v>P46-01</v>
          </cell>
          <cell r="D98" t="str">
            <v>INGETEC G &amp; C</v>
          </cell>
        </row>
        <row r="99">
          <cell r="C99" t="str">
            <v>P46-02</v>
          </cell>
          <cell r="D99" t="str">
            <v>CEAS</v>
          </cell>
        </row>
        <row r="100">
          <cell r="C100" t="str">
            <v>P47-01</v>
          </cell>
          <cell r="D100" t="str">
            <v>INGENIERIA CONSULTORIA Y PLANEACION S.A. INCOPLAN S.A.</v>
          </cell>
        </row>
        <row r="101">
          <cell r="C101" t="str">
            <v>P47-02</v>
          </cell>
          <cell r="D101" t="str">
            <v>SONDEOS ESTRUCTURAS Y GEOTECNIA SUCURSAL S.A.</v>
          </cell>
        </row>
        <row r="102">
          <cell r="C102" t="str">
            <v>P48-01</v>
          </cell>
          <cell r="D102" t="str">
            <v>HMV CONSULTORIA</v>
          </cell>
        </row>
        <row r="103">
          <cell r="C103" t="str">
            <v>P49-01</v>
          </cell>
          <cell r="D103" t="str">
            <v>LA VIALIDAD LIMITADA</v>
          </cell>
        </row>
        <row r="104">
          <cell r="C104" t="str">
            <v>P49-02</v>
          </cell>
          <cell r="D104" t="str">
            <v>ARENAS DE LA HOZ CONSULTORES S.A.S.</v>
          </cell>
        </row>
        <row r="105">
          <cell r="C105" t="str">
            <v>P49-03</v>
          </cell>
          <cell r="D105" t="str">
            <v>SILVA CARREÑO Y ASOCIADOS S.A.S.</v>
          </cell>
        </row>
        <row r="106">
          <cell r="C106" t="str">
            <v>P50-01</v>
          </cell>
          <cell r="D106" t="str">
            <v>TECNOLOGIAS Y CONSULTORIAS AMBIENTALES Y GESTION S.A.</v>
          </cell>
        </row>
        <row r="107">
          <cell r="C107" t="str">
            <v>P50-02</v>
          </cell>
          <cell r="D107" t="str">
            <v>PROYECTOS TECNICOS DE COLOMBIA</v>
          </cell>
        </row>
        <row r="108">
          <cell r="C108" t="str">
            <v>P50-03</v>
          </cell>
          <cell r="D108" t="str">
            <v>HORACIO FRANCISCO MENDOZA MARTINEZ</v>
          </cell>
        </row>
      </sheetData>
      <sheetData sheetId="1" refreshError="1">
        <row r="5">
          <cell r="D5">
            <v>1931.0428561832061</v>
          </cell>
          <cell r="F5">
            <v>9848.3185665343499</v>
          </cell>
          <cell r="H5">
            <v>19310.428561832061</v>
          </cell>
          <cell r="J5">
            <v>2413.8035702290076</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7-24"/>
      <sheetName val="EXP ESPEC. 17-24"/>
      <sheetName val="DESEMPATE"/>
      <sheetName val="EXP ESPEC. 41"/>
    </sheetNames>
    <sheetDataSet>
      <sheetData sheetId="0"/>
      <sheetData sheetId="1">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8."/>
      <sheetName val="EXP ESPEC. 1-8."/>
      <sheetName val="EXP GEN. 9-16"/>
      <sheetName val="EXP ESPEC. 9 - 16"/>
      <sheetName val="EXP GEN. 17-24"/>
      <sheetName val="EXP ESPEC. 17-24"/>
      <sheetName val="EXP GEN. 25-32"/>
      <sheetName val="EXP ESPEC. 25-32"/>
      <sheetName val="EXP GEN. 33-40"/>
      <sheetName val="EXP ESPEC. 33-40"/>
      <sheetName val="EXP GEN. 41-50"/>
      <sheetName val="EXP ESPEC. 41-50"/>
      <sheetName val="MATRIZ DESEMPATE"/>
      <sheetName val="DESEMPATE"/>
    </sheetNames>
    <sheetDataSet>
      <sheetData sheetId="0" refreshError="1"/>
      <sheetData sheetId="1" refreshError="1"/>
      <sheetData sheetId="2" refreshError="1"/>
      <sheetData sheetId="3" refreshError="1"/>
      <sheetData sheetId="4">
        <row r="3">
          <cell r="U3">
            <v>4627.1430386702386</v>
          </cell>
        </row>
        <row r="4">
          <cell r="U4">
            <v>11982.486539544961</v>
          </cell>
        </row>
        <row r="5">
          <cell r="U5">
            <v>5199.6832516233762</v>
          </cell>
        </row>
        <row r="6">
          <cell r="U6">
            <v>5616.4223051234048</v>
          </cell>
        </row>
        <row r="7">
          <cell r="U7">
            <v>6025.0784896863242</v>
          </cell>
        </row>
        <row r="8">
          <cell r="U8">
            <v>16313.657217245634</v>
          </cell>
        </row>
        <row r="9">
          <cell r="U9">
            <v>4859.168433752372</v>
          </cell>
        </row>
        <row r="10">
          <cell r="U10">
            <v>9360.7254499735318</v>
          </cell>
        </row>
        <row r="11">
          <cell r="U11">
            <v>3045.2643864077668</v>
          </cell>
        </row>
        <row r="12">
          <cell r="U12">
            <v>5890.8067095995166</v>
          </cell>
        </row>
        <row r="13">
          <cell r="U13">
            <v>9467.4940933789494</v>
          </cell>
        </row>
        <row r="14">
          <cell r="T14">
            <v>12374.604761609458</v>
          </cell>
        </row>
        <row r="15">
          <cell r="T15">
            <v>7316.1202283261418</v>
          </cell>
        </row>
        <row r="16">
          <cell r="T16">
            <v>3987.1402740491735</v>
          </cell>
        </row>
        <row r="17">
          <cell r="U17">
            <v>15624.376398134011</v>
          </cell>
        </row>
        <row r="18">
          <cell r="U18">
            <v>5018.4370524271844</v>
          </cell>
        </row>
        <row r="19">
          <cell r="U19">
            <v>8331.2737485436883</v>
          </cell>
        </row>
        <row r="20">
          <cell r="U20">
            <v>13669.28617055724</v>
          </cell>
        </row>
        <row r="21">
          <cell r="U21">
            <v>4301.5527529126221</v>
          </cell>
        </row>
        <row r="22">
          <cell r="U22">
            <v>3638.1242189759037</v>
          </cell>
        </row>
        <row r="23">
          <cell r="U23">
            <v>9372.805917792628</v>
          </cell>
        </row>
        <row r="24">
          <cell r="U24">
            <v>14940.885616202373</v>
          </cell>
        </row>
        <row r="25">
          <cell r="U25">
            <v>13992.040949964936</v>
          </cell>
        </row>
        <row r="26">
          <cell r="U26">
            <v>13906.215522062936</v>
          </cell>
        </row>
        <row r="27">
          <cell r="U27">
            <v>12298.964572815534</v>
          </cell>
        </row>
        <row r="28">
          <cell r="U28">
            <v>8992.8094357722166</v>
          </cell>
        </row>
        <row r="29">
          <cell r="U29">
            <v>5396.3519497021971</v>
          </cell>
        </row>
        <row r="30">
          <cell r="U30">
            <v>4348.2507528517117</v>
          </cell>
        </row>
        <row r="31">
          <cell r="U31">
            <v>2236.7648498590156</v>
          </cell>
        </row>
        <row r="32">
          <cell r="U32">
            <v>6816.4974565360708</v>
          </cell>
        </row>
        <row r="33">
          <cell r="U33">
            <v>14365.819799959161</v>
          </cell>
        </row>
        <row r="34">
          <cell r="U34">
            <v>4705.0791397278263</v>
          </cell>
        </row>
        <row r="35">
          <cell r="U35">
            <v>7273.5296756296557</v>
          </cell>
        </row>
        <row r="36">
          <cell r="U36">
            <v>9138.9294739920679</v>
          </cell>
        </row>
        <row r="37">
          <cell r="U37">
            <v>14005.495500531295</v>
          </cell>
        </row>
        <row r="38">
          <cell r="U38">
            <v>16751.62852813775</v>
          </cell>
        </row>
      </sheetData>
      <sheetData sheetId="5">
        <row r="3">
          <cell r="W3">
            <v>4627.1430386702386</v>
          </cell>
        </row>
        <row r="4">
          <cell r="W4">
            <v>4083.0054390563564</v>
          </cell>
        </row>
        <row r="5">
          <cell r="W5">
            <v>4529.9204749446571</v>
          </cell>
        </row>
        <row r="6">
          <cell r="W6">
            <v>5199.6832516233762</v>
          </cell>
        </row>
        <row r="7">
          <cell r="W7">
            <v>9360.7254499735318</v>
          </cell>
        </row>
        <row r="8">
          <cell r="W8">
            <v>8152.6578527139236</v>
          </cell>
        </row>
        <row r="9">
          <cell r="W9">
            <v>4859.168433752372</v>
          </cell>
        </row>
        <row r="10">
          <cell r="W10">
            <v>6025.0784896863242</v>
          </cell>
        </row>
        <row r="11">
          <cell r="W11">
            <v>4130.0122146508356</v>
          </cell>
        </row>
        <row r="12">
          <cell r="W12">
            <v>10548.189364875492</v>
          </cell>
        </row>
        <row r="13">
          <cell r="W13">
            <v>5018.0626818411165</v>
          </cell>
        </row>
        <row r="14">
          <cell r="W14">
            <v>18335.861437817457</v>
          </cell>
        </row>
        <row r="15">
          <cell r="W15">
            <v>5018.4370524271844</v>
          </cell>
        </row>
        <row r="16">
          <cell r="W16">
            <v>3120.2418166578436</v>
          </cell>
        </row>
        <row r="17">
          <cell r="W17">
            <v>15624.376398134011</v>
          </cell>
        </row>
        <row r="18">
          <cell r="W18">
            <v>8331.2737485436883</v>
          </cell>
        </row>
        <row r="19">
          <cell r="W19">
            <v>13669.28617055724</v>
          </cell>
        </row>
        <row r="20">
          <cell r="W20">
            <v>9372.805917792628</v>
          </cell>
        </row>
        <row r="21">
          <cell r="W21">
            <v>13992.040949964936</v>
          </cell>
        </row>
        <row r="22">
          <cell r="W22">
            <v>14940.885616202373</v>
          </cell>
        </row>
        <row r="23">
          <cell r="W23">
            <v>4348.2507528517117</v>
          </cell>
        </row>
        <row r="24">
          <cell r="W24">
            <v>12298.964572815534</v>
          </cell>
        </row>
        <row r="25">
          <cell r="W25">
            <v>13906.215522062936</v>
          </cell>
        </row>
        <row r="26">
          <cell r="W26">
            <v>8992.8094357722166</v>
          </cell>
        </row>
        <row r="27">
          <cell r="W27">
            <v>6816.4974565360708</v>
          </cell>
        </row>
        <row r="28">
          <cell r="W28">
            <v>14365.819799959161</v>
          </cell>
        </row>
        <row r="29">
          <cell r="W29">
            <v>9138.9294739920679</v>
          </cell>
        </row>
        <row r="30">
          <cell r="W30">
            <v>3238.0848253653812</v>
          </cell>
        </row>
        <row r="31">
          <cell r="W31">
            <v>16751.62852813775</v>
          </cell>
        </row>
        <row r="32">
          <cell r="W32">
            <v>10812.444197010069</v>
          </cell>
        </row>
        <row r="33">
          <cell r="W33">
            <v>963.68943152013662</v>
          </cell>
        </row>
        <row r="34">
          <cell r="W34">
            <v>14005.495500531295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8."/>
      <sheetName val="EXP ESPEC. 1-8."/>
      <sheetName val="EXP GEN. 9-16"/>
      <sheetName val="EXP ESPEC. 9 - 16"/>
      <sheetName val="EXP GEN. 17-24"/>
      <sheetName val="EXP ESPEC. 17-24"/>
      <sheetName val="EXP GEN. 25-32"/>
      <sheetName val="EXP ESPEC. 25-32"/>
      <sheetName val="EXP GEN. 33-40"/>
      <sheetName val="EXP ESPEC. 33-40"/>
      <sheetName val="EXP GEN. 41-50"/>
      <sheetName val="EXP ESPEC. 41-50"/>
      <sheetName val="DESEMPATE"/>
      <sheetName val="MATRIZ DESEMPATE"/>
    </sheetNames>
    <sheetDataSet>
      <sheetData sheetId="0" refreshError="1"/>
      <sheetData sheetId="1" refreshError="1"/>
      <sheetData sheetId="2" refreshError="1"/>
      <sheetData sheetId="3" refreshError="1"/>
      <sheetData sheetId="4" refreshError="1"/>
      <sheetData sheetId="5" refreshError="1"/>
      <sheetData sheetId="6">
        <row r="3">
          <cell r="U3">
            <v>5321.5956342663276</v>
          </cell>
        </row>
        <row r="4">
          <cell r="U4">
            <v>4056.9968745332335</v>
          </cell>
        </row>
        <row r="5">
          <cell r="U5">
            <v>1552.6873607800651</v>
          </cell>
        </row>
        <row r="6">
          <cell r="U6">
            <v>27993.030511368044</v>
          </cell>
        </row>
        <row r="7">
          <cell r="U7">
            <v>5584.2182583377453</v>
          </cell>
        </row>
        <row r="8">
          <cell r="U8">
            <v>15828.998705051601</v>
          </cell>
        </row>
        <row r="9">
          <cell r="U9">
            <v>3819.2007244509969</v>
          </cell>
        </row>
        <row r="10">
          <cell r="U10">
            <v>5016.6300194078403</v>
          </cell>
        </row>
        <row r="11">
          <cell r="U11">
            <v>3944.7665194071542</v>
          </cell>
        </row>
        <row r="12">
          <cell r="U12">
            <v>20227.541767207793</v>
          </cell>
        </row>
        <row r="13">
          <cell r="U13">
            <v>4.2764106401553397</v>
          </cell>
        </row>
        <row r="14">
          <cell r="U14">
            <v>3138.8212413867823</v>
          </cell>
        </row>
        <row r="15">
          <cell r="U15">
            <v>6340.6890076821601</v>
          </cell>
        </row>
        <row r="16">
          <cell r="U16">
            <v>9086.3140867041529</v>
          </cell>
        </row>
        <row r="17">
          <cell r="U17">
            <v>7418.3910094598768</v>
          </cell>
        </row>
        <row r="18">
          <cell r="U18">
            <v>2743.8299926868904</v>
          </cell>
        </row>
        <row r="19">
          <cell r="U19">
            <v>3869.8674870422533</v>
          </cell>
        </row>
        <row r="20">
          <cell r="U20">
            <v>5720.0317716604904</v>
          </cell>
        </row>
        <row r="21">
          <cell r="U21">
            <v>2553.0008212290504</v>
          </cell>
        </row>
        <row r="22">
          <cell r="U22">
            <v>5697.8360946980274</v>
          </cell>
        </row>
        <row r="23">
          <cell r="U23">
            <v>6195.2574621562571</v>
          </cell>
        </row>
        <row r="24">
          <cell r="U24">
            <v>10802.178060846261</v>
          </cell>
        </row>
        <row r="25">
          <cell r="U25">
            <v>2581.8437846649226</v>
          </cell>
        </row>
        <row r="26">
          <cell r="U26">
            <v>24438.456101470587</v>
          </cell>
        </row>
        <row r="27">
          <cell r="U27">
            <v>4981.6338761249335</v>
          </cell>
        </row>
        <row r="28">
          <cell r="U28">
            <v>7344.3713912621361</v>
          </cell>
        </row>
        <row r="29">
          <cell r="U29">
            <v>4200.7768740074116</v>
          </cell>
        </row>
        <row r="30">
          <cell r="U30">
            <v>3057.2434459149463</v>
          </cell>
        </row>
        <row r="31">
          <cell r="U31">
            <v>2943.9624346527257</v>
          </cell>
        </row>
        <row r="32">
          <cell r="U32">
            <v>17529.937768857355</v>
          </cell>
        </row>
        <row r="33">
          <cell r="U33">
            <v>4646.0614791666667</v>
          </cell>
        </row>
        <row r="34">
          <cell r="U34">
            <v>5890.8438609451387</v>
          </cell>
        </row>
        <row r="35">
          <cell r="U35">
            <v>4029.3671461162407</v>
          </cell>
        </row>
        <row r="36">
          <cell r="U36">
            <v>7487.4883800007356</v>
          </cell>
        </row>
        <row r="37">
          <cell r="U37">
            <v>7938.9369847258858</v>
          </cell>
        </row>
        <row r="38">
          <cell r="U38">
            <v>9192.4995579723673</v>
          </cell>
        </row>
      </sheetData>
      <sheetData sheetId="7">
        <row r="3">
          <cell r="W3">
            <v>27993.030511368044</v>
          </cell>
        </row>
        <row r="4">
          <cell r="W4">
            <v>5584.2182583377453</v>
          </cell>
        </row>
        <row r="5">
          <cell r="W5">
            <v>4056.9968745332335</v>
          </cell>
        </row>
        <row r="6">
          <cell r="W6">
            <v>5321.5956342663276</v>
          </cell>
        </row>
        <row r="7">
          <cell r="W7">
            <v>15828.998705051601</v>
          </cell>
        </row>
        <row r="8">
          <cell r="W8">
            <v>3819.2007244509969</v>
          </cell>
        </row>
        <row r="9">
          <cell r="W9">
            <v>3944.7665194071542</v>
          </cell>
        </row>
        <row r="10">
          <cell r="W10">
            <v>5016.6300194078403</v>
          </cell>
        </row>
        <row r="12">
          <cell r="W12">
            <v>4.2764106401553397</v>
          </cell>
        </row>
        <row r="13">
          <cell r="W13">
            <v>3138.8212413867823</v>
          </cell>
        </row>
        <row r="14">
          <cell r="W14">
            <v>6340.6890076821601</v>
          </cell>
        </row>
        <row r="15">
          <cell r="W15">
            <v>5720.0317716604904</v>
          </cell>
        </row>
        <row r="16">
          <cell r="W16">
            <v>3869.8674870422533</v>
          </cell>
        </row>
        <row r="17">
          <cell r="W17">
            <v>9086.3140867041529</v>
          </cell>
        </row>
        <row r="18">
          <cell r="W18">
            <v>7418.3910094598768</v>
          </cell>
        </row>
        <row r="19">
          <cell r="W19">
            <v>5697.8360946980274</v>
          </cell>
        </row>
        <row r="20">
          <cell r="W20">
            <v>6195.2574621562571</v>
          </cell>
        </row>
        <row r="21">
          <cell r="W21">
            <v>10802.178060846261</v>
          </cell>
        </row>
        <row r="22">
          <cell r="W22">
            <v>2581.8437846649226</v>
          </cell>
        </row>
        <row r="23">
          <cell r="W23">
            <v>4981.6338761249335</v>
          </cell>
        </row>
        <row r="24">
          <cell r="W24">
            <v>24438.456101470587</v>
          </cell>
        </row>
        <row r="25">
          <cell r="W25">
            <v>4200.7768740074116</v>
          </cell>
        </row>
        <row r="26">
          <cell r="W26">
            <v>3057.2434459149463</v>
          </cell>
        </row>
        <row r="27">
          <cell r="W27">
            <v>4646.0614791666667</v>
          </cell>
        </row>
        <row r="28">
          <cell r="W28">
            <v>8292.1788254808544</v>
          </cell>
        </row>
        <row r="29">
          <cell r="W29">
            <v>5890.8438609451387</v>
          </cell>
        </row>
        <row r="30">
          <cell r="W30">
            <v>17529.937768857355</v>
          </cell>
        </row>
        <row r="31">
          <cell r="W31">
            <v>4029.3671461162407</v>
          </cell>
        </row>
        <row r="32">
          <cell r="W32">
            <v>7487.4883800007356</v>
          </cell>
        </row>
        <row r="33">
          <cell r="W33">
            <v>7938.9369847258858</v>
          </cell>
        </row>
        <row r="34">
          <cell r="W34">
            <v>9192.4995579723673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8."/>
      <sheetName val="EXP ESPEC. 1-8."/>
      <sheetName val="EXP GEN. 9-16"/>
      <sheetName val="EXP ESPEC. 9 - 16"/>
      <sheetName val="EXP GEN. 17-24"/>
      <sheetName val="EXP ESPEC. 17-24"/>
      <sheetName val="EXP GEN. 25-32"/>
      <sheetName val="EXP ESPEC. 25-32"/>
      <sheetName val="EXP GEN. 33-40"/>
      <sheetName val="EXP ESPEC. 33-40"/>
      <sheetName val="EXP GEN. 41-50"/>
      <sheetName val="EXP ESPEC. 41-50"/>
      <sheetName val="MATRIZ DESEMP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4">
          <cell r="U44">
            <v>3776.1299512459373</v>
          </cell>
        </row>
        <row r="45">
          <cell r="U45">
            <v>3006.673004628698</v>
          </cell>
        </row>
      </sheetData>
      <sheetData sheetId="9">
        <row r="33">
          <cell r="W33">
            <v>3776.1299512459373</v>
          </cell>
        </row>
        <row r="34">
          <cell r="W34">
            <v>3006.673004628698</v>
          </cell>
        </row>
      </sheetData>
      <sheetData sheetId="10">
        <row r="3">
          <cell r="U3">
            <v>2744.7596941763031</v>
          </cell>
        </row>
        <row r="4">
          <cell r="U4">
            <v>3912.3910022854088</v>
          </cell>
        </row>
        <row r="5">
          <cell r="U5">
            <v>3105.0810105767337</v>
          </cell>
        </row>
        <row r="6">
          <cell r="U6">
            <v>5576.3879712965891</v>
          </cell>
        </row>
        <row r="7">
          <cell r="U7">
            <v>4386.4222599518898</v>
          </cell>
        </row>
        <row r="8">
          <cell r="U8">
            <v>8046.874280483501</v>
          </cell>
        </row>
        <row r="9">
          <cell r="U9">
            <v>35157.048106361326</v>
          </cell>
        </row>
        <row r="10">
          <cell r="U10">
            <v>2703.6928014822661</v>
          </cell>
        </row>
        <row r="11">
          <cell r="U11">
            <v>3611.2680976707256</v>
          </cell>
        </row>
        <row r="12">
          <cell r="U12">
            <v>14229.114937458213</v>
          </cell>
        </row>
        <row r="13">
          <cell r="U13">
            <v>8029.2762003012049</v>
          </cell>
        </row>
        <row r="14">
          <cell r="U14">
            <v>5256.2085688946972</v>
          </cell>
        </row>
        <row r="15">
          <cell r="U15">
            <v>2687.3781603466955</v>
          </cell>
        </row>
        <row r="16">
          <cell r="U16">
            <v>2732.4203569017041</v>
          </cell>
        </row>
        <row r="17">
          <cell r="U17">
            <v>6729.2366691560865</v>
          </cell>
        </row>
        <row r="18">
          <cell r="U18">
            <v>3256.9567984056252</v>
          </cell>
        </row>
        <row r="19">
          <cell r="U19">
            <v>8521.1451527896334</v>
          </cell>
        </row>
        <row r="20">
          <cell r="U20">
            <v>8087.1180575278613</v>
          </cell>
        </row>
        <row r="21">
          <cell r="U21">
            <v>5844.4374660445801</v>
          </cell>
        </row>
        <row r="22">
          <cell r="U22">
            <v>2617.831014200357</v>
          </cell>
        </row>
        <row r="23">
          <cell r="U23">
            <v>4169.06967063922</v>
          </cell>
        </row>
        <row r="24">
          <cell r="U24">
            <v>5474.6780674322963</v>
          </cell>
        </row>
        <row r="25">
          <cell r="U25">
            <v>3691.133997833153</v>
          </cell>
        </row>
        <row r="26">
          <cell r="U26">
            <v>8375.9636466019419</v>
          </cell>
        </row>
        <row r="27">
          <cell r="U27">
            <v>4169.06967063922</v>
          </cell>
        </row>
        <row r="28">
          <cell r="U28">
            <v>5474.6780674322963</v>
          </cell>
        </row>
        <row r="29">
          <cell r="U29">
            <v>7877.5333867822319</v>
          </cell>
        </row>
        <row r="30">
          <cell r="U30">
            <v>5852.518860294118</v>
          </cell>
        </row>
        <row r="31">
          <cell r="U31">
            <v>7277.5048812324112</v>
          </cell>
        </row>
        <row r="32">
          <cell r="U32">
            <v>4767.678501782595</v>
          </cell>
        </row>
        <row r="33">
          <cell r="U33">
            <v>10698.705660665786</v>
          </cell>
        </row>
        <row r="34">
          <cell r="U34">
            <v>8613.7860823401952</v>
          </cell>
        </row>
        <row r="35">
          <cell r="U35">
            <v>3810.6170213516853</v>
          </cell>
        </row>
        <row r="36">
          <cell r="U36">
            <v>4585.8651688724194</v>
          </cell>
        </row>
        <row r="37">
          <cell r="U37">
            <v>4200.7768740074116</v>
          </cell>
        </row>
        <row r="38">
          <cell r="U38">
            <v>4344.1458496306814</v>
          </cell>
        </row>
        <row r="39">
          <cell r="U39">
            <v>7634.27</v>
          </cell>
        </row>
        <row r="40">
          <cell r="U40">
            <v>3324.265026383177</v>
          </cell>
        </row>
        <row r="41">
          <cell r="U41">
            <v>2627.4208866021336</v>
          </cell>
        </row>
        <row r="42">
          <cell r="U42">
            <v>4367.7459244318179</v>
          </cell>
        </row>
        <row r="43">
          <cell r="U43">
            <v>10975.115271132376</v>
          </cell>
        </row>
      </sheetData>
      <sheetData sheetId="11">
        <row r="3">
          <cell r="W3">
            <v>3912.3910022854088</v>
          </cell>
        </row>
        <row r="4">
          <cell r="W4">
            <v>5576.3879712965891</v>
          </cell>
        </row>
        <row r="5">
          <cell r="W5">
            <v>8046.874280483501</v>
          </cell>
        </row>
        <row r="6">
          <cell r="W6">
            <v>4386.4222599518898</v>
          </cell>
        </row>
        <row r="7">
          <cell r="W7">
            <v>35157.048106361326</v>
          </cell>
        </row>
        <row r="8">
          <cell r="W8">
            <v>24766.830493986188</v>
          </cell>
        </row>
        <row r="9">
          <cell r="W9">
            <v>3611.2680978648318</v>
          </cell>
        </row>
        <row r="10">
          <cell r="W10">
            <v>3144.8201228163048</v>
          </cell>
        </row>
        <row r="11">
          <cell r="W11">
            <v>14229.114937458213</v>
          </cell>
        </row>
        <row r="12">
          <cell r="W12">
            <v>8029.2762003012049</v>
          </cell>
        </row>
        <row r="13">
          <cell r="W13">
            <v>3277.4980250359467</v>
          </cell>
        </row>
        <row r="14">
          <cell r="W14">
            <v>5256.2085688946972</v>
          </cell>
        </row>
        <row r="15">
          <cell r="W15">
            <v>3256.9567984056252</v>
          </cell>
        </row>
        <row r="16">
          <cell r="W16">
            <v>8521.1451527896334</v>
          </cell>
        </row>
        <row r="17">
          <cell r="W17">
            <v>4856.5604767719424</v>
          </cell>
        </row>
        <row r="18">
          <cell r="W18">
            <v>2617.831014200357</v>
          </cell>
        </row>
        <row r="19">
          <cell r="V19">
            <v>4818.4471576006827</v>
          </cell>
        </row>
        <row r="20">
          <cell r="W20">
            <v>4085.7565843575417</v>
          </cell>
        </row>
        <row r="21">
          <cell r="W21">
            <v>4169.06967063922</v>
          </cell>
        </row>
        <row r="22">
          <cell r="W22">
            <v>4169.06967063922</v>
          </cell>
        </row>
        <row r="23">
          <cell r="W23">
            <v>7142.8434245293283</v>
          </cell>
        </row>
        <row r="24">
          <cell r="W24">
            <v>2898.5166955046648</v>
          </cell>
        </row>
        <row r="25">
          <cell r="W25">
            <v>4646.0614803921571</v>
          </cell>
        </row>
        <row r="26">
          <cell r="W26">
            <v>3105.0501220588235</v>
          </cell>
        </row>
        <row r="27">
          <cell r="W27">
            <v>8613.7860823401952</v>
          </cell>
        </row>
        <row r="28">
          <cell r="W28">
            <v>3810.6170213516853</v>
          </cell>
        </row>
        <row r="29">
          <cell r="W29">
            <v>4200.7768740074116</v>
          </cell>
        </row>
        <row r="30">
          <cell r="W30">
            <v>10698.705660665786</v>
          </cell>
        </row>
        <row r="31">
          <cell r="W31">
            <v>4344.1458496306814</v>
          </cell>
        </row>
        <row r="32">
          <cell r="W32">
            <v>3324.265026383177</v>
          </cell>
        </row>
        <row r="33">
          <cell r="W33">
            <v>7634.27</v>
          </cell>
        </row>
        <row r="34">
          <cell r="W34">
            <v>4367.7459244318179</v>
          </cell>
        </row>
      </sheetData>
      <sheetData sheetId="12">
        <row r="3">
          <cell r="U3">
            <v>3891.2730371692405</v>
          </cell>
        </row>
        <row r="4">
          <cell r="U4">
            <v>4257.8864404406277</v>
          </cell>
        </row>
        <row r="5">
          <cell r="U5">
            <v>2773.5972705775807</v>
          </cell>
        </row>
        <row r="6">
          <cell r="U6">
            <v>2518.9090822731127</v>
          </cell>
        </row>
        <row r="7">
          <cell r="U7">
            <v>4257.8864404406277</v>
          </cell>
        </row>
        <row r="8">
          <cell r="U8">
            <v>4126.1842004333694</v>
          </cell>
        </row>
        <row r="44">
          <cell r="U44">
            <v>9442.0550194174757</v>
          </cell>
        </row>
        <row r="45">
          <cell r="U45">
            <v>5641.5313212290503</v>
          </cell>
        </row>
        <row r="46">
          <cell r="U46">
            <v>2606.1447970779222</v>
          </cell>
        </row>
        <row r="47">
          <cell r="U47">
            <v>1625.8792196776931</v>
          </cell>
        </row>
        <row r="48">
          <cell r="U48">
            <v>1147.0628870481928</v>
          </cell>
        </row>
        <row r="49">
          <cell r="U49">
            <v>3420.9379849397592</v>
          </cell>
        </row>
        <row r="50">
          <cell r="U50">
            <v>9098.7522170460561</v>
          </cell>
        </row>
        <row r="51">
          <cell r="U51">
            <v>5740.5444866920152</v>
          </cell>
        </row>
        <row r="52">
          <cell r="U52">
            <v>6189.3038595109683</v>
          </cell>
        </row>
        <row r="53">
          <cell r="U53">
            <v>8099.1150410754299</v>
          </cell>
        </row>
      </sheetData>
      <sheetData sheetId="13">
        <row r="3">
          <cell r="W3">
            <v>3891.2730371692405</v>
          </cell>
        </row>
        <row r="4">
          <cell r="W4">
            <v>4257.8864404406277</v>
          </cell>
        </row>
        <row r="5">
          <cell r="W5">
            <v>2859.0065846231919</v>
          </cell>
        </row>
        <row r="6">
          <cell r="W6">
            <v>4126.1842004333694</v>
          </cell>
        </row>
        <row r="35">
          <cell r="W35">
            <v>2606.1447975974024</v>
          </cell>
        </row>
        <row r="36">
          <cell r="W36">
            <v>9442.0550194174757</v>
          </cell>
        </row>
        <row r="37">
          <cell r="W37">
            <v>3420.9379849397592</v>
          </cell>
        </row>
        <row r="38">
          <cell r="W38">
            <v>2599.2295129870131</v>
          </cell>
        </row>
        <row r="39">
          <cell r="W39">
            <v>9098.7522170460561</v>
          </cell>
        </row>
        <row r="40">
          <cell r="W40">
            <v>5740.5444866920152</v>
          </cell>
        </row>
        <row r="41">
          <cell r="W41">
            <v>6189.3038595109683</v>
          </cell>
        </row>
        <row r="42">
          <cell r="W42">
            <v>8099.1150410754299</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8."/>
      <sheetName val="EXP ESPEC. 1-8."/>
      <sheetName val="EXP GEN. 9-16"/>
      <sheetName val="EXP ESPEC. 9 - 16"/>
      <sheetName val="EXP GEN. 17-24"/>
      <sheetName val="EXP ESPEC. 17-24"/>
      <sheetName val="EXP GEN. 25-32"/>
      <sheetName val="EXP ESPEC. 25-32"/>
      <sheetName val="EXP GEN. 33-40"/>
      <sheetName val="EXP ESPEC. 33-40"/>
      <sheetName val="EXP GEN. 41-50"/>
      <sheetName val="EXP ESPEC. 41-50"/>
      <sheetName val="DESEMPATE"/>
      <sheetName val="MATRIZ DESEMP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9">
          <cell r="U9">
            <v>3045.2643864077668</v>
          </cell>
        </row>
        <row r="10">
          <cell r="U10">
            <v>6524.2228277356444</v>
          </cell>
        </row>
        <row r="11">
          <cell r="U11">
            <v>13974.568134698897</v>
          </cell>
        </row>
        <row r="12">
          <cell r="U12">
            <v>5216.9981243711009</v>
          </cell>
        </row>
        <row r="13">
          <cell r="U13">
            <v>14156.712328436304</v>
          </cell>
        </row>
        <row r="14">
          <cell r="U14">
            <v>17993.294416799014</v>
          </cell>
        </row>
        <row r="15">
          <cell r="U15">
            <v>8186.8833700522782</v>
          </cell>
        </row>
        <row r="16">
          <cell r="U16">
            <v>9749.4763562340977</v>
          </cell>
        </row>
        <row r="17">
          <cell r="U17">
            <v>8524.6732916355486</v>
          </cell>
        </row>
        <row r="18">
          <cell r="U18">
            <v>5868.0837583583125</v>
          </cell>
        </row>
        <row r="19">
          <cell r="U19">
            <v>3719.6967286023837</v>
          </cell>
        </row>
        <row r="20">
          <cell r="U20">
            <v>7322.7548515709641</v>
          </cell>
        </row>
        <row r="21">
          <cell r="U21">
            <v>4111.6898129521796</v>
          </cell>
        </row>
        <row r="22">
          <cell r="U22">
            <v>3278.7639369907661</v>
          </cell>
        </row>
        <row r="23">
          <cell r="U23">
            <v>10106.467101114957</v>
          </cell>
        </row>
        <row r="24">
          <cell r="U24">
            <v>4434.1932581913497</v>
          </cell>
        </row>
        <row r="25">
          <cell r="U25">
            <v>6303.6157150837989</v>
          </cell>
        </row>
        <row r="26">
          <cell r="U26">
            <v>8352.5040671945681</v>
          </cell>
        </row>
        <row r="27">
          <cell r="U27">
            <v>2623.7285425950195</v>
          </cell>
        </row>
        <row r="28">
          <cell r="U28">
            <v>7777.9351596385541</v>
          </cell>
        </row>
        <row r="29">
          <cell r="U29">
            <v>3611.9681960784314</v>
          </cell>
        </row>
        <row r="30">
          <cell r="U30">
            <v>7387.792183252428</v>
          </cell>
        </row>
        <row r="31">
          <cell r="U31">
            <v>2766.646374864572</v>
          </cell>
        </row>
        <row r="32">
          <cell r="U32">
            <v>2626.4834545454546</v>
          </cell>
        </row>
        <row r="33">
          <cell r="U33">
            <v>1628.0299463002546</v>
          </cell>
        </row>
        <row r="34">
          <cell r="U34">
            <v>12315.024208491923</v>
          </cell>
        </row>
        <row r="35">
          <cell r="U35">
            <v>4282.7622395444359</v>
          </cell>
        </row>
        <row r="36">
          <cell r="U36">
            <v>6150.952945448902</v>
          </cell>
        </row>
        <row r="37">
          <cell r="U37">
            <v>4658.514793823233</v>
          </cell>
        </row>
        <row r="38">
          <cell r="U38">
            <v>15712.007402912621</v>
          </cell>
        </row>
        <row r="39">
          <cell r="U39">
            <v>9035.4313126213601</v>
          </cell>
        </row>
        <row r="40">
          <cell r="U40">
            <v>3234.1561823304487</v>
          </cell>
        </row>
        <row r="41">
          <cell r="U41">
            <v>3877.7161540235184</v>
          </cell>
        </row>
        <row r="42">
          <cell r="U42">
            <v>8029.2762003012049</v>
          </cell>
        </row>
        <row r="43">
          <cell r="U43">
            <v>3277.4980250359467</v>
          </cell>
        </row>
      </sheetData>
      <sheetData sheetId="13">
        <row r="11">
          <cell r="W11">
            <v>14156.712328436304</v>
          </cell>
        </row>
        <row r="12">
          <cell r="W12">
            <v>17993.608515969649</v>
          </cell>
        </row>
        <row r="13">
          <cell r="W13">
            <v>8186.8833700522782</v>
          </cell>
        </row>
        <row r="14">
          <cell r="W14">
            <v>6124.6281865988121</v>
          </cell>
        </row>
        <row r="15">
          <cell r="W15">
            <v>8524.6732916355486</v>
          </cell>
        </row>
        <row r="16">
          <cell r="W16">
            <v>7322.7548515709641</v>
          </cell>
        </row>
        <row r="17">
          <cell r="W17">
            <v>4795.0839113128495</v>
          </cell>
        </row>
        <row r="18">
          <cell r="W18">
            <v>4111.6898129521796</v>
          </cell>
        </row>
        <row r="19">
          <cell r="W19">
            <v>7750.5740454545457</v>
          </cell>
        </row>
        <row r="20">
          <cell r="W20">
            <v>4434.1932581913497</v>
          </cell>
        </row>
        <row r="21">
          <cell r="W21">
            <v>8750.0190238224568</v>
          </cell>
        </row>
        <row r="22">
          <cell r="W22">
            <v>6303.6157150837989</v>
          </cell>
        </row>
        <row r="23">
          <cell r="W23">
            <v>7777.9351596385541</v>
          </cell>
        </row>
        <row r="24">
          <cell r="W24">
            <v>7387.792183252428</v>
          </cell>
        </row>
        <row r="25">
          <cell r="W25">
            <v>3611.9681960784314</v>
          </cell>
        </row>
        <row r="26">
          <cell r="W26">
            <v>2766.646374864572</v>
          </cell>
        </row>
        <row r="27">
          <cell r="W27">
            <v>9818.0731015752317</v>
          </cell>
        </row>
        <row r="28">
          <cell r="W28">
            <v>3462.5510411700975</v>
          </cell>
        </row>
        <row r="29">
          <cell r="W29">
            <v>8723.2619414341716</v>
          </cell>
        </row>
        <row r="30">
          <cell r="W30">
            <v>4658.514793823233</v>
          </cell>
        </row>
        <row r="31">
          <cell r="W31">
            <v>3570.6901815642459</v>
          </cell>
        </row>
        <row r="32">
          <cell r="W32">
            <v>8029.2762003012049</v>
          </cell>
        </row>
        <row r="33">
          <cell r="W33">
            <v>15712.007402912621</v>
          </cell>
        </row>
        <row r="34">
          <cell r="W34">
            <v>9035.4314097087372</v>
          </cell>
        </row>
      </sheetData>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 1-8."/>
      <sheetName val="EXP E. 1-8."/>
      <sheetName val="EXP G. 9-16"/>
      <sheetName val="EXP G. 17-24"/>
      <sheetName val="EXP G. 25-32"/>
      <sheetName val="EXP G.41-50"/>
      <sheetName val="DESEMPATE"/>
    </sheetNames>
    <sheetDataSet>
      <sheetData sheetId="0" refreshError="1">
        <row r="4">
          <cell r="C4" t="str">
            <v>P01-01</v>
          </cell>
          <cell r="D4" t="str">
            <v>LKS COLOMBIA S.A.S.</v>
          </cell>
        </row>
        <row r="5">
          <cell r="C5" t="str">
            <v>P01-02</v>
          </cell>
          <cell r="D5" t="str">
            <v>NOGALL S.A.</v>
          </cell>
        </row>
        <row r="6">
          <cell r="C6" t="str">
            <v>P01-03</v>
          </cell>
          <cell r="D6" t="str">
            <v>CGR S.A.S.</v>
          </cell>
        </row>
        <row r="7">
          <cell r="C7" t="str">
            <v>P02-01</v>
          </cell>
          <cell r="D7" t="str">
            <v xml:space="preserve">AFA CONSULTORES Y CONSTRUCTORES S.A  E.S.P. </v>
          </cell>
        </row>
        <row r="8">
          <cell r="C8" t="str">
            <v>P02-02</v>
          </cell>
          <cell r="D8" t="str">
            <v xml:space="preserve">INCGROUP S.A.S </v>
          </cell>
        </row>
        <row r="9">
          <cell r="C9" t="str">
            <v>P03-01</v>
          </cell>
          <cell r="D9" t="str">
            <v>INGENIEROS CIVILES ESPECIALISTAS LTDA</v>
          </cell>
        </row>
        <row r="10">
          <cell r="C10" t="str">
            <v>P03-02</v>
          </cell>
          <cell r="D10" t="str">
            <v>INGENIERIA DE PROYECTOS S.A.S.</v>
          </cell>
        </row>
        <row r="11">
          <cell r="C11" t="str">
            <v>P04-01</v>
          </cell>
          <cell r="D11" t="str">
            <v>GOMEZ CAJIAO Y ASOCIADOS S.A.</v>
          </cell>
        </row>
        <row r="12">
          <cell r="C12" t="str">
            <v>P04-02</v>
          </cell>
          <cell r="D12" t="str">
            <v>CONSULTORIA INTOK DE COLOMBIA Y ASOCIADOS S.A.S.</v>
          </cell>
        </row>
        <row r="13">
          <cell r="C13" t="str">
            <v>P05-01</v>
          </cell>
          <cell r="D13" t="str">
            <v>ICEACSA CONSULTORES SUCURSAL COLOMBIA</v>
          </cell>
        </row>
        <row r="14">
          <cell r="C14" t="str">
            <v>P05-02</v>
          </cell>
          <cell r="D14" t="str">
            <v>GEOTECNIA Y CIMIENTOS INGEOCIM S.A.S.</v>
          </cell>
        </row>
        <row r="15">
          <cell r="C15" t="str">
            <v>P06-01</v>
          </cell>
          <cell r="D15" t="str">
            <v>VELNEC S.A.</v>
          </cell>
        </row>
        <row r="16">
          <cell r="C16" t="str">
            <v>P06-02</v>
          </cell>
          <cell r="D16" t="str">
            <v>CONSULTORES INTERVENTORES COLOMBIANOS S.A.S.  - CONCIC S.A.S.</v>
          </cell>
        </row>
        <row r="17">
          <cell r="C17" t="str">
            <v>P07-01</v>
          </cell>
          <cell r="D17" t="str">
            <v>SERTIC S.A.S.</v>
          </cell>
        </row>
        <row r="18">
          <cell r="C18" t="str">
            <v>P07-02</v>
          </cell>
          <cell r="D18" t="str">
            <v>CPS INGENIEROS OBRA CIVIL Y MEDIO AMBIENTE SUCURSAL COLOMBIA SL</v>
          </cell>
        </row>
        <row r="19">
          <cell r="C19" t="str">
            <v>P08-01</v>
          </cell>
          <cell r="D19" t="str">
            <v>INGENOBRAS CONSTRUCCIONES Y CONSULTORIA S.A.S. - INGENOBRAS S.A.S.</v>
          </cell>
        </row>
        <row r="20">
          <cell r="C20" t="str">
            <v>P08-02</v>
          </cell>
          <cell r="D20" t="str">
            <v>JOSE MANUEL GUARDO POLO</v>
          </cell>
        </row>
        <row r="21">
          <cell r="C21" t="str">
            <v>P09-01</v>
          </cell>
          <cell r="D21" t="str">
            <v>ARREDONDO MADRID INGENIEROS CIVILES (AIM ) LIMITADA</v>
          </cell>
        </row>
        <row r="22">
          <cell r="C22" t="str">
            <v>P09-02</v>
          </cell>
          <cell r="D22" t="str">
            <v>INGENIERIA INTEGRAL DE OBRAS INGEOBRAS S.A.S.</v>
          </cell>
        </row>
        <row r="23">
          <cell r="C23" t="str">
            <v>P10-01</v>
          </cell>
          <cell r="D23" t="str">
            <v xml:space="preserve">GETINSA INGENIERIA SL SUCURSAL COLOMBIA </v>
          </cell>
        </row>
        <row r="24">
          <cell r="C24" t="str">
            <v>P10-02</v>
          </cell>
          <cell r="D24" t="str">
            <v xml:space="preserve">EUROESTUDIOS INGENIEROS DE CONSULTA S.A.S. </v>
          </cell>
        </row>
        <row r="25">
          <cell r="C25" t="str">
            <v>P11-01</v>
          </cell>
          <cell r="D25" t="str">
            <v>INGENIERIA Y CONSULTORIA INGECON S.A.S.</v>
          </cell>
        </row>
        <row r="26">
          <cell r="C26" t="str">
            <v>P11-02</v>
          </cell>
          <cell r="D26" t="str">
            <v>CONSULTORIA INTEGRAL EN INGENIERIA S.A. DE CV</v>
          </cell>
        </row>
        <row r="27">
          <cell r="C27" t="str">
            <v>P12-01</v>
          </cell>
          <cell r="D27" t="str">
            <v>PROYECTOS E INTERVENTORIAS LIMITADA</v>
          </cell>
        </row>
        <row r="28">
          <cell r="C28" t="str">
            <v>P12-02</v>
          </cell>
          <cell r="D28" t="str">
            <v>INENIERA DE ESTUDIOS Y ASESORIAS S.A.S. INESAS</v>
          </cell>
        </row>
        <row r="29">
          <cell r="C29" t="str">
            <v>P13-01</v>
          </cell>
          <cell r="D29" t="str">
            <v>COMPAÑÍA COLOMBIANA DE CONSULTORES S.A.S. (CCC)</v>
          </cell>
        </row>
        <row r="30">
          <cell r="C30" t="str">
            <v>P13-02</v>
          </cell>
          <cell r="D30" t="str">
            <v>CONSULTORES EN INGENIERIA S.A.S.</v>
          </cell>
        </row>
        <row r="31">
          <cell r="C31" t="str">
            <v>P14-01</v>
          </cell>
          <cell r="D31" t="str">
            <v>SEDIC</v>
          </cell>
        </row>
        <row r="32">
          <cell r="C32" t="str">
            <v>P14-02</v>
          </cell>
          <cell r="D32" t="str">
            <v>CB INGENIEROS</v>
          </cell>
        </row>
        <row r="33">
          <cell r="C33" t="str">
            <v>P15-01</v>
          </cell>
          <cell r="D33" t="str">
            <v>CEMOSA (COLOMBIA)</v>
          </cell>
        </row>
        <row r="34">
          <cell r="C34" t="str">
            <v>P15-02</v>
          </cell>
          <cell r="D34" t="str">
            <v>INGENIERIA Y DESARROLLO XIMA DE COLOMBIA S.A.S.</v>
          </cell>
        </row>
        <row r="35">
          <cell r="C35" t="str">
            <v>P16-01</v>
          </cell>
          <cell r="D35" t="str">
            <v>SUPERING S.A.S.</v>
          </cell>
        </row>
        <row r="36">
          <cell r="C36" t="str">
            <v>P17-01</v>
          </cell>
          <cell r="D36" t="str">
            <v>INZETT S.A.S.</v>
          </cell>
        </row>
        <row r="37">
          <cell r="C37" t="str">
            <v>P17-02</v>
          </cell>
          <cell r="D37" t="str">
            <v>CIVING INGENIEROS CONTRATISTAS S EN C</v>
          </cell>
        </row>
        <row r="38">
          <cell r="C38" t="str">
            <v>P17-03</v>
          </cell>
          <cell r="D38" t="str">
            <v>J FELIPE ARDILA V &amp; CIA S.A.S.</v>
          </cell>
        </row>
        <row r="39">
          <cell r="C39" t="str">
            <v>P18-01</v>
          </cell>
          <cell r="D39" t="str">
            <v>GRUPO POSSO S.A.S.</v>
          </cell>
        </row>
        <row r="40">
          <cell r="C40" t="str">
            <v>P18-02</v>
          </cell>
          <cell r="D40" t="str">
            <v>GINPROSA COLOMBIA S.A.S.</v>
          </cell>
        </row>
        <row r="41">
          <cell r="C41" t="str">
            <v>P18-03</v>
          </cell>
          <cell r="D41" t="str">
            <v>C &amp; M CONSULTORES  S.A.</v>
          </cell>
        </row>
        <row r="42">
          <cell r="C42" t="str">
            <v>P19-01</v>
          </cell>
          <cell r="D42" t="str">
            <v>GRUPO METRO COLOMBIA (GMC INGENIEROS S.A.)</v>
          </cell>
        </row>
        <row r="43">
          <cell r="C43" t="str">
            <v>P19-02</v>
          </cell>
          <cell r="D43" t="str">
            <v>GC&amp;Q INGENIEROS CONSULTORES S.A.S.</v>
          </cell>
        </row>
        <row r="44">
          <cell r="C44" t="str">
            <v>P20-01</v>
          </cell>
          <cell r="D44" t="str">
            <v>IV INGENIEROS CONSULTORES E INTERVENTOR S.A.S.</v>
          </cell>
        </row>
        <row r="45">
          <cell r="C45" t="str">
            <v>P20-02</v>
          </cell>
          <cell r="D45" t="str">
            <v>CELQO S.A.S.</v>
          </cell>
        </row>
        <row r="46">
          <cell r="C46" t="str">
            <v>P21-01</v>
          </cell>
          <cell r="D46" t="str">
            <v>BAG ENGINEERING CONSULTANCY GROUP S.A.S.</v>
          </cell>
        </row>
        <row r="47">
          <cell r="C47" t="str">
            <v>P21-02</v>
          </cell>
          <cell r="D47" t="str">
            <v>INGENIEROS PROYECTOS CONSULTORIAS IPC S.A.S.</v>
          </cell>
        </row>
        <row r="48">
          <cell r="C48" t="str">
            <v>P22-01</v>
          </cell>
          <cell r="D48" t="str">
            <v>DIEGO FERNANDO FONSECA CHAVES</v>
          </cell>
        </row>
        <row r="49">
          <cell r="C49" t="str">
            <v>P22-02</v>
          </cell>
          <cell r="D49" t="str">
            <v>B&amp;C S.A.</v>
          </cell>
        </row>
        <row r="50">
          <cell r="C50" t="str">
            <v>P23-01</v>
          </cell>
          <cell r="D50" t="str">
            <v>INTERVENTORIAS Y DISEÑOS S.A.</v>
          </cell>
        </row>
        <row r="51">
          <cell r="C51" t="str">
            <v>P23-02</v>
          </cell>
          <cell r="D51" t="str">
            <v>ESTRUCTURADOR COLOMBIA S.A.S.</v>
          </cell>
        </row>
        <row r="52">
          <cell r="C52" t="str">
            <v>P24-01</v>
          </cell>
          <cell r="D52" t="str">
            <v>GRUSAMAR INGENIERIA Y CONSULTING SL SUCURSAL EN COLOMBIA</v>
          </cell>
        </row>
        <row r="53">
          <cell r="C53" t="str">
            <v>P24-02</v>
          </cell>
          <cell r="D53" t="str">
            <v>JUAN AMADO LIZARAZO</v>
          </cell>
        </row>
        <row r="54">
          <cell r="C54" t="str">
            <v>P25-01</v>
          </cell>
          <cell r="D54" t="str">
            <v>JOYCO</v>
          </cell>
        </row>
        <row r="55">
          <cell r="C55" t="str">
            <v>P26-01</v>
          </cell>
          <cell r="D55" t="str">
            <v>INGEANDINA CONSULTORES DE INGENIERIA S.A.S.</v>
          </cell>
        </row>
        <row r="56">
          <cell r="C56" t="str">
            <v>P26-02</v>
          </cell>
          <cell r="D56" t="str">
            <v>APPLUS NORCONTROL CONSULTORIA E INGENIERIA S.A.S.</v>
          </cell>
        </row>
        <row r="57">
          <cell r="C57" t="str">
            <v>P27-01</v>
          </cell>
          <cell r="D57" t="str">
            <v>CONSTRUCTORA A &amp; C SOCIEDAD ANONIMA</v>
          </cell>
        </row>
        <row r="58">
          <cell r="C58" t="str">
            <v>P27-02</v>
          </cell>
          <cell r="D58" t="str">
            <v>COPEBA LTDA</v>
          </cell>
        </row>
        <row r="59">
          <cell r="C59" t="str">
            <v>P27-03</v>
          </cell>
          <cell r="D59" t="str">
            <v>GERMAN BALLESTAS BERDEJO</v>
          </cell>
        </row>
        <row r="60">
          <cell r="C60" t="str">
            <v>P28-01</v>
          </cell>
          <cell r="D60" t="str">
            <v>AYESA COLOMBIA INGENIERIA Y ARQUITECTURA S.A.S.</v>
          </cell>
        </row>
        <row r="61">
          <cell r="C61" t="str">
            <v>P28-02</v>
          </cell>
          <cell r="D61">
            <v>0</v>
          </cell>
        </row>
        <row r="62">
          <cell r="C62" t="str">
            <v>P29-01</v>
          </cell>
          <cell r="D62" t="str">
            <v>PROYECTOS CONSTRUCCIONES CIVILES Y VIALES LIMITADA</v>
          </cell>
        </row>
        <row r="63">
          <cell r="C63" t="str">
            <v>P29-02</v>
          </cell>
          <cell r="D63" t="str">
            <v>CAYCO S.A.S.</v>
          </cell>
        </row>
        <row r="64">
          <cell r="C64" t="str">
            <v>P30-01</v>
          </cell>
          <cell r="D64" t="str">
            <v>PROGIN SPA</v>
          </cell>
        </row>
        <row r="65">
          <cell r="C65" t="str">
            <v>P30-02</v>
          </cell>
          <cell r="D65" t="str">
            <v>D &amp; B INGENIEROS CIVILES S.A.S.</v>
          </cell>
        </row>
        <row r="66">
          <cell r="C66" t="str">
            <v>P30-03</v>
          </cell>
          <cell r="D66" t="str">
            <v>INYPSA INFORMES Y PROYECTOS COLOMBIA S.A.S.</v>
          </cell>
        </row>
        <row r="67">
          <cell r="C67" t="str">
            <v>P31-01</v>
          </cell>
          <cell r="D67" t="str">
            <v>EUROCONTROL S.A.</v>
          </cell>
        </row>
        <row r="68">
          <cell r="C68" t="str">
            <v>P31-02</v>
          </cell>
          <cell r="D68" t="str">
            <v>TOP SUELOS INGENIERIA S.A.S.</v>
          </cell>
        </row>
        <row r="69">
          <cell r="C69" t="str">
            <v>P31-03</v>
          </cell>
          <cell r="D69" t="str">
            <v>GARPER INGENIERÍA CIA S.A.S.</v>
          </cell>
        </row>
        <row r="70">
          <cell r="C70" t="str">
            <v>P32-01</v>
          </cell>
          <cell r="D70" t="str">
            <v>SERVICIOS DE INGENIERIA Y CONSTRUCCION LIMITADA "SERVINC LTDA"</v>
          </cell>
        </row>
        <row r="71">
          <cell r="C71" t="str">
            <v>P32-02</v>
          </cell>
          <cell r="D71" t="str">
            <v>VQM S.A.S.</v>
          </cell>
        </row>
        <row r="72">
          <cell r="C72" t="str">
            <v>P33-01</v>
          </cell>
          <cell r="D72" t="str">
            <v>GIC GERENCIA INTERVENTORIA Y CONSULTORIA S.A.S.</v>
          </cell>
        </row>
        <row r="73">
          <cell r="C73" t="str">
            <v>P33-02</v>
          </cell>
          <cell r="D73" t="str">
            <v>CONSULTORES UNIDOS S.A.</v>
          </cell>
        </row>
        <row r="74">
          <cell r="C74" t="str">
            <v>P34-01</v>
          </cell>
          <cell r="D74" t="str">
            <v>MAB INGENIERIA DE VALOR S.A.</v>
          </cell>
        </row>
        <row r="75">
          <cell r="C75" t="str">
            <v>P34-02</v>
          </cell>
          <cell r="D75" t="str">
            <v>MAB SERVICIOS S.A.S.</v>
          </cell>
        </row>
        <row r="76">
          <cell r="C76" t="str">
            <v>P35-01</v>
          </cell>
          <cell r="D76" t="str">
            <v>PABLO EMILIO BRAVO CONSULTORES S.A.S</v>
          </cell>
        </row>
        <row r="77">
          <cell r="C77" t="str">
            <v>P35-02</v>
          </cell>
          <cell r="D77" t="str">
            <v>ESTUDIOS TECNICOS S.A.S.</v>
          </cell>
        </row>
        <row r="78">
          <cell r="C78" t="str">
            <v>P35-03</v>
          </cell>
          <cell r="D78" t="str">
            <v>SIGA INGENIERIA Y CONSULTORIA S.A. SUCURSAL COLOMBIA</v>
          </cell>
        </row>
        <row r="79">
          <cell r="C79" t="str">
            <v>P36-01</v>
          </cell>
          <cell r="D79" t="str">
            <v>CONSULTORES DE INGENIERIA UG 21 SL SUCURSAL</v>
          </cell>
        </row>
        <row r="80">
          <cell r="C80" t="str">
            <v>P36-02</v>
          </cell>
          <cell r="D80" t="str">
            <v>ARDANUY COLOMBIA S.A.S.</v>
          </cell>
        </row>
        <row r="81">
          <cell r="C81" t="str">
            <v>P36-03</v>
          </cell>
          <cell r="D81" t="str">
            <v>GNC INGENIERIA S.A.S.</v>
          </cell>
        </row>
        <row r="82">
          <cell r="C82" t="str">
            <v>P37-01</v>
          </cell>
          <cell r="D82" t="str">
            <v>ETA S.A.</v>
          </cell>
        </row>
        <row r="83">
          <cell r="C83" t="str">
            <v>P37-02</v>
          </cell>
          <cell r="D83" t="str">
            <v>INTERPRO S.A.S.</v>
          </cell>
        </row>
        <row r="84">
          <cell r="C84" t="str">
            <v>P38-01</v>
          </cell>
          <cell r="D84" t="str">
            <v>SERINCO COLOMBIA</v>
          </cell>
        </row>
        <row r="85">
          <cell r="C85" t="str">
            <v>P38-02</v>
          </cell>
          <cell r="D85" t="str">
            <v>DICONSULTORIA S.A.</v>
          </cell>
        </row>
        <row r="86">
          <cell r="C86" t="str">
            <v>P39-01</v>
          </cell>
          <cell r="D86" t="str">
            <v>SMA S.A.</v>
          </cell>
        </row>
        <row r="87">
          <cell r="C87" t="str">
            <v>P39-02</v>
          </cell>
          <cell r="D87" t="str">
            <v>WSP SERVICIOS S.A.S.</v>
          </cell>
        </row>
        <row r="88">
          <cell r="C88" t="str">
            <v>P40-01</v>
          </cell>
          <cell r="D88" t="str">
            <v>PLANES S.A.</v>
          </cell>
        </row>
        <row r="89">
          <cell r="C89" t="str">
            <v>P40-02</v>
          </cell>
          <cell r="D89" t="str">
            <v>HIDROCONSULTA S.A.S.</v>
          </cell>
        </row>
        <row r="90">
          <cell r="C90" t="str">
            <v>P41-01</v>
          </cell>
          <cell r="D90" t="str">
            <v>BATEMAN INGENIERIA S.A.</v>
          </cell>
        </row>
        <row r="91">
          <cell r="C91" t="str">
            <v>P41-02</v>
          </cell>
          <cell r="D91" t="str">
            <v>ECOVIAS S.A.S.</v>
          </cell>
        </row>
        <row r="92">
          <cell r="C92" t="str">
            <v>P42-01</v>
          </cell>
          <cell r="D92" t="str">
            <v>3 B PROYECTOS S.A.S.</v>
          </cell>
        </row>
        <row r="93">
          <cell r="C93" t="str">
            <v>P43-01</v>
          </cell>
          <cell r="D93" t="str">
            <v>INRAESTRUCTURA INTEGRAL S.A.S.</v>
          </cell>
        </row>
        <row r="94">
          <cell r="C94" t="str">
            <v>P43-02</v>
          </cell>
          <cell r="D94" t="str">
            <v>CANO JIMENEZ ESTUDIOS S.A.</v>
          </cell>
        </row>
        <row r="95">
          <cell r="C95" t="str">
            <v>P44-01</v>
          </cell>
          <cell r="D95" t="str">
            <v>CONSULTORES TECNICOS Y ECONOMICOS S.A.</v>
          </cell>
        </row>
        <row r="96">
          <cell r="C96" t="str">
            <v>P44-02</v>
          </cell>
          <cell r="D96" t="str">
            <v>CONSULTORES E INTERVENTORES TECNICOS S.A.S</v>
          </cell>
        </row>
        <row r="97">
          <cell r="C97" t="str">
            <v>P45-01</v>
          </cell>
          <cell r="D97" t="str">
            <v>INTEGRAL DISEÑOS E INTERVENTORIA S.A.S.</v>
          </cell>
        </row>
        <row r="98">
          <cell r="C98" t="str">
            <v>P46-01</v>
          </cell>
          <cell r="D98" t="str">
            <v>INGETEC G &amp; C</v>
          </cell>
        </row>
        <row r="99">
          <cell r="C99" t="str">
            <v>P46-02</v>
          </cell>
          <cell r="D99" t="str">
            <v>CEAS</v>
          </cell>
        </row>
        <row r="100">
          <cell r="C100" t="str">
            <v>P47-01</v>
          </cell>
          <cell r="D100" t="str">
            <v>INGENIERIA CONSULTORIA Y PLANEACION S.A. INCOPLAN S.A.</v>
          </cell>
        </row>
        <row r="101">
          <cell r="C101" t="str">
            <v>P47-02</v>
          </cell>
          <cell r="D101" t="str">
            <v>SONDEOS ESTRUCTURAS Y GEOTECNIA SUCURSAL S.A.</v>
          </cell>
        </row>
        <row r="102">
          <cell r="C102" t="str">
            <v>P48-01</v>
          </cell>
          <cell r="D102" t="str">
            <v>HMV CONSULTORIA</v>
          </cell>
        </row>
        <row r="103">
          <cell r="C103" t="str">
            <v>P49-01</v>
          </cell>
          <cell r="D103" t="str">
            <v>LA VIALIDAD LIMITADA</v>
          </cell>
        </row>
        <row r="104">
          <cell r="C104" t="str">
            <v>P49-02</v>
          </cell>
          <cell r="D104" t="str">
            <v>ARENAS DE LA HOZ CONSULTORES S.A.S.</v>
          </cell>
        </row>
        <row r="105">
          <cell r="C105" t="str">
            <v>P49-03</v>
          </cell>
          <cell r="D105" t="str">
            <v>SILVA CARREÑO Y ASOCIADOS S.A.S.</v>
          </cell>
        </row>
        <row r="106">
          <cell r="C106" t="str">
            <v>P50-01</v>
          </cell>
          <cell r="D106" t="str">
            <v>TECNOLOGIAS Y CONSULTORIAS AMBIENTALES Y GESTION S.A.</v>
          </cell>
        </row>
        <row r="107">
          <cell r="C107" t="str">
            <v>P50-02</v>
          </cell>
          <cell r="D107" t="str">
            <v>PROYECTOS TECNICOS DE COLOMBIA</v>
          </cell>
        </row>
        <row r="108">
          <cell r="C108" t="str">
            <v>P50-03</v>
          </cell>
          <cell r="D108" t="str">
            <v>HORACIO FRANCISCO MENDOZA MARTINEZ</v>
          </cell>
        </row>
      </sheetData>
      <sheetData sheetId="1" refreshError="1">
        <row r="5">
          <cell r="D5">
            <v>1931.0428561832061</v>
          </cell>
          <cell r="F5">
            <v>9848.3185665343499</v>
          </cell>
          <cell r="H5">
            <v>19310.428561832061</v>
          </cell>
          <cell r="J5">
            <v>2413.8035702290076</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9-16 y 49"/>
      <sheetName val="EXP ESPEC. 9 - 16 y 49"/>
      <sheetName val="EXP G. 1-8"/>
      <sheetName val="EXP G. 9-16"/>
      <sheetName val="DESEMPATE"/>
      <sheetName val="EXP G. 17-24"/>
      <sheetName val="EXP G. 25-32"/>
      <sheetName val="EXP G.41-50"/>
    </sheetNames>
    <sheetDataSet>
      <sheetData sheetId="0" refreshError="1">
        <row r="4">
          <cell r="C4" t="str">
            <v>P01-01</v>
          </cell>
          <cell r="D4" t="str">
            <v>LKS COLOMBIA S.A.S.</v>
          </cell>
        </row>
        <row r="5">
          <cell r="C5" t="str">
            <v>P01-02</v>
          </cell>
          <cell r="D5" t="str">
            <v>NOGALL S.A.</v>
          </cell>
        </row>
        <row r="6">
          <cell r="C6" t="str">
            <v>P01-03</v>
          </cell>
          <cell r="D6" t="str">
            <v>CGR S.A.S.</v>
          </cell>
        </row>
        <row r="7">
          <cell r="C7" t="str">
            <v>P02-01</v>
          </cell>
          <cell r="D7" t="str">
            <v xml:space="preserve">AFA CONSULTORES Y CONSTRUCTORES S.A  E.S.P. </v>
          </cell>
        </row>
        <row r="8">
          <cell r="C8" t="str">
            <v>P02-02</v>
          </cell>
          <cell r="D8" t="str">
            <v xml:space="preserve">INCGROUP S.A.S </v>
          </cell>
        </row>
        <row r="9">
          <cell r="C9" t="str">
            <v>P03-01</v>
          </cell>
          <cell r="D9" t="str">
            <v>INGENIEROS CIVILES ESPECIALISTAS LTDA</v>
          </cell>
        </row>
        <row r="10">
          <cell r="C10" t="str">
            <v>P03-02</v>
          </cell>
          <cell r="D10" t="str">
            <v>INGENIERIA DE PROYECTOS S.A.S.</v>
          </cell>
        </row>
        <row r="11">
          <cell r="C11" t="str">
            <v>P04-01</v>
          </cell>
          <cell r="D11" t="str">
            <v>CONSULTORIA INTOK DE COLOMBIA Y ASOCIADOS S.A.S.</v>
          </cell>
        </row>
        <row r="12">
          <cell r="C12" t="str">
            <v>P04-02</v>
          </cell>
          <cell r="D12" t="str">
            <v>GOMEZ CAJIAO Y ASOCIADOS S.A.</v>
          </cell>
        </row>
        <row r="13">
          <cell r="C13" t="str">
            <v>P05-01</v>
          </cell>
          <cell r="D13" t="str">
            <v>ICEACSA CONSULTORES SUCURSAL COLOMBIA</v>
          </cell>
        </row>
        <row r="14">
          <cell r="C14" t="str">
            <v>P05-02</v>
          </cell>
          <cell r="D14" t="str">
            <v>GEOTECNIA Y CIMIENTOS INGEOCIM S.A.S.</v>
          </cell>
        </row>
        <row r="15">
          <cell r="C15" t="str">
            <v>P06-01</v>
          </cell>
          <cell r="D15" t="str">
            <v>VELNEC S.A.</v>
          </cell>
        </row>
        <row r="16">
          <cell r="C16" t="str">
            <v>P06-02</v>
          </cell>
          <cell r="D16" t="str">
            <v>CONSULTORES INTERVENTORES COLOMBIANOS S.A.S.  - CONCIC S.A.S.</v>
          </cell>
        </row>
        <row r="17">
          <cell r="C17" t="str">
            <v>P07-01</v>
          </cell>
          <cell r="D17" t="str">
            <v>SERTIC S.A.S.</v>
          </cell>
        </row>
        <row r="18">
          <cell r="C18" t="str">
            <v>P07-02</v>
          </cell>
          <cell r="D18" t="str">
            <v>CPS INGENIEROS OBRA CIVIL Y MEDIO AMBIENTE SUCURSAL COLOMBIA SL</v>
          </cell>
        </row>
        <row r="19">
          <cell r="C19" t="str">
            <v>P08-01</v>
          </cell>
          <cell r="D19" t="str">
            <v>INGENOBRAS CONSTRUCCIONES Y CONSULTORIA S.A.S. - INGENOBRAS S.A.S.</v>
          </cell>
        </row>
        <row r="20">
          <cell r="C20" t="str">
            <v>P08-02</v>
          </cell>
          <cell r="D20" t="str">
            <v>JOSE MANUEL GUARDO POLO</v>
          </cell>
        </row>
        <row r="21">
          <cell r="C21" t="str">
            <v>P09-01</v>
          </cell>
          <cell r="D21" t="str">
            <v>ARREDONDO MADRID INGENIEROS CIVILES (AIM ) LIMITADA</v>
          </cell>
        </row>
        <row r="22">
          <cell r="C22" t="str">
            <v>P09-02</v>
          </cell>
          <cell r="D22" t="str">
            <v>INGENIERIA INTEGRAL DE OBRAS INGEOBRAS S.A.S.</v>
          </cell>
        </row>
        <row r="23">
          <cell r="C23" t="str">
            <v>P10-01</v>
          </cell>
          <cell r="D23" t="str">
            <v xml:space="preserve">GETINSA INGENIERIA SL SUCURSAL COLOMBIA </v>
          </cell>
        </row>
        <row r="24">
          <cell r="C24" t="str">
            <v>P10-02</v>
          </cell>
          <cell r="D24" t="str">
            <v xml:space="preserve">EUROESTUDIOS INGENIEROS DE CONSULTA S.A.S. </v>
          </cell>
        </row>
        <row r="25">
          <cell r="C25" t="str">
            <v>P11-01</v>
          </cell>
          <cell r="D25" t="str">
            <v>INGENIERIA Y CONSULTORIA INGECON S.A.S.</v>
          </cell>
        </row>
        <row r="26">
          <cell r="C26" t="str">
            <v>P11-02</v>
          </cell>
          <cell r="D26" t="str">
            <v>CONSULTORIA INTEGRAL EN INGENIERIA S.A. DE CV</v>
          </cell>
        </row>
        <row r="27">
          <cell r="C27" t="str">
            <v>P12-01</v>
          </cell>
          <cell r="D27" t="str">
            <v>PROYECTOS E INTERVENTORIAS LIMITADA</v>
          </cell>
        </row>
        <row r="28">
          <cell r="C28" t="str">
            <v>P12-02</v>
          </cell>
          <cell r="D28" t="str">
            <v>INENIERA DE ESTUDIOS Y ASESORIAS S.A.S. INESAS</v>
          </cell>
        </row>
        <row r="29">
          <cell r="C29" t="str">
            <v>P13-01</v>
          </cell>
          <cell r="D29" t="str">
            <v>COMPAÑÍA COLOMBIANA DE CONSULTORES S.A.S. (CCC)</v>
          </cell>
        </row>
        <row r="30">
          <cell r="C30" t="str">
            <v>P13-02</v>
          </cell>
          <cell r="D30" t="str">
            <v>CONSULTORES EN INGENIERIA S.A.S.</v>
          </cell>
        </row>
        <row r="31">
          <cell r="C31" t="str">
            <v>P14-01</v>
          </cell>
          <cell r="D31" t="str">
            <v>SEDIC</v>
          </cell>
        </row>
        <row r="32">
          <cell r="C32" t="str">
            <v>P14-02</v>
          </cell>
          <cell r="D32" t="str">
            <v>CB INGENIEROS</v>
          </cell>
        </row>
        <row r="33">
          <cell r="C33" t="str">
            <v>P15-01</v>
          </cell>
          <cell r="D33" t="str">
            <v>CEMOSA (COLOMBIA)</v>
          </cell>
        </row>
        <row r="34">
          <cell r="C34" t="str">
            <v>P15-02</v>
          </cell>
          <cell r="D34" t="str">
            <v>INGENIERIA Y DESARROLLO XIMA DE COLOMBIA S.A.S.</v>
          </cell>
        </row>
        <row r="35">
          <cell r="C35" t="str">
            <v>P16-01</v>
          </cell>
          <cell r="D35" t="str">
            <v>SUPERING S.A.S.</v>
          </cell>
        </row>
        <row r="36">
          <cell r="C36" t="str">
            <v>P17-01</v>
          </cell>
          <cell r="D36" t="str">
            <v>INZETT S.A.S.</v>
          </cell>
        </row>
        <row r="37">
          <cell r="C37" t="str">
            <v>P17-02</v>
          </cell>
          <cell r="D37" t="str">
            <v>CIVING INGENIEROS CONTRATISTAS S EN C</v>
          </cell>
        </row>
        <row r="38">
          <cell r="C38" t="str">
            <v>P17-03</v>
          </cell>
          <cell r="D38" t="str">
            <v>J FELIPE ARDILA V &amp; CIA S.A.S.</v>
          </cell>
        </row>
        <row r="39">
          <cell r="C39" t="str">
            <v>P18-01</v>
          </cell>
          <cell r="D39" t="str">
            <v>GRUPO POSSO S.A.S.</v>
          </cell>
        </row>
        <row r="40">
          <cell r="C40" t="str">
            <v>P18-02</v>
          </cell>
          <cell r="D40" t="str">
            <v>GINPROSA COLOMBIA S.A.S.</v>
          </cell>
        </row>
        <row r="41">
          <cell r="C41" t="str">
            <v>P18-03</v>
          </cell>
          <cell r="D41" t="str">
            <v>C &amp; M CONSULTORES  S.A.</v>
          </cell>
        </row>
        <row r="42">
          <cell r="C42" t="str">
            <v>P19-01</v>
          </cell>
          <cell r="D42" t="str">
            <v>GRUPO METRO COLOMBIA (GMC INGENIEROS S.A.)</v>
          </cell>
        </row>
        <row r="43">
          <cell r="C43" t="str">
            <v>P19-02</v>
          </cell>
          <cell r="D43" t="str">
            <v>GC&amp;Q INGENIEROS CONSULTORES S.A.S.</v>
          </cell>
        </row>
        <row r="44">
          <cell r="C44" t="str">
            <v>P20-01</v>
          </cell>
          <cell r="D44" t="str">
            <v>IV INGENIEROS CONSULTORES E INTERVENTOR S.A.S.</v>
          </cell>
        </row>
        <row r="45">
          <cell r="C45" t="str">
            <v>P20-02</v>
          </cell>
          <cell r="D45" t="str">
            <v>CELQO S.A.S.</v>
          </cell>
        </row>
        <row r="46">
          <cell r="C46" t="str">
            <v>P21-01</v>
          </cell>
          <cell r="D46" t="str">
            <v>BAG ENGINEERING CONSULTANCY GROUP S.A.S.</v>
          </cell>
        </row>
        <row r="47">
          <cell r="C47" t="str">
            <v>P21-02</v>
          </cell>
          <cell r="D47" t="str">
            <v>INGENIEROS PROYECTOS CONSULTORIAS IPC S.A.S.</v>
          </cell>
        </row>
        <row r="48">
          <cell r="C48" t="str">
            <v>P22-01</v>
          </cell>
          <cell r="D48" t="str">
            <v>DIEGO FERNANDO FONSECA CHAVES</v>
          </cell>
        </row>
        <row r="49">
          <cell r="C49" t="str">
            <v>P22-02</v>
          </cell>
          <cell r="D49" t="str">
            <v>B&amp;C S.A.</v>
          </cell>
        </row>
        <row r="50">
          <cell r="C50" t="str">
            <v>P23-01</v>
          </cell>
          <cell r="D50" t="str">
            <v>INTERVENTORIAS Y DISEÑOS S.A.</v>
          </cell>
        </row>
        <row r="51">
          <cell r="C51" t="str">
            <v>P23-02</v>
          </cell>
          <cell r="D51" t="str">
            <v>ESTRUCTURADOR COLOMBIA S.A.S.</v>
          </cell>
        </row>
        <row r="52">
          <cell r="C52" t="str">
            <v>P24-01</v>
          </cell>
          <cell r="D52" t="str">
            <v>GRUSAMAR INGENIERIA Y CONSULTING SL SUCURSAL EN COLOMBIA</v>
          </cell>
        </row>
        <row r="53">
          <cell r="C53" t="str">
            <v>P24-02</v>
          </cell>
          <cell r="D53" t="str">
            <v>JUAN AMADO LIZARAZO</v>
          </cell>
        </row>
        <row r="54">
          <cell r="C54" t="str">
            <v>P25-01</v>
          </cell>
          <cell r="D54" t="str">
            <v>JOYCO</v>
          </cell>
        </row>
        <row r="55">
          <cell r="C55" t="str">
            <v>P26-01</v>
          </cell>
          <cell r="D55" t="str">
            <v>INGEANDINA CONSULTORES DE INGENIERIA S.A.S.</v>
          </cell>
        </row>
        <row r="56">
          <cell r="C56" t="str">
            <v>P26-02</v>
          </cell>
          <cell r="D56" t="str">
            <v>APPLUS NORCONTROL CONSULTORIA E INGENIERIA S.A.S.</v>
          </cell>
        </row>
        <row r="57">
          <cell r="C57" t="str">
            <v>P27-01</v>
          </cell>
          <cell r="D57" t="str">
            <v>CONSTRUCTORA A &amp; C SOCIEDAD ANONIMA</v>
          </cell>
        </row>
        <row r="58">
          <cell r="C58" t="str">
            <v>P27-02</v>
          </cell>
          <cell r="D58" t="str">
            <v>COPEBA LTDA</v>
          </cell>
        </row>
        <row r="59">
          <cell r="C59" t="str">
            <v>P27-03</v>
          </cell>
          <cell r="D59" t="str">
            <v>GERMAN BALLESTAS BERDEJO</v>
          </cell>
        </row>
        <row r="60">
          <cell r="C60" t="str">
            <v>P28-01</v>
          </cell>
          <cell r="D60" t="str">
            <v>AYESA COLOMBIA INGENIERIA Y ARQUITECTURA S.A.S.</v>
          </cell>
        </row>
        <row r="61">
          <cell r="C61" t="str">
            <v>P28-02</v>
          </cell>
          <cell r="D61">
            <v>0</v>
          </cell>
        </row>
        <row r="62">
          <cell r="C62" t="str">
            <v>P29-01</v>
          </cell>
          <cell r="D62" t="str">
            <v>PROYECTOS CONSTRUCCIONES CIVILES Y VIALES LIMITADA</v>
          </cell>
        </row>
        <row r="63">
          <cell r="C63" t="str">
            <v>P29-02</v>
          </cell>
          <cell r="D63" t="str">
            <v>CAYCO S.A.S.</v>
          </cell>
        </row>
        <row r="64">
          <cell r="C64" t="str">
            <v>P30-01</v>
          </cell>
          <cell r="D64" t="str">
            <v>PROGIN SPA</v>
          </cell>
        </row>
        <row r="65">
          <cell r="C65" t="str">
            <v>P30-02</v>
          </cell>
          <cell r="D65" t="str">
            <v>D &amp; B INGENIEROS CIVILES S.A.S.</v>
          </cell>
        </row>
        <row r="66">
          <cell r="C66" t="str">
            <v>P30-03</v>
          </cell>
          <cell r="D66" t="str">
            <v>INYPSA INFORMES Y PROYECTOS COLOMBIA S.A.S.</v>
          </cell>
        </row>
        <row r="67">
          <cell r="C67" t="str">
            <v>P31-01</v>
          </cell>
          <cell r="D67" t="str">
            <v>EUROCONTROL S.A.</v>
          </cell>
        </row>
        <row r="68">
          <cell r="C68" t="str">
            <v>P31-02</v>
          </cell>
          <cell r="D68" t="str">
            <v>TOP SUELOS INGENIERIA S.A.S.</v>
          </cell>
        </row>
        <row r="69">
          <cell r="C69" t="str">
            <v>P31-03</v>
          </cell>
          <cell r="D69" t="str">
            <v>GARPER INGENIERÍA CIA S.A.S.</v>
          </cell>
        </row>
        <row r="70">
          <cell r="C70" t="str">
            <v>P32-01</v>
          </cell>
          <cell r="D70" t="str">
            <v>SERVICIOS DE INGENIERIA Y CONSTRUCCION LIMITADA "SERVINC LTDA"</v>
          </cell>
        </row>
        <row r="71">
          <cell r="C71" t="str">
            <v>P32-02</v>
          </cell>
          <cell r="D71" t="str">
            <v>VQM S.A.S.</v>
          </cell>
        </row>
        <row r="72">
          <cell r="C72" t="str">
            <v>P33-01</v>
          </cell>
          <cell r="D72" t="str">
            <v>GIC GERENCIA INTERVENTORIA Y CONSULTORIA S.A.S.</v>
          </cell>
        </row>
        <row r="73">
          <cell r="C73" t="str">
            <v>P33-02</v>
          </cell>
          <cell r="D73" t="str">
            <v>CONSULTORES UNIDOS S.A.</v>
          </cell>
        </row>
        <row r="74">
          <cell r="C74" t="str">
            <v>P34-01</v>
          </cell>
          <cell r="D74" t="str">
            <v>MAB INGENIERIA DE VALOR S.A.</v>
          </cell>
        </row>
        <row r="75">
          <cell r="C75" t="str">
            <v>P34-02</v>
          </cell>
          <cell r="D75" t="str">
            <v>MAB SERVICIOS S.A.S.</v>
          </cell>
        </row>
        <row r="76">
          <cell r="C76" t="str">
            <v>P35-01</v>
          </cell>
          <cell r="D76" t="str">
            <v>PABLO EMILIO BRAVO CONSULTORES S.A.S</v>
          </cell>
        </row>
        <row r="77">
          <cell r="C77" t="str">
            <v>P35-02</v>
          </cell>
          <cell r="D77" t="str">
            <v>ESTUDIOS TECNICOS S.A.S.</v>
          </cell>
        </row>
        <row r="78">
          <cell r="C78" t="str">
            <v>P35-03</v>
          </cell>
          <cell r="D78" t="str">
            <v>SIGA INGENIERIA Y CONSULTORIA S.A. SUCURSAL COLOMBIA</v>
          </cell>
        </row>
        <row r="79">
          <cell r="C79" t="str">
            <v>P36-01</v>
          </cell>
          <cell r="D79" t="str">
            <v>CONSULTORES DE INGENIERIA UG 21 SL SUCURSAL</v>
          </cell>
        </row>
        <row r="80">
          <cell r="C80" t="str">
            <v>P36-02</v>
          </cell>
          <cell r="D80" t="str">
            <v>ARDANUY COLOMBIA S.A.S.</v>
          </cell>
        </row>
        <row r="81">
          <cell r="C81" t="str">
            <v>P36-03</v>
          </cell>
          <cell r="D81" t="str">
            <v>GNC INGENIERIA S.A.S.</v>
          </cell>
        </row>
        <row r="82">
          <cell r="C82" t="str">
            <v>P37-01</v>
          </cell>
          <cell r="D82" t="str">
            <v>ETA S.A.</v>
          </cell>
        </row>
        <row r="83">
          <cell r="C83" t="str">
            <v>P37-02</v>
          </cell>
          <cell r="D83" t="str">
            <v>INTERPRO S.A.S.</v>
          </cell>
        </row>
        <row r="84">
          <cell r="C84" t="str">
            <v>P38-01</v>
          </cell>
          <cell r="D84" t="str">
            <v>SERINCO COLOMBIA</v>
          </cell>
        </row>
        <row r="85">
          <cell r="C85" t="str">
            <v>P38-02</v>
          </cell>
          <cell r="D85" t="str">
            <v>DICONSULTORIA S.A.</v>
          </cell>
        </row>
        <row r="86">
          <cell r="C86" t="str">
            <v>P39-01</v>
          </cell>
          <cell r="D86" t="str">
            <v>SMA S.A.</v>
          </cell>
        </row>
        <row r="87">
          <cell r="C87" t="str">
            <v>P39-02</v>
          </cell>
          <cell r="D87" t="str">
            <v>WSP SERVICIOS S.A.S.</v>
          </cell>
        </row>
        <row r="88">
          <cell r="C88" t="str">
            <v>P40-01</v>
          </cell>
          <cell r="D88" t="str">
            <v>PLANES S.A.</v>
          </cell>
        </row>
        <row r="89">
          <cell r="C89" t="str">
            <v>P40-02</v>
          </cell>
          <cell r="D89" t="str">
            <v>HIDROCONSULTA S.A.S.</v>
          </cell>
        </row>
        <row r="90">
          <cell r="C90" t="str">
            <v>P41-01</v>
          </cell>
          <cell r="D90" t="str">
            <v>BATEMAN INGENIERIA S.A.</v>
          </cell>
        </row>
        <row r="91">
          <cell r="C91" t="str">
            <v>P41-02</v>
          </cell>
          <cell r="D91" t="str">
            <v>ECOVIAS S.A.S.</v>
          </cell>
        </row>
        <row r="92">
          <cell r="C92" t="str">
            <v>P42-01</v>
          </cell>
          <cell r="D92" t="str">
            <v>3 B PROYECTOS S.A.S.</v>
          </cell>
        </row>
        <row r="93">
          <cell r="C93" t="str">
            <v>P43-01</v>
          </cell>
          <cell r="D93" t="str">
            <v>INRAESTRUCTURA INTEGRAL S.A.S.</v>
          </cell>
        </row>
        <row r="94">
          <cell r="C94" t="str">
            <v>P43-02</v>
          </cell>
          <cell r="D94" t="str">
            <v>CANO JIMENEZ ESTUDIOS S.A.</v>
          </cell>
        </row>
        <row r="95">
          <cell r="C95" t="str">
            <v>P44-01</v>
          </cell>
          <cell r="D95" t="str">
            <v>CONSULTORES TECNICOS Y ECONOMICOS S.A.</v>
          </cell>
        </row>
        <row r="96">
          <cell r="C96" t="str">
            <v>P44-02</v>
          </cell>
          <cell r="D96" t="str">
            <v>CONSULTORES E INTERVENTORES TECNICOS S.A.S</v>
          </cell>
        </row>
        <row r="97">
          <cell r="C97" t="str">
            <v>P45-01</v>
          </cell>
          <cell r="D97" t="str">
            <v>INTEGRAL DISEÑOS E INTERVENTORIA S.A.S.</v>
          </cell>
        </row>
        <row r="98">
          <cell r="C98" t="str">
            <v>P46-01</v>
          </cell>
          <cell r="D98" t="str">
            <v>INGETEC G &amp; C</v>
          </cell>
        </row>
        <row r="99">
          <cell r="C99" t="str">
            <v>P46-02</v>
          </cell>
          <cell r="D99" t="str">
            <v>CEAS</v>
          </cell>
        </row>
        <row r="100">
          <cell r="C100" t="str">
            <v>P47-01</v>
          </cell>
          <cell r="D100" t="str">
            <v>INGENIERIA CONSULTORIA Y PLANEACION S.A. INCOPLAN S.A.</v>
          </cell>
        </row>
        <row r="101">
          <cell r="C101" t="str">
            <v>P47-02</v>
          </cell>
          <cell r="D101" t="str">
            <v>SONDEOS ESTRUCTURAS Y GEOTECNIA SUCURSAL S.A.</v>
          </cell>
        </row>
        <row r="102">
          <cell r="C102" t="str">
            <v>P48-01</v>
          </cell>
          <cell r="D102" t="str">
            <v>HMV CONSULTORIA</v>
          </cell>
        </row>
        <row r="103">
          <cell r="C103" t="str">
            <v>P49-01</v>
          </cell>
          <cell r="D103" t="str">
            <v>LA VIALIDAD LIMITADA</v>
          </cell>
        </row>
        <row r="104">
          <cell r="C104" t="str">
            <v>P49-02</v>
          </cell>
          <cell r="D104" t="str">
            <v>ARENAS DE LA HOZ CONSULTORES S.A.S.</v>
          </cell>
        </row>
        <row r="105">
          <cell r="C105" t="str">
            <v>P49-03</v>
          </cell>
          <cell r="D105" t="str">
            <v>SILVA CARREÑO Y ASOCIADOS S.A.S.</v>
          </cell>
        </row>
        <row r="106">
          <cell r="C106" t="str">
            <v>P50-01</v>
          </cell>
          <cell r="D106" t="str">
            <v>TECNOLOGIAS Y CONSULTORIAS AMBIENTALES Y GESTION S.A.</v>
          </cell>
        </row>
        <row r="107">
          <cell r="C107" t="str">
            <v>P50-02</v>
          </cell>
          <cell r="D107" t="str">
            <v>PROYECTOS TECNICOS DE COLOMBIA</v>
          </cell>
        </row>
        <row r="108">
          <cell r="C108" t="str">
            <v>P50-03</v>
          </cell>
          <cell r="D108" t="str">
            <v>HORACIO FRANCISCO MENDOZA MARTINEZ</v>
          </cell>
        </row>
      </sheetData>
      <sheetData sheetId="1" refreshError="1">
        <row r="5">
          <cell r="D5">
            <v>1931.0428561832061</v>
          </cell>
          <cell r="F5">
            <v>9848.3185665343499</v>
          </cell>
          <cell r="H5">
            <v>19310.428561832061</v>
          </cell>
          <cell r="J5">
            <v>2413.8035702290076</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9-16 y 49"/>
      <sheetName val="EXP ESPEC. 9 - 16 y 49"/>
      <sheetName val="EXP G. 1-8"/>
      <sheetName val="EXP G. 9-16"/>
      <sheetName val="DESEMPATE"/>
      <sheetName val="EXP G. 17-24"/>
      <sheetName val="EXP G. 25-32"/>
      <sheetName val="EXP G.41-50"/>
    </sheetNames>
    <sheetDataSet>
      <sheetData sheetId="0"/>
      <sheetData sheetId="1">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ARÁMETROS"/>
      <sheetName val="EXP GEN. 17-24"/>
      <sheetName val="EXP ESPEC. 17-24"/>
      <sheetName val="DESEMPATE"/>
    </sheetNames>
    <sheetDataSet>
      <sheetData sheetId="0" refreshError="1">
        <row r="4">
          <cell r="C4" t="str">
            <v>P01-01</v>
          </cell>
          <cell r="D4" t="str">
            <v>LKS COLOMBIA S.A.S.</v>
          </cell>
        </row>
        <row r="5">
          <cell r="C5" t="str">
            <v>P01-02</v>
          </cell>
          <cell r="D5" t="str">
            <v>NOGALL S.A.</v>
          </cell>
        </row>
        <row r="6">
          <cell r="C6" t="str">
            <v>P01-03</v>
          </cell>
          <cell r="D6" t="str">
            <v>CGR S.A.S.</v>
          </cell>
        </row>
        <row r="7">
          <cell r="C7" t="str">
            <v>P02-01</v>
          </cell>
          <cell r="D7" t="str">
            <v xml:space="preserve">AFA CONSULTORES Y CONSTRUCTORES S.A  E.S.P. </v>
          </cell>
        </row>
        <row r="8">
          <cell r="C8" t="str">
            <v>P02-02</v>
          </cell>
          <cell r="D8" t="str">
            <v xml:space="preserve">INCGROUP S.A.S </v>
          </cell>
        </row>
        <row r="9">
          <cell r="C9" t="str">
            <v>P03-01</v>
          </cell>
          <cell r="D9" t="str">
            <v>INGENIEROS CIVILES ESPECIALISTAS LTDA</v>
          </cell>
        </row>
        <row r="10">
          <cell r="C10" t="str">
            <v>P03-02</v>
          </cell>
          <cell r="D10" t="str">
            <v>INGENIERIA DE PROYECTOS S.A.S.</v>
          </cell>
        </row>
        <row r="11">
          <cell r="C11" t="str">
            <v>P04-01</v>
          </cell>
          <cell r="D11" t="str">
            <v>CONSULTORIA INTOK DE COLOMBIA Y ASOCIADOS S.A.S.</v>
          </cell>
        </row>
        <row r="12">
          <cell r="C12" t="str">
            <v>P04-02</v>
          </cell>
          <cell r="D12" t="str">
            <v>GOMEZ CAJIAO Y ASOCIADOS S.A.</v>
          </cell>
        </row>
        <row r="13">
          <cell r="C13" t="str">
            <v>P05-01</v>
          </cell>
          <cell r="D13" t="str">
            <v>ICEACSA CONSULTORES SUCURSAL COLOMBIA</v>
          </cell>
        </row>
        <row r="14">
          <cell r="C14" t="str">
            <v>P05-02</v>
          </cell>
          <cell r="D14" t="str">
            <v>GEOTECNIA Y CIMIENTOS INGEOCIM S.A.S.</v>
          </cell>
        </row>
        <row r="15">
          <cell r="C15" t="str">
            <v>P06-01</v>
          </cell>
          <cell r="D15" t="str">
            <v>VELNEC S.A.</v>
          </cell>
        </row>
        <row r="16">
          <cell r="C16" t="str">
            <v>P06-02</v>
          </cell>
          <cell r="D16" t="str">
            <v>CONSULTORES INTERVENTORES COLOMBIANOS S.A.S.  - CONCIC S.A.S.</v>
          </cell>
        </row>
        <row r="17">
          <cell r="C17" t="str">
            <v>P07-01</v>
          </cell>
          <cell r="D17" t="str">
            <v>SERTIC S.A.S.</v>
          </cell>
        </row>
        <row r="18">
          <cell r="C18" t="str">
            <v>P07-02</v>
          </cell>
          <cell r="D18" t="str">
            <v>CPS INGENIEROS OBRA CIVIL Y MEDIO AMBIENTE SUCURSAL COLOMBIA SL</v>
          </cell>
        </row>
        <row r="19">
          <cell r="C19" t="str">
            <v>P08-01</v>
          </cell>
          <cell r="D19" t="str">
            <v>INGENOBRAS CONSTRUCCIONES Y CONSULTORIA S.A.S. - INGENOBRAS S.A.S.</v>
          </cell>
        </row>
        <row r="20">
          <cell r="C20" t="str">
            <v>P08-02</v>
          </cell>
          <cell r="D20" t="str">
            <v>JOSE MANUEL GUARDO POLO</v>
          </cell>
        </row>
        <row r="21">
          <cell r="C21" t="str">
            <v>P09-01</v>
          </cell>
          <cell r="D21" t="str">
            <v>ARREDONDO MADRID INGENIEROS CIVILES (AIM ) LIMITADA</v>
          </cell>
        </row>
        <row r="22">
          <cell r="C22" t="str">
            <v>P09-02</v>
          </cell>
          <cell r="D22" t="str">
            <v>INGENIERIA INTEGRAL DE OBRAS INGEOBRAS S.A.S.</v>
          </cell>
        </row>
        <row r="23">
          <cell r="C23" t="str">
            <v>P10-01</v>
          </cell>
          <cell r="D23" t="str">
            <v xml:space="preserve">GETINSA INGENIERIA SL SUCURSAL COLOMBIA </v>
          </cell>
        </row>
        <row r="24">
          <cell r="C24" t="str">
            <v>P10-02</v>
          </cell>
          <cell r="D24" t="str">
            <v xml:space="preserve">EUROESTUDIOS INGENIEROS DE CONSULTA S.A.S. </v>
          </cell>
        </row>
        <row r="25">
          <cell r="C25" t="str">
            <v>P11-01</v>
          </cell>
          <cell r="D25" t="str">
            <v>INGENIERIA Y CONSULTORIA INGECON S.A.S.</v>
          </cell>
        </row>
        <row r="26">
          <cell r="C26" t="str">
            <v>P11-02</v>
          </cell>
          <cell r="D26" t="str">
            <v>CONSULTORIA INTEGRAL EN INGENIERIA S.A. DE CV</v>
          </cell>
        </row>
        <row r="27">
          <cell r="C27" t="str">
            <v>P12-01</v>
          </cell>
          <cell r="D27" t="str">
            <v>PROYECTOS E INTERVENTORIAS LIMITADA</v>
          </cell>
        </row>
        <row r="28">
          <cell r="C28" t="str">
            <v>P12-02</v>
          </cell>
          <cell r="D28" t="str">
            <v>INENIERA DE ESTUDIOS Y ASESORIAS S.A.S. INESAS</v>
          </cell>
        </row>
        <row r="29">
          <cell r="C29" t="str">
            <v>P13-01</v>
          </cell>
          <cell r="D29" t="str">
            <v>COMPAÑÍA COLOMBIANA DE CONSULTORES S.A.S. (CCC)</v>
          </cell>
        </row>
        <row r="30">
          <cell r="C30" t="str">
            <v>P13-02</v>
          </cell>
          <cell r="D30" t="str">
            <v>CONSULTORES EN INGENIERIA S.A.S.</v>
          </cell>
        </row>
        <row r="31">
          <cell r="C31" t="str">
            <v>P14-01</v>
          </cell>
          <cell r="D31" t="str">
            <v>SEDIC</v>
          </cell>
        </row>
        <row r="32">
          <cell r="C32" t="str">
            <v>P14-02</v>
          </cell>
          <cell r="D32" t="str">
            <v>CB INGENIEROS</v>
          </cell>
        </row>
        <row r="33">
          <cell r="C33" t="str">
            <v>P15-01</v>
          </cell>
          <cell r="D33" t="str">
            <v>CEMOSA (COLOMBIA)</v>
          </cell>
        </row>
        <row r="34">
          <cell r="C34" t="str">
            <v>P15-02</v>
          </cell>
          <cell r="D34" t="str">
            <v>INGENIERIA Y DESARROLLO XIMA DE COLOMBIA S.A.S.</v>
          </cell>
        </row>
        <row r="35">
          <cell r="C35" t="str">
            <v>P16-01</v>
          </cell>
          <cell r="D35" t="str">
            <v>SUPERING S.A.S.</v>
          </cell>
        </row>
        <row r="36">
          <cell r="C36" t="str">
            <v>P17-01</v>
          </cell>
          <cell r="D36" t="str">
            <v>INZETT S.A.S.</v>
          </cell>
        </row>
        <row r="37">
          <cell r="C37" t="str">
            <v>P17-02</v>
          </cell>
          <cell r="D37" t="str">
            <v>CIVING INGENIEROS CONTRATISTAS S EN C</v>
          </cell>
        </row>
        <row r="38">
          <cell r="C38" t="str">
            <v>P17-03</v>
          </cell>
          <cell r="D38" t="str">
            <v>J FELIPE ARDILA V &amp; CIA S.A.S.</v>
          </cell>
        </row>
        <row r="39">
          <cell r="C39" t="str">
            <v>P18-01</v>
          </cell>
          <cell r="D39" t="str">
            <v>GRUPO POSSO S.A.S.</v>
          </cell>
        </row>
        <row r="40">
          <cell r="C40" t="str">
            <v>P18-02</v>
          </cell>
          <cell r="D40" t="str">
            <v>GINPROSA COLOMBIA S.A.S.</v>
          </cell>
        </row>
        <row r="41">
          <cell r="C41" t="str">
            <v>P18-03</v>
          </cell>
          <cell r="D41" t="str">
            <v>C &amp; M CONSULTORES  S.A.</v>
          </cell>
        </row>
        <row r="42">
          <cell r="C42" t="str">
            <v>P19-01</v>
          </cell>
          <cell r="D42" t="str">
            <v>GRUPO METRO COLOMBIA (GMC INGENIEROS S.A.)</v>
          </cell>
        </row>
        <row r="43">
          <cell r="C43" t="str">
            <v>P19-02</v>
          </cell>
          <cell r="D43" t="str">
            <v>GC&amp;Q INGENIEROS CONSULTORES S.A.S.</v>
          </cell>
        </row>
        <row r="44">
          <cell r="C44" t="str">
            <v>P20-01</v>
          </cell>
          <cell r="D44" t="str">
            <v>IV INGENIEROS CONSULTORES E INTERVENTOR S.A.S.</v>
          </cell>
        </row>
        <row r="45">
          <cell r="C45" t="str">
            <v>P20-02</v>
          </cell>
          <cell r="D45" t="str">
            <v>CELQO S.A.S.</v>
          </cell>
        </row>
        <row r="46">
          <cell r="C46" t="str">
            <v>P20-03</v>
          </cell>
          <cell r="D46" t="str">
            <v>ALPHA GRUPO CONSULTOR S.AS</v>
          </cell>
        </row>
        <row r="47">
          <cell r="C47" t="str">
            <v>P21-01</v>
          </cell>
          <cell r="D47" t="str">
            <v>BAG ENGINEERING CONSULTANCY GROUP S.A.S.</v>
          </cell>
        </row>
        <row r="48">
          <cell r="C48" t="str">
            <v>P21-02</v>
          </cell>
          <cell r="D48" t="str">
            <v>INGENIEROS PROYECTOS CONSULTORIAS IPC S.A.S.</v>
          </cell>
        </row>
        <row r="49">
          <cell r="C49" t="str">
            <v>P22-01</v>
          </cell>
          <cell r="D49" t="str">
            <v>DIEGO FERNANDO FONSECA CHAVES</v>
          </cell>
        </row>
        <row r="50">
          <cell r="C50" t="str">
            <v>P22-02</v>
          </cell>
          <cell r="D50" t="str">
            <v>B&amp;C S.A.</v>
          </cell>
        </row>
        <row r="51">
          <cell r="C51" t="str">
            <v>P23-01</v>
          </cell>
          <cell r="D51" t="str">
            <v>INTERVENTORIAS Y DISEÑOS S.A.</v>
          </cell>
        </row>
        <row r="52">
          <cell r="C52" t="str">
            <v>P23-02</v>
          </cell>
          <cell r="D52" t="str">
            <v>ESTRUCTURADOR COLOMBIA S.A.S.</v>
          </cell>
        </row>
        <row r="53">
          <cell r="C53" t="str">
            <v>P24-01</v>
          </cell>
          <cell r="D53" t="str">
            <v>GRUSAMAR INGENIERIA Y CONSULTING SL SUCURSAL EN COLOMBIA</v>
          </cell>
        </row>
        <row r="54">
          <cell r="C54" t="str">
            <v>P24-02</v>
          </cell>
          <cell r="D54" t="str">
            <v>JUAN AMADO LIZARAZO</v>
          </cell>
        </row>
        <row r="55">
          <cell r="C55" t="str">
            <v>P25-01</v>
          </cell>
          <cell r="D55" t="str">
            <v>JOYCO</v>
          </cell>
        </row>
        <row r="56">
          <cell r="C56" t="str">
            <v>P26-01</v>
          </cell>
          <cell r="D56" t="str">
            <v>INGEANDINA CONSULTORES DE INGENIERIA S.A.S.</v>
          </cell>
        </row>
        <row r="57">
          <cell r="C57" t="str">
            <v>P26-02</v>
          </cell>
          <cell r="D57" t="str">
            <v>APPLUS NORCONTROL CONSULTORIA E INGENIERIA S.A.S.</v>
          </cell>
        </row>
        <row r="58">
          <cell r="C58" t="str">
            <v>P27-01</v>
          </cell>
          <cell r="D58" t="str">
            <v>CONSTRUCTORA A &amp; C SOCIEDAD ANONIMA</v>
          </cell>
        </row>
        <row r="59">
          <cell r="C59" t="str">
            <v>P27-02</v>
          </cell>
          <cell r="D59" t="str">
            <v>COPEBA LTDA</v>
          </cell>
        </row>
        <row r="60">
          <cell r="C60" t="str">
            <v>P27-03</v>
          </cell>
          <cell r="D60" t="str">
            <v>GERMAN BALLESTAS BERDEJO</v>
          </cell>
        </row>
        <row r="61">
          <cell r="C61" t="str">
            <v>P28-01</v>
          </cell>
          <cell r="D61" t="str">
            <v>AYESA COLOMBIA INGENIERIA Y ARQUITECTURA S.A.S.</v>
          </cell>
        </row>
        <row r="62">
          <cell r="C62" t="str">
            <v>P28-02</v>
          </cell>
          <cell r="D62">
            <v>0</v>
          </cell>
        </row>
        <row r="63">
          <cell r="C63" t="str">
            <v>P29-01</v>
          </cell>
          <cell r="D63" t="str">
            <v>PROYECTOS CONSTRUCCIONES CIVILES Y VIALES LIMITADA</v>
          </cell>
        </row>
        <row r="64">
          <cell r="C64" t="str">
            <v>P29-02</v>
          </cell>
          <cell r="D64" t="str">
            <v>CAYCO S.A.S.</v>
          </cell>
        </row>
        <row r="65">
          <cell r="C65" t="str">
            <v>P30-01</v>
          </cell>
          <cell r="D65" t="str">
            <v>PROGIN SPA</v>
          </cell>
        </row>
        <row r="66">
          <cell r="C66" t="str">
            <v>P30-02</v>
          </cell>
          <cell r="D66" t="str">
            <v>D &amp; B INGENIEROS CIVILES S.A.S.</v>
          </cell>
        </row>
        <row r="67">
          <cell r="C67" t="str">
            <v>P30-03</v>
          </cell>
          <cell r="D67" t="str">
            <v>INYPSA INFORMES Y PROYECTOS COLOMBIA S.A.S.</v>
          </cell>
        </row>
        <row r="68">
          <cell r="C68" t="str">
            <v>P31-01</v>
          </cell>
          <cell r="D68" t="str">
            <v>EUROCONTROL S.A.</v>
          </cell>
        </row>
        <row r="69">
          <cell r="C69" t="str">
            <v>P31-02</v>
          </cell>
          <cell r="D69" t="str">
            <v>TOP SUELOS INGENIERIA S.A.S.</v>
          </cell>
        </row>
        <row r="70">
          <cell r="C70" t="str">
            <v>P31-03</v>
          </cell>
          <cell r="D70" t="str">
            <v>GARPER INGENIERÍA CIA S.A.S.</v>
          </cell>
        </row>
        <row r="71">
          <cell r="C71" t="str">
            <v>P32-01</v>
          </cell>
          <cell r="D71" t="str">
            <v>SERVICIOS DE INGENIERIA Y CONSTRUCCION LIMITADA "SERVINC LTDA"</v>
          </cell>
        </row>
        <row r="72">
          <cell r="C72" t="str">
            <v>P32-02</v>
          </cell>
          <cell r="D72" t="str">
            <v>VQM S.A.S.</v>
          </cell>
        </row>
        <row r="73">
          <cell r="C73" t="str">
            <v>P33-01</v>
          </cell>
          <cell r="D73" t="str">
            <v>GIC GERENCIA INTERVENTORIA Y CONSULTORIA S.A.S.</v>
          </cell>
        </row>
        <row r="74">
          <cell r="C74" t="str">
            <v>P33-02</v>
          </cell>
          <cell r="D74" t="str">
            <v>CONSULTORES UNIDOS S.A.</v>
          </cell>
        </row>
        <row r="75">
          <cell r="C75" t="str">
            <v>P34-01</v>
          </cell>
          <cell r="D75" t="str">
            <v>MAB INGENIERIA DE VALOR S.A.</v>
          </cell>
        </row>
        <row r="76">
          <cell r="C76" t="str">
            <v>P34-02</v>
          </cell>
          <cell r="D76" t="str">
            <v>MAB SERVICIOS S.A.S.</v>
          </cell>
        </row>
        <row r="77">
          <cell r="C77" t="str">
            <v>P35-01</v>
          </cell>
          <cell r="D77" t="str">
            <v>PABLO EMILIO BRAVO CONSULTORES S.A.S</v>
          </cell>
        </row>
        <row r="78">
          <cell r="C78" t="str">
            <v>P35-02</v>
          </cell>
          <cell r="D78" t="str">
            <v>ESTUDIOS TECNICOS S.A.S.</v>
          </cell>
        </row>
        <row r="79">
          <cell r="C79" t="str">
            <v>P35-03</v>
          </cell>
          <cell r="D79" t="str">
            <v>SIGA INGENIERIA Y CONSULTORIA S.A. SUCURSAL COLOMBIA</v>
          </cell>
        </row>
        <row r="80">
          <cell r="C80" t="str">
            <v>P36-01</v>
          </cell>
          <cell r="D80" t="str">
            <v>CONSULTORES DE INGENIERIA UG 21 SL SUCURSAL</v>
          </cell>
        </row>
        <row r="81">
          <cell r="C81" t="str">
            <v>P36-02</v>
          </cell>
          <cell r="D81" t="str">
            <v>ARDANUY COLOMBIA S.A.S.</v>
          </cell>
        </row>
        <row r="82">
          <cell r="C82" t="str">
            <v>P36-03</v>
          </cell>
          <cell r="D82" t="str">
            <v>GNC INGENIERIA S.A.S.</v>
          </cell>
        </row>
        <row r="83">
          <cell r="C83" t="str">
            <v>P37-01</v>
          </cell>
          <cell r="D83" t="str">
            <v>ETA S.A.</v>
          </cell>
        </row>
        <row r="84">
          <cell r="C84" t="str">
            <v>P37-02</v>
          </cell>
          <cell r="D84" t="str">
            <v>INTERPRO S.A.S.</v>
          </cell>
        </row>
        <row r="85">
          <cell r="C85" t="str">
            <v>P38-01</v>
          </cell>
          <cell r="D85" t="str">
            <v>SERINCO COLOMBIA</v>
          </cell>
        </row>
        <row r="86">
          <cell r="C86" t="str">
            <v>P38-02</v>
          </cell>
          <cell r="D86" t="str">
            <v>DICONSULTORIA S.A.</v>
          </cell>
        </row>
        <row r="87">
          <cell r="C87" t="str">
            <v>P39-01</v>
          </cell>
          <cell r="D87" t="str">
            <v>SMA S.A.</v>
          </cell>
        </row>
        <row r="88">
          <cell r="C88" t="str">
            <v>P39-02</v>
          </cell>
          <cell r="D88" t="str">
            <v>WSP SERVICIOS S.A.S.</v>
          </cell>
        </row>
        <row r="89">
          <cell r="C89" t="str">
            <v>P40-01</v>
          </cell>
          <cell r="D89" t="str">
            <v>PLANES S.A.</v>
          </cell>
        </row>
        <row r="90">
          <cell r="C90" t="str">
            <v>P40-02</v>
          </cell>
          <cell r="D90" t="str">
            <v>HIDROCONSULTA S.A.S.</v>
          </cell>
        </row>
        <row r="91">
          <cell r="C91" t="str">
            <v>P41-01</v>
          </cell>
          <cell r="D91" t="str">
            <v>BATEMAN INGENIERIA S.A.</v>
          </cell>
        </row>
        <row r="92">
          <cell r="C92" t="str">
            <v>P41-02</v>
          </cell>
          <cell r="D92" t="str">
            <v>ECOVIAS S.A.S.</v>
          </cell>
        </row>
        <row r="93">
          <cell r="C93" t="str">
            <v>P42-01</v>
          </cell>
          <cell r="D93" t="str">
            <v>3 B PROYECTOS S.A.S.</v>
          </cell>
        </row>
        <row r="94">
          <cell r="C94" t="str">
            <v>P43-01</v>
          </cell>
          <cell r="D94" t="str">
            <v>INRAESTRUCTURA INTEGRAL S.A.S.</v>
          </cell>
        </row>
        <row r="95">
          <cell r="C95" t="str">
            <v>P43-02</v>
          </cell>
          <cell r="D95" t="str">
            <v>CANO JIMENEZ ESTUDIOS S.A.</v>
          </cell>
        </row>
        <row r="96">
          <cell r="C96" t="str">
            <v>P44-01</v>
          </cell>
          <cell r="D96" t="str">
            <v>CONSULTORES TECNICOS Y ECONOMICOS S.A.</v>
          </cell>
        </row>
        <row r="97">
          <cell r="C97" t="str">
            <v>P44-02</v>
          </cell>
          <cell r="D97" t="str">
            <v>CONSULTORES E INTERVENTORES TECNICOS S.A.S</v>
          </cell>
        </row>
        <row r="98">
          <cell r="C98" t="str">
            <v>P45-01</v>
          </cell>
          <cell r="D98" t="str">
            <v>INTEGRAL DISEÑOS E INTERVENTORIA S.A.S.</v>
          </cell>
        </row>
        <row r="99">
          <cell r="C99" t="str">
            <v>P46-01</v>
          </cell>
          <cell r="D99" t="str">
            <v>INGETEC G &amp; C</v>
          </cell>
        </row>
        <row r="100">
          <cell r="C100" t="str">
            <v>P46-02</v>
          </cell>
          <cell r="D100" t="str">
            <v>CEAS</v>
          </cell>
        </row>
        <row r="101">
          <cell r="C101" t="str">
            <v>P47-01</v>
          </cell>
          <cell r="D101" t="str">
            <v>INGENIERIA CONSULTORIA Y PLANEACION S.A. INCOPLAN S.A.</v>
          </cell>
        </row>
        <row r="102">
          <cell r="C102" t="str">
            <v>P47-02</v>
          </cell>
          <cell r="D102" t="str">
            <v>SONDEOS ESTRUCTURAS Y GEOTECNIA SUCURSAL S.A.</v>
          </cell>
        </row>
        <row r="103">
          <cell r="C103" t="str">
            <v>P48-01</v>
          </cell>
          <cell r="D103" t="str">
            <v>HMV CONSULTORIA</v>
          </cell>
        </row>
        <row r="104">
          <cell r="C104" t="str">
            <v>P49-01</v>
          </cell>
          <cell r="D104" t="str">
            <v>LA VIALIDAD LIMITADA</v>
          </cell>
        </row>
        <row r="105">
          <cell r="C105" t="str">
            <v>P49-02</v>
          </cell>
          <cell r="D105" t="str">
            <v>ARENAS DE LA HOZ CONSULTORES S.A.S.</v>
          </cell>
        </row>
        <row r="106">
          <cell r="C106" t="str">
            <v>P49-03</v>
          </cell>
          <cell r="D106" t="str">
            <v>SILVA CARREÑO Y ASOCIADOS S.A.S.</v>
          </cell>
        </row>
        <row r="107">
          <cell r="C107" t="str">
            <v>P50-01</v>
          </cell>
          <cell r="D107" t="str">
            <v>TECNOLOGIAS Y CONSULTORIAS AMBIENTALES Y GESTION S.A.</v>
          </cell>
        </row>
        <row r="108">
          <cell r="C108" t="str">
            <v>P50-02</v>
          </cell>
          <cell r="D108" t="str">
            <v>PROYECTOS TECNICOS DE COLOMBIA</v>
          </cell>
        </row>
        <row r="109">
          <cell r="C109" t="str">
            <v>P50-03</v>
          </cell>
          <cell r="D109" t="str">
            <v>HORACIO FRANCISCO MENDOZA MARTINEZ</v>
          </cell>
        </row>
      </sheetData>
      <sheetData sheetId="1" refreshError="1">
        <row r="5">
          <cell r="D5">
            <v>1931.0428561832061</v>
          </cell>
          <cell r="F5">
            <v>9848.3185665343499</v>
          </cell>
          <cell r="H5">
            <v>19310.428561832061</v>
          </cell>
          <cell r="J5">
            <v>2413.8035702290076</v>
          </cell>
        </row>
        <row r="11">
          <cell r="A11">
            <v>1990</v>
          </cell>
          <cell r="B11">
            <v>41025</v>
          </cell>
        </row>
        <row r="12">
          <cell r="A12">
            <v>1991</v>
          </cell>
          <cell r="B12">
            <v>51716</v>
          </cell>
        </row>
        <row r="13">
          <cell r="A13">
            <v>1992</v>
          </cell>
          <cell r="B13">
            <v>65190</v>
          </cell>
        </row>
        <row r="14">
          <cell r="A14">
            <v>1993</v>
          </cell>
          <cell r="B14">
            <v>81510</v>
          </cell>
        </row>
        <row r="15">
          <cell r="A15">
            <v>1994</v>
          </cell>
          <cell r="B15">
            <v>98700</v>
          </cell>
        </row>
        <row r="16">
          <cell r="A16">
            <v>1995</v>
          </cell>
          <cell r="B16">
            <v>118933.5</v>
          </cell>
        </row>
        <row r="17">
          <cell r="A17">
            <v>1996</v>
          </cell>
          <cell r="B17">
            <v>142125</v>
          </cell>
        </row>
        <row r="18">
          <cell r="A18">
            <v>1997</v>
          </cell>
          <cell r="B18">
            <v>172005</v>
          </cell>
        </row>
        <row r="19">
          <cell r="A19">
            <v>1998</v>
          </cell>
          <cell r="B19">
            <v>203826</v>
          </cell>
        </row>
        <row r="20">
          <cell r="A20">
            <v>1999</v>
          </cell>
          <cell r="B20">
            <v>236460</v>
          </cell>
        </row>
        <row r="21">
          <cell r="A21">
            <v>2000</v>
          </cell>
          <cell r="B21">
            <v>260100</v>
          </cell>
        </row>
        <row r="22">
          <cell r="A22">
            <v>2001</v>
          </cell>
          <cell r="B22">
            <v>286000</v>
          </cell>
        </row>
        <row r="23">
          <cell r="A23">
            <v>2002</v>
          </cell>
          <cell r="B23">
            <v>309000</v>
          </cell>
        </row>
        <row r="24">
          <cell r="A24">
            <v>2003</v>
          </cell>
          <cell r="B24">
            <v>332000</v>
          </cell>
        </row>
        <row r="25">
          <cell r="A25">
            <v>2004</v>
          </cell>
          <cell r="B25">
            <v>358000</v>
          </cell>
        </row>
        <row r="26">
          <cell r="A26">
            <v>2005</v>
          </cell>
          <cell r="B26">
            <v>381500</v>
          </cell>
        </row>
        <row r="27">
          <cell r="A27">
            <v>2006</v>
          </cell>
          <cell r="B27">
            <v>408000</v>
          </cell>
        </row>
        <row r="28">
          <cell r="A28">
            <v>2007</v>
          </cell>
          <cell r="B28">
            <v>433700</v>
          </cell>
        </row>
        <row r="29">
          <cell r="A29">
            <v>2008</v>
          </cell>
          <cell r="B29">
            <v>461500</v>
          </cell>
        </row>
        <row r="30">
          <cell r="A30">
            <v>2009</v>
          </cell>
          <cell r="B30">
            <v>496900</v>
          </cell>
        </row>
        <row r="31">
          <cell r="A31">
            <v>2010</v>
          </cell>
          <cell r="B31">
            <v>515000</v>
          </cell>
        </row>
        <row r="32">
          <cell r="A32">
            <v>2011</v>
          </cell>
          <cell r="B32">
            <v>535600</v>
          </cell>
        </row>
        <row r="33">
          <cell r="A33">
            <v>2012</v>
          </cell>
          <cell r="B33">
            <v>566700</v>
          </cell>
        </row>
        <row r="34">
          <cell r="A34">
            <v>2013</v>
          </cell>
          <cell r="B34">
            <v>589500</v>
          </cell>
        </row>
        <row r="35">
          <cell r="A35">
            <v>2014</v>
          </cell>
          <cell r="B35">
            <v>616000</v>
          </cell>
        </row>
        <row r="36">
          <cell r="A36">
            <v>2015</v>
          </cell>
          <cell r="B36">
            <v>644350</v>
          </cell>
        </row>
        <row r="37">
          <cell r="A37">
            <v>2016</v>
          </cell>
          <cell r="B37">
            <v>689554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R109"/>
  <sheetViews>
    <sheetView zoomScaleNormal="100" zoomScalePageLayoutView="125" workbookViewId="0">
      <pane xSplit="1" ySplit="3" topLeftCell="B52" activePane="bottomRight" state="frozen"/>
      <selection pane="topRight" activeCell="B1" sqref="B1"/>
      <selection pane="bottomLeft" activeCell="A4" sqref="A4"/>
      <selection pane="bottomRight" activeCell="A63" sqref="A63:A64"/>
    </sheetView>
  </sheetViews>
  <sheetFormatPr baseColWidth="10" defaultRowHeight="15.75" x14ac:dyDescent="0.25"/>
  <cols>
    <col min="1" max="1" width="7.75" style="40" customWidth="1"/>
    <col min="2" max="2" width="25.125" style="40" customWidth="1"/>
    <col min="3" max="3" width="9.875" style="40" customWidth="1"/>
    <col min="4" max="4" width="41.125" style="41" customWidth="1"/>
    <col min="5" max="5" width="10.625" style="47" customWidth="1"/>
    <col min="6" max="6" width="8" style="42" hidden="1" customWidth="1"/>
    <col min="7" max="7" width="7.5" style="42" hidden="1" customWidth="1"/>
    <col min="8" max="8" width="20" style="30" customWidth="1"/>
    <col min="9" max="9" width="15.875" style="30" customWidth="1"/>
    <col min="10" max="11" width="14.875" style="30" customWidth="1"/>
    <col min="12" max="15" width="11.375" style="30" bestFit="1" customWidth="1"/>
    <col min="16" max="16" width="3.875" style="30" customWidth="1"/>
    <col min="17" max="17" width="10.5" style="30" customWidth="1"/>
    <col min="18" max="18" width="30.875" style="30" bestFit="1" customWidth="1"/>
    <col min="19" max="19" width="38.875" style="30" customWidth="1"/>
    <col min="20" max="20" width="15.875" style="30" customWidth="1"/>
    <col min="21" max="22" width="14.875" style="30" customWidth="1"/>
    <col min="23" max="26" width="11.375" style="30" bestFit="1" customWidth="1"/>
    <col min="27" max="27" width="3.5" style="30" customWidth="1"/>
    <col min="28" max="28" width="10.5" style="30" bestFit="1" customWidth="1"/>
    <col min="29" max="29" width="30.875" style="30" bestFit="1" customWidth="1"/>
    <col min="30" max="30" width="38.875" style="30" customWidth="1"/>
    <col min="31" max="31" width="15.875" style="30" customWidth="1"/>
    <col min="32" max="33" width="14.875" style="30" customWidth="1"/>
    <col min="34" max="37" width="11.375" style="30" bestFit="1" customWidth="1"/>
    <col min="38" max="38" width="4.625" style="30" customWidth="1"/>
    <col min="39" max="39" width="9.125" style="30" customWidth="1"/>
    <col min="40" max="40" width="30.875" style="30" bestFit="1" customWidth="1"/>
    <col min="41" max="41" width="38.875" style="30" customWidth="1"/>
    <col min="42" max="42" width="15.875" style="30" customWidth="1"/>
    <col min="43" max="43" width="14.875" style="30" customWidth="1"/>
    <col min="44" max="44" width="15" style="30" customWidth="1"/>
    <col min="45" max="48" width="11.375" style="30" bestFit="1" customWidth="1"/>
    <col min="49" max="49" width="4.125" style="30" customWidth="1"/>
    <col min="50" max="50" width="10.5" style="30" bestFit="1" customWidth="1"/>
    <col min="51" max="51" width="30.875" style="30" bestFit="1" customWidth="1"/>
    <col min="52" max="52" width="38.875" style="30" customWidth="1"/>
    <col min="53" max="53" width="15.875" style="30" customWidth="1"/>
    <col min="54" max="55" width="14.875" style="30" customWidth="1"/>
    <col min="56" max="59" width="11.375" style="30" bestFit="1" customWidth="1"/>
    <col min="60" max="60" width="3.875" style="30" customWidth="1"/>
    <col min="61" max="61" width="10.5" style="30" bestFit="1" customWidth="1"/>
    <col min="62" max="62" width="30.875" style="30" bestFit="1" customWidth="1"/>
    <col min="63" max="63" width="38.875" style="30" customWidth="1"/>
    <col min="64" max="64" width="15.875" style="30" customWidth="1"/>
    <col min="65" max="66" width="14.875" style="30" customWidth="1"/>
    <col min="67" max="70" width="11.375" style="30" bestFit="1" customWidth="1"/>
  </cols>
  <sheetData>
    <row r="1" spans="1:70" ht="15.75" customHeight="1" x14ac:dyDescent="0.25">
      <c r="A1" s="594" t="s">
        <v>58</v>
      </c>
      <c r="B1" s="595"/>
      <c r="C1" s="595"/>
      <c r="D1" s="595"/>
      <c r="E1" s="595"/>
      <c r="F1" s="596"/>
      <c r="G1" s="596"/>
      <c r="H1" s="29"/>
    </row>
    <row r="2" spans="1:70" s="31" customFormat="1" ht="15.75" customHeight="1" x14ac:dyDescent="0.25">
      <c r="A2" s="597"/>
      <c r="B2" s="598"/>
      <c r="C2" s="598"/>
      <c r="D2" s="598"/>
      <c r="E2" s="598"/>
      <c r="F2" s="596"/>
      <c r="G2" s="596"/>
      <c r="H2" s="29"/>
      <c r="P2" s="32"/>
      <c r="AA2" s="32"/>
      <c r="AL2" s="32"/>
      <c r="AW2" s="32"/>
      <c r="BH2" s="32"/>
    </row>
    <row r="3" spans="1:70" ht="33.75" x14ac:dyDescent="0.25">
      <c r="A3" s="33" t="s">
        <v>49</v>
      </c>
      <c r="B3" s="33" t="s">
        <v>50</v>
      </c>
      <c r="C3" s="33" t="s">
        <v>152</v>
      </c>
      <c r="D3" s="33" t="s">
        <v>51</v>
      </c>
      <c r="E3" s="45" t="s">
        <v>79</v>
      </c>
      <c r="F3" s="34" t="s">
        <v>52</v>
      </c>
      <c r="G3" s="34" t="s">
        <v>53</v>
      </c>
    </row>
    <row r="4" spans="1:70" s="39" customFormat="1" x14ac:dyDescent="0.25">
      <c r="A4" s="599" t="s">
        <v>66</v>
      </c>
      <c r="B4" s="599" t="s">
        <v>153</v>
      </c>
      <c r="C4" s="48" t="s">
        <v>239</v>
      </c>
      <c r="D4" s="36" t="s">
        <v>154</v>
      </c>
      <c r="E4" s="57">
        <v>0.51</v>
      </c>
      <c r="F4" s="37"/>
      <c r="G4" s="37"/>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s="39" customFormat="1" x14ac:dyDescent="0.25">
      <c r="A5" s="601"/>
      <c r="B5" s="601"/>
      <c r="C5" s="48" t="s">
        <v>240</v>
      </c>
      <c r="D5" s="36" t="s">
        <v>155</v>
      </c>
      <c r="E5" s="57">
        <v>0.3</v>
      </c>
      <c r="F5" s="37"/>
      <c r="G5" s="37"/>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s="39" customFormat="1" x14ac:dyDescent="0.25">
      <c r="A6" s="600"/>
      <c r="B6" s="600"/>
      <c r="C6" s="48" t="s">
        <v>241</v>
      </c>
      <c r="D6" s="36" t="s">
        <v>156</v>
      </c>
      <c r="E6" s="57">
        <v>0.19</v>
      </c>
      <c r="F6" s="37"/>
      <c r="G6" s="37"/>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s="39" customFormat="1" x14ac:dyDescent="0.25">
      <c r="A7" s="599" t="s">
        <v>67</v>
      </c>
      <c r="B7" s="599" t="s">
        <v>157</v>
      </c>
      <c r="C7" s="48" t="s">
        <v>242</v>
      </c>
      <c r="D7" s="36" t="s">
        <v>158</v>
      </c>
      <c r="E7" s="57">
        <v>0.6</v>
      </c>
      <c r="F7" s="37"/>
      <c r="G7" s="37"/>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s="39" customFormat="1" x14ac:dyDescent="0.25">
      <c r="A8" s="600"/>
      <c r="B8" s="600"/>
      <c r="C8" s="48" t="s">
        <v>247</v>
      </c>
      <c r="D8" s="36" t="s">
        <v>159</v>
      </c>
      <c r="E8" s="57">
        <v>0.4</v>
      </c>
      <c r="F8" s="37"/>
      <c r="G8" s="37"/>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row r="9" spans="1:70" s="39" customFormat="1" ht="15.75" customHeight="1" x14ac:dyDescent="0.25">
      <c r="A9" s="599" t="s">
        <v>68</v>
      </c>
      <c r="B9" s="599" t="s">
        <v>160</v>
      </c>
      <c r="C9" s="48" t="s">
        <v>243</v>
      </c>
      <c r="D9" s="36" t="s">
        <v>3</v>
      </c>
      <c r="E9" s="57">
        <v>0.51</v>
      </c>
      <c r="F9" s="37"/>
      <c r="G9" s="37"/>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row>
    <row r="10" spans="1:70" s="39" customFormat="1" x14ac:dyDescent="0.25">
      <c r="A10" s="600"/>
      <c r="B10" s="600"/>
      <c r="C10" s="48" t="s">
        <v>248</v>
      </c>
      <c r="D10" s="36" t="s">
        <v>161</v>
      </c>
      <c r="E10" s="57">
        <v>0.49</v>
      </c>
      <c r="F10" s="37"/>
      <c r="G10" s="37"/>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row>
    <row r="11" spans="1:70" s="39" customFormat="1" x14ac:dyDescent="0.25">
      <c r="A11" s="599" t="s">
        <v>69</v>
      </c>
      <c r="B11" s="599" t="s">
        <v>162</v>
      </c>
      <c r="C11" s="48" t="s">
        <v>244</v>
      </c>
      <c r="D11" s="36" t="s">
        <v>163</v>
      </c>
      <c r="E11" s="57">
        <v>0.49</v>
      </c>
      <c r="F11" s="37"/>
      <c r="G11" s="37"/>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row>
    <row r="12" spans="1:70" s="39" customFormat="1" x14ac:dyDescent="0.25">
      <c r="A12" s="600"/>
      <c r="B12" s="600"/>
      <c r="C12" s="48" t="s">
        <v>249</v>
      </c>
      <c r="D12" s="36" t="s">
        <v>164</v>
      </c>
      <c r="E12" s="57">
        <v>0.51</v>
      </c>
      <c r="F12" s="37"/>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row>
    <row r="13" spans="1:70" s="39" customFormat="1" x14ac:dyDescent="0.25">
      <c r="A13" s="599" t="s">
        <v>70</v>
      </c>
      <c r="B13" s="599" t="s">
        <v>165</v>
      </c>
      <c r="C13" s="48" t="s">
        <v>245</v>
      </c>
      <c r="D13" s="36" t="s">
        <v>166</v>
      </c>
      <c r="E13" s="57">
        <v>0.49</v>
      </c>
      <c r="F13" s="37"/>
      <c r="G13" s="37"/>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row>
    <row r="14" spans="1:70" s="39" customFormat="1" x14ac:dyDescent="0.25">
      <c r="A14" s="600"/>
      <c r="B14" s="600"/>
      <c r="C14" s="48" t="s">
        <v>250</v>
      </c>
      <c r="D14" s="36" t="s">
        <v>167</v>
      </c>
      <c r="E14" s="57">
        <v>0.51</v>
      </c>
      <c r="F14" s="37"/>
      <c r="G14" s="37"/>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s="39" customFormat="1" x14ac:dyDescent="0.25">
      <c r="A15" s="599" t="s">
        <v>71</v>
      </c>
      <c r="B15" s="599" t="s">
        <v>168</v>
      </c>
      <c r="C15" s="48" t="s">
        <v>246</v>
      </c>
      <c r="D15" s="36" t="s">
        <v>169</v>
      </c>
      <c r="E15" s="57">
        <v>0.6</v>
      </c>
      <c r="F15" s="37"/>
      <c r="G15" s="37"/>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s="39" customFormat="1" ht="21" customHeight="1" x14ac:dyDescent="0.25">
      <c r="A16" s="600"/>
      <c r="B16" s="600"/>
      <c r="C16" s="48" t="s">
        <v>251</v>
      </c>
      <c r="D16" s="36" t="s">
        <v>170</v>
      </c>
      <c r="E16" s="57">
        <v>0.4</v>
      </c>
      <c r="F16" s="37"/>
      <c r="G16" s="37"/>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1:70" s="39" customFormat="1" ht="22.5" customHeight="1" x14ac:dyDescent="0.25">
      <c r="A17" s="605" t="s">
        <v>72</v>
      </c>
      <c r="B17" s="599" t="s">
        <v>171</v>
      </c>
      <c r="C17" s="48" t="s">
        <v>252</v>
      </c>
      <c r="D17" s="36" t="s">
        <v>172</v>
      </c>
      <c r="E17" s="57">
        <v>0.49</v>
      </c>
      <c r="F17" s="37"/>
      <c r="G17" s="37"/>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row>
    <row r="18" spans="1:70" s="39" customFormat="1" ht="36" customHeight="1" x14ac:dyDescent="0.25">
      <c r="A18" s="606"/>
      <c r="B18" s="600"/>
      <c r="C18" s="48" t="s">
        <v>253</v>
      </c>
      <c r="D18" s="36" t="s">
        <v>173</v>
      </c>
      <c r="E18" s="57">
        <v>0.51</v>
      </c>
      <c r="F18" s="37"/>
      <c r="G18" s="37"/>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row r="19" spans="1:70" s="39" customFormat="1" ht="22.5" x14ac:dyDescent="0.25">
      <c r="A19" s="599" t="s">
        <v>73</v>
      </c>
      <c r="B19" s="599" t="s">
        <v>174</v>
      </c>
      <c r="C19" s="48" t="s">
        <v>254</v>
      </c>
      <c r="D19" s="36" t="s">
        <v>175</v>
      </c>
      <c r="E19" s="57">
        <v>0.49</v>
      </c>
      <c r="F19" s="37"/>
      <c r="G19" s="37"/>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row>
    <row r="20" spans="1:70" s="39" customFormat="1" x14ac:dyDescent="0.25">
      <c r="A20" s="600"/>
      <c r="B20" s="600"/>
      <c r="C20" s="48" t="s">
        <v>255</v>
      </c>
      <c r="D20" s="36" t="s">
        <v>176</v>
      </c>
      <c r="E20" s="57">
        <v>0.51</v>
      </c>
      <c r="F20" s="37"/>
      <c r="G20" s="37"/>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row>
    <row r="21" spans="1:70" s="39" customFormat="1" x14ac:dyDescent="0.25">
      <c r="A21" s="599" t="s">
        <v>74</v>
      </c>
      <c r="B21" s="599" t="s">
        <v>95</v>
      </c>
      <c r="C21" s="48" t="s">
        <v>256</v>
      </c>
      <c r="D21" s="36" t="s">
        <v>177</v>
      </c>
      <c r="E21" s="57">
        <v>0.6</v>
      </c>
      <c r="F21" s="37"/>
      <c r="G21" s="37"/>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row>
    <row r="22" spans="1:70" s="39" customFormat="1" x14ac:dyDescent="0.25">
      <c r="A22" s="600"/>
      <c r="B22" s="600"/>
      <c r="C22" s="48" t="s">
        <v>281</v>
      </c>
      <c r="D22" s="36" t="s">
        <v>178</v>
      </c>
      <c r="E22" s="57">
        <v>0.4</v>
      </c>
      <c r="F22" s="37"/>
      <c r="G22" s="37"/>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row>
    <row r="23" spans="1:70" ht="22.5" customHeight="1" x14ac:dyDescent="0.25">
      <c r="A23" s="599" t="s">
        <v>75</v>
      </c>
      <c r="B23" s="599" t="s">
        <v>95</v>
      </c>
      <c r="C23" s="48" t="s">
        <v>282</v>
      </c>
      <c r="D23" s="36" t="s">
        <v>179</v>
      </c>
      <c r="E23" s="57">
        <v>0.51</v>
      </c>
      <c r="F23" s="37"/>
      <c r="G23" s="37"/>
    </row>
    <row r="24" spans="1:70" x14ac:dyDescent="0.25">
      <c r="A24" s="600"/>
      <c r="B24" s="600"/>
      <c r="C24" s="48" t="s">
        <v>283</v>
      </c>
      <c r="D24" s="36" t="s">
        <v>180</v>
      </c>
      <c r="E24" s="57">
        <v>0.49</v>
      </c>
      <c r="F24" s="37"/>
      <c r="G24" s="37"/>
    </row>
    <row r="25" spans="1:70" ht="22.5" customHeight="1" x14ac:dyDescent="0.25">
      <c r="A25" s="599" t="s">
        <v>181</v>
      </c>
      <c r="B25" s="599" t="s">
        <v>182</v>
      </c>
      <c r="C25" s="48" t="s">
        <v>284</v>
      </c>
      <c r="D25" s="36" t="s">
        <v>183</v>
      </c>
      <c r="E25" s="57">
        <v>0.51</v>
      </c>
      <c r="F25" s="37"/>
      <c r="G25" s="37"/>
    </row>
    <row r="26" spans="1:70" x14ac:dyDescent="0.25">
      <c r="A26" s="600"/>
      <c r="B26" s="600"/>
      <c r="C26" s="48" t="s">
        <v>285</v>
      </c>
      <c r="D26" s="36" t="s">
        <v>184</v>
      </c>
      <c r="E26" s="57">
        <v>0.49</v>
      </c>
      <c r="F26" s="37"/>
      <c r="G26" s="37"/>
    </row>
    <row r="27" spans="1:70" ht="22.5" customHeight="1" x14ac:dyDescent="0.25">
      <c r="A27" s="599" t="s">
        <v>185</v>
      </c>
      <c r="B27" s="599" t="s">
        <v>186</v>
      </c>
      <c r="C27" s="48" t="s">
        <v>286</v>
      </c>
      <c r="D27" s="36" t="s">
        <v>187</v>
      </c>
      <c r="E27" s="57">
        <v>0.7</v>
      </c>
      <c r="F27" s="37"/>
      <c r="G27" s="37"/>
    </row>
    <row r="28" spans="1:70" x14ac:dyDescent="0.25">
      <c r="A28" s="600"/>
      <c r="B28" s="600"/>
      <c r="C28" s="48" t="s">
        <v>287</v>
      </c>
      <c r="D28" s="36" t="s">
        <v>188</v>
      </c>
      <c r="E28" s="57">
        <v>0.3</v>
      </c>
      <c r="F28" s="37"/>
      <c r="G28" s="37"/>
    </row>
    <row r="29" spans="1:70" ht="22.5" customHeight="1" x14ac:dyDescent="0.25">
      <c r="A29" s="599" t="s">
        <v>189</v>
      </c>
      <c r="B29" s="599" t="s">
        <v>190</v>
      </c>
      <c r="C29" s="48" t="s">
        <v>288</v>
      </c>
      <c r="D29" s="36" t="s">
        <v>191</v>
      </c>
      <c r="E29" s="57">
        <v>0.51</v>
      </c>
      <c r="F29" s="37"/>
      <c r="G29" s="37"/>
    </row>
    <row r="30" spans="1:70" x14ac:dyDescent="0.25">
      <c r="A30" s="600"/>
      <c r="B30" s="600"/>
      <c r="C30" s="48" t="s">
        <v>289</v>
      </c>
      <c r="D30" s="36" t="s">
        <v>192</v>
      </c>
      <c r="E30" s="57">
        <v>0.49</v>
      </c>
      <c r="F30" s="37"/>
      <c r="G30" s="37"/>
    </row>
    <row r="31" spans="1:70" ht="22.5" customHeight="1" x14ac:dyDescent="0.25">
      <c r="A31" s="599" t="s">
        <v>193</v>
      </c>
      <c r="B31" s="599" t="s">
        <v>194</v>
      </c>
      <c r="C31" s="48" t="s">
        <v>290</v>
      </c>
      <c r="D31" s="36" t="s">
        <v>195</v>
      </c>
      <c r="E31" s="57">
        <v>0.6</v>
      </c>
      <c r="F31" s="37"/>
      <c r="G31" s="37"/>
    </row>
    <row r="32" spans="1:70" x14ac:dyDescent="0.25">
      <c r="A32" s="600"/>
      <c r="B32" s="600"/>
      <c r="C32" s="48" t="s">
        <v>291</v>
      </c>
      <c r="D32" s="36" t="s">
        <v>196</v>
      </c>
      <c r="E32" s="57">
        <v>0.4</v>
      </c>
      <c r="F32" s="37"/>
      <c r="G32" s="37"/>
    </row>
    <row r="33" spans="1:7" x14ac:dyDescent="0.25">
      <c r="A33" s="599" t="s">
        <v>197</v>
      </c>
      <c r="B33" s="599" t="s">
        <v>95</v>
      </c>
      <c r="C33" s="48" t="s">
        <v>292</v>
      </c>
      <c r="D33" s="36" t="s">
        <v>198</v>
      </c>
      <c r="E33" s="57">
        <v>0.51</v>
      </c>
      <c r="F33" s="37"/>
      <c r="G33" s="37"/>
    </row>
    <row r="34" spans="1:7" x14ac:dyDescent="0.25">
      <c r="A34" s="600"/>
      <c r="B34" s="600"/>
      <c r="C34" s="48" t="s">
        <v>293</v>
      </c>
      <c r="D34" s="36" t="s">
        <v>199</v>
      </c>
      <c r="E34" s="57">
        <v>0.49</v>
      </c>
      <c r="F34" s="37"/>
      <c r="G34" s="37"/>
    </row>
    <row r="35" spans="1:7" ht="21" customHeight="1" x14ac:dyDescent="0.25">
      <c r="A35" s="53" t="s">
        <v>200</v>
      </c>
      <c r="B35" s="307" t="s">
        <v>201</v>
      </c>
      <c r="C35" s="48" t="s">
        <v>294</v>
      </c>
      <c r="D35" s="36" t="s">
        <v>201</v>
      </c>
      <c r="E35" s="57">
        <v>1</v>
      </c>
      <c r="F35" s="37"/>
      <c r="G35" s="37"/>
    </row>
    <row r="36" spans="1:7" ht="15.75" customHeight="1" x14ac:dyDescent="0.25">
      <c r="A36" s="599" t="s">
        <v>202</v>
      </c>
      <c r="B36" s="599" t="s">
        <v>203</v>
      </c>
      <c r="C36" s="48" t="s">
        <v>295</v>
      </c>
      <c r="D36" s="36" t="s">
        <v>204</v>
      </c>
      <c r="E36" s="57">
        <v>0.51</v>
      </c>
      <c r="F36" s="37"/>
      <c r="G36" s="37"/>
    </row>
    <row r="37" spans="1:7" x14ac:dyDescent="0.25">
      <c r="A37" s="601"/>
      <c r="B37" s="601"/>
      <c r="C37" s="48" t="s">
        <v>296</v>
      </c>
      <c r="D37" s="36" t="s">
        <v>205</v>
      </c>
      <c r="E37" s="57">
        <v>0.25</v>
      </c>
      <c r="F37" s="37"/>
      <c r="G37" s="37"/>
    </row>
    <row r="38" spans="1:7" x14ac:dyDescent="0.25">
      <c r="A38" s="600"/>
      <c r="B38" s="600"/>
      <c r="C38" s="48" t="s">
        <v>297</v>
      </c>
      <c r="D38" s="36" t="s">
        <v>206</v>
      </c>
      <c r="E38" s="57">
        <v>0.24</v>
      </c>
      <c r="F38" s="37"/>
      <c r="G38" s="37"/>
    </row>
    <row r="39" spans="1:7" ht="15.75" customHeight="1" x14ac:dyDescent="0.25">
      <c r="A39" s="599" t="s">
        <v>207</v>
      </c>
      <c r="B39" s="599" t="s">
        <v>208</v>
      </c>
      <c r="C39" s="48" t="s">
        <v>298</v>
      </c>
      <c r="D39" s="36" t="s">
        <v>209</v>
      </c>
      <c r="E39" s="57">
        <v>0.51</v>
      </c>
      <c r="F39" s="37"/>
      <c r="G39" s="37"/>
    </row>
    <row r="40" spans="1:7" x14ac:dyDescent="0.25">
      <c r="A40" s="601"/>
      <c r="B40" s="601"/>
      <c r="C40" s="48" t="s">
        <v>299</v>
      </c>
      <c r="D40" s="36" t="s">
        <v>210</v>
      </c>
      <c r="E40" s="57">
        <v>0.25</v>
      </c>
      <c r="F40" s="37"/>
      <c r="G40" s="37"/>
    </row>
    <row r="41" spans="1:7" x14ac:dyDescent="0.25">
      <c r="A41" s="600"/>
      <c r="B41" s="600"/>
      <c r="C41" s="48" t="s">
        <v>300</v>
      </c>
      <c r="D41" s="36" t="s">
        <v>211</v>
      </c>
      <c r="E41" s="57">
        <v>0.24</v>
      </c>
      <c r="F41" s="37"/>
      <c r="G41" s="37"/>
    </row>
    <row r="42" spans="1:7" x14ac:dyDescent="0.25">
      <c r="A42" s="599" t="s">
        <v>212</v>
      </c>
      <c r="B42" s="599" t="s">
        <v>213</v>
      </c>
      <c r="C42" s="48" t="s">
        <v>301</v>
      </c>
      <c r="D42" s="36" t="s">
        <v>214</v>
      </c>
      <c r="E42" s="57">
        <v>0.49</v>
      </c>
      <c r="F42" s="37"/>
      <c r="G42" s="37"/>
    </row>
    <row r="43" spans="1:7" x14ac:dyDescent="0.25">
      <c r="A43" s="600"/>
      <c r="B43" s="600"/>
      <c r="C43" s="48" t="s">
        <v>302</v>
      </c>
      <c r="D43" s="36" t="s">
        <v>215</v>
      </c>
      <c r="E43" s="57">
        <v>0.51</v>
      </c>
      <c r="F43" s="37"/>
      <c r="G43" s="37"/>
    </row>
    <row r="44" spans="1:7" x14ac:dyDescent="0.25">
      <c r="A44" s="599" t="s">
        <v>216</v>
      </c>
      <c r="B44" s="599" t="s">
        <v>217</v>
      </c>
      <c r="C44" s="48" t="s">
        <v>303</v>
      </c>
      <c r="D44" s="36" t="s">
        <v>218</v>
      </c>
      <c r="E44" s="57">
        <v>0.25</v>
      </c>
      <c r="F44" s="37"/>
      <c r="G44" s="37"/>
    </row>
    <row r="45" spans="1:7" x14ac:dyDescent="0.25">
      <c r="A45" s="601"/>
      <c r="B45" s="601"/>
      <c r="C45" s="367" t="s">
        <v>304</v>
      </c>
      <c r="D45" s="36" t="s">
        <v>219</v>
      </c>
      <c r="E45" s="57">
        <v>0.24</v>
      </c>
      <c r="F45" s="37"/>
      <c r="G45" s="37"/>
    </row>
    <row r="46" spans="1:7" x14ac:dyDescent="0.25">
      <c r="A46" s="600"/>
      <c r="B46" s="600"/>
      <c r="C46" s="48" t="s">
        <v>650</v>
      </c>
      <c r="D46" s="36" t="s">
        <v>774</v>
      </c>
      <c r="E46" s="57">
        <v>0.51</v>
      </c>
      <c r="F46" s="37"/>
      <c r="G46" s="37"/>
    </row>
    <row r="47" spans="1:7" x14ac:dyDescent="0.25">
      <c r="A47" s="599" t="s">
        <v>220</v>
      </c>
      <c r="B47" s="599" t="s">
        <v>221</v>
      </c>
      <c r="C47" s="48" t="s">
        <v>305</v>
      </c>
      <c r="D47" s="36" t="s">
        <v>222</v>
      </c>
      <c r="E47" s="57">
        <v>0.51</v>
      </c>
      <c r="F47" s="37"/>
      <c r="G47" s="37"/>
    </row>
    <row r="48" spans="1:7" x14ac:dyDescent="0.25">
      <c r="A48" s="600"/>
      <c r="B48" s="600"/>
      <c r="C48" s="48" t="s">
        <v>306</v>
      </c>
      <c r="D48" s="36" t="s">
        <v>223</v>
      </c>
      <c r="E48" s="57">
        <v>0.49</v>
      </c>
      <c r="F48" s="37"/>
      <c r="G48" s="37"/>
    </row>
    <row r="49" spans="1:70" x14ac:dyDescent="0.25">
      <c r="A49" s="599" t="s">
        <v>224</v>
      </c>
      <c r="B49" s="599" t="s">
        <v>225</v>
      </c>
      <c r="C49" s="48" t="s">
        <v>307</v>
      </c>
      <c r="D49" s="54" t="s">
        <v>226</v>
      </c>
      <c r="E49" s="57">
        <v>0.49</v>
      </c>
      <c r="F49" s="37"/>
      <c r="G49" s="37"/>
    </row>
    <row r="50" spans="1:70" x14ac:dyDescent="0.25">
      <c r="A50" s="600"/>
      <c r="B50" s="600"/>
      <c r="C50" s="48" t="s">
        <v>308</v>
      </c>
      <c r="D50" s="54" t="s">
        <v>227</v>
      </c>
      <c r="E50" s="57">
        <v>0.51</v>
      </c>
      <c r="F50" s="37"/>
      <c r="G50" s="37"/>
    </row>
    <row r="51" spans="1:70" x14ac:dyDescent="0.25">
      <c r="A51" s="599" t="s">
        <v>228</v>
      </c>
      <c r="B51" s="599" t="s">
        <v>229</v>
      </c>
      <c r="C51" s="48" t="s">
        <v>309</v>
      </c>
      <c r="D51" s="54" t="s">
        <v>230</v>
      </c>
      <c r="E51" s="57">
        <v>0.65</v>
      </c>
      <c r="F51" s="37"/>
      <c r="G51" s="37"/>
    </row>
    <row r="52" spans="1:70" x14ac:dyDescent="0.25">
      <c r="A52" s="600"/>
      <c r="B52" s="600"/>
      <c r="C52" s="48" t="s">
        <v>310</v>
      </c>
      <c r="D52" s="54" t="s">
        <v>231</v>
      </c>
      <c r="E52" s="57">
        <v>0.35</v>
      </c>
      <c r="F52" s="37"/>
      <c r="G52" s="37"/>
    </row>
    <row r="53" spans="1:70" ht="23.25" customHeight="1" x14ac:dyDescent="0.25">
      <c r="A53" s="599" t="s">
        <v>235</v>
      </c>
      <c r="B53" s="599" t="s">
        <v>236</v>
      </c>
      <c r="C53" s="48" t="s">
        <v>311</v>
      </c>
      <c r="D53" s="54" t="s">
        <v>232</v>
      </c>
      <c r="E53" s="58">
        <v>0.57499999999999996</v>
      </c>
      <c r="F53" s="37"/>
      <c r="G53" s="37"/>
    </row>
    <row r="54" spans="1:70" x14ac:dyDescent="0.25">
      <c r="A54" s="600"/>
      <c r="B54" s="600"/>
      <c r="C54" s="48" t="s">
        <v>313</v>
      </c>
      <c r="D54" s="54" t="s">
        <v>233</v>
      </c>
      <c r="E54" s="58">
        <v>0.42499999999999999</v>
      </c>
      <c r="F54" s="37"/>
      <c r="G54" s="37"/>
    </row>
    <row r="55" spans="1:70" ht="19.5" customHeight="1" x14ac:dyDescent="0.25">
      <c r="A55" s="55" t="s">
        <v>237</v>
      </c>
      <c r="B55" s="439" t="s">
        <v>238</v>
      </c>
      <c r="C55" s="48" t="s">
        <v>312</v>
      </c>
      <c r="D55" s="54" t="s">
        <v>234</v>
      </c>
      <c r="E55" s="57">
        <v>1</v>
      </c>
      <c r="F55" s="37"/>
      <c r="G55" s="37"/>
    </row>
    <row r="56" spans="1:70" s="39" customFormat="1" ht="15.75" customHeight="1" x14ac:dyDescent="0.25">
      <c r="A56" s="599" t="s">
        <v>151</v>
      </c>
      <c r="B56" s="599" t="s">
        <v>76</v>
      </c>
      <c r="C56" s="48" t="s">
        <v>314</v>
      </c>
      <c r="D56" s="36" t="s">
        <v>77</v>
      </c>
      <c r="E56" s="46">
        <v>0.51</v>
      </c>
      <c r="F56" s="37"/>
      <c r="G56" s="37"/>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row>
    <row r="57" spans="1:70" s="39" customFormat="1" x14ac:dyDescent="0.25">
      <c r="A57" s="600"/>
      <c r="B57" s="600"/>
      <c r="C57" s="48" t="s">
        <v>315</v>
      </c>
      <c r="D57" s="36" t="s">
        <v>78</v>
      </c>
      <c r="E57" s="46">
        <v>0.49</v>
      </c>
      <c r="F57" s="37"/>
      <c r="G57" s="37"/>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row>
    <row r="58" spans="1:70" s="39" customFormat="1" ht="15.75" customHeight="1" x14ac:dyDescent="0.25">
      <c r="A58" s="599" t="s">
        <v>257</v>
      </c>
      <c r="B58" s="599" t="s">
        <v>80</v>
      </c>
      <c r="C58" s="48" t="s">
        <v>316</v>
      </c>
      <c r="D58" s="36" t="s">
        <v>81</v>
      </c>
      <c r="E58" s="46">
        <v>0.51</v>
      </c>
      <c r="F58" s="37"/>
      <c r="G58" s="37"/>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row>
    <row r="59" spans="1:70" s="39" customFormat="1" x14ac:dyDescent="0.25">
      <c r="A59" s="601"/>
      <c r="B59" s="601"/>
      <c r="C59" s="48" t="s">
        <v>317</v>
      </c>
      <c r="D59" s="36" t="s">
        <v>82</v>
      </c>
      <c r="E59" s="46">
        <v>0.25</v>
      </c>
      <c r="F59" s="37"/>
      <c r="G59" s="37"/>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row>
    <row r="60" spans="1:70" s="39" customFormat="1" x14ac:dyDescent="0.25">
      <c r="A60" s="600"/>
      <c r="B60" s="600"/>
      <c r="C60" s="48" t="s">
        <v>318</v>
      </c>
      <c r="D60" s="36" t="s">
        <v>83</v>
      </c>
      <c r="E60" s="46">
        <v>0.24</v>
      </c>
      <c r="F60" s="37"/>
      <c r="G60" s="37"/>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row>
    <row r="61" spans="1:70" s="39" customFormat="1" ht="22.5" customHeight="1" x14ac:dyDescent="0.25">
      <c r="A61" s="599" t="s">
        <v>258</v>
      </c>
      <c r="B61" s="599" t="s">
        <v>84</v>
      </c>
      <c r="C61" s="48" t="s">
        <v>319</v>
      </c>
      <c r="D61" s="36" t="s">
        <v>85</v>
      </c>
      <c r="E61" s="46">
        <v>0.51</v>
      </c>
      <c r="F61" s="37"/>
      <c r="G61" s="37"/>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row>
    <row r="62" spans="1:70" s="39" customFormat="1" x14ac:dyDescent="0.25">
      <c r="A62" s="600"/>
      <c r="B62" s="600"/>
      <c r="C62" s="48" t="s">
        <v>320</v>
      </c>
      <c r="D62" s="440" t="s">
        <v>841</v>
      </c>
      <c r="E62" s="441">
        <v>0.49</v>
      </c>
      <c r="F62" s="37"/>
      <c r="G62" s="37"/>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row>
    <row r="63" spans="1:70" s="39" customFormat="1" ht="22.5" customHeight="1" x14ac:dyDescent="0.25">
      <c r="A63" s="599" t="s">
        <v>259</v>
      </c>
      <c r="B63" s="599" t="s">
        <v>86</v>
      </c>
      <c r="C63" s="48" t="s">
        <v>321</v>
      </c>
      <c r="D63" s="36" t="s">
        <v>87</v>
      </c>
      <c r="E63" s="46">
        <v>0.75</v>
      </c>
      <c r="F63" s="37"/>
      <c r="G63" s="37"/>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row>
    <row r="64" spans="1:70" s="39" customFormat="1" x14ac:dyDescent="0.25">
      <c r="A64" s="600"/>
      <c r="B64" s="600"/>
      <c r="C64" s="48" t="s">
        <v>322</v>
      </c>
      <c r="D64" s="36" t="s">
        <v>88</v>
      </c>
      <c r="E64" s="46">
        <v>0.25</v>
      </c>
      <c r="F64" s="37"/>
      <c r="G64" s="37"/>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row>
    <row r="65" spans="1:70" s="39" customFormat="1" ht="15.75" customHeight="1" x14ac:dyDescent="0.25">
      <c r="A65" s="599" t="s">
        <v>260</v>
      </c>
      <c r="B65" s="599" t="s">
        <v>89</v>
      </c>
      <c r="C65" s="48" t="s">
        <v>323</v>
      </c>
      <c r="D65" s="36" t="s">
        <v>109</v>
      </c>
      <c r="E65" s="46">
        <v>0.51</v>
      </c>
      <c r="F65" s="37"/>
      <c r="G65" s="37"/>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row>
    <row r="66" spans="1:70" s="39" customFormat="1" x14ac:dyDescent="0.25">
      <c r="A66" s="601"/>
      <c r="B66" s="601"/>
      <c r="C66" s="48" t="s">
        <v>324</v>
      </c>
      <c r="D66" s="36" t="s">
        <v>110</v>
      </c>
      <c r="E66" s="46">
        <v>0.25</v>
      </c>
      <c r="F66" s="37"/>
      <c r="G66" s="37"/>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row>
    <row r="67" spans="1:70" s="39" customFormat="1" x14ac:dyDescent="0.25">
      <c r="A67" s="600"/>
      <c r="B67" s="600"/>
      <c r="C67" s="48" t="s">
        <v>325</v>
      </c>
      <c r="D67" s="36" t="s">
        <v>111</v>
      </c>
      <c r="E67" s="46">
        <v>0.24</v>
      </c>
      <c r="F67" s="37"/>
      <c r="G67" s="37"/>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row>
    <row r="68" spans="1:70" s="39" customFormat="1" ht="15.75" customHeight="1" x14ac:dyDescent="0.25">
      <c r="A68" s="599" t="s">
        <v>261</v>
      </c>
      <c r="B68" s="599" t="s">
        <v>96</v>
      </c>
      <c r="C68" s="48" t="s">
        <v>326</v>
      </c>
      <c r="D68" s="36" t="s">
        <v>112</v>
      </c>
      <c r="E68" s="46">
        <v>0.51</v>
      </c>
      <c r="F68" s="37"/>
      <c r="G68" s="37"/>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row>
    <row r="69" spans="1:70" s="39" customFormat="1" x14ac:dyDescent="0.25">
      <c r="A69" s="601"/>
      <c r="B69" s="601"/>
      <c r="C69" s="48" t="s">
        <v>327</v>
      </c>
      <c r="D69" s="36" t="s">
        <v>113</v>
      </c>
      <c r="E69" s="46">
        <v>0.25</v>
      </c>
      <c r="F69" s="37"/>
      <c r="G69" s="37"/>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row>
    <row r="70" spans="1:70" s="39" customFormat="1" x14ac:dyDescent="0.25">
      <c r="A70" s="600"/>
      <c r="B70" s="600"/>
      <c r="C70" s="48" t="s">
        <v>328</v>
      </c>
      <c r="D70" s="36" t="s">
        <v>114</v>
      </c>
      <c r="E70" s="46">
        <v>0.24</v>
      </c>
      <c r="F70" s="37"/>
      <c r="G70" s="37"/>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row>
    <row r="71" spans="1:70" s="39" customFormat="1" ht="15.75" customHeight="1" x14ac:dyDescent="0.25">
      <c r="A71" s="599" t="s">
        <v>262</v>
      </c>
      <c r="B71" s="599" t="s">
        <v>90</v>
      </c>
      <c r="C71" s="48" t="s">
        <v>329</v>
      </c>
      <c r="D71" s="36" t="s">
        <v>115</v>
      </c>
      <c r="E71" s="46">
        <v>0.7</v>
      </c>
      <c r="F71" s="37"/>
      <c r="G71" s="37"/>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row>
    <row r="72" spans="1:70" s="39" customFormat="1" x14ac:dyDescent="0.25">
      <c r="A72" s="600"/>
      <c r="B72" s="600"/>
      <c r="C72" s="48" t="s">
        <v>330</v>
      </c>
      <c r="D72" s="36" t="s">
        <v>116</v>
      </c>
      <c r="E72" s="46">
        <v>0.3</v>
      </c>
      <c r="F72" s="37"/>
      <c r="G72" s="37"/>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row>
    <row r="73" spans="1:70" s="39" customFormat="1" ht="15.75" customHeight="1" x14ac:dyDescent="0.25">
      <c r="A73" s="599" t="s">
        <v>263</v>
      </c>
      <c r="B73" s="599" t="s">
        <v>91</v>
      </c>
      <c r="C73" s="48" t="s">
        <v>331</v>
      </c>
      <c r="D73" s="36" t="s">
        <v>117</v>
      </c>
      <c r="E73" s="46">
        <v>0.51</v>
      </c>
      <c r="F73" s="37"/>
      <c r="G73" s="37"/>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row>
    <row r="74" spans="1:70" s="39" customFormat="1" x14ac:dyDescent="0.25">
      <c r="A74" s="600"/>
      <c r="B74" s="600"/>
      <c r="C74" s="48" t="s">
        <v>332</v>
      </c>
      <c r="D74" s="36" t="s">
        <v>118</v>
      </c>
      <c r="E74" s="46">
        <v>0.49</v>
      </c>
      <c r="F74" s="37"/>
      <c r="G74" s="37"/>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row>
    <row r="75" spans="1:70" s="39" customFormat="1" ht="15.75" customHeight="1" x14ac:dyDescent="0.25">
      <c r="A75" s="599" t="s">
        <v>264</v>
      </c>
      <c r="B75" s="599" t="s">
        <v>92</v>
      </c>
      <c r="C75" s="48" t="s">
        <v>333</v>
      </c>
      <c r="D75" s="36" t="s">
        <v>119</v>
      </c>
      <c r="E75" s="46">
        <v>0.6</v>
      </c>
      <c r="F75" s="37"/>
      <c r="G75" s="37"/>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row>
    <row r="76" spans="1:70" s="39" customFormat="1" x14ac:dyDescent="0.25">
      <c r="A76" s="600"/>
      <c r="B76" s="600"/>
      <c r="C76" s="48" t="s">
        <v>334</v>
      </c>
      <c r="D76" s="36" t="s">
        <v>120</v>
      </c>
      <c r="E76" s="46">
        <v>0.4</v>
      </c>
      <c r="F76" s="37"/>
      <c r="G76" s="37"/>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row>
    <row r="77" spans="1:70" s="39" customFormat="1" ht="15.75" customHeight="1" x14ac:dyDescent="0.25">
      <c r="A77" s="599" t="s">
        <v>265</v>
      </c>
      <c r="B77" s="599" t="s">
        <v>93</v>
      </c>
      <c r="C77" s="48" t="s">
        <v>335</v>
      </c>
      <c r="D77" s="36" t="s">
        <v>121</v>
      </c>
      <c r="E77" s="46">
        <v>0.51</v>
      </c>
      <c r="F77" s="37"/>
      <c r="G77" s="37"/>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row>
    <row r="78" spans="1:70" s="39" customFormat="1" x14ac:dyDescent="0.25">
      <c r="A78" s="601"/>
      <c r="B78" s="601"/>
      <c r="C78" s="48" t="s">
        <v>336</v>
      </c>
      <c r="D78" s="36" t="s">
        <v>122</v>
      </c>
      <c r="E78" s="46" t="s">
        <v>127</v>
      </c>
      <c r="F78" s="37"/>
      <c r="G78" s="37"/>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row>
    <row r="79" spans="1:70" s="39" customFormat="1" x14ac:dyDescent="0.25">
      <c r="A79" s="600"/>
      <c r="B79" s="600"/>
      <c r="C79" s="48" t="s">
        <v>337</v>
      </c>
      <c r="D79" s="36" t="s">
        <v>123</v>
      </c>
      <c r="E79" s="46" t="s">
        <v>127</v>
      </c>
      <c r="F79" s="37"/>
      <c r="G79" s="37"/>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row>
    <row r="80" spans="1:70" ht="22.5" customHeight="1" x14ac:dyDescent="0.25">
      <c r="A80" s="599" t="s">
        <v>266</v>
      </c>
      <c r="B80" s="599" t="s">
        <v>94</v>
      </c>
      <c r="C80" s="48" t="s">
        <v>338</v>
      </c>
      <c r="D80" s="49" t="s">
        <v>124</v>
      </c>
      <c r="E80" s="50">
        <v>0.51</v>
      </c>
      <c r="F80" s="56"/>
      <c r="G80" s="56"/>
    </row>
    <row r="81" spans="1:7" x14ac:dyDescent="0.25">
      <c r="A81" s="601"/>
      <c r="B81" s="601"/>
      <c r="C81" s="48" t="s">
        <v>339</v>
      </c>
      <c r="D81" s="49" t="s">
        <v>125</v>
      </c>
      <c r="E81" s="50">
        <v>0.25</v>
      </c>
      <c r="F81" s="56"/>
      <c r="G81" s="56"/>
    </row>
    <row r="82" spans="1:7" x14ac:dyDescent="0.25">
      <c r="A82" s="600"/>
      <c r="B82" s="600"/>
      <c r="C82" s="48" t="s">
        <v>340</v>
      </c>
      <c r="D82" s="49" t="s">
        <v>126</v>
      </c>
      <c r="E82" s="50">
        <v>0.24</v>
      </c>
      <c r="F82" s="56"/>
      <c r="G82" s="56"/>
    </row>
    <row r="83" spans="1:7" ht="22.5" customHeight="1" x14ac:dyDescent="0.25">
      <c r="A83" s="599" t="s">
        <v>267</v>
      </c>
      <c r="B83" s="602" t="s">
        <v>95</v>
      </c>
      <c r="C83" s="48" t="s">
        <v>341</v>
      </c>
      <c r="D83" s="49" t="s">
        <v>128</v>
      </c>
      <c r="E83" s="50">
        <v>0.51</v>
      </c>
      <c r="F83" s="56"/>
      <c r="G83" s="56"/>
    </row>
    <row r="84" spans="1:7" x14ac:dyDescent="0.25">
      <c r="A84" s="600"/>
      <c r="B84" s="603"/>
      <c r="C84" s="48" t="s">
        <v>342</v>
      </c>
      <c r="D84" s="49" t="s">
        <v>129</v>
      </c>
      <c r="E84" s="50">
        <v>0.49</v>
      </c>
      <c r="F84" s="56"/>
      <c r="G84" s="56"/>
    </row>
    <row r="85" spans="1:7" ht="15.75" customHeight="1" x14ac:dyDescent="0.25">
      <c r="A85" s="599" t="s">
        <v>268</v>
      </c>
      <c r="B85" s="602" t="s">
        <v>97</v>
      </c>
      <c r="C85" s="48" t="s">
        <v>343</v>
      </c>
      <c r="D85" s="49" t="s">
        <v>130</v>
      </c>
      <c r="E85" s="50">
        <v>0.49</v>
      </c>
      <c r="F85" s="56"/>
      <c r="G85" s="56"/>
    </row>
    <row r="86" spans="1:7" x14ac:dyDescent="0.25">
      <c r="A86" s="600"/>
      <c r="B86" s="603"/>
      <c r="C86" s="48" t="s">
        <v>345</v>
      </c>
      <c r="D86" s="49" t="s">
        <v>131</v>
      </c>
      <c r="E86" s="50">
        <v>0.51</v>
      </c>
      <c r="F86" s="56"/>
      <c r="G86" s="56"/>
    </row>
    <row r="87" spans="1:7" ht="15.75" customHeight="1" x14ac:dyDescent="0.25">
      <c r="A87" s="599" t="s">
        <v>269</v>
      </c>
      <c r="B87" s="602" t="s">
        <v>98</v>
      </c>
      <c r="C87" s="48" t="s">
        <v>344</v>
      </c>
      <c r="D87" s="49" t="s">
        <v>132</v>
      </c>
      <c r="E87" s="50">
        <v>0.51</v>
      </c>
      <c r="F87" s="56"/>
      <c r="G87" s="56"/>
    </row>
    <row r="88" spans="1:7" x14ac:dyDescent="0.25">
      <c r="A88" s="600"/>
      <c r="B88" s="603"/>
      <c r="C88" s="48" t="s">
        <v>346</v>
      </c>
      <c r="D88" s="49" t="s">
        <v>133</v>
      </c>
      <c r="E88" s="50">
        <v>0.49</v>
      </c>
      <c r="F88" s="56"/>
      <c r="G88" s="56"/>
    </row>
    <row r="89" spans="1:7" ht="15.75" customHeight="1" x14ac:dyDescent="0.25">
      <c r="A89" s="599" t="s">
        <v>270</v>
      </c>
      <c r="B89" s="602" t="s">
        <v>99</v>
      </c>
      <c r="C89" s="48" t="s">
        <v>347</v>
      </c>
      <c r="D89" s="49" t="s">
        <v>134</v>
      </c>
      <c r="E89" s="50">
        <v>0.8</v>
      </c>
      <c r="F89" s="56"/>
      <c r="G89" s="56"/>
    </row>
    <row r="90" spans="1:7" x14ac:dyDescent="0.25">
      <c r="A90" s="600"/>
      <c r="B90" s="603"/>
      <c r="C90" s="48" t="s">
        <v>349</v>
      </c>
      <c r="D90" s="49" t="s">
        <v>135</v>
      </c>
      <c r="E90" s="50">
        <v>0.2</v>
      </c>
      <c r="F90" s="56"/>
      <c r="G90" s="56"/>
    </row>
    <row r="91" spans="1:7" ht="15.75" customHeight="1" x14ac:dyDescent="0.25">
      <c r="A91" s="599" t="s">
        <v>271</v>
      </c>
      <c r="B91" s="602" t="s">
        <v>95</v>
      </c>
      <c r="C91" s="48" t="s">
        <v>348</v>
      </c>
      <c r="D91" s="49" t="s">
        <v>136</v>
      </c>
      <c r="E91" s="50">
        <v>0.49</v>
      </c>
      <c r="F91" s="56"/>
      <c r="G91" s="56"/>
    </row>
    <row r="92" spans="1:7" x14ac:dyDescent="0.25">
      <c r="A92" s="600"/>
      <c r="B92" s="603"/>
      <c r="C92" s="48" t="s">
        <v>350</v>
      </c>
      <c r="D92" s="49" t="s">
        <v>137</v>
      </c>
      <c r="E92" s="50">
        <v>0.51</v>
      </c>
      <c r="F92" s="56"/>
      <c r="G92" s="56"/>
    </row>
    <row r="93" spans="1:7" x14ac:dyDescent="0.25">
      <c r="A93" s="35" t="s">
        <v>272</v>
      </c>
      <c r="B93" s="396" t="s">
        <v>100</v>
      </c>
      <c r="C93" s="48" t="s">
        <v>351</v>
      </c>
      <c r="D93" s="51" t="s">
        <v>100</v>
      </c>
      <c r="E93" s="50">
        <v>1</v>
      </c>
      <c r="F93" s="56"/>
      <c r="G93" s="56"/>
    </row>
    <row r="94" spans="1:7" ht="15.75" customHeight="1" x14ac:dyDescent="0.25">
      <c r="A94" s="599" t="s">
        <v>273</v>
      </c>
      <c r="B94" s="602" t="s">
        <v>101</v>
      </c>
      <c r="C94" s="48" t="s">
        <v>352</v>
      </c>
      <c r="D94" s="49" t="s">
        <v>138</v>
      </c>
      <c r="E94" s="50">
        <v>0.4</v>
      </c>
      <c r="F94" s="56"/>
      <c r="G94" s="56"/>
    </row>
    <row r="95" spans="1:7" x14ac:dyDescent="0.25">
      <c r="A95" s="600"/>
      <c r="B95" s="603"/>
      <c r="C95" s="48" t="s">
        <v>353</v>
      </c>
      <c r="D95" s="49" t="s">
        <v>139</v>
      </c>
      <c r="E95" s="50">
        <v>0.6</v>
      </c>
      <c r="F95" s="56"/>
      <c r="G95" s="56"/>
    </row>
    <row r="96" spans="1:7" ht="15.75" customHeight="1" x14ac:dyDescent="0.25">
      <c r="A96" s="599" t="s">
        <v>274</v>
      </c>
      <c r="B96" s="602" t="s">
        <v>102</v>
      </c>
      <c r="C96" s="48" t="s">
        <v>354</v>
      </c>
      <c r="D96" s="49" t="s">
        <v>140</v>
      </c>
      <c r="E96" s="50">
        <v>0.51</v>
      </c>
      <c r="F96" s="56"/>
      <c r="G96" s="56"/>
    </row>
    <row r="97" spans="1:7" x14ac:dyDescent="0.25">
      <c r="A97" s="600"/>
      <c r="B97" s="603"/>
      <c r="C97" s="48" t="s">
        <v>355</v>
      </c>
      <c r="D97" s="49" t="s">
        <v>141</v>
      </c>
      <c r="E97" s="50">
        <v>0.49</v>
      </c>
      <c r="F97" s="56"/>
      <c r="G97" s="56"/>
    </row>
    <row r="98" spans="1:7" x14ac:dyDescent="0.25">
      <c r="A98" s="35" t="s">
        <v>275</v>
      </c>
      <c r="B98" s="396" t="s">
        <v>103</v>
      </c>
      <c r="C98" s="48" t="s">
        <v>356</v>
      </c>
      <c r="D98" s="51" t="s">
        <v>103</v>
      </c>
      <c r="E98" s="50">
        <v>1</v>
      </c>
      <c r="F98" s="56"/>
      <c r="G98" s="56"/>
    </row>
    <row r="99" spans="1:7" ht="15.75" customHeight="1" x14ac:dyDescent="0.25">
      <c r="A99" s="599" t="s">
        <v>276</v>
      </c>
      <c r="B99" s="602" t="s">
        <v>104</v>
      </c>
      <c r="C99" s="48" t="s">
        <v>357</v>
      </c>
      <c r="D99" s="49" t="s">
        <v>142</v>
      </c>
      <c r="E99" s="50">
        <v>0.75</v>
      </c>
      <c r="F99" s="56"/>
      <c r="G99" s="56"/>
    </row>
    <row r="100" spans="1:7" x14ac:dyDescent="0.25">
      <c r="A100" s="600"/>
      <c r="B100" s="603"/>
      <c r="C100" s="48" t="s">
        <v>358</v>
      </c>
      <c r="D100" s="49" t="s">
        <v>143</v>
      </c>
      <c r="E100" s="50">
        <v>0.25</v>
      </c>
      <c r="F100" s="56"/>
      <c r="G100" s="56"/>
    </row>
    <row r="101" spans="1:7" ht="15.75" customHeight="1" x14ac:dyDescent="0.25">
      <c r="A101" s="599" t="s">
        <v>277</v>
      </c>
      <c r="B101" s="602" t="s">
        <v>105</v>
      </c>
      <c r="C101" s="48" t="s">
        <v>359</v>
      </c>
      <c r="D101" s="49" t="s">
        <v>4</v>
      </c>
      <c r="E101" s="50">
        <v>0.49</v>
      </c>
      <c r="F101" s="56"/>
      <c r="G101" s="56"/>
    </row>
    <row r="102" spans="1:7" x14ac:dyDescent="0.25">
      <c r="A102" s="600"/>
      <c r="B102" s="603"/>
      <c r="C102" s="48" t="s">
        <v>360</v>
      </c>
      <c r="D102" s="49" t="s">
        <v>144</v>
      </c>
      <c r="E102" s="50">
        <v>0.51</v>
      </c>
      <c r="F102" s="56"/>
      <c r="G102" s="56"/>
    </row>
    <row r="103" spans="1:7" ht="15.75" customHeight="1" x14ac:dyDescent="0.25">
      <c r="A103" s="35" t="s">
        <v>278</v>
      </c>
      <c r="B103" s="396" t="s">
        <v>106</v>
      </c>
      <c r="C103" s="48" t="s">
        <v>361</v>
      </c>
      <c r="D103" s="51" t="s">
        <v>106</v>
      </c>
      <c r="E103" s="52">
        <v>1</v>
      </c>
      <c r="F103" s="56"/>
      <c r="G103" s="56"/>
    </row>
    <row r="104" spans="1:7" x14ac:dyDescent="0.25">
      <c r="A104" s="599" t="s">
        <v>279</v>
      </c>
      <c r="B104" s="602" t="s">
        <v>107</v>
      </c>
      <c r="C104" s="48" t="s">
        <v>362</v>
      </c>
      <c r="D104" s="49" t="s">
        <v>145</v>
      </c>
      <c r="E104" s="50">
        <v>0.51</v>
      </c>
      <c r="F104" s="56"/>
      <c r="G104" s="56"/>
    </row>
    <row r="105" spans="1:7" x14ac:dyDescent="0.25">
      <c r="A105" s="601"/>
      <c r="B105" s="604"/>
      <c r="C105" s="48" t="s">
        <v>364</v>
      </c>
      <c r="D105" s="49" t="s">
        <v>146</v>
      </c>
      <c r="E105" s="50">
        <v>0.25</v>
      </c>
      <c r="F105" s="56"/>
      <c r="G105" s="56"/>
    </row>
    <row r="106" spans="1:7" x14ac:dyDescent="0.25">
      <c r="A106" s="600"/>
      <c r="B106" s="603"/>
      <c r="C106" s="48" t="s">
        <v>365</v>
      </c>
      <c r="D106" s="49" t="s">
        <v>147</v>
      </c>
      <c r="E106" s="50">
        <v>0.24</v>
      </c>
      <c r="F106" s="56"/>
      <c r="G106" s="56"/>
    </row>
    <row r="107" spans="1:7" x14ac:dyDescent="0.25">
      <c r="A107" s="599" t="s">
        <v>280</v>
      </c>
      <c r="B107" s="602" t="s">
        <v>108</v>
      </c>
      <c r="C107" s="48" t="s">
        <v>363</v>
      </c>
      <c r="D107" s="49" t="s">
        <v>148</v>
      </c>
      <c r="E107" s="50">
        <v>0.51</v>
      </c>
      <c r="F107" s="56"/>
      <c r="G107" s="56"/>
    </row>
    <row r="108" spans="1:7" x14ac:dyDescent="0.25">
      <c r="A108" s="601"/>
      <c r="B108" s="604"/>
      <c r="C108" s="48" t="s">
        <v>366</v>
      </c>
      <c r="D108" s="49" t="s">
        <v>149</v>
      </c>
      <c r="E108" s="50">
        <v>0.25</v>
      </c>
      <c r="F108" s="56"/>
      <c r="G108" s="56"/>
    </row>
    <row r="109" spans="1:7" x14ac:dyDescent="0.25">
      <c r="A109" s="600"/>
      <c r="B109" s="603"/>
      <c r="C109" s="35" t="s">
        <v>367</v>
      </c>
      <c r="D109" s="49" t="s">
        <v>150</v>
      </c>
      <c r="E109" s="50">
        <v>0.24</v>
      </c>
      <c r="F109" s="56"/>
      <c r="G109" s="56"/>
    </row>
  </sheetData>
  <mergeCells count="93">
    <mergeCell ref="A49:A50"/>
    <mergeCell ref="B49:B50"/>
    <mergeCell ref="A51:A52"/>
    <mergeCell ref="B51:B52"/>
    <mergeCell ref="A53:A54"/>
    <mergeCell ref="B53:B54"/>
    <mergeCell ref="A42:A43"/>
    <mergeCell ref="B42:B43"/>
    <mergeCell ref="A44:A46"/>
    <mergeCell ref="B44:B46"/>
    <mergeCell ref="A47:A48"/>
    <mergeCell ref="B47:B48"/>
    <mergeCell ref="A33:A34"/>
    <mergeCell ref="B33:B34"/>
    <mergeCell ref="A36:A38"/>
    <mergeCell ref="B36:B38"/>
    <mergeCell ref="A39:A41"/>
    <mergeCell ref="B39:B41"/>
    <mergeCell ref="B15:B16"/>
    <mergeCell ref="A17:A18"/>
    <mergeCell ref="B17:B18"/>
    <mergeCell ref="A31:A32"/>
    <mergeCell ref="B31:B32"/>
    <mergeCell ref="A25:A26"/>
    <mergeCell ref="B25:B26"/>
    <mergeCell ref="A27:A28"/>
    <mergeCell ref="B27:B28"/>
    <mergeCell ref="A29:A30"/>
    <mergeCell ref="B29:B30"/>
    <mergeCell ref="A19:A20"/>
    <mergeCell ref="B19:B20"/>
    <mergeCell ref="A21:A22"/>
    <mergeCell ref="B21:B22"/>
    <mergeCell ref="A23:A24"/>
    <mergeCell ref="B23:B24"/>
    <mergeCell ref="A104:A106"/>
    <mergeCell ref="A107:A109"/>
    <mergeCell ref="B104:B106"/>
    <mergeCell ref="B107:B109"/>
    <mergeCell ref="A96:A97"/>
    <mergeCell ref="B96:B97"/>
    <mergeCell ref="A99:A100"/>
    <mergeCell ref="B99:B100"/>
    <mergeCell ref="A101:A102"/>
    <mergeCell ref="B101:B102"/>
    <mergeCell ref="A89:A90"/>
    <mergeCell ref="B89:B90"/>
    <mergeCell ref="A91:A92"/>
    <mergeCell ref="B91:B92"/>
    <mergeCell ref="A94:A95"/>
    <mergeCell ref="B94:B95"/>
    <mergeCell ref="A83:A84"/>
    <mergeCell ref="B83:B84"/>
    <mergeCell ref="A85:A86"/>
    <mergeCell ref="B85:B86"/>
    <mergeCell ref="A87:A88"/>
    <mergeCell ref="B87:B88"/>
    <mergeCell ref="A80:A82"/>
    <mergeCell ref="B80:B82"/>
    <mergeCell ref="A65:A67"/>
    <mergeCell ref="B65:B67"/>
    <mergeCell ref="A68:A70"/>
    <mergeCell ref="B68:B70"/>
    <mergeCell ref="B71:B72"/>
    <mergeCell ref="A71:A72"/>
    <mergeCell ref="A73:A74"/>
    <mergeCell ref="B73:B74"/>
    <mergeCell ref="A75:A76"/>
    <mergeCell ref="A77:A79"/>
    <mergeCell ref="B75:B76"/>
    <mergeCell ref="B77:B79"/>
    <mergeCell ref="B58:B60"/>
    <mergeCell ref="A58:A60"/>
    <mergeCell ref="A61:A62"/>
    <mergeCell ref="B61:B62"/>
    <mergeCell ref="A63:A64"/>
    <mergeCell ref="B63:B64"/>
    <mergeCell ref="A1:E1"/>
    <mergeCell ref="F1:G2"/>
    <mergeCell ref="A2:E2"/>
    <mergeCell ref="A56:A57"/>
    <mergeCell ref="B56:B57"/>
    <mergeCell ref="A4:A6"/>
    <mergeCell ref="B4:B6"/>
    <mergeCell ref="A7:A8"/>
    <mergeCell ref="B7:B8"/>
    <mergeCell ref="A9:A10"/>
    <mergeCell ref="B9:B10"/>
    <mergeCell ref="A11:A12"/>
    <mergeCell ref="B11:B12"/>
    <mergeCell ref="A13:A14"/>
    <mergeCell ref="B13:B14"/>
    <mergeCell ref="A15:A16"/>
  </mergeCells>
  <conditionalFormatting sqref="F4:G79">
    <cfRule type="containsText" dxfId="68" priority="51" operator="containsText" text="N/A">
      <formula>NOT(ISERROR(SEARCH("N/A",F4)))</formula>
    </cfRule>
  </conditionalFormatting>
  <pageMargins left="0.75" right="0.75" top="1" bottom="1" header="0.5" footer="0.5"/>
  <pageSetup orientation="portrait" horizontalDpi="4294967292" vertic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P219"/>
  <sheetViews>
    <sheetView zoomScale="55" zoomScaleNormal="55" zoomScalePageLayoutView="75" workbookViewId="0">
      <pane xSplit="1" ySplit="2" topLeftCell="M34" activePane="bottomRight" state="frozen"/>
      <selection pane="topRight" activeCell="B1" sqref="B1"/>
      <selection pane="bottomLeft" activeCell="A3" sqref="A3"/>
      <selection pane="bottomRight" activeCell="AL39" sqref="AL39"/>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7.625" style="96" customWidth="1"/>
    <col min="5" max="5" width="17.5" style="96" customWidth="1"/>
    <col min="6" max="6" width="66.125" style="104" customWidth="1"/>
    <col min="7" max="7" width="18.5" style="104" customWidth="1"/>
    <col min="8" max="8" width="12.5" style="104" customWidth="1"/>
    <col min="9" max="9" width="13.625" style="105" customWidth="1"/>
    <col min="10" max="10" width="10.625" style="106" customWidth="1"/>
    <col min="11" max="11" width="11" style="107" customWidth="1"/>
    <col min="12" max="12" width="11" style="108" customWidth="1"/>
    <col min="13" max="13" width="11" style="74" customWidth="1"/>
    <col min="14" max="14" width="18.5" style="109" customWidth="1"/>
    <col min="15" max="15" width="8.75" style="109" customWidth="1"/>
    <col min="16" max="16" width="12.125" style="74" customWidth="1"/>
    <col min="17" max="17" width="17" style="74" customWidth="1"/>
    <col min="18" max="18" width="12" style="74" customWidth="1"/>
    <col min="19" max="19" width="22.75" style="74" customWidth="1"/>
    <col min="20" max="20" width="15.5" style="74" customWidth="1"/>
    <col min="21" max="21" width="18.375" style="87" customWidth="1"/>
    <col min="22" max="22" width="16.5" style="87" customWidth="1"/>
    <col min="23" max="23" width="10" style="94" customWidth="1"/>
    <col min="24" max="24" width="7.875" style="110" customWidth="1"/>
    <col min="25" max="25" width="8.875" style="110" customWidth="1"/>
    <col min="26" max="26" width="10" style="94" customWidth="1"/>
    <col min="27" max="27" width="7.875" style="110" customWidth="1"/>
    <col min="28" max="28" width="8.875" style="110" customWidth="1"/>
    <col min="29" max="29" width="10" style="94" hidden="1" customWidth="1"/>
    <col min="30" max="30" width="7.875" style="110" hidden="1" customWidth="1"/>
    <col min="31" max="31" width="8.875" style="110" hidden="1" customWidth="1"/>
    <col min="32" max="32" width="10" style="110" bestFit="1" customWidth="1"/>
    <col min="33" max="33" width="7.375" style="110" bestFit="1" customWidth="1"/>
    <col min="34" max="34" width="6.375" style="110" customWidth="1"/>
    <col min="35" max="38" width="19.5" style="377" customWidth="1"/>
    <col min="39" max="39" width="59.125" style="96" customWidth="1"/>
    <col min="40" max="42" width="10.875" style="111"/>
    <col min="43" max="44" width="15.125" style="111" bestFit="1" customWidth="1"/>
    <col min="45" max="16384" width="10.875" style="111"/>
  </cols>
  <sheetData>
    <row r="1" spans="1:42" s="61" customFormat="1" ht="15" customHeight="1" x14ac:dyDescent="0.25">
      <c r="A1" s="661" t="s">
        <v>2</v>
      </c>
      <c r="B1" s="661" t="s">
        <v>1</v>
      </c>
      <c r="C1" s="676" t="s">
        <v>369</v>
      </c>
      <c r="D1" s="661" t="s">
        <v>7</v>
      </c>
      <c r="E1" s="661" t="s">
        <v>8</v>
      </c>
      <c r="F1" s="661" t="s">
        <v>9</v>
      </c>
      <c r="G1" s="662" t="s">
        <v>57</v>
      </c>
      <c r="H1" s="662" t="s">
        <v>383</v>
      </c>
      <c r="I1" s="670" t="s">
        <v>56</v>
      </c>
      <c r="J1" s="672" t="s">
        <v>10</v>
      </c>
      <c r="K1" s="672" t="s">
        <v>443</v>
      </c>
      <c r="L1" s="674" t="s">
        <v>65</v>
      </c>
      <c r="M1" s="661" t="s">
        <v>64</v>
      </c>
      <c r="N1" s="661" t="s">
        <v>11</v>
      </c>
      <c r="O1" s="661" t="s">
        <v>12</v>
      </c>
      <c r="P1" s="662" t="s">
        <v>13</v>
      </c>
      <c r="Q1" s="662" t="s">
        <v>14</v>
      </c>
      <c r="R1" s="662" t="s">
        <v>15</v>
      </c>
      <c r="S1" s="662" t="s">
        <v>16</v>
      </c>
      <c r="T1" s="661" t="s">
        <v>17</v>
      </c>
      <c r="U1" s="662" t="s">
        <v>385</v>
      </c>
      <c r="V1" s="668" t="s">
        <v>55</v>
      </c>
      <c r="W1" s="661" t="s">
        <v>27</v>
      </c>
      <c r="X1" s="661"/>
      <c r="Y1" s="661"/>
      <c r="Z1" s="661" t="s">
        <v>28</v>
      </c>
      <c r="AA1" s="661"/>
      <c r="AB1" s="661"/>
      <c r="AC1" s="661" t="s">
        <v>688</v>
      </c>
      <c r="AD1" s="661"/>
      <c r="AE1" s="661"/>
      <c r="AF1" s="661" t="s">
        <v>29</v>
      </c>
      <c r="AG1" s="661"/>
      <c r="AH1" s="661"/>
      <c r="AI1" s="662" t="s">
        <v>30</v>
      </c>
      <c r="AJ1" s="664" t="s">
        <v>374</v>
      </c>
      <c r="AK1" s="665" t="s">
        <v>618</v>
      </c>
      <c r="AL1" s="664" t="s">
        <v>619</v>
      </c>
      <c r="AM1" s="659" t="s">
        <v>0</v>
      </c>
      <c r="AO1" s="62" t="s">
        <v>5</v>
      </c>
      <c r="AP1" s="62" t="s">
        <v>6</v>
      </c>
    </row>
    <row r="2" spans="1:42" s="61" customFormat="1" ht="62.25" customHeight="1" thickBot="1" x14ac:dyDescent="0.3">
      <c r="A2" s="667"/>
      <c r="B2" s="667"/>
      <c r="C2" s="677"/>
      <c r="D2" s="667"/>
      <c r="E2" s="667"/>
      <c r="F2" s="667"/>
      <c r="G2" s="663"/>
      <c r="H2" s="663"/>
      <c r="I2" s="671"/>
      <c r="J2" s="673"/>
      <c r="K2" s="673"/>
      <c r="L2" s="675"/>
      <c r="M2" s="667"/>
      <c r="N2" s="667"/>
      <c r="O2" s="667"/>
      <c r="P2" s="663"/>
      <c r="Q2" s="663"/>
      <c r="R2" s="663"/>
      <c r="S2" s="663"/>
      <c r="T2" s="667"/>
      <c r="U2" s="663"/>
      <c r="V2" s="669"/>
      <c r="W2" s="372" t="s">
        <v>31</v>
      </c>
      <c r="X2" s="372" t="s">
        <v>32</v>
      </c>
      <c r="Y2" s="372" t="s">
        <v>33</v>
      </c>
      <c r="Z2" s="372" t="s">
        <v>34</v>
      </c>
      <c r="AA2" s="372" t="s">
        <v>32</v>
      </c>
      <c r="AB2" s="372" t="s">
        <v>35</v>
      </c>
      <c r="AC2" s="372" t="s">
        <v>34</v>
      </c>
      <c r="AD2" s="372" t="s">
        <v>32</v>
      </c>
      <c r="AE2" s="372" t="s">
        <v>689</v>
      </c>
      <c r="AF2" s="372" t="s">
        <v>34</v>
      </c>
      <c r="AG2" s="372" t="s">
        <v>32</v>
      </c>
      <c r="AH2" s="372" t="s">
        <v>36</v>
      </c>
      <c r="AI2" s="663"/>
      <c r="AJ2" s="665"/>
      <c r="AK2" s="666"/>
      <c r="AL2" s="665"/>
      <c r="AM2" s="660"/>
    </row>
    <row r="3" spans="1:42" s="79" customFormat="1" ht="57" x14ac:dyDescent="0.25">
      <c r="A3" s="652" t="s">
        <v>775</v>
      </c>
      <c r="B3" s="125" t="s">
        <v>312</v>
      </c>
      <c r="C3" s="126"/>
      <c r="D3" s="65" t="str">
        <f>+IFERROR(INDEX([11]CONSOLIDADO!$D$4:$D$108,MATCH('EXP GEN. 25-32'!B3,[11]CONSOLIDADO!$C$4:$C$108,0)),"")</f>
        <v>JOYCO</v>
      </c>
      <c r="E3" s="66" t="s">
        <v>26</v>
      </c>
      <c r="F3" s="67" t="s">
        <v>776</v>
      </c>
      <c r="G3" s="369" t="s">
        <v>5</v>
      </c>
      <c r="H3" s="369" t="s">
        <v>5</v>
      </c>
      <c r="I3" s="69">
        <v>1</v>
      </c>
      <c r="J3" s="70">
        <v>38321</v>
      </c>
      <c r="K3" s="70">
        <v>39901</v>
      </c>
      <c r="L3" s="71">
        <f>IF(K3="","",YEAR(K3))</f>
        <v>2009</v>
      </c>
      <c r="M3" s="72">
        <f>+IFERROR(INDEX([11]PARÁMETROS!$B$11:$B$37,MATCH(L3,[11]PARÁMETROS!$A$11:$A$37,0)),"")</f>
        <v>496900</v>
      </c>
      <c r="N3" s="73">
        <v>1676200327</v>
      </c>
      <c r="O3" s="136" t="s">
        <v>20</v>
      </c>
      <c r="P3" s="125" t="s">
        <v>54</v>
      </c>
      <c r="Q3" s="137" t="s">
        <v>54</v>
      </c>
      <c r="R3" s="138">
        <v>1</v>
      </c>
      <c r="S3" s="134">
        <f>IF(R3&lt;&gt;"",N3*R3,"")</f>
        <v>1676200327</v>
      </c>
      <c r="T3" s="139">
        <f>+IFERROR(S3/M3,"")</f>
        <v>3373.3152082914066</v>
      </c>
      <c r="U3" s="139">
        <f>IFERROR(T3*I3,"")</f>
        <v>3373.3152082914066</v>
      </c>
      <c r="V3" s="140">
        <v>45</v>
      </c>
      <c r="W3" s="649" t="s">
        <v>5</v>
      </c>
      <c r="X3" s="649"/>
      <c r="Y3" s="649"/>
      <c r="Z3" s="649" t="s">
        <v>5</v>
      </c>
      <c r="AA3" s="649"/>
      <c r="AB3" s="649"/>
      <c r="AC3" s="649"/>
      <c r="AD3" s="649"/>
      <c r="AE3" s="649"/>
      <c r="AF3" s="649" t="s">
        <v>5</v>
      </c>
      <c r="AG3" s="649"/>
      <c r="AH3" s="649"/>
      <c r="AI3" s="368" t="s">
        <v>5</v>
      </c>
      <c r="AJ3" s="649" t="str">
        <f>IF(U3="","",IF(SUM(U3:U8)&gt;=[11]PARÁMETROS!$H$5,"CUMPLE","NO CUMPLE"))</f>
        <v>CUMPLE</v>
      </c>
      <c r="AK3" s="649" t="s">
        <v>620</v>
      </c>
      <c r="AL3" s="368" t="str">
        <f>+IF(U3="","",IF(U3&gt;=[11]PARÁMETROS!$D$5,"CUMPLE","NO CUMPLE"))</f>
        <v>CUMPLE</v>
      </c>
      <c r="AM3" s="142"/>
      <c r="AN3" s="112"/>
    </row>
    <row r="4" spans="1:42" s="79" customFormat="1" ht="85.5" x14ac:dyDescent="0.25">
      <c r="A4" s="653"/>
      <c r="B4" s="377" t="s">
        <v>312</v>
      </c>
      <c r="C4" s="64"/>
      <c r="D4" s="65" t="str">
        <f>+IFERROR(INDEX([11]CONSOLIDADO!$D$4:$D$108,MATCH('EXP GEN. 25-32'!B4,[11]CONSOLIDADO!$C$4:$C$108,0)),"")</f>
        <v>JOYCO</v>
      </c>
      <c r="E4" s="66" t="s">
        <v>777</v>
      </c>
      <c r="F4" s="67" t="s">
        <v>778</v>
      </c>
      <c r="G4" s="369" t="s">
        <v>5</v>
      </c>
      <c r="H4" s="369" t="s">
        <v>5</v>
      </c>
      <c r="I4" s="80">
        <v>1</v>
      </c>
      <c r="J4" s="70">
        <v>38658</v>
      </c>
      <c r="K4" s="70">
        <v>39813</v>
      </c>
      <c r="L4" s="71">
        <f t="shared" ref="L4:L67" si="0">IF(K4="","",YEAR(K4))</f>
        <v>2008</v>
      </c>
      <c r="M4" s="72">
        <f>+IFERROR(INDEX([11]PARÁMETROS!$B$11:$B$37,MATCH(L4,[11]PARÁMETROS!$A$11:$A$37,0)),"")</f>
        <v>461500</v>
      </c>
      <c r="N4" s="81">
        <v>2904906735</v>
      </c>
      <c r="O4" s="72" t="s">
        <v>20</v>
      </c>
      <c r="P4" s="377" t="s">
        <v>54</v>
      </c>
      <c r="Q4" s="75" t="s">
        <v>54</v>
      </c>
      <c r="R4" s="76">
        <v>1</v>
      </c>
      <c r="S4" s="72">
        <f t="shared" ref="S4:S67" si="1">IF(R4&lt;&gt;"",N4*R4,"")</f>
        <v>2904906735</v>
      </c>
      <c r="T4" s="60">
        <f t="shared" ref="T4:T67" si="2">+IFERROR(S4/M4,"")</f>
        <v>6294.4891332611051</v>
      </c>
      <c r="U4" s="60">
        <f t="shared" ref="U4:U67" si="3">IFERROR(T4*I4,"")</f>
        <v>6294.4891332611051</v>
      </c>
      <c r="V4" s="77">
        <v>46</v>
      </c>
      <c r="W4" s="650" t="s">
        <v>5</v>
      </c>
      <c r="X4" s="650"/>
      <c r="Y4" s="650"/>
      <c r="Z4" s="650" t="s">
        <v>5</v>
      </c>
      <c r="AA4" s="650"/>
      <c r="AB4" s="650"/>
      <c r="AC4" s="650"/>
      <c r="AD4" s="650"/>
      <c r="AE4" s="650"/>
      <c r="AF4" s="650" t="s">
        <v>5</v>
      </c>
      <c r="AG4" s="650"/>
      <c r="AH4" s="650"/>
      <c r="AI4" s="369" t="s">
        <v>5</v>
      </c>
      <c r="AJ4" s="650"/>
      <c r="AK4" s="650"/>
      <c r="AL4" s="369" t="str">
        <f>+IF(U4="","",IF(U4&gt;=[11]PARÁMETROS!$D$5,"CUMPLE","NO CUMPLE"))</f>
        <v>CUMPLE</v>
      </c>
      <c r="AM4" s="143"/>
      <c r="AN4" s="112"/>
    </row>
    <row r="5" spans="1:42" s="79" customFormat="1" ht="57" x14ac:dyDescent="0.25">
      <c r="A5" s="653"/>
      <c r="B5" s="377" t="s">
        <v>312</v>
      </c>
      <c r="C5" s="64"/>
      <c r="D5" s="65" t="str">
        <f>+IFERROR(INDEX([11]CONSOLIDADO!$D$4:$D$108,MATCH('EXP GEN. 25-32'!B5,[11]CONSOLIDADO!$C$4:$C$108,0)),"")</f>
        <v>JOYCO</v>
      </c>
      <c r="E5" s="66" t="s">
        <v>26</v>
      </c>
      <c r="F5" s="67" t="s">
        <v>779</v>
      </c>
      <c r="G5" s="369" t="s">
        <v>5</v>
      </c>
      <c r="H5" s="369" t="s">
        <v>5</v>
      </c>
      <c r="I5" s="69">
        <v>0.33</v>
      </c>
      <c r="J5" s="70">
        <v>39792</v>
      </c>
      <c r="K5" s="70">
        <v>40977</v>
      </c>
      <c r="L5" s="71">
        <f t="shared" si="0"/>
        <v>2012</v>
      </c>
      <c r="M5" s="72">
        <f>+IFERROR(INDEX([11]PARÁMETROS!$B$11:$B$37,MATCH(L5,[11]PARÁMETROS!$A$11:$A$37,0)),"")</f>
        <v>566700</v>
      </c>
      <c r="N5" s="73">
        <v>4939884563</v>
      </c>
      <c r="O5" s="74" t="s">
        <v>20</v>
      </c>
      <c r="P5" s="377" t="s">
        <v>54</v>
      </c>
      <c r="Q5" s="75" t="s">
        <v>54</v>
      </c>
      <c r="R5" s="76">
        <v>1</v>
      </c>
      <c r="S5" s="72">
        <f t="shared" si="1"/>
        <v>4939884563</v>
      </c>
      <c r="T5" s="60">
        <f t="shared" si="2"/>
        <v>8716.9305858478911</v>
      </c>
      <c r="U5" s="60">
        <f t="shared" si="3"/>
        <v>2876.5870933298042</v>
      </c>
      <c r="V5" s="77">
        <v>67</v>
      </c>
      <c r="W5" s="650" t="s">
        <v>5</v>
      </c>
      <c r="X5" s="650"/>
      <c r="Y5" s="650"/>
      <c r="Z5" s="650" t="s">
        <v>5</v>
      </c>
      <c r="AA5" s="650"/>
      <c r="AB5" s="650"/>
      <c r="AC5" s="650"/>
      <c r="AD5" s="650"/>
      <c r="AE5" s="650"/>
      <c r="AF5" s="650" t="s">
        <v>5</v>
      </c>
      <c r="AG5" s="650"/>
      <c r="AH5" s="650"/>
      <c r="AI5" s="369" t="s">
        <v>5</v>
      </c>
      <c r="AJ5" s="650"/>
      <c r="AK5" s="650"/>
      <c r="AL5" s="369" t="str">
        <f>+IF(U5="","",IF(U5&gt;=[11]PARÁMETROS!$D$5,"CUMPLE","NO CUMPLE"))</f>
        <v>CUMPLE</v>
      </c>
      <c r="AM5" s="144"/>
      <c r="AN5" s="112"/>
    </row>
    <row r="6" spans="1:42" s="79" customFormat="1" ht="85.5" x14ac:dyDescent="0.25">
      <c r="A6" s="653"/>
      <c r="B6" s="377" t="s">
        <v>312</v>
      </c>
      <c r="C6" s="64"/>
      <c r="D6" s="65" t="str">
        <f>+IFERROR(INDEX([11]CONSOLIDADO!$D$4:$D$108,MATCH('EXP GEN. 25-32'!B6,[11]CONSOLIDADO!$C$4:$C$108,0)),"")</f>
        <v>JOYCO</v>
      </c>
      <c r="E6" s="66" t="s">
        <v>777</v>
      </c>
      <c r="F6" s="67" t="s">
        <v>780</v>
      </c>
      <c r="G6" s="369" t="s">
        <v>5</v>
      </c>
      <c r="H6" s="369" t="s">
        <v>5</v>
      </c>
      <c r="I6" s="69">
        <v>0.5</v>
      </c>
      <c r="J6" s="70">
        <v>39778</v>
      </c>
      <c r="K6" s="70">
        <v>41496</v>
      </c>
      <c r="L6" s="71">
        <f t="shared" si="0"/>
        <v>2013</v>
      </c>
      <c r="M6" s="72">
        <f>+IFERROR(INDEX([11]PARÁMETROS!$B$11:$B$37,MATCH(L6,[11]PARÁMETROS!$A$11:$A$37,0)),"")</f>
        <v>589500</v>
      </c>
      <c r="N6" s="73">
        <v>5413375107</v>
      </c>
      <c r="O6" s="74" t="s">
        <v>20</v>
      </c>
      <c r="P6" s="377" t="s">
        <v>54</v>
      </c>
      <c r="Q6" s="75" t="s">
        <v>54</v>
      </c>
      <c r="R6" s="76">
        <v>1</v>
      </c>
      <c r="S6" s="72">
        <f t="shared" si="1"/>
        <v>5413375107</v>
      </c>
      <c r="T6" s="60">
        <f t="shared" si="2"/>
        <v>9182.9942442748088</v>
      </c>
      <c r="U6" s="60">
        <f t="shared" si="3"/>
        <v>4591.4971221374044</v>
      </c>
      <c r="V6" s="77">
        <v>66</v>
      </c>
      <c r="W6" s="650" t="s">
        <v>5</v>
      </c>
      <c r="X6" s="650"/>
      <c r="Y6" s="650"/>
      <c r="Z6" s="650" t="s">
        <v>5</v>
      </c>
      <c r="AA6" s="650"/>
      <c r="AB6" s="650"/>
      <c r="AC6" s="650"/>
      <c r="AD6" s="650"/>
      <c r="AE6" s="650"/>
      <c r="AF6" s="650" t="s">
        <v>5</v>
      </c>
      <c r="AG6" s="650"/>
      <c r="AH6" s="650"/>
      <c r="AI6" s="369" t="s">
        <v>5</v>
      </c>
      <c r="AJ6" s="650"/>
      <c r="AK6" s="650"/>
      <c r="AL6" s="369" t="str">
        <f>+IF(U6="","",IF(U6&gt;=[11]PARÁMETROS!$D$5,"CUMPLE","NO CUMPLE"))</f>
        <v>CUMPLE</v>
      </c>
      <c r="AM6" s="144"/>
      <c r="AN6" s="112"/>
    </row>
    <row r="7" spans="1:42" s="79" customFormat="1" ht="42.75" x14ac:dyDescent="0.25">
      <c r="A7" s="653"/>
      <c r="B7" s="377" t="s">
        <v>312</v>
      </c>
      <c r="C7" s="64"/>
      <c r="D7" s="65" t="str">
        <f>+IFERROR(INDEX([11]CONSOLIDADO!$D$4:$D$108,MATCH('EXP GEN. 25-32'!B7,[11]CONSOLIDADO!$C$4:$C$108,0)),"")</f>
        <v>JOYCO</v>
      </c>
      <c r="E7" s="66" t="s">
        <v>777</v>
      </c>
      <c r="F7" s="67" t="s">
        <v>781</v>
      </c>
      <c r="G7" s="369" t="s">
        <v>5</v>
      </c>
      <c r="H7" s="369" t="s">
        <v>5</v>
      </c>
      <c r="I7" s="69">
        <v>1</v>
      </c>
      <c r="J7" s="70">
        <v>35171</v>
      </c>
      <c r="K7" s="70">
        <v>36083</v>
      </c>
      <c r="L7" s="71">
        <f t="shared" si="0"/>
        <v>1998</v>
      </c>
      <c r="M7" s="72">
        <f>+IFERROR(INDEX([11]PARÁMETROS!$B$11:$B$37,MATCH(L7,[11]PARÁMETROS!$A$11:$A$37,0)),"")</f>
        <v>203826</v>
      </c>
      <c r="N7" s="73">
        <v>1224631244</v>
      </c>
      <c r="O7" s="74" t="s">
        <v>20</v>
      </c>
      <c r="P7" s="377" t="s">
        <v>54</v>
      </c>
      <c r="Q7" s="75" t="s">
        <v>54</v>
      </c>
      <c r="R7" s="76">
        <v>1</v>
      </c>
      <c r="S7" s="72">
        <f t="shared" si="1"/>
        <v>1224631244</v>
      </c>
      <c r="T7" s="60">
        <f t="shared" si="2"/>
        <v>6008.2189907077609</v>
      </c>
      <c r="U7" s="60">
        <f t="shared" si="3"/>
        <v>6008.2189907077609</v>
      </c>
      <c r="V7" s="77">
        <v>12</v>
      </c>
      <c r="W7" s="650" t="s">
        <v>5</v>
      </c>
      <c r="X7" s="650"/>
      <c r="Y7" s="650"/>
      <c r="Z7" s="650" t="s">
        <v>5</v>
      </c>
      <c r="AA7" s="650"/>
      <c r="AB7" s="650"/>
      <c r="AC7" s="650"/>
      <c r="AD7" s="650"/>
      <c r="AE7" s="650"/>
      <c r="AF7" s="650" t="s">
        <v>5</v>
      </c>
      <c r="AG7" s="650"/>
      <c r="AH7" s="650"/>
      <c r="AI7" s="369" t="s">
        <v>5</v>
      </c>
      <c r="AJ7" s="650"/>
      <c r="AK7" s="650"/>
      <c r="AL7" s="369" t="str">
        <f>+IF(U7="","",IF(U7&gt;=[11]PARÁMETROS!$D$5,"CUMPLE","NO CUMPLE"))</f>
        <v>CUMPLE</v>
      </c>
      <c r="AM7" s="144"/>
      <c r="AN7" s="112"/>
    </row>
    <row r="8" spans="1:42" s="79" customFormat="1" ht="100.5" thickBot="1" x14ac:dyDescent="0.3">
      <c r="A8" s="654"/>
      <c r="B8" s="145" t="s">
        <v>312</v>
      </c>
      <c r="C8" s="411"/>
      <c r="D8" s="146" t="str">
        <f>+IFERROR(INDEX([11]CONSOLIDADO!$D$4:$D$108,MATCH('EXP GEN. 25-32'!B8,[11]CONSOLIDADO!$C$4:$C$108,0)),"")</f>
        <v>JOYCO</v>
      </c>
      <c r="E8" s="147" t="s">
        <v>777</v>
      </c>
      <c r="F8" s="148" t="s">
        <v>782</v>
      </c>
      <c r="G8" s="370" t="s">
        <v>5</v>
      </c>
      <c r="H8" s="370" t="s">
        <v>5</v>
      </c>
      <c r="I8" s="150">
        <v>1</v>
      </c>
      <c r="J8" s="151">
        <v>38673</v>
      </c>
      <c r="K8" s="151">
        <v>39675</v>
      </c>
      <c r="L8" s="152">
        <f t="shared" si="0"/>
        <v>2008</v>
      </c>
      <c r="M8" s="153">
        <f>+IFERROR(INDEX([11]PARÁMETROS!$B$11:$B$37,MATCH(L8,[11]PARÁMETROS!$A$11:$A$37,0)),"")</f>
        <v>461500</v>
      </c>
      <c r="N8" s="154">
        <v>2205036734</v>
      </c>
      <c r="O8" s="155" t="s">
        <v>20</v>
      </c>
      <c r="P8" s="145" t="s">
        <v>54</v>
      </c>
      <c r="Q8" s="156" t="s">
        <v>54</v>
      </c>
      <c r="R8" s="157">
        <v>1</v>
      </c>
      <c r="S8" s="153">
        <f t="shared" si="1"/>
        <v>2205036734</v>
      </c>
      <c r="T8" s="158">
        <f t="shared" si="2"/>
        <v>4777.9777551462621</v>
      </c>
      <c r="U8" s="158">
        <f t="shared" si="3"/>
        <v>4777.9777551462621</v>
      </c>
      <c r="V8" s="190">
        <v>48</v>
      </c>
      <c r="W8" s="651" t="s">
        <v>5</v>
      </c>
      <c r="X8" s="651"/>
      <c r="Y8" s="651"/>
      <c r="Z8" s="651" t="s">
        <v>5</v>
      </c>
      <c r="AA8" s="651"/>
      <c r="AB8" s="651"/>
      <c r="AC8" s="651"/>
      <c r="AD8" s="651"/>
      <c r="AE8" s="651"/>
      <c r="AF8" s="651" t="s">
        <v>5</v>
      </c>
      <c r="AG8" s="651"/>
      <c r="AH8" s="651"/>
      <c r="AI8" s="370" t="s">
        <v>5</v>
      </c>
      <c r="AJ8" s="651"/>
      <c r="AK8" s="651"/>
      <c r="AL8" s="370" t="str">
        <f>+IF(U8="","",IF(U8&gt;=[11]PARÁMETROS!$D$5,"CUMPLE","NO CUMPLE"))</f>
        <v>CUMPLE</v>
      </c>
      <c r="AM8" s="160"/>
      <c r="AN8" s="112"/>
    </row>
    <row r="9" spans="1:42" s="79" customFormat="1" ht="47.25" x14ac:dyDescent="0.25">
      <c r="A9" s="683" t="s">
        <v>783</v>
      </c>
      <c r="B9" s="113" t="s">
        <v>314</v>
      </c>
      <c r="C9" s="414">
        <v>22</v>
      </c>
      <c r="D9" s="114" t="str">
        <f>+IFERROR(INDEX([11]CONSOLIDADO!$D$4:$D$108,MATCH('EXP GEN. 25-32'!B9,[11]CONSOLIDADO!$C$4:$C$108,0)),"")</f>
        <v>INGEANDINA CONSULTORES DE INGENIERIA S.A.S.</v>
      </c>
      <c r="E9" s="115" t="s">
        <v>784</v>
      </c>
      <c r="F9" s="116" t="s">
        <v>785</v>
      </c>
      <c r="G9" s="376" t="s">
        <v>5</v>
      </c>
      <c r="H9" s="376" t="s">
        <v>5</v>
      </c>
      <c r="I9" s="117">
        <v>1</v>
      </c>
      <c r="J9" s="118">
        <v>38049</v>
      </c>
      <c r="K9" s="118">
        <v>40545</v>
      </c>
      <c r="L9" s="168">
        <f t="shared" si="0"/>
        <v>2011</v>
      </c>
      <c r="M9" s="119">
        <f>+IFERROR(INDEX([11]PARÁMETROS!$B$11:$B$37,MATCH(L9,[11]PARÁMETROS!$A$11:$A$37,0)),"")</f>
        <v>535600</v>
      </c>
      <c r="N9" s="120">
        <v>4478229438</v>
      </c>
      <c r="O9" s="265" t="s">
        <v>640</v>
      </c>
      <c r="P9" s="421">
        <v>2.1168008766057332E-3</v>
      </c>
      <c r="Q9" s="422">
        <f>+N9*P9</f>
        <v>9479520</v>
      </c>
      <c r="R9" s="422">
        <v>1913.98</v>
      </c>
      <c r="S9" s="284">
        <f>+Q9*R9</f>
        <v>18143611689.599998</v>
      </c>
      <c r="T9" s="123">
        <f t="shared" si="2"/>
        <v>33875.301884988796</v>
      </c>
      <c r="U9" s="123">
        <f t="shared" si="3"/>
        <v>33875.301884988796</v>
      </c>
      <c r="V9" s="423">
        <v>1</v>
      </c>
      <c r="W9" s="655" t="s">
        <v>5</v>
      </c>
      <c r="X9" s="655"/>
      <c r="Y9" s="655"/>
      <c r="Z9" s="655" t="s">
        <v>5</v>
      </c>
      <c r="AA9" s="655"/>
      <c r="AB9" s="655"/>
      <c r="AC9" s="682"/>
      <c r="AD9" s="682"/>
      <c r="AE9" s="682"/>
      <c r="AF9" s="655" t="s">
        <v>5</v>
      </c>
      <c r="AG9" s="655"/>
      <c r="AH9" s="655"/>
      <c r="AI9" s="371" t="s">
        <v>5</v>
      </c>
      <c r="AJ9" s="682" t="str">
        <f>IF(U9="","",IF(SUM(U9:U12)&gt;=[11]PARÁMETROS!$H$5,"CUMPLE","NO CUMPLE"))</f>
        <v>CUMPLE</v>
      </c>
      <c r="AK9" s="682" t="str">
        <f>IF(U9="","",IF((U9+U10)&gt;=[11]PARÁMETROS!$F$5,"CUMPLE","NO CUMPLE"))</f>
        <v>CUMPLE</v>
      </c>
      <c r="AL9" s="376" t="str">
        <f>+IF(U9="","",IF(U9&gt;=[11]PARÁMETROS!$D$5,"CUMPLE","NO CUMPLE"))</f>
        <v>CUMPLE</v>
      </c>
      <c r="AM9" s="175" t="s">
        <v>786</v>
      </c>
      <c r="AN9" s="112"/>
    </row>
    <row r="10" spans="1:42" s="79" customFormat="1" ht="47.25" x14ac:dyDescent="0.25">
      <c r="A10" s="653"/>
      <c r="B10" s="377" t="s">
        <v>314</v>
      </c>
      <c r="C10" s="409">
        <v>30</v>
      </c>
      <c r="D10" s="65" t="str">
        <f>+IFERROR(INDEX([11]CONSOLIDADO!$D$4:$D$108,MATCH('EXP GEN. 25-32'!B10,[11]CONSOLIDADO!$C$4:$C$108,0)),"")</f>
        <v>INGEANDINA CONSULTORES DE INGENIERIA S.A.S.</v>
      </c>
      <c r="E10" s="66" t="s">
        <v>784</v>
      </c>
      <c r="F10" s="67" t="s">
        <v>787</v>
      </c>
      <c r="G10" s="369" t="s">
        <v>5</v>
      </c>
      <c r="H10" s="369" t="s">
        <v>5</v>
      </c>
      <c r="I10" s="69">
        <v>0.25</v>
      </c>
      <c r="J10" s="70">
        <v>36363</v>
      </c>
      <c r="K10" s="70">
        <v>37843</v>
      </c>
      <c r="L10" s="71">
        <f t="shared" si="0"/>
        <v>2003</v>
      </c>
      <c r="M10" s="72">
        <f>+IFERROR(INDEX([11]PARÁMETROS!$B$11:$B$37,MATCH(L10,[11]PARÁMETROS!$A$11:$A$37,0)),"")</f>
        <v>332000</v>
      </c>
      <c r="N10" s="424">
        <v>6541364.1500000004</v>
      </c>
      <c r="O10" s="265" t="s">
        <v>730</v>
      </c>
      <c r="P10" s="422">
        <v>1</v>
      </c>
      <c r="Q10" s="422">
        <f>+N10</f>
        <v>6541364.1500000004</v>
      </c>
      <c r="R10" s="422">
        <v>2875.18</v>
      </c>
      <c r="S10" s="425">
        <f>+Q10*R10</f>
        <v>18807599376.797001</v>
      </c>
      <c r="T10" s="60">
        <f t="shared" si="2"/>
        <v>56649.395713243975</v>
      </c>
      <c r="U10" s="60">
        <f t="shared" si="3"/>
        <v>14162.348928310994</v>
      </c>
      <c r="V10" s="201">
        <v>3</v>
      </c>
      <c r="W10" s="650" t="s">
        <v>5</v>
      </c>
      <c r="X10" s="650"/>
      <c r="Y10" s="650"/>
      <c r="Z10" s="650" t="s">
        <v>5</v>
      </c>
      <c r="AA10" s="650"/>
      <c r="AB10" s="650"/>
      <c r="AC10" s="650"/>
      <c r="AD10" s="650"/>
      <c r="AE10" s="650"/>
      <c r="AF10" s="650" t="s">
        <v>5</v>
      </c>
      <c r="AG10" s="650"/>
      <c r="AH10" s="650"/>
      <c r="AI10" s="369" t="s">
        <v>5</v>
      </c>
      <c r="AJ10" s="650"/>
      <c r="AK10" s="650"/>
      <c r="AL10" s="369" t="str">
        <f>+IF(U10="","",IF(U10&gt;=[11]PARÁMETROS!$D$5,"CUMPLE","NO CUMPLE"))</f>
        <v>CUMPLE</v>
      </c>
      <c r="AM10" s="143"/>
      <c r="AN10" s="112"/>
    </row>
    <row r="11" spans="1:42" s="79" customFormat="1" ht="63" x14ac:dyDescent="0.25">
      <c r="A11" s="653"/>
      <c r="B11" s="377" t="s">
        <v>315</v>
      </c>
      <c r="C11" s="409">
        <v>38</v>
      </c>
      <c r="D11" s="65" t="str">
        <f>+IFERROR(INDEX([11]CONSOLIDADO!$D$4:$D$108,MATCH('EXP GEN. 25-32'!B11,[11]CONSOLIDADO!$C$4:$C$108,0)),"")</f>
        <v>APPLUS NORCONTROL CONSULTORIA E INGENIERIA S.A.S.</v>
      </c>
      <c r="E11" s="66" t="s">
        <v>788</v>
      </c>
      <c r="F11" s="67" t="s">
        <v>789</v>
      </c>
      <c r="G11" s="369" t="s">
        <v>5</v>
      </c>
      <c r="H11" s="369" t="s">
        <v>5</v>
      </c>
      <c r="I11" s="69">
        <v>1</v>
      </c>
      <c r="J11" s="70">
        <v>38322</v>
      </c>
      <c r="K11" s="70">
        <v>39233</v>
      </c>
      <c r="L11" s="71">
        <f t="shared" si="0"/>
        <v>2007</v>
      </c>
      <c r="M11" s="72">
        <f>+IFERROR(INDEX([11]PARÁMETROS!$B$11:$B$37,MATCH(L11,[11]PARÁMETROS!$A$11:$A$37,0)),"")</f>
        <v>433700</v>
      </c>
      <c r="N11" s="250">
        <v>911227.35</v>
      </c>
      <c r="O11" s="74" t="s">
        <v>24</v>
      </c>
      <c r="P11" s="426">
        <v>1.3436600000000001</v>
      </c>
      <c r="Q11" s="422">
        <f>+N11*P11</f>
        <v>1224379.741101</v>
      </c>
      <c r="R11" s="422">
        <v>1930.74</v>
      </c>
      <c r="S11" s="425">
        <f>+Q11*R11</f>
        <v>2363958941.3333449</v>
      </c>
      <c r="T11" s="60">
        <f t="shared" si="2"/>
        <v>5450.6777526708438</v>
      </c>
      <c r="U11" s="60">
        <f t="shared" si="3"/>
        <v>5450.6777526708438</v>
      </c>
      <c r="V11" s="201">
        <v>60</v>
      </c>
      <c r="W11" s="650" t="s">
        <v>6</v>
      </c>
      <c r="X11" s="650"/>
      <c r="Y11" s="650"/>
      <c r="Z11" s="650" t="s">
        <v>5</v>
      </c>
      <c r="AA11" s="650"/>
      <c r="AB11" s="650"/>
      <c r="AC11" s="650"/>
      <c r="AD11" s="650"/>
      <c r="AE11" s="650"/>
      <c r="AF11" s="650" t="s">
        <v>5</v>
      </c>
      <c r="AG11" s="650"/>
      <c r="AH11" s="650"/>
      <c r="AI11" s="369" t="s">
        <v>5</v>
      </c>
      <c r="AJ11" s="650"/>
      <c r="AK11" s="650"/>
      <c r="AL11" s="369" t="str">
        <f>+IF(U11="","",IF(U11&gt;=[11]PARÁMETROS!$D$5,"CUMPLE","NO CUMPLE"))</f>
        <v>CUMPLE</v>
      </c>
      <c r="AM11" s="143"/>
      <c r="AN11" s="112"/>
    </row>
    <row r="12" spans="1:42" s="79" customFormat="1" ht="63.75" thickBot="1" x14ac:dyDescent="0.3">
      <c r="A12" s="653"/>
      <c r="B12" s="377" t="s">
        <v>315</v>
      </c>
      <c r="C12" s="409">
        <v>44</v>
      </c>
      <c r="D12" s="65" t="str">
        <f>+IFERROR(INDEX([11]CONSOLIDADO!$D$4:$D$108,MATCH('EXP GEN. 25-32'!B12,[11]CONSOLIDADO!$C$4:$C$108,0)),"")</f>
        <v>APPLUS NORCONTROL CONSULTORIA E INGENIERIA S.A.S.</v>
      </c>
      <c r="E12" s="66" t="s">
        <v>790</v>
      </c>
      <c r="F12" s="67" t="s">
        <v>791</v>
      </c>
      <c r="G12" s="369" t="s">
        <v>5</v>
      </c>
      <c r="H12" s="369" t="s">
        <v>5</v>
      </c>
      <c r="I12" s="69">
        <v>0.5</v>
      </c>
      <c r="J12" s="70">
        <v>37469</v>
      </c>
      <c r="K12" s="70">
        <v>38533</v>
      </c>
      <c r="L12" s="71">
        <f t="shared" si="0"/>
        <v>2005</v>
      </c>
      <c r="M12" s="72">
        <f>+IFERROR(INDEX([11]PARÁMETROS!$B$11:$B$37,MATCH(L12,[11]PARÁMETROS!$A$11:$A$37,0)),"")</f>
        <v>381500</v>
      </c>
      <c r="N12" s="73">
        <v>1888598</v>
      </c>
      <c r="O12" s="155" t="s">
        <v>24</v>
      </c>
      <c r="P12" s="427">
        <v>1.2303999999999999</v>
      </c>
      <c r="Q12" s="428">
        <f>+N12*P12</f>
        <v>2323730.9791999999</v>
      </c>
      <c r="R12" s="428">
        <v>2331.81</v>
      </c>
      <c r="S12" s="425">
        <f>+Q12*R12</f>
        <v>5418499134.6083517</v>
      </c>
      <c r="T12" s="60">
        <f t="shared" si="2"/>
        <v>14203.143209982572</v>
      </c>
      <c r="U12" s="60">
        <f t="shared" si="3"/>
        <v>7101.5716049912862</v>
      </c>
      <c r="V12" s="201">
        <v>34</v>
      </c>
      <c r="W12" s="681" t="s">
        <v>5</v>
      </c>
      <c r="X12" s="681"/>
      <c r="Y12" s="681"/>
      <c r="Z12" s="681" t="s">
        <v>5</v>
      </c>
      <c r="AA12" s="681"/>
      <c r="AB12" s="681"/>
      <c r="AC12" s="650"/>
      <c r="AD12" s="650"/>
      <c r="AE12" s="650"/>
      <c r="AF12" s="681" t="s">
        <v>5</v>
      </c>
      <c r="AG12" s="681"/>
      <c r="AH12" s="681"/>
      <c r="AI12" s="375" t="s">
        <v>5</v>
      </c>
      <c r="AJ12" s="650"/>
      <c r="AK12" s="650"/>
      <c r="AL12" s="369" t="str">
        <f>+IF(U12="","",IF(U12&gt;=[11]PARÁMETROS!$D$5,"CUMPLE","NO CUMPLE"))</f>
        <v>CUMPLE</v>
      </c>
      <c r="AM12" s="143"/>
      <c r="AN12" s="112"/>
    </row>
    <row r="13" spans="1:42" s="79" customFormat="1" ht="57" x14ac:dyDescent="0.25">
      <c r="A13" s="652" t="s">
        <v>792</v>
      </c>
      <c r="B13" s="125" t="s">
        <v>316</v>
      </c>
      <c r="C13" s="408">
        <v>151</v>
      </c>
      <c r="D13" s="127" t="str">
        <f>+IFERROR(INDEX([11]CONSOLIDADO!$D$4:$D$108,MATCH('EXP GEN. 25-32'!B13,[11]CONSOLIDADO!$C$4:$C$108,0)),"")</f>
        <v>CONSTRUCTORA A &amp; C SOCIEDAD ANONIMA</v>
      </c>
      <c r="E13" s="128" t="s">
        <v>19</v>
      </c>
      <c r="F13" s="129" t="s">
        <v>793</v>
      </c>
      <c r="G13" s="368" t="s">
        <v>5</v>
      </c>
      <c r="H13" s="368" t="s">
        <v>5</v>
      </c>
      <c r="I13" s="131">
        <v>0.5</v>
      </c>
      <c r="J13" s="132">
        <v>39595</v>
      </c>
      <c r="K13" s="132" t="s">
        <v>678</v>
      </c>
      <c r="L13" s="133">
        <v>2015</v>
      </c>
      <c r="M13" s="134">
        <f>+IFERROR(INDEX([11]PARÁMETROS!$B$11:$B$37,MATCH(L13,[11]PARÁMETROS!$A$11:$A$37,0)),"")</f>
        <v>644350</v>
      </c>
      <c r="N13" s="135">
        <v>36074618420</v>
      </c>
      <c r="O13" s="265" t="s">
        <v>20</v>
      </c>
      <c r="P13" s="113" t="s">
        <v>54</v>
      </c>
      <c r="Q13" s="121" t="s">
        <v>54</v>
      </c>
      <c r="R13" s="122">
        <v>1</v>
      </c>
      <c r="S13" s="134">
        <f t="shared" si="1"/>
        <v>36074618420</v>
      </c>
      <c r="T13" s="139">
        <f t="shared" si="2"/>
        <v>55986.061022736088</v>
      </c>
      <c r="U13" s="139">
        <f t="shared" si="3"/>
        <v>27993.030511368044</v>
      </c>
      <c r="V13" s="200" t="s">
        <v>575</v>
      </c>
      <c r="W13" s="692" t="s">
        <v>6</v>
      </c>
      <c r="X13" s="693"/>
      <c r="Y13" s="694"/>
      <c r="Z13" s="692" t="s">
        <v>6</v>
      </c>
      <c r="AA13" s="693"/>
      <c r="AB13" s="694"/>
      <c r="AC13" s="649"/>
      <c r="AD13" s="649"/>
      <c r="AE13" s="649"/>
      <c r="AF13" s="649" t="s">
        <v>6</v>
      </c>
      <c r="AG13" s="649"/>
      <c r="AH13" s="649"/>
      <c r="AI13" s="368" t="s">
        <v>5</v>
      </c>
      <c r="AJ13" s="649" t="str">
        <f>IF(U13="","",IF(SUM(U13:U18)&gt;=[11]PARÁMETROS!$H$5,"CUMPLE","NO CUMPLE"))</f>
        <v>CUMPLE</v>
      </c>
      <c r="AK13" s="649" t="str">
        <f>IF(U13="","",IF(U13&gt;=[11]PARÁMETROS!$F$5,"CUMPLE","NO CUMPLE"))</f>
        <v>CUMPLE</v>
      </c>
      <c r="AL13" s="368" t="str">
        <f>+IF(U13="","",IF(U13&gt;=[11]PARÁMETROS!$D$5,"CUMPLE","NO CUMPLE"))</f>
        <v>CUMPLE</v>
      </c>
      <c r="AM13" s="142"/>
      <c r="AN13" s="112"/>
    </row>
    <row r="14" spans="1:42" s="79" customFormat="1" ht="71.25" x14ac:dyDescent="0.25">
      <c r="A14" s="653"/>
      <c r="B14" s="377" t="s">
        <v>318</v>
      </c>
      <c r="C14" s="409">
        <v>162</v>
      </c>
      <c r="D14" s="65" t="str">
        <f>+IFERROR(INDEX([11]CONSOLIDADO!$D$4:$D$108,MATCH('EXP GEN. 25-32'!B14,[11]CONSOLIDADO!$C$4:$C$108,0)),"")</f>
        <v>GERMAN BALLESTAS BERDEJO</v>
      </c>
      <c r="E14" s="66" t="s">
        <v>23</v>
      </c>
      <c r="F14" s="66" t="s">
        <v>794</v>
      </c>
      <c r="G14" s="369" t="s">
        <v>5</v>
      </c>
      <c r="H14" s="369" t="s">
        <v>5</v>
      </c>
      <c r="I14" s="80">
        <v>0.4</v>
      </c>
      <c r="J14" s="70">
        <v>39157</v>
      </c>
      <c r="K14" s="70">
        <v>39948</v>
      </c>
      <c r="L14" s="71">
        <f t="shared" si="0"/>
        <v>2009</v>
      </c>
      <c r="M14" s="72">
        <f>+IFERROR(INDEX([11]PARÁMETROS!$B$11:$B$37,MATCH(L14,[11]PARÁMETROS!$A$11:$A$37,0)),"")</f>
        <v>496900</v>
      </c>
      <c r="N14" s="81">
        <v>3056044919</v>
      </c>
      <c r="O14" s="265" t="s">
        <v>20</v>
      </c>
      <c r="P14" s="113" t="s">
        <v>54</v>
      </c>
      <c r="Q14" s="121" t="s">
        <v>54</v>
      </c>
      <c r="R14" s="122">
        <v>1</v>
      </c>
      <c r="S14" s="72">
        <f t="shared" si="1"/>
        <v>3056044919</v>
      </c>
      <c r="T14" s="60">
        <f t="shared" si="2"/>
        <v>6150.2212094988936</v>
      </c>
      <c r="U14" s="60">
        <f t="shared" si="3"/>
        <v>2460.0884837995577</v>
      </c>
      <c r="V14" s="201">
        <v>19</v>
      </c>
      <c r="W14" s="650" t="s">
        <v>6</v>
      </c>
      <c r="X14" s="650"/>
      <c r="Y14" s="650"/>
      <c r="Z14" s="650" t="s">
        <v>6</v>
      </c>
      <c r="AA14" s="650"/>
      <c r="AB14" s="650"/>
      <c r="AC14" s="650"/>
      <c r="AD14" s="650"/>
      <c r="AE14" s="650"/>
      <c r="AF14" s="650" t="s">
        <v>5</v>
      </c>
      <c r="AG14" s="650"/>
      <c r="AH14" s="650"/>
      <c r="AI14" s="369" t="s">
        <v>5</v>
      </c>
      <c r="AJ14" s="650"/>
      <c r="AK14" s="650"/>
      <c r="AL14" s="369" t="str">
        <f>+IF(U14="","",IF(U14&gt;=[11]PARÁMETROS!$D$5,"CUMPLE","NO CUMPLE"))</f>
        <v>CUMPLE</v>
      </c>
      <c r="AM14" s="143"/>
      <c r="AN14" s="112"/>
    </row>
    <row r="15" spans="1:42" s="79" customFormat="1" ht="57" x14ac:dyDescent="0.25">
      <c r="A15" s="653"/>
      <c r="B15" s="377" t="s">
        <v>317</v>
      </c>
      <c r="C15" s="409">
        <v>165</v>
      </c>
      <c r="D15" s="65" t="str">
        <f>+IFERROR(INDEX([11]CONSOLIDADO!$D$4:$D$108,MATCH('EXP GEN. 25-32'!B15,[11]CONSOLIDADO!$C$4:$C$108,0)),"")</f>
        <v>COPEBA LTDA</v>
      </c>
      <c r="E15" s="66" t="s">
        <v>777</v>
      </c>
      <c r="F15" s="67" t="s">
        <v>795</v>
      </c>
      <c r="G15" s="369" t="s">
        <v>5</v>
      </c>
      <c r="H15" s="369" t="s">
        <v>5</v>
      </c>
      <c r="I15" s="69">
        <v>0.75</v>
      </c>
      <c r="J15" s="70">
        <v>38681</v>
      </c>
      <c r="K15" s="70">
        <v>40083</v>
      </c>
      <c r="L15" s="71">
        <f t="shared" si="0"/>
        <v>2009</v>
      </c>
      <c r="M15" s="72">
        <f>+IFERROR(INDEX([11]PARÁMETROS!$B$11:$B$37,MATCH(L15,[11]PARÁMETROS!$A$11:$A$37,0)),"")</f>
        <v>496900</v>
      </c>
      <c r="N15" s="73">
        <v>2040507559</v>
      </c>
      <c r="O15" s="265" t="s">
        <v>20</v>
      </c>
      <c r="P15" s="113" t="s">
        <v>54</v>
      </c>
      <c r="Q15" s="121" t="s">
        <v>54</v>
      </c>
      <c r="R15" s="122">
        <v>1</v>
      </c>
      <c r="S15" s="72">
        <f t="shared" si="1"/>
        <v>2040507559</v>
      </c>
      <c r="T15" s="60">
        <f t="shared" si="2"/>
        <v>4106.4752646407724</v>
      </c>
      <c r="U15" s="60">
        <f t="shared" si="3"/>
        <v>3079.8564484805793</v>
      </c>
      <c r="V15" s="201">
        <v>16</v>
      </c>
      <c r="W15" s="650" t="s">
        <v>5</v>
      </c>
      <c r="X15" s="650"/>
      <c r="Y15" s="650"/>
      <c r="Z15" s="650" t="s">
        <v>5</v>
      </c>
      <c r="AA15" s="650"/>
      <c r="AB15" s="650"/>
      <c r="AC15" s="650"/>
      <c r="AD15" s="650"/>
      <c r="AE15" s="650"/>
      <c r="AF15" s="650" t="s">
        <v>5</v>
      </c>
      <c r="AG15" s="650"/>
      <c r="AH15" s="650"/>
      <c r="AI15" s="369" t="s">
        <v>5</v>
      </c>
      <c r="AJ15" s="650"/>
      <c r="AK15" s="650"/>
      <c r="AL15" s="369" t="str">
        <f>+IF(U15="","",IF(U15&gt;=[11]PARÁMETROS!$D$5,"CUMPLE","NO CUMPLE"))</f>
        <v>CUMPLE</v>
      </c>
      <c r="AM15" s="143"/>
      <c r="AN15" s="112"/>
    </row>
    <row r="16" spans="1:42" s="79" customFormat="1" ht="57" x14ac:dyDescent="0.25">
      <c r="A16" s="653"/>
      <c r="B16" s="377" t="s">
        <v>317</v>
      </c>
      <c r="C16" s="409">
        <v>171</v>
      </c>
      <c r="D16" s="65" t="str">
        <f>+IFERROR(INDEX([11]CONSOLIDADO!$D$4:$D$108,MATCH('EXP GEN. 25-32'!B16,[11]CONSOLIDADO!$C$4:$C$108,0)),"")</f>
        <v>COPEBA LTDA</v>
      </c>
      <c r="E16" s="66" t="s">
        <v>777</v>
      </c>
      <c r="F16" s="67" t="s">
        <v>796</v>
      </c>
      <c r="G16" s="369" t="s">
        <v>5</v>
      </c>
      <c r="H16" s="369" t="s">
        <v>5</v>
      </c>
      <c r="I16" s="69">
        <v>0.9</v>
      </c>
      <c r="J16" s="70">
        <v>39770</v>
      </c>
      <c r="K16" s="70">
        <v>40711</v>
      </c>
      <c r="L16" s="71">
        <f t="shared" si="0"/>
        <v>2011</v>
      </c>
      <c r="M16" s="72">
        <f>+IFERROR(INDEX([11]PARÁMETROS!$B$11:$B$37,MATCH(L16,[11]PARÁMETROS!$A$11:$A$37,0)),"")</f>
        <v>535600</v>
      </c>
      <c r="N16" s="73">
        <v>2159192501</v>
      </c>
      <c r="O16" s="265" t="s">
        <v>20</v>
      </c>
      <c r="P16" s="113" t="s">
        <v>54</v>
      </c>
      <c r="Q16" s="121" t="s">
        <v>54</v>
      </c>
      <c r="R16" s="122">
        <v>1</v>
      </c>
      <c r="S16" s="72">
        <f t="shared" si="1"/>
        <v>2159192501</v>
      </c>
      <c r="T16" s="60">
        <f t="shared" si="2"/>
        <v>4031.3526904406272</v>
      </c>
      <c r="U16" s="60">
        <f t="shared" si="3"/>
        <v>3628.2174213965645</v>
      </c>
      <c r="V16" s="201">
        <v>22</v>
      </c>
      <c r="W16" s="650" t="s">
        <v>5</v>
      </c>
      <c r="X16" s="650"/>
      <c r="Y16" s="650"/>
      <c r="Z16" s="650" t="s">
        <v>5</v>
      </c>
      <c r="AA16" s="650"/>
      <c r="AB16" s="650"/>
      <c r="AC16" s="650"/>
      <c r="AD16" s="650"/>
      <c r="AE16" s="650"/>
      <c r="AF16" s="650" t="s">
        <v>5</v>
      </c>
      <c r="AG16" s="650"/>
      <c r="AH16" s="650"/>
      <c r="AI16" s="369" t="s">
        <v>5</v>
      </c>
      <c r="AJ16" s="650"/>
      <c r="AK16" s="650"/>
      <c r="AL16" s="369" t="str">
        <f>+IF(U16="","",IF(U16&gt;=[11]PARÁMETROS!$D$5,"CUMPLE","NO CUMPLE"))</f>
        <v>CUMPLE</v>
      </c>
      <c r="AM16" s="143"/>
      <c r="AN16" s="112"/>
    </row>
    <row r="17" spans="1:40" s="79" customFormat="1" ht="42.75" x14ac:dyDescent="0.25">
      <c r="A17" s="653"/>
      <c r="B17" s="377" t="s">
        <v>317</v>
      </c>
      <c r="C17" s="409">
        <v>176</v>
      </c>
      <c r="D17" s="65" t="str">
        <f>+IFERROR(INDEX([11]CONSOLIDADO!$D$4:$D$108,MATCH('EXP GEN. 25-32'!B17,[11]CONSOLIDADO!$C$4:$C$108,0)),"")</f>
        <v>COPEBA LTDA</v>
      </c>
      <c r="E17" s="66" t="s">
        <v>777</v>
      </c>
      <c r="F17" s="67" t="s">
        <v>797</v>
      </c>
      <c r="G17" s="369" t="s">
        <v>5</v>
      </c>
      <c r="H17" s="369" t="s">
        <v>5</v>
      </c>
      <c r="I17" s="69">
        <v>1</v>
      </c>
      <c r="J17" s="70">
        <v>37995</v>
      </c>
      <c r="K17" s="70">
        <v>38883</v>
      </c>
      <c r="L17" s="71">
        <f t="shared" si="0"/>
        <v>2006</v>
      </c>
      <c r="M17" s="72">
        <f>+IFERROR(INDEX([11]PARÁMETROS!$B$11:$B$37,MATCH(L17,[11]PARÁMETROS!$A$11:$A$37,0)),"")</f>
        <v>408000</v>
      </c>
      <c r="N17" s="73">
        <v>1167976336</v>
      </c>
      <c r="O17" s="265" t="s">
        <v>20</v>
      </c>
      <c r="P17" s="113" t="s">
        <v>54</v>
      </c>
      <c r="Q17" s="121" t="s">
        <v>54</v>
      </c>
      <c r="R17" s="122">
        <v>1</v>
      </c>
      <c r="S17" s="72">
        <f t="shared" si="1"/>
        <v>1167976336</v>
      </c>
      <c r="T17" s="60">
        <f t="shared" si="2"/>
        <v>2862.6870980392155</v>
      </c>
      <c r="U17" s="60">
        <f t="shared" si="3"/>
        <v>2862.6870980392155</v>
      </c>
      <c r="V17" s="201">
        <v>15</v>
      </c>
      <c r="W17" s="650" t="s">
        <v>5</v>
      </c>
      <c r="X17" s="650"/>
      <c r="Y17" s="650"/>
      <c r="Z17" s="650" t="s">
        <v>5</v>
      </c>
      <c r="AA17" s="650"/>
      <c r="AB17" s="650"/>
      <c r="AC17" s="650"/>
      <c r="AD17" s="650"/>
      <c r="AE17" s="650"/>
      <c r="AF17" s="650" t="s">
        <v>5</v>
      </c>
      <c r="AG17" s="650"/>
      <c r="AH17" s="650"/>
      <c r="AI17" s="369" t="s">
        <v>5</v>
      </c>
      <c r="AJ17" s="650"/>
      <c r="AK17" s="650"/>
      <c r="AL17" s="369" t="str">
        <f>+IF(U17="","",IF(U17&gt;=[11]PARÁMETROS!$D$5,"CUMPLE","NO CUMPLE"))</f>
        <v>CUMPLE</v>
      </c>
      <c r="AM17" s="143"/>
      <c r="AN17" s="112"/>
    </row>
    <row r="18" spans="1:40" s="79" customFormat="1" ht="57.75" thickBot="1" x14ac:dyDescent="0.3">
      <c r="A18" s="654"/>
      <c r="B18" s="145" t="s">
        <v>317</v>
      </c>
      <c r="C18" s="411">
        <v>185</v>
      </c>
      <c r="D18" s="146" t="str">
        <f>+IFERROR(INDEX([11]CONSOLIDADO!$D$4:$D$108,MATCH('EXP GEN. 25-32'!B18,[11]CONSOLIDADO!$C$4:$C$108,0)),"")</f>
        <v>COPEBA LTDA</v>
      </c>
      <c r="E18" s="66" t="s">
        <v>777</v>
      </c>
      <c r="F18" s="148" t="s">
        <v>798</v>
      </c>
      <c r="G18" s="370" t="s">
        <v>5</v>
      </c>
      <c r="H18" s="370" t="s">
        <v>5</v>
      </c>
      <c r="I18" s="150">
        <v>1</v>
      </c>
      <c r="J18" s="151">
        <v>39847</v>
      </c>
      <c r="K18" s="151">
        <v>40286</v>
      </c>
      <c r="L18" s="152">
        <f t="shared" si="0"/>
        <v>2010</v>
      </c>
      <c r="M18" s="153">
        <f>+IFERROR(INDEX([11]PARÁMETROS!$B$11:$B$37,MATCH(L18,[11]PARÁMETROS!$A$11:$A$37,0)),"")</f>
        <v>515000</v>
      </c>
      <c r="N18" s="154">
        <v>874532190</v>
      </c>
      <c r="O18" s="265" t="s">
        <v>20</v>
      </c>
      <c r="P18" s="145" t="s">
        <v>54</v>
      </c>
      <c r="Q18" s="156" t="s">
        <v>54</v>
      </c>
      <c r="R18" s="157">
        <v>1</v>
      </c>
      <c r="S18" s="153">
        <f>IF(R18&lt;&gt;"",N18*R18,"")</f>
        <v>874532190</v>
      </c>
      <c r="T18" s="158">
        <f t="shared" si="2"/>
        <v>1698.1207572815533</v>
      </c>
      <c r="U18" s="158">
        <f t="shared" si="3"/>
        <v>1698.1207572815533</v>
      </c>
      <c r="V18" s="190">
        <v>26</v>
      </c>
      <c r="W18" s="650" t="s">
        <v>5</v>
      </c>
      <c r="X18" s="650"/>
      <c r="Y18" s="650"/>
      <c r="Z18" s="650" t="s">
        <v>5</v>
      </c>
      <c r="AA18" s="650"/>
      <c r="AB18" s="650"/>
      <c r="AC18" s="650"/>
      <c r="AD18" s="650"/>
      <c r="AE18" s="650"/>
      <c r="AF18" s="650" t="s">
        <v>5</v>
      </c>
      <c r="AG18" s="650"/>
      <c r="AH18" s="650"/>
      <c r="AI18" s="370" t="s">
        <v>5</v>
      </c>
      <c r="AJ18" s="651"/>
      <c r="AK18" s="651"/>
      <c r="AL18" s="370" t="str">
        <f>+IF(U18="","",IF(U18&gt;=[11]PARÁMETROS!$D$5,"CUMPLE","NO CUMPLE"))</f>
        <v>NO CUMPLE</v>
      </c>
      <c r="AM18" s="160"/>
      <c r="AN18" s="112"/>
    </row>
    <row r="19" spans="1:40" s="79" customFormat="1" ht="63" x14ac:dyDescent="0.25">
      <c r="A19" s="652" t="s">
        <v>799</v>
      </c>
      <c r="B19" s="125" t="s">
        <v>319</v>
      </c>
      <c r="C19" s="408">
        <v>198</v>
      </c>
      <c r="D19" s="127" t="str">
        <f>+IFERROR(INDEX([11]CONSOLIDADO!$D$4:$D$108,MATCH('EXP GEN. 25-32'!B19,[11]CONSOLIDADO!$C$4:$C$108,0)),"")</f>
        <v>AYESA COLOMBIA INGENIERIA Y ARQUITECTURA S.A.S.</v>
      </c>
      <c r="E19" s="128" t="s">
        <v>800</v>
      </c>
      <c r="F19" s="129" t="s">
        <v>801</v>
      </c>
      <c r="G19" s="368" t="s">
        <v>5</v>
      </c>
      <c r="H19" s="368" t="s">
        <v>5</v>
      </c>
      <c r="I19" s="131">
        <v>1</v>
      </c>
      <c r="J19" s="132">
        <v>37591</v>
      </c>
      <c r="K19" s="132">
        <v>40117</v>
      </c>
      <c r="L19" s="133">
        <f t="shared" si="0"/>
        <v>2009</v>
      </c>
      <c r="M19" s="134">
        <f>+IFERROR(INDEX([11]PARÁMETROS!$B$11:$B$37,MATCH(L19,[11]PARÁMETROS!$A$11:$A$37,0)),"")</f>
        <v>496900</v>
      </c>
      <c r="N19" s="249">
        <f>3847834.36+458292.09</f>
        <v>4306126.45</v>
      </c>
      <c r="O19" s="136" t="s">
        <v>24</v>
      </c>
      <c r="P19" s="429">
        <v>1.48045</v>
      </c>
      <c r="Q19" s="422">
        <f>+N19*P19</f>
        <v>6375004.9029025007</v>
      </c>
      <c r="R19" s="422">
        <v>2004.37</v>
      </c>
      <c r="S19" s="425">
        <f>+Q19*R19</f>
        <v>12777868577.230684</v>
      </c>
      <c r="T19" s="139">
        <f t="shared" si="2"/>
        <v>25715.171216000574</v>
      </c>
      <c r="U19" s="139">
        <f t="shared" si="3"/>
        <v>25715.171216000574</v>
      </c>
      <c r="V19" s="200">
        <v>2</v>
      </c>
      <c r="W19" s="679" t="s">
        <v>5</v>
      </c>
      <c r="X19" s="679"/>
      <c r="Y19" s="679"/>
      <c r="Z19" s="649" t="s">
        <v>5</v>
      </c>
      <c r="AA19" s="649"/>
      <c r="AB19" s="649"/>
      <c r="AC19" s="649"/>
      <c r="AD19" s="649"/>
      <c r="AE19" s="649"/>
      <c r="AF19" s="649" t="s">
        <v>5</v>
      </c>
      <c r="AG19" s="649"/>
      <c r="AH19" s="649"/>
      <c r="AI19" s="368" t="s">
        <v>5</v>
      </c>
      <c r="AJ19" s="649" t="str">
        <f>IF(U19="","",IF(SUM(U19:U23)&gt;=[11]PARÁMETROS!$H$5,"CUMPLE","NO CUMPLE"))</f>
        <v>CUMPLE</v>
      </c>
      <c r="AK19" s="649" t="str">
        <f>IF(U19="","",IF(U19&gt;=[11]PARÁMETROS!$F$5,"CUMPLE","NO CUMPLE"))</f>
        <v>CUMPLE</v>
      </c>
      <c r="AL19" s="368" t="str">
        <f>+IF(U19="","",IF(U19&gt;=[11]PARÁMETROS!$D$5,"CUMPLE","NO CUMPLE"))</f>
        <v>CUMPLE</v>
      </c>
      <c r="AM19" s="142"/>
      <c r="AN19" s="112"/>
    </row>
    <row r="20" spans="1:40" s="79" customFormat="1" ht="57" x14ac:dyDescent="0.25">
      <c r="A20" s="653"/>
      <c r="B20" s="377" t="s">
        <v>320</v>
      </c>
      <c r="C20" s="409">
        <v>207</v>
      </c>
      <c r="D20" s="65" t="str">
        <f>+IFERROR(INDEX([11]CONSOLIDADO!$D$4:$D$108,MATCH('EXP GEN. 25-32'!B20,[11]CONSOLIDADO!$C$4:$C$108,0)),"")</f>
        <v>INTERSA S.A.</v>
      </c>
      <c r="E20" s="66" t="s">
        <v>19</v>
      </c>
      <c r="F20" s="67" t="s">
        <v>802</v>
      </c>
      <c r="G20" s="369" t="s">
        <v>5</v>
      </c>
      <c r="H20" s="369" t="s">
        <v>5</v>
      </c>
      <c r="I20" s="69">
        <v>0.5</v>
      </c>
      <c r="J20" s="70">
        <v>38772</v>
      </c>
      <c r="K20" s="70">
        <v>40656</v>
      </c>
      <c r="L20" s="71">
        <f t="shared" si="0"/>
        <v>2011</v>
      </c>
      <c r="M20" s="72">
        <f>+IFERROR(INDEX([11]PARÁMETROS!$B$11:$B$37,MATCH(L20,[11]PARÁMETROS!$A$11:$A$37,0)),"")</f>
        <v>535600</v>
      </c>
      <c r="N20" s="73">
        <f>2886786280+115909520+305088445+1344646519+141603092</f>
        <v>4794033856</v>
      </c>
      <c r="O20" s="265" t="s">
        <v>20</v>
      </c>
      <c r="P20" s="377" t="s">
        <v>54</v>
      </c>
      <c r="Q20" s="121" t="s">
        <v>54</v>
      </c>
      <c r="R20" s="122">
        <v>1</v>
      </c>
      <c r="S20" s="72">
        <f t="shared" si="1"/>
        <v>4794033856</v>
      </c>
      <c r="T20" s="60">
        <f t="shared" si="2"/>
        <v>8950.7726960418222</v>
      </c>
      <c r="U20" s="60">
        <f t="shared" si="3"/>
        <v>4475.3863480209111</v>
      </c>
      <c r="V20" s="201">
        <v>21</v>
      </c>
      <c r="W20" s="650" t="s">
        <v>5</v>
      </c>
      <c r="X20" s="650"/>
      <c r="Y20" s="650"/>
      <c r="Z20" s="650" t="s">
        <v>5</v>
      </c>
      <c r="AA20" s="650"/>
      <c r="AB20" s="650"/>
      <c r="AC20" s="650"/>
      <c r="AD20" s="650"/>
      <c r="AE20" s="650"/>
      <c r="AF20" s="650" t="s">
        <v>5</v>
      </c>
      <c r="AG20" s="650"/>
      <c r="AH20" s="650"/>
      <c r="AI20" s="369" t="s">
        <v>5</v>
      </c>
      <c r="AJ20" s="650"/>
      <c r="AK20" s="650"/>
      <c r="AL20" s="369" t="str">
        <f>+IF(U20="","",IF(U20&gt;=[11]PARÁMETROS!$D$5,"CUMPLE","NO CUMPLE"))</f>
        <v>CUMPLE</v>
      </c>
      <c r="AM20" s="143"/>
      <c r="AN20" s="112"/>
    </row>
    <row r="21" spans="1:40" s="79" customFormat="1" ht="57" x14ac:dyDescent="0.25">
      <c r="A21" s="653"/>
      <c r="B21" s="377" t="s">
        <v>320</v>
      </c>
      <c r="C21" s="409">
        <v>212</v>
      </c>
      <c r="D21" s="65" t="str">
        <f>+IFERROR(INDEX([11]CONSOLIDADO!$D$4:$D$108,MATCH('EXP GEN. 25-32'!B21,[11]CONSOLIDADO!$C$4:$C$108,0)),"")</f>
        <v>INTERSA S.A.</v>
      </c>
      <c r="E21" s="66" t="s">
        <v>777</v>
      </c>
      <c r="F21" s="67" t="s">
        <v>803</v>
      </c>
      <c r="G21" s="369" t="s">
        <v>5</v>
      </c>
      <c r="H21" s="369" t="s">
        <v>5</v>
      </c>
      <c r="I21" s="69">
        <v>0.75</v>
      </c>
      <c r="J21" s="70">
        <v>37308</v>
      </c>
      <c r="K21" s="70">
        <v>37986</v>
      </c>
      <c r="L21" s="71">
        <f t="shared" si="0"/>
        <v>2003</v>
      </c>
      <c r="M21" s="72">
        <f>+IFERROR(INDEX([11]PARÁMETROS!$B$11:$B$37,MATCH(L21,[11]PARÁMETROS!$A$11:$A$37,0)),"")</f>
        <v>332000</v>
      </c>
      <c r="N21" s="73">
        <v>1335742560</v>
      </c>
      <c r="O21" s="265" t="s">
        <v>20</v>
      </c>
      <c r="P21" s="113" t="s">
        <v>54</v>
      </c>
      <c r="Q21" s="121" t="s">
        <v>54</v>
      </c>
      <c r="R21" s="122">
        <v>1</v>
      </c>
      <c r="S21" s="72">
        <f t="shared" si="1"/>
        <v>1335742560</v>
      </c>
      <c r="T21" s="60">
        <f t="shared" si="2"/>
        <v>4023.3209638554217</v>
      </c>
      <c r="U21" s="60">
        <f t="shared" si="3"/>
        <v>3017.4907228915663</v>
      </c>
      <c r="V21" s="201">
        <v>35</v>
      </c>
      <c r="W21" s="650" t="s">
        <v>6</v>
      </c>
      <c r="X21" s="650"/>
      <c r="Y21" s="650"/>
      <c r="Z21" s="650" t="s">
        <v>5</v>
      </c>
      <c r="AA21" s="650"/>
      <c r="AB21" s="650"/>
      <c r="AC21" s="650"/>
      <c r="AD21" s="650"/>
      <c r="AE21" s="650"/>
      <c r="AF21" s="650" t="s">
        <v>5</v>
      </c>
      <c r="AG21" s="650"/>
      <c r="AH21" s="650"/>
      <c r="AI21" s="369" t="s">
        <v>5</v>
      </c>
      <c r="AJ21" s="650"/>
      <c r="AK21" s="650"/>
      <c r="AL21" s="369" t="str">
        <f>+IF(U21="","",IF(U21&gt;=[11]PARÁMETROS!$D$5,"CUMPLE","NO CUMPLE"))</f>
        <v>CUMPLE</v>
      </c>
      <c r="AM21" s="143"/>
      <c r="AN21" s="112"/>
    </row>
    <row r="22" spans="1:40" s="79" customFormat="1" ht="78.75" customHeight="1" x14ac:dyDescent="0.25">
      <c r="A22" s="653"/>
      <c r="B22" s="377" t="s">
        <v>320</v>
      </c>
      <c r="C22" s="409">
        <v>217</v>
      </c>
      <c r="D22" s="65" t="str">
        <f>+IFERROR(INDEX([11]CONSOLIDADO!$D$4:$D$108,MATCH('EXP GEN. 25-32'!B22,[11]CONSOLIDADO!$C$4:$C$108,0)),"")</f>
        <v>INTERSA S.A.</v>
      </c>
      <c r="E22" s="66" t="s">
        <v>777</v>
      </c>
      <c r="F22" s="67" t="s">
        <v>804</v>
      </c>
      <c r="G22" s="369" t="s">
        <v>5</v>
      </c>
      <c r="H22" s="369" t="s">
        <v>5</v>
      </c>
      <c r="I22" s="69">
        <v>1</v>
      </c>
      <c r="J22" s="70">
        <v>36992</v>
      </c>
      <c r="K22" s="70">
        <v>37539</v>
      </c>
      <c r="L22" s="71">
        <f t="shared" si="0"/>
        <v>2002</v>
      </c>
      <c r="M22" s="72">
        <f>+IFERROR(INDEX([11]PARÁMETROS!$B$11:$B$37,MATCH(L22,[11]PARÁMETROS!$A$11:$A$37,0)),"")</f>
        <v>309000</v>
      </c>
      <c r="N22" s="73">
        <v>999929000</v>
      </c>
      <c r="O22" s="265" t="s">
        <v>20</v>
      </c>
      <c r="P22" s="113" t="s">
        <v>54</v>
      </c>
      <c r="Q22" s="121" t="s">
        <v>54</v>
      </c>
      <c r="R22" s="122">
        <v>1</v>
      </c>
      <c r="S22" s="72">
        <f t="shared" si="1"/>
        <v>999929000</v>
      </c>
      <c r="T22" s="60">
        <f t="shared" si="2"/>
        <v>3236.0161812297733</v>
      </c>
      <c r="U22" s="60">
        <f t="shared" si="3"/>
        <v>3236.0161812297733</v>
      </c>
      <c r="V22" s="201">
        <v>44</v>
      </c>
      <c r="W22" s="650" t="s">
        <v>6</v>
      </c>
      <c r="X22" s="650"/>
      <c r="Y22" s="650"/>
      <c r="Z22" s="650" t="s">
        <v>5</v>
      </c>
      <c r="AA22" s="650"/>
      <c r="AB22" s="650"/>
      <c r="AC22" s="650"/>
      <c r="AD22" s="650"/>
      <c r="AE22" s="650"/>
      <c r="AF22" s="650" t="s">
        <v>5</v>
      </c>
      <c r="AG22" s="650"/>
      <c r="AH22" s="650"/>
      <c r="AI22" s="369" t="s">
        <v>5</v>
      </c>
      <c r="AJ22" s="650"/>
      <c r="AK22" s="650"/>
      <c r="AL22" s="369" t="str">
        <f>+IF(U22="","",IF(U22&gt;=[11]PARÁMETROS!$D$5,"CUMPLE","NO CUMPLE"))</f>
        <v>CUMPLE</v>
      </c>
      <c r="AM22" s="143"/>
      <c r="AN22" s="112"/>
    </row>
    <row r="23" spans="1:40" s="79" customFormat="1" ht="57.75" thickBot="1" x14ac:dyDescent="0.3">
      <c r="A23" s="653"/>
      <c r="B23" s="377" t="s">
        <v>320</v>
      </c>
      <c r="C23" s="409">
        <v>221</v>
      </c>
      <c r="D23" s="65" t="str">
        <f>+IFERROR(INDEX([11]CONSOLIDADO!$D$4:$D$108,MATCH('EXP GEN. 25-32'!B23,[11]CONSOLIDADO!$C$4:$C$108,0)),"")</f>
        <v>INTERSA S.A.</v>
      </c>
      <c r="E23" s="66" t="s">
        <v>23</v>
      </c>
      <c r="F23" s="67" t="s">
        <v>805</v>
      </c>
      <c r="G23" s="369" t="s">
        <v>5</v>
      </c>
      <c r="H23" s="369" t="s">
        <v>5</v>
      </c>
      <c r="I23" s="69">
        <v>0.4</v>
      </c>
      <c r="J23" s="70">
        <v>37432</v>
      </c>
      <c r="K23" s="70">
        <v>38352</v>
      </c>
      <c r="L23" s="71">
        <f t="shared" si="0"/>
        <v>2004</v>
      </c>
      <c r="M23" s="72">
        <f>+IFERROR(INDEX([11]PARÁMETROS!$B$11:$B$37,MATCH(L23,[11]PARÁMETROS!$A$11:$A$37,0)),"")</f>
        <v>358000</v>
      </c>
      <c r="N23" s="73">
        <v>2381707955</v>
      </c>
      <c r="O23" s="74" t="s">
        <v>20</v>
      </c>
      <c r="P23" s="377" t="s">
        <v>54</v>
      </c>
      <c r="Q23" s="75" t="s">
        <v>54</v>
      </c>
      <c r="R23" s="76">
        <v>1</v>
      </c>
      <c r="S23" s="72">
        <f t="shared" si="1"/>
        <v>2381707955</v>
      </c>
      <c r="T23" s="60">
        <f t="shared" si="2"/>
        <v>6652.815516759777</v>
      </c>
      <c r="U23" s="60">
        <f t="shared" si="3"/>
        <v>2661.1262067039111</v>
      </c>
      <c r="V23" s="201">
        <v>27</v>
      </c>
      <c r="W23" s="650" t="s">
        <v>6</v>
      </c>
      <c r="X23" s="650"/>
      <c r="Y23" s="650"/>
      <c r="Z23" s="650" t="s">
        <v>5</v>
      </c>
      <c r="AA23" s="650"/>
      <c r="AB23" s="650"/>
      <c r="AC23" s="650"/>
      <c r="AD23" s="650"/>
      <c r="AE23" s="650"/>
      <c r="AF23" s="650" t="s">
        <v>5</v>
      </c>
      <c r="AG23" s="650"/>
      <c r="AH23" s="650"/>
      <c r="AI23" s="369" t="s">
        <v>5</v>
      </c>
      <c r="AJ23" s="650"/>
      <c r="AK23" s="650"/>
      <c r="AL23" s="369" t="str">
        <f>+IF(U23="","",IF(U23&gt;=[11]PARÁMETROS!$D$5,"CUMPLE","NO CUMPLE"))</f>
        <v>CUMPLE</v>
      </c>
      <c r="AM23" s="143"/>
      <c r="AN23" s="112"/>
    </row>
    <row r="24" spans="1:40" s="79" customFormat="1" ht="63" x14ac:dyDescent="0.25">
      <c r="A24" s="652" t="s">
        <v>806</v>
      </c>
      <c r="B24" s="125" t="s">
        <v>321</v>
      </c>
      <c r="C24" s="408">
        <v>269</v>
      </c>
      <c r="D24" s="127" t="str">
        <f>+IFERROR(INDEX([11]CONSOLIDADO!$D$4:$D$108,MATCH('EXP GEN. 25-32'!B24,[11]CONSOLIDADO!$C$4:$C$108,0)),"")</f>
        <v>PROYECTOS CONSTRUCCIONES CIVILES Y VIALES LIMITADA</v>
      </c>
      <c r="E24" s="128" t="s">
        <v>777</v>
      </c>
      <c r="F24" s="129" t="s">
        <v>807</v>
      </c>
      <c r="G24" s="368" t="s">
        <v>5</v>
      </c>
      <c r="H24" s="368" t="s">
        <v>5</v>
      </c>
      <c r="I24" s="131">
        <v>0.5</v>
      </c>
      <c r="J24" s="132">
        <v>35076</v>
      </c>
      <c r="K24" s="132">
        <v>35881</v>
      </c>
      <c r="L24" s="133">
        <f t="shared" si="0"/>
        <v>1998</v>
      </c>
      <c r="M24" s="134">
        <f>+IFERROR(INDEX([11]PARÁMETROS!$B$11:$B$37,MATCH(L24,[11]PARÁMETROS!$A$11:$A$37,0)),"")</f>
        <v>203826</v>
      </c>
      <c r="N24" s="135">
        <v>1603996630</v>
      </c>
      <c r="O24" s="136" t="s">
        <v>20</v>
      </c>
      <c r="P24" s="125" t="s">
        <v>54</v>
      </c>
      <c r="Q24" s="137" t="s">
        <v>54</v>
      </c>
      <c r="R24" s="138">
        <v>1</v>
      </c>
      <c r="S24" s="134">
        <f t="shared" si="1"/>
        <v>1603996630</v>
      </c>
      <c r="T24" s="139">
        <f t="shared" si="2"/>
        <v>7869.4407484815483</v>
      </c>
      <c r="U24" s="139">
        <f t="shared" si="3"/>
        <v>3934.7203742407742</v>
      </c>
      <c r="V24" s="200">
        <v>101</v>
      </c>
      <c r="W24" s="649" t="s">
        <v>6</v>
      </c>
      <c r="X24" s="649"/>
      <c r="Y24" s="649"/>
      <c r="Z24" s="649" t="s">
        <v>5</v>
      </c>
      <c r="AA24" s="649"/>
      <c r="AB24" s="649"/>
      <c r="AC24" s="649"/>
      <c r="AD24" s="649"/>
      <c r="AE24" s="649"/>
      <c r="AF24" s="649" t="s">
        <v>5</v>
      </c>
      <c r="AG24" s="649"/>
      <c r="AH24" s="649"/>
      <c r="AI24" s="368" t="s">
        <v>5</v>
      </c>
      <c r="AJ24" s="649" t="str">
        <f>IF(U24="","",IF(SUM(U24:U29)&gt;=[11]PARÁMETROS!$H$5,"CUMPLE","NO CUMPLE"))</f>
        <v>CUMPLE</v>
      </c>
      <c r="AK24" s="649" t="str">
        <f>IF(U24="","",IF((U24+U25+U26)&gt;=[11]PARÁMETROS!$F$5,"CUMPLE","NO CUMPLE"))</f>
        <v>CUMPLE</v>
      </c>
      <c r="AL24" s="368" t="str">
        <f>+IF(U24="","",IF(U24&gt;=[11]PARÁMETROS!$D$5,"CUMPLE","NO CUMPLE"))</f>
        <v>CUMPLE</v>
      </c>
      <c r="AM24" s="142"/>
      <c r="AN24" s="112"/>
    </row>
    <row r="25" spans="1:40" s="79" customFormat="1" ht="63" x14ac:dyDescent="0.25">
      <c r="A25" s="653"/>
      <c r="B25" s="377" t="s">
        <v>321</v>
      </c>
      <c r="C25" s="409">
        <v>272</v>
      </c>
      <c r="D25" s="65" t="str">
        <f>+IFERROR(INDEX([11]CONSOLIDADO!$D$4:$D$108,MATCH('EXP GEN. 25-32'!B25,[11]CONSOLIDADO!$C$4:$C$108,0)),"")</f>
        <v>PROYECTOS CONSTRUCCIONES CIVILES Y VIALES LIMITADA</v>
      </c>
      <c r="E25" s="66" t="s">
        <v>777</v>
      </c>
      <c r="F25" s="67" t="s">
        <v>808</v>
      </c>
      <c r="G25" s="369" t="s">
        <v>5</v>
      </c>
      <c r="H25" s="369" t="s">
        <v>5</v>
      </c>
      <c r="I25" s="69">
        <v>0.75</v>
      </c>
      <c r="J25" s="70">
        <v>37411</v>
      </c>
      <c r="K25" s="70">
        <v>38518</v>
      </c>
      <c r="L25" s="71">
        <f t="shared" si="0"/>
        <v>2005</v>
      </c>
      <c r="M25" s="72">
        <f>+IFERROR(INDEX([11]PARÁMETROS!$B$11:$B$37,MATCH(L25,[11]PARÁMETROS!$A$11:$A$37,0)),"")</f>
        <v>381500</v>
      </c>
      <c r="N25" s="73">
        <v>2982660825.3299999</v>
      </c>
      <c r="O25" s="74" t="s">
        <v>20</v>
      </c>
      <c r="P25" s="377" t="s">
        <v>54</v>
      </c>
      <c r="Q25" s="75" t="s">
        <v>54</v>
      </c>
      <c r="R25" s="76">
        <v>1</v>
      </c>
      <c r="S25" s="72">
        <f t="shared" si="1"/>
        <v>2982660825.3299999</v>
      </c>
      <c r="T25" s="60">
        <f t="shared" si="2"/>
        <v>7818.2459379554384</v>
      </c>
      <c r="U25" s="60">
        <f t="shared" si="3"/>
        <v>5863.6844534665788</v>
      </c>
      <c r="V25" s="201">
        <v>130</v>
      </c>
      <c r="W25" s="650" t="s">
        <v>6</v>
      </c>
      <c r="X25" s="650"/>
      <c r="Y25" s="650"/>
      <c r="Z25" s="650" t="s">
        <v>5</v>
      </c>
      <c r="AA25" s="650"/>
      <c r="AB25" s="650"/>
      <c r="AC25" s="650"/>
      <c r="AD25" s="650"/>
      <c r="AE25" s="650"/>
      <c r="AF25" s="650" t="s">
        <v>5</v>
      </c>
      <c r="AG25" s="650"/>
      <c r="AH25" s="650"/>
      <c r="AI25" s="369" t="s">
        <v>5</v>
      </c>
      <c r="AJ25" s="650"/>
      <c r="AK25" s="650"/>
      <c r="AL25" s="369" t="str">
        <f>+IF(U25="","",IF(U25&gt;=[11]PARÁMETROS!$D$5,"CUMPLE","NO CUMPLE"))</f>
        <v>CUMPLE</v>
      </c>
      <c r="AM25" s="143"/>
      <c r="AN25" s="112"/>
    </row>
    <row r="26" spans="1:40" s="79" customFormat="1" ht="63" x14ac:dyDescent="0.25">
      <c r="A26" s="653"/>
      <c r="B26" s="377" t="s">
        <v>321</v>
      </c>
      <c r="C26" s="409">
        <v>317</v>
      </c>
      <c r="D26" s="65" t="str">
        <f>+IFERROR(INDEX([11]CONSOLIDADO!$D$4:$D$108,MATCH('EXP GEN. 25-32'!B26,[11]CONSOLIDADO!$C$4:$C$108,0)),"")</f>
        <v>PROYECTOS CONSTRUCCIONES CIVILES Y VIALES LIMITADA</v>
      </c>
      <c r="E26" s="66" t="s">
        <v>777</v>
      </c>
      <c r="F26" s="67" t="s">
        <v>809</v>
      </c>
      <c r="G26" s="369" t="s">
        <v>5</v>
      </c>
      <c r="H26" s="369" t="s">
        <v>5</v>
      </c>
      <c r="I26" s="83">
        <v>1</v>
      </c>
      <c r="J26" s="70">
        <v>32965</v>
      </c>
      <c r="K26" s="70">
        <v>35064</v>
      </c>
      <c r="L26" s="71">
        <f t="shared" si="0"/>
        <v>1995</v>
      </c>
      <c r="M26" s="72">
        <f>+IFERROR(INDEX([11]PARÁMETROS!$B$11:$B$37,MATCH(L26,[11]PARÁMETROS!$A$11:$A$37,0)),"")</f>
        <v>118933.5</v>
      </c>
      <c r="N26" s="73">
        <v>824463304</v>
      </c>
      <c r="O26" s="74" t="s">
        <v>20</v>
      </c>
      <c r="P26" s="377" t="s">
        <v>54</v>
      </c>
      <c r="Q26" s="75" t="s">
        <v>54</v>
      </c>
      <c r="R26" s="76">
        <v>1</v>
      </c>
      <c r="S26" s="72">
        <f t="shared" si="1"/>
        <v>824463304</v>
      </c>
      <c r="T26" s="60">
        <f t="shared" si="2"/>
        <v>6932.1369000323712</v>
      </c>
      <c r="U26" s="60">
        <f t="shared" si="3"/>
        <v>6932.1369000323712</v>
      </c>
      <c r="V26" s="201">
        <v>131</v>
      </c>
      <c r="W26" s="650" t="s">
        <v>6</v>
      </c>
      <c r="X26" s="650"/>
      <c r="Y26" s="650"/>
      <c r="Z26" s="650" t="s">
        <v>5</v>
      </c>
      <c r="AA26" s="650"/>
      <c r="AB26" s="650"/>
      <c r="AC26" s="650"/>
      <c r="AD26" s="650"/>
      <c r="AE26" s="650"/>
      <c r="AF26" s="650" t="s">
        <v>5</v>
      </c>
      <c r="AG26" s="650"/>
      <c r="AH26" s="650"/>
      <c r="AI26" s="369" t="s">
        <v>5</v>
      </c>
      <c r="AJ26" s="650"/>
      <c r="AK26" s="650"/>
      <c r="AL26" s="369" t="str">
        <f>+IF(U26="","",IF(U26&gt;=[11]PARÁMETROS!$D$5,"CUMPLE","NO CUMPLE"))</f>
        <v>CUMPLE</v>
      </c>
      <c r="AM26" s="174"/>
      <c r="AN26" s="112"/>
    </row>
    <row r="27" spans="1:40" s="88" customFormat="1" ht="99.75" x14ac:dyDescent="0.25">
      <c r="A27" s="653"/>
      <c r="B27" s="377" t="s">
        <v>322</v>
      </c>
      <c r="C27" s="409">
        <v>320</v>
      </c>
      <c r="D27" s="65" t="str">
        <f>+IFERROR(INDEX([11]CONSOLIDADO!$D$4:$D$108,MATCH('EXP GEN. 25-32'!B27,[11]CONSOLIDADO!$C$4:$C$108,0)),"")</f>
        <v>CAYCO S.A.S.</v>
      </c>
      <c r="E27" s="66" t="s">
        <v>23</v>
      </c>
      <c r="F27" s="67" t="s">
        <v>810</v>
      </c>
      <c r="G27" s="369" t="s">
        <v>5</v>
      </c>
      <c r="H27" s="369" t="s">
        <v>5</v>
      </c>
      <c r="I27" s="84">
        <v>0.1</v>
      </c>
      <c r="J27" s="85">
        <v>39615</v>
      </c>
      <c r="K27" s="86">
        <v>41152</v>
      </c>
      <c r="L27" s="71">
        <f t="shared" si="0"/>
        <v>2012</v>
      </c>
      <c r="M27" s="72">
        <f>+IFERROR(INDEX([11]PARÁMETROS!$B$11:$B$37,MATCH(L27,[11]PARÁMETROS!$A$11:$A$37,0)),"")</f>
        <v>566700</v>
      </c>
      <c r="N27" s="73">
        <v>19146251489</v>
      </c>
      <c r="O27" s="74" t="s">
        <v>20</v>
      </c>
      <c r="P27" s="74" t="s">
        <v>54</v>
      </c>
      <c r="Q27" s="74" t="s">
        <v>54</v>
      </c>
      <c r="R27" s="76">
        <v>1</v>
      </c>
      <c r="S27" s="72">
        <f t="shared" si="1"/>
        <v>19146251489</v>
      </c>
      <c r="T27" s="60">
        <f t="shared" si="2"/>
        <v>33785.515244397386</v>
      </c>
      <c r="U27" s="60">
        <f t="shared" si="3"/>
        <v>3378.5515244397388</v>
      </c>
      <c r="V27" s="289">
        <v>22</v>
      </c>
      <c r="W27" s="650" t="s">
        <v>5</v>
      </c>
      <c r="X27" s="650"/>
      <c r="Y27" s="650"/>
      <c r="Z27" s="650" t="s">
        <v>5</v>
      </c>
      <c r="AA27" s="650"/>
      <c r="AB27" s="650"/>
      <c r="AC27" s="650"/>
      <c r="AD27" s="650"/>
      <c r="AE27" s="650"/>
      <c r="AF27" s="650" t="s">
        <v>5</v>
      </c>
      <c r="AG27" s="650"/>
      <c r="AH27" s="650"/>
      <c r="AI27" s="369" t="s">
        <v>5</v>
      </c>
      <c r="AJ27" s="650"/>
      <c r="AK27" s="650"/>
      <c r="AL27" s="369" t="str">
        <f>+IF(U27="","",IF(U27&gt;=[11]PARÁMETROS!$D$5,"CUMPLE","NO CUMPLE"))</f>
        <v>CUMPLE</v>
      </c>
      <c r="AM27" s="143"/>
      <c r="AN27" s="166"/>
    </row>
    <row r="28" spans="1:40" s="79" customFormat="1" ht="85.5" x14ac:dyDescent="0.25">
      <c r="A28" s="653"/>
      <c r="B28" s="377" t="s">
        <v>322</v>
      </c>
      <c r="C28" s="409">
        <v>332</v>
      </c>
      <c r="D28" s="65" t="str">
        <f>+IFERROR(INDEX([11]CONSOLIDADO!$D$4:$D$108,MATCH('EXP GEN. 25-32'!B28,[11]CONSOLIDADO!$C$4:$C$108,0)),"")</f>
        <v>CAYCO S.A.S.</v>
      </c>
      <c r="E28" s="66" t="s">
        <v>777</v>
      </c>
      <c r="F28" s="67" t="s">
        <v>811</v>
      </c>
      <c r="G28" s="369" t="s">
        <v>5</v>
      </c>
      <c r="H28" s="369" t="s">
        <v>5</v>
      </c>
      <c r="I28" s="69">
        <v>0.23</v>
      </c>
      <c r="J28" s="70">
        <v>38650</v>
      </c>
      <c r="K28" s="70">
        <v>39808</v>
      </c>
      <c r="L28" s="71">
        <f t="shared" si="0"/>
        <v>2008</v>
      </c>
      <c r="M28" s="72">
        <f>+IFERROR(INDEX([11]PARÁMETROS!$B$11:$B$37,MATCH(L28,[11]PARÁMETROS!$A$11:$A$37,0)),"")</f>
        <v>461500</v>
      </c>
      <c r="N28" s="73">
        <v>1649106224</v>
      </c>
      <c r="O28" s="74" t="s">
        <v>20</v>
      </c>
      <c r="P28" s="377" t="s">
        <v>54</v>
      </c>
      <c r="Q28" s="75" t="s">
        <v>54</v>
      </c>
      <c r="R28" s="76">
        <v>1</v>
      </c>
      <c r="S28" s="72">
        <f t="shared" si="1"/>
        <v>1649106224</v>
      </c>
      <c r="T28" s="60">
        <f t="shared" si="2"/>
        <v>3573.3612654387866</v>
      </c>
      <c r="U28" s="60">
        <f t="shared" si="3"/>
        <v>821.87309105092095</v>
      </c>
      <c r="V28" s="201">
        <v>4</v>
      </c>
      <c r="W28" s="650" t="s">
        <v>5</v>
      </c>
      <c r="X28" s="650"/>
      <c r="Y28" s="650"/>
      <c r="Z28" s="650" t="s">
        <v>5</v>
      </c>
      <c r="AA28" s="650"/>
      <c r="AB28" s="650"/>
      <c r="AC28" s="650"/>
      <c r="AD28" s="650"/>
      <c r="AE28" s="650"/>
      <c r="AF28" s="650" t="s">
        <v>5</v>
      </c>
      <c r="AG28" s="650"/>
      <c r="AH28" s="650"/>
      <c r="AI28" s="369" t="s">
        <v>5</v>
      </c>
      <c r="AJ28" s="650"/>
      <c r="AK28" s="650"/>
      <c r="AL28" s="369" t="str">
        <f>+IF(U28="","",IF(U28&gt;=[11]PARÁMETROS!$D$5,"CUMPLE","NO CUMPLE"))</f>
        <v>NO CUMPLE</v>
      </c>
      <c r="AM28" s="143"/>
      <c r="AN28" s="112"/>
    </row>
    <row r="29" spans="1:40" s="79" customFormat="1" ht="86.25" thickBot="1" x14ac:dyDescent="0.3">
      <c r="A29" s="654"/>
      <c r="B29" s="145" t="s">
        <v>322</v>
      </c>
      <c r="C29" s="411">
        <v>340</v>
      </c>
      <c r="D29" s="146" t="str">
        <f>+IFERROR(INDEX([11]CONSOLIDADO!$D$4:$D$108,MATCH('EXP GEN. 25-32'!B29,[11]CONSOLIDADO!$C$4:$C$108,0)),"")</f>
        <v>CAYCO S.A.S.</v>
      </c>
      <c r="E29" s="147" t="s">
        <v>777</v>
      </c>
      <c r="F29" s="148" t="s">
        <v>812</v>
      </c>
      <c r="G29" s="370" t="s">
        <v>5</v>
      </c>
      <c r="H29" s="370" t="s">
        <v>5</v>
      </c>
      <c r="I29" s="150">
        <v>0.23</v>
      </c>
      <c r="J29" s="151">
        <v>38684</v>
      </c>
      <c r="K29" s="151">
        <v>39690</v>
      </c>
      <c r="L29" s="152">
        <f t="shared" si="0"/>
        <v>2008</v>
      </c>
      <c r="M29" s="153">
        <f>+IFERROR(INDEX([11]PARÁMETROS!$B$11:$B$37,MATCH(L29,[11]PARÁMETROS!$A$11:$A$37,0)),"")</f>
        <v>461500</v>
      </c>
      <c r="N29" s="154">
        <v>1688370055.5</v>
      </c>
      <c r="O29" s="155" t="s">
        <v>20</v>
      </c>
      <c r="P29" s="145" t="s">
        <v>54</v>
      </c>
      <c r="Q29" s="156" t="s">
        <v>54</v>
      </c>
      <c r="R29" s="157">
        <v>1</v>
      </c>
      <c r="S29" s="153">
        <f t="shared" si="1"/>
        <v>1688370055.5</v>
      </c>
      <c r="T29" s="158">
        <f t="shared" si="2"/>
        <v>3658.4399902491873</v>
      </c>
      <c r="U29" s="158">
        <f t="shared" si="3"/>
        <v>841.44119775731315</v>
      </c>
      <c r="V29" s="190">
        <v>6</v>
      </c>
      <c r="W29" s="651" t="s">
        <v>5</v>
      </c>
      <c r="X29" s="651"/>
      <c r="Y29" s="651"/>
      <c r="Z29" s="651" t="s">
        <v>5</v>
      </c>
      <c r="AA29" s="651"/>
      <c r="AB29" s="651"/>
      <c r="AC29" s="651"/>
      <c r="AD29" s="651"/>
      <c r="AE29" s="651"/>
      <c r="AF29" s="651" t="s">
        <v>5</v>
      </c>
      <c r="AG29" s="651"/>
      <c r="AH29" s="651"/>
      <c r="AI29" s="370" t="s">
        <v>5</v>
      </c>
      <c r="AJ29" s="651"/>
      <c r="AK29" s="651"/>
      <c r="AL29" s="370" t="str">
        <f>+IF(U29="","",IF(U29&gt;=[11]PARÁMETROS!$D$5,"CUMPLE","NO CUMPLE"))</f>
        <v>NO CUMPLE</v>
      </c>
      <c r="AM29" s="160"/>
      <c r="AN29" s="112"/>
    </row>
    <row r="30" spans="1:40" s="79" customFormat="1" ht="57" x14ac:dyDescent="0.25">
      <c r="A30" s="652" t="s">
        <v>813</v>
      </c>
      <c r="B30" s="125" t="s">
        <v>323</v>
      </c>
      <c r="C30" s="408">
        <v>202</v>
      </c>
      <c r="D30" s="127" t="str">
        <f>+IFERROR(INDEX([11]CONSOLIDADO!$D$4:$D$108,MATCH('EXP GEN. 25-32'!B30,[11]CONSOLIDADO!$C$4:$C$108,0)),"")</f>
        <v>PROGIN SPA</v>
      </c>
      <c r="E30" s="128" t="s">
        <v>814</v>
      </c>
      <c r="F30" s="129" t="s">
        <v>815</v>
      </c>
      <c r="G30" s="368" t="s">
        <v>5</v>
      </c>
      <c r="H30" s="368" t="s">
        <v>5</v>
      </c>
      <c r="I30" s="192">
        <v>0.60419999999999996</v>
      </c>
      <c r="J30" s="132">
        <v>38397</v>
      </c>
      <c r="K30" s="132">
        <v>40529</v>
      </c>
      <c r="L30" s="133">
        <f t="shared" si="0"/>
        <v>2010</v>
      </c>
      <c r="M30" s="134">
        <f>+IFERROR(INDEX([11]PARÁMETROS!$B$11:$B$37,MATCH(L30,[11]PARÁMETROS!$A$11:$A$37,0)),"")</f>
        <v>515000</v>
      </c>
      <c r="N30" s="430">
        <f>7751254.61</f>
        <v>7751254.6100000003</v>
      </c>
      <c r="O30" s="184" t="s">
        <v>24</v>
      </c>
      <c r="P30" s="429">
        <v>1.32236</v>
      </c>
      <c r="Q30" s="431">
        <f t="shared" ref="Q30:Q36" si="4">+N30*P30</f>
        <v>10249949.0460796</v>
      </c>
      <c r="R30" s="422">
        <v>1916.09</v>
      </c>
      <c r="S30" s="425">
        <f t="shared" ref="S30:S36" si="5">+Q30*R30</f>
        <v>19639824867.70266</v>
      </c>
      <c r="T30" s="139">
        <f t="shared" si="2"/>
        <v>38135.582267383805</v>
      </c>
      <c r="U30" s="139">
        <f t="shared" si="3"/>
        <v>23041.518805953292</v>
      </c>
      <c r="V30" s="200">
        <v>17</v>
      </c>
      <c r="W30" s="649" t="s">
        <v>5</v>
      </c>
      <c r="X30" s="649"/>
      <c r="Y30" s="649"/>
      <c r="Z30" s="649" t="s">
        <v>5</v>
      </c>
      <c r="AA30" s="649"/>
      <c r="AB30" s="649"/>
      <c r="AC30" s="649"/>
      <c r="AD30" s="649"/>
      <c r="AE30" s="649"/>
      <c r="AF30" s="649" t="s">
        <v>5</v>
      </c>
      <c r="AG30" s="649"/>
      <c r="AH30" s="649"/>
      <c r="AI30" s="368" t="s">
        <v>5</v>
      </c>
      <c r="AJ30" s="649" t="str">
        <f>IF(U30="","",IF(SUM(U30:U33)&gt;=[11]PARÁMETROS!$H$5,"CUMPLE","NO CUMPLE"))</f>
        <v>CUMPLE</v>
      </c>
      <c r="AK30" s="649" t="str">
        <f>IF(U30="","",IF((U30+U31)&gt;=[11]PARÁMETROS!$F$5,"CUMPLE","NO CUMPLE"))</f>
        <v>CUMPLE</v>
      </c>
      <c r="AL30" s="368" t="str">
        <f>+IF(U30="","",IF(U30&gt;=[11]PARÁMETROS!$D$5,"CUMPLE","NO CUMPLE"))</f>
        <v>CUMPLE</v>
      </c>
      <c r="AM30" s="142"/>
      <c r="AN30" s="112"/>
    </row>
    <row r="31" spans="1:40" s="79" customFormat="1" ht="57.75" customHeight="1" x14ac:dyDescent="0.25">
      <c r="A31" s="653"/>
      <c r="B31" s="377" t="s">
        <v>323</v>
      </c>
      <c r="C31" s="409">
        <v>213</v>
      </c>
      <c r="D31" s="65" t="str">
        <f>+IFERROR(INDEX([11]CONSOLIDADO!$D$4:$D$108,MATCH('EXP GEN. 25-32'!B31,[11]CONSOLIDADO!$C$4:$C$108,0)),"")</f>
        <v>PROGIN SPA</v>
      </c>
      <c r="E31" s="66" t="s">
        <v>816</v>
      </c>
      <c r="F31" s="67" t="s">
        <v>817</v>
      </c>
      <c r="G31" s="369" t="s">
        <v>5</v>
      </c>
      <c r="H31" s="369" t="s">
        <v>5</v>
      </c>
      <c r="I31" s="69">
        <v>0.23</v>
      </c>
      <c r="J31" s="70">
        <v>33527</v>
      </c>
      <c r="K31" s="70">
        <v>36734</v>
      </c>
      <c r="L31" s="71">
        <f t="shared" si="0"/>
        <v>2000</v>
      </c>
      <c r="M31" s="72">
        <f>+IFERROR(INDEX([11]PARÁMETROS!$B$11:$B$37,MATCH(L31,[11]PARÁMETROS!$A$11:$A$37,0)),"")</f>
        <v>260100</v>
      </c>
      <c r="N31" s="250">
        <v>113930818.91</v>
      </c>
      <c r="O31" s="74" t="s">
        <v>24</v>
      </c>
      <c r="P31" s="432">
        <v>0.94181999999999999</v>
      </c>
      <c r="Q31" s="433">
        <f t="shared" si="4"/>
        <v>107302323.86581619</v>
      </c>
      <c r="R31" s="422">
        <v>2165.37</v>
      </c>
      <c r="S31" s="425">
        <f t="shared" si="5"/>
        <v>232349233029.32239</v>
      </c>
      <c r="T31" s="60">
        <f t="shared" si="2"/>
        <v>893307.31652949785</v>
      </c>
      <c r="U31" s="60">
        <f t="shared" si="3"/>
        <v>205460.68280178451</v>
      </c>
      <c r="V31" s="201">
        <v>2</v>
      </c>
      <c r="W31" s="650" t="s">
        <v>5</v>
      </c>
      <c r="X31" s="650"/>
      <c r="Y31" s="650"/>
      <c r="Z31" s="650" t="s">
        <v>5</v>
      </c>
      <c r="AA31" s="650"/>
      <c r="AB31" s="650"/>
      <c r="AC31" s="650"/>
      <c r="AD31" s="650"/>
      <c r="AE31" s="650"/>
      <c r="AF31" s="650" t="s">
        <v>5</v>
      </c>
      <c r="AG31" s="650"/>
      <c r="AH31" s="650"/>
      <c r="AI31" s="369" t="s">
        <v>5</v>
      </c>
      <c r="AJ31" s="650"/>
      <c r="AK31" s="650"/>
      <c r="AL31" s="369" t="str">
        <f>+IF(U31="","",IF(U31&gt;=[11]PARÁMETROS!$D$5,"CUMPLE","NO CUMPLE"))</f>
        <v>CUMPLE</v>
      </c>
      <c r="AM31" s="143"/>
      <c r="AN31" s="112"/>
    </row>
    <row r="32" spans="1:40" s="79" customFormat="1" ht="71.25" x14ac:dyDescent="0.25">
      <c r="A32" s="653"/>
      <c r="B32" s="377" t="s">
        <v>324</v>
      </c>
      <c r="C32" s="409">
        <v>245</v>
      </c>
      <c r="D32" s="65" t="str">
        <f>+IFERROR(INDEX([11]CONSOLIDADO!$D$4:$D$108,MATCH('EXP GEN. 25-32'!B32,[11]CONSOLIDADO!$C$4:$C$108,0)),"")</f>
        <v>D &amp; B INGENIEROS CIVILES S.A.S.</v>
      </c>
      <c r="E32" s="66" t="s">
        <v>818</v>
      </c>
      <c r="F32" s="67" t="s">
        <v>819</v>
      </c>
      <c r="G32" s="369" t="s">
        <v>5</v>
      </c>
      <c r="H32" s="369" t="s">
        <v>5</v>
      </c>
      <c r="I32" s="69">
        <v>1</v>
      </c>
      <c r="J32" s="70">
        <v>39353</v>
      </c>
      <c r="K32" s="70">
        <v>41273</v>
      </c>
      <c r="L32" s="71">
        <f t="shared" si="0"/>
        <v>2012</v>
      </c>
      <c r="M32" s="72">
        <f>+IFERROR(INDEX([11]PARÁMETROS!$B$11:$B$37,MATCH(L32,[11]PARÁMETROS!$A$11:$A$37,0)),"")</f>
        <v>566700</v>
      </c>
      <c r="N32" s="250">
        <v>25074000000</v>
      </c>
      <c r="O32" s="74" t="s">
        <v>820</v>
      </c>
      <c r="P32" s="432">
        <v>2.3000000000000001E-4</v>
      </c>
      <c r="Q32" s="433">
        <f t="shared" si="4"/>
        <v>5767020</v>
      </c>
      <c r="R32" s="422">
        <v>1768.23</v>
      </c>
      <c r="S32" s="425">
        <f t="shared" si="5"/>
        <v>10197417774.6</v>
      </c>
      <c r="T32" s="60">
        <f t="shared" si="2"/>
        <v>17994.384638433035</v>
      </c>
      <c r="U32" s="60">
        <f t="shared" si="3"/>
        <v>17994.384638433035</v>
      </c>
      <c r="V32" s="201">
        <v>35</v>
      </c>
      <c r="W32" s="650" t="s">
        <v>5</v>
      </c>
      <c r="X32" s="650"/>
      <c r="Y32" s="650"/>
      <c r="Z32" s="650" t="s">
        <v>6</v>
      </c>
      <c r="AA32" s="650"/>
      <c r="AB32" s="650"/>
      <c r="AC32" s="650"/>
      <c r="AD32" s="650"/>
      <c r="AE32" s="650"/>
      <c r="AF32" s="650" t="s">
        <v>5</v>
      </c>
      <c r="AG32" s="650"/>
      <c r="AH32" s="650"/>
      <c r="AI32" s="369" t="s">
        <v>5</v>
      </c>
      <c r="AJ32" s="650"/>
      <c r="AK32" s="650"/>
      <c r="AL32" s="369" t="str">
        <f>+IF(U32="","",IF(U32&gt;=[11]PARÁMETROS!$D$5,"CUMPLE","NO CUMPLE"))</f>
        <v>CUMPLE</v>
      </c>
      <c r="AM32" s="143"/>
      <c r="AN32" s="112"/>
    </row>
    <row r="33" spans="1:40" s="79" customFormat="1" ht="48" thickBot="1" x14ac:dyDescent="0.3">
      <c r="A33" s="653"/>
      <c r="B33" s="377" t="s">
        <v>325</v>
      </c>
      <c r="C33" s="409">
        <v>249</v>
      </c>
      <c r="D33" s="65" t="str">
        <f>+IFERROR(INDEX([11]CONSOLIDADO!$D$4:$D$108,MATCH('EXP GEN. 25-32'!B33,[11]CONSOLIDADO!$C$4:$C$108,0)),"")</f>
        <v>INYPSA INFORMES Y PROYECTOS COLOMBIA S.A.S.</v>
      </c>
      <c r="E33" s="66" t="s">
        <v>788</v>
      </c>
      <c r="F33" s="67" t="s">
        <v>821</v>
      </c>
      <c r="G33" s="369" t="s">
        <v>5</v>
      </c>
      <c r="H33" s="369" t="s">
        <v>5</v>
      </c>
      <c r="I33" s="69">
        <v>1</v>
      </c>
      <c r="J33" s="70">
        <v>38096</v>
      </c>
      <c r="K33" s="70">
        <v>39325</v>
      </c>
      <c r="L33" s="71">
        <v>2004</v>
      </c>
      <c r="M33" s="72">
        <f>+IFERROR(INDEX([11]PARÁMETROS!$B$11:$B$37,MATCH(L33,[11]PARÁMETROS!$A$11:$A$37,0)),"")</f>
        <v>358000</v>
      </c>
      <c r="N33" s="250">
        <v>1579261.69</v>
      </c>
      <c r="O33" s="74" t="s">
        <v>24</v>
      </c>
      <c r="P33" s="432">
        <v>1.2013</v>
      </c>
      <c r="Q33" s="428">
        <f t="shared" si="4"/>
        <v>1897167.0681970001</v>
      </c>
      <c r="R33" s="428">
        <v>2620.19</v>
      </c>
      <c r="S33" s="434">
        <f t="shared" si="5"/>
        <v>4970938180.4190979</v>
      </c>
      <c r="T33" s="60"/>
      <c r="U33" s="60"/>
      <c r="V33" s="201">
        <v>25</v>
      </c>
      <c r="W33" s="650" t="s">
        <v>6</v>
      </c>
      <c r="X33" s="650"/>
      <c r="Y33" s="650"/>
      <c r="Z33" s="650" t="s">
        <v>6</v>
      </c>
      <c r="AA33" s="650"/>
      <c r="AB33" s="650"/>
      <c r="AC33" s="650"/>
      <c r="AD33" s="650"/>
      <c r="AE33" s="650"/>
      <c r="AF33" s="650" t="s">
        <v>5</v>
      </c>
      <c r="AG33" s="650"/>
      <c r="AH33" s="650"/>
      <c r="AI33" s="369" t="s">
        <v>5</v>
      </c>
      <c r="AJ33" s="650"/>
      <c r="AK33" s="650"/>
      <c r="AL33" s="502" t="s">
        <v>861</v>
      </c>
      <c r="AM33" s="143" t="s">
        <v>882</v>
      </c>
      <c r="AN33" s="112"/>
    </row>
    <row r="34" spans="1:40" s="79" customFormat="1" ht="42.75" x14ac:dyDescent="0.25">
      <c r="A34" s="652" t="s">
        <v>822</v>
      </c>
      <c r="B34" s="125" t="s">
        <v>326</v>
      </c>
      <c r="C34" s="408">
        <v>155</v>
      </c>
      <c r="D34" s="127" t="str">
        <f>+IFERROR(INDEX([11]CONSOLIDADO!$D$4:$D$108,MATCH('EXP GEN. 25-32'!B34,[11]CONSOLIDADO!$C$4:$C$108,0)),"")</f>
        <v>EUROCONTROL S.A.</v>
      </c>
      <c r="E34" s="128" t="s">
        <v>788</v>
      </c>
      <c r="F34" s="129" t="s">
        <v>823</v>
      </c>
      <c r="G34" s="452" t="s">
        <v>5</v>
      </c>
      <c r="H34" s="452" t="s">
        <v>5</v>
      </c>
      <c r="I34" s="131">
        <v>0.5</v>
      </c>
      <c r="J34" s="132">
        <v>38864</v>
      </c>
      <c r="K34" s="132">
        <v>40083</v>
      </c>
      <c r="L34" s="133">
        <f t="shared" si="0"/>
        <v>2009</v>
      </c>
      <c r="M34" s="134">
        <f>+IFERROR(INDEX([11]PARÁMETROS!$B$11:$B$37,MATCH(L34,[11]PARÁMETROS!$A$11:$A$37,0)),"")</f>
        <v>496900</v>
      </c>
      <c r="N34" s="249">
        <f>649309.97*2</f>
        <v>1298619.94</v>
      </c>
      <c r="O34" s="136" t="s">
        <v>24</v>
      </c>
      <c r="P34" s="125">
        <v>1.4684299999999999</v>
      </c>
      <c r="Q34" s="422">
        <f t="shared" si="4"/>
        <v>1906932.4784941997</v>
      </c>
      <c r="R34" s="122">
        <v>1926.59</v>
      </c>
      <c r="S34" s="284">
        <f t="shared" si="5"/>
        <v>3673877043.7421398</v>
      </c>
      <c r="T34" s="139">
        <f t="shared" si="2"/>
        <v>7393.5943725943644</v>
      </c>
      <c r="U34" s="139">
        <f t="shared" si="3"/>
        <v>3696.7971862971822</v>
      </c>
      <c r="V34" s="200" t="s">
        <v>868</v>
      </c>
      <c r="W34" s="649"/>
      <c r="X34" s="649"/>
      <c r="Y34" s="649"/>
      <c r="Z34" s="649"/>
      <c r="AA34" s="649"/>
      <c r="AB34" s="649"/>
      <c r="AC34" s="649"/>
      <c r="AD34" s="649"/>
      <c r="AE34" s="649"/>
      <c r="AF34" s="649"/>
      <c r="AG34" s="649"/>
      <c r="AH34" s="649"/>
      <c r="AI34" s="452"/>
      <c r="AJ34" s="649" t="str">
        <f>IF(U34="","",IF(SUM(U34:U39)&gt;=[11]PARÁMETROS!$H$5,"CUMPLE","NO CUMPLE"))</f>
        <v>CUMPLE</v>
      </c>
      <c r="AK34" s="649" t="str">
        <f>IF(U34="","",IF((U34+U35+U36)&gt;=[11]PARÁMETROS!$F$5,"CUMPLE","NO CUMPLE"))</f>
        <v>CUMPLE</v>
      </c>
      <c r="AL34" s="452" t="str">
        <f>+IF(U34="","",IF(U34&gt;=[11]PARÁMETROS!$D$5,"CUMPLE","NO CUMPLE"))</f>
        <v>CUMPLE</v>
      </c>
      <c r="AM34" s="142"/>
      <c r="AN34" s="112"/>
    </row>
    <row r="35" spans="1:40" s="79" customFormat="1" ht="42.75" x14ac:dyDescent="0.25">
      <c r="A35" s="653"/>
      <c r="B35" s="456" t="s">
        <v>326</v>
      </c>
      <c r="C35" s="409">
        <v>164</v>
      </c>
      <c r="D35" s="65" t="str">
        <f>+IFERROR(INDEX([11]CONSOLIDADO!$D$4:$D$108,MATCH('EXP GEN. 25-32'!B35,[11]CONSOLIDADO!$C$4:$C$108,0)),"")</f>
        <v>EUROCONTROL S.A.</v>
      </c>
      <c r="E35" s="66" t="s">
        <v>788</v>
      </c>
      <c r="F35" s="67" t="s">
        <v>824</v>
      </c>
      <c r="G35" s="453" t="s">
        <v>5</v>
      </c>
      <c r="H35" s="453" t="s">
        <v>5</v>
      </c>
      <c r="I35" s="69">
        <v>1</v>
      </c>
      <c r="J35" s="70">
        <v>38661</v>
      </c>
      <c r="K35" s="70">
        <v>40122</v>
      </c>
      <c r="L35" s="71">
        <f t="shared" si="0"/>
        <v>2009</v>
      </c>
      <c r="M35" s="72">
        <f>+IFERROR(INDEX([11]PARÁMETROS!$B$11:$B$37,MATCH(L35,[11]PARÁMETROS!$A$11:$A$37,0)),"")</f>
        <v>496900</v>
      </c>
      <c r="N35" s="250">
        <v>949157.05</v>
      </c>
      <c r="O35" s="74" t="s">
        <v>24</v>
      </c>
      <c r="P35" s="456">
        <v>1.47681</v>
      </c>
      <c r="Q35" s="433">
        <f t="shared" si="4"/>
        <v>1401724.6230105001</v>
      </c>
      <c r="R35" s="76">
        <v>1963.7</v>
      </c>
      <c r="S35" s="425">
        <f t="shared" si="5"/>
        <v>2752566642.205719</v>
      </c>
      <c r="T35" s="60">
        <f t="shared" si="2"/>
        <v>5539.4780483109662</v>
      </c>
      <c r="U35" s="60">
        <f t="shared" si="3"/>
        <v>5539.4780483109662</v>
      </c>
      <c r="V35" s="201" t="s">
        <v>54</v>
      </c>
      <c r="W35" s="650" t="s">
        <v>6</v>
      </c>
      <c r="X35" s="650"/>
      <c r="Y35" s="650"/>
      <c r="Z35" s="650" t="s">
        <v>6</v>
      </c>
      <c r="AA35" s="650"/>
      <c r="AB35" s="650"/>
      <c r="AC35" s="650"/>
      <c r="AD35" s="650"/>
      <c r="AE35" s="650"/>
      <c r="AF35" s="650" t="s">
        <v>6</v>
      </c>
      <c r="AG35" s="650"/>
      <c r="AH35" s="650"/>
      <c r="AI35" s="453" t="s">
        <v>5</v>
      </c>
      <c r="AJ35" s="650"/>
      <c r="AK35" s="650"/>
      <c r="AL35" s="453" t="str">
        <f>+IF(U35="","",IF(U35&gt;=[11]PARÁMETROS!$D$5,"CUMPLE","NO CUMPLE"))</f>
        <v>CUMPLE</v>
      </c>
      <c r="AM35" s="143"/>
      <c r="AN35" s="112"/>
    </row>
    <row r="36" spans="1:40" s="79" customFormat="1" ht="42.75" x14ac:dyDescent="0.25">
      <c r="A36" s="653"/>
      <c r="B36" s="456" t="s">
        <v>326</v>
      </c>
      <c r="C36" s="409">
        <v>173</v>
      </c>
      <c r="D36" s="65" t="str">
        <f>+IFERROR(INDEX([11]CONSOLIDADO!$D$4:$D$108,MATCH('EXP GEN. 25-32'!B36,[11]CONSOLIDADO!$C$4:$C$108,0)),"")</f>
        <v>EUROCONTROL S.A.</v>
      </c>
      <c r="E36" s="66" t="s">
        <v>788</v>
      </c>
      <c r="F36" s="67" t="s">
        <v>825</v>
      </c>
      <c r="G36" s="453" t="s">
        <v>5</v>
      </c>
      <c r="H36" s="453" t="s">
        <v>5</v>
      </c>
      <c r="I36" s="69">
        <v>1</v>
      </c>
      <c r="J36" s="70">
        <v>38296</v>
      </c>
      <c r="K36" s="70">
        <v>39360</v>
      </c>
      <c r="L36" s="71">
        <f t="shared" si="0"/>
        <v>2007</v>
      </c>
      <c r="M36" s="72">
        <f>+IFERROR(INDEX([11]PARÁMETROS!$B$11:$B$37,MATCH(L36,[11]PARÁMETROS!$A$11:$A$37,0)),"")</f>
        <v>433700</v>
      </c>
      <c r="N36" s="250">
        <v>1248500.53</v>
      </c>
      <c r="O36" s="74" t="s">
        <v>24</v>
      </c>
      <c r="P36" s="456">
        <v>1.4105700000000001</v>
      </c>
      <c r="Q36" s="433">
        <f t="shared" si="4"/>
        <v>1761097.3926021003</v>
      </c>
      <c r="R36" s="76">
        <v>2018.45</v>
      </c>
      <c r="S36" s="425">
        <f t="shared" si="5"/>
        <v>3554687032.0977092</v>
      </c>
      <c r="T36" s="60">
        <f t="shared" si="2"/>
        <v>8196.188683647013</v>
      </c>
      <c r="U36" s="60">
        <f t="shared" si="3"/>
        <v>8196.188683647013</v>
      </c>
      <c r="V36" s="201" t="s">
        <v>54</v>
      </c>
      <c r="W36" s="650" t="s">
        <v>6</v>
      </c>
      <c r="X36" s="650"/>
      <c r="Y36" s="650"/>
      <c r="Z36" s="650" t="s">
        <v>6</v>
      </c>
      <c r="AA36" s="650"/>
      <c r="AB36" s="650"/>
      <c r="AC36" s="650"/>
      <c r="AD36" s="650"/>
      <c r="AE36" s="650"/>
      <c r="AF36" s="650" t="s">
        <v>6</v>
      </c>
      <c r="AG36" s="650"/>
      <c r="AH36" s="650"/>
      <c r="AI36" s="453" t="s">
        <v>5</v>
      </c>
      <c r="AJ36" s="650"/>
      <c r="AK36" s="650"/>
      <c r="AL36" s="453" t="str">
        <f>+IF(U36="","",IF(U36&gt;=[11]PARÁMETROS!$D$5,"CUMPLE","NO CUMPLE"))</f>
        <v>CUMPLE</v>
      </c>
      <c r="AM36" s="143"/>
      <c r="AN36" s="112"/>
    </row>
    <row r="37" spans="1:40" s="79" customFormat="1" ht="47.25" x14ac:dyDescent="0.25">
      <c r="A37" s="653"/>
      <c r="B37" s="456" t="s">
        <v>328</v>
      </c>
      <c r="C37" s="409">
        <v>184</v>
      </c>
      <c r="D37" s="65" t="str">
        <f>+IFERROR(INDEX([11]CONSOLIDADO!$D$4:$D$108,MATCH('EXP GEN. 25-32'!B37,[11]CONSOLIDADO!$C$4:$C$108,0)),"")</f>
        <v>GARPER INGENIERÍA CIA S.A.S.</v>
      </c>
      <c r="E37" s="89" t="s">
        <v>436</v>
      </c>
      <c r="F37" s="251" t="s">
        <v>826</v>
      </c>
      <c r="G37" s="453" t="s">
        <v>5</v>
      </c>
      <c r="H37" s="453" t="s">
        <v>5</v>
      </c>
      <c r="I37" s="90">
        <v>0.55000000000000004</v>
      </c>
      <c r="J37" s="91">
        <v>34338</v>
      </c>
      <c r="K37" s="91">
        <v>36305</v>
      </c>
      <c r="L37" s="71">
        <f t="shared" si="0"/>
        <v>1999</v>
      </c>
      <c r="M37" s="72">
        <f>+IFERROR(INDEX([11]PARÁMETROS!$B$11:$B$37,MATCH(L37,[11]PARÁMETROS!$A$11:$A$37,0)),"")</f>
        <v>236460</v>
      </c>
      <c r="N37" s="435">
        <v>4491569047</v>
      </c>
      <c r="O37" s="93" t="s">
        <v>20</v>
      </c>
      <c r="P37" s="456" t="s">
        <v>54</v>
      </c>
      <c r="Q37" s="75" t="s">
        <v>54</v>
      </c>
      <c r="R37" s="76">
        <v>1</v>
      </c>
      <c r="S37" s="72">
        <f t="shared" si="1"/>
        <v>4491569047</v>
      </c>
      <c r="T37" s="60">
        <f t="shared" si="2"/>
        <v>18995.04798697454</v>
      </c>
      <c r="U37" s="60">
        <f t="shared" si="3"/>
        <v>10447.276392835998</v>
      </c>
      <c r="V37" s="201">
        <v>2</v>
      </c>
      <c r="W37" s="650" t="s">
        <v>5</v>
      </c>
      <c r="X37" s="650"/>
      <c r="Y37" s="650"/>
      <c r="Z37" s="650" t="s">
        <v>5</v>
      </c>
      <c r="AA37" s="650"/>
      <c r="AB37" s="650"/>
      <c r="AC37" s="650"/>
      <c r="AD37" s="650"/>
      <c r="AE37" s="650"/>
      <c r="AF37" s="650" t="s">
        <v>5</v>
      </c>
      <c r="AG37" s="650"/>
      <c r="AH37" s="650"/>
      <c r="AI37" s="453" t="s">
        <v>5</v>
      </c>
      <c r="AJ37" s="650"/>
      <c r="AK37" s="650"/>
      <c r="AL37" s="453" t="str">
        <f>+IF(U37="","",IF(U37&gt;=[11]PARÁMETROS!$D$5,"CUMPLE","NO CUMPLE"))</f>
        <v>CUMPLE</v>
      </c>
      <c r="AM37" s="144"/>
      <c r="AN37" s="112"/>
    </row>
    <row r="38" spans="1:40" s="79" customFormat="1" ht="85.5" x14ac:dyDescent="0.25">
      <c r="A38" s="653"/>
      <c r="B38" s="456" t="s">
        <v>327</v>
      </c>
      <c r="C38" s="409">
        <v>203</v>
      </c>
      <c r="D38" s="65" t="str">
        <f>+IFERROR(INDEX([11]CONSOLIDADO!$D$4:$D$108,MATCH('EXP GEN. 25-32'!B38,[11]CONSOLIDADO!$C$4:$C$108,0)),"")</f>
        <v>TOP SUELOS INGENIERIA S.A.S.</v>
      </c>
      <c r="E38" s="66" t="s">
        <v>777</v>
      </c>
      <c r="F38" s="67" t="s">
        <v>827</v>
      </c>
      <c r="G38" s="453" t="s">
        <v>5</v>
      </c>
      <c r="H38" s="453" t="s">
        <v>5</v>
      </c>
      <c r="I38" s="69">
        <v>0.6</v>
      </c>
      <c r="J38" s="70">
        <v>40064</v>
      </c>
      <c r="K38" s="70">
        <v>41999</v>
      </c>
      <c r="L38" s="71">
        <f t="shared" si="0"/>
        <v>2014</v>
      </c>
      <c r="M38" s="72">
        <f>+IFERROR(INDEX([11]PARÁMETROS!$B$11:$B$37,MATCH(L38,[11]PARÁMETROS!$A$11:$A$37,0)),"")</f>
        <v>616000</v>
      </c>
      <c r="N38" s="250">
        <v>8501000000</v>
      </c>
      <c r="O38" s="74" t="s">
        <v>20</v>
      </c>
      <c r="P38" s="456" t="s">
        <v>54</v>
      </c>
      <c r="Q38" s="75" t="s">
        <v>54</v>
      </c>
      <c r="R38" s="76">
        <v>1</v>
      </c>
      <c r="S38" s="72">
        <f t="shared" si="1"/>
        <v>8501000000</v>
      </c>
      <c r="T38" s="60">
        <f t="shared" si="2"/>
        <v>13800.324675324675</v>
      </c>
      <c r="U38" s="60">
        <f t="shared" si="3"/>
        <v>8280.1948051948038</v>
      </c>
      <c r="V38" s="201">
        <v>80</v>
      </c>
      <c r="W38" s="650" t="s">
        <v>5</v>
      </c>
      <c r="X38" s="650"/>
      <c r="Y38" s="650"/>
      <c r="Z38" s="650" t="s">
        <v>5</v>
      </c>
      <c r="AA38" s="650"/>
      <c r="AB38" s="650"/>
      <c r="AC38" s="650"/>
      <c r="AD38" s="650"/>
      <c r="AE38" s="650"/>
      <c r="AF38" s="650" t="s">
        <v>5</v>
      </c>
      <c r="AG38" s="650"/>
      <c r="AH38" s="650"/>
      <c r="AI38" s="453" t="s">
        <v>5</v>
      </c>
      <c r="AJ38" s="650"/>
      <c r="AK38" s="650"/>
      <c r="AL38" s="453" t="str">
        <f>+IF(U38="","",IF(U38&gt;=[11]PARÁMETROS!$D$5,"CUMPLE","NO CUMPLE"))</f>
        <v>CUMPLE</v>
      </c>
      <c r="AM38" s="143"/>
      <c r="AN38" s="112"/>
    </row>
    <row r="39" spans="1:40" s="437" customFormat="1" ht="86.25" thickBot="1" x14ac:dyDescent="0.3">
      <c r="A39" s="654"/>
      <c r="B39" s="145" t="s">
        <v>327</v>
      </c>
      <c r="C39" s="411">
        <v>209</v>
      </c>
      <c r="D39" s="146" t="str">
        <f>+IFERROR(INDEX([11]CONSOLIDADO!$D$4:$D$108,MATCH('EXP GEN. 25-32'!B39,[11]CONSOLIDADO!$C$4:$C$108,0)),"")</f>
        <v>TOP SUELOS INGENIERIA S.A.S.</v>
      </c>
      <c r="E39" s="147" t="s">
        <v>828</v>
      </c>
      <c r="F39" s="148" t="s">
        <v>829</v>
      </c>
      <c r="G39" s="454" t="s">
        <v>5</v>
      </c>
      <c r="H39" s="454" t="s">
        <v>5</v>
      </c>
      <c r="I39" s="150">
        <v>0.65</v>
      </c>
      <c r="J39" s="151">
        <v>38629</v>
      </c>
      <c r="K39" s="151">
        <v>39116</v>
      </c>
      <c r="L39" s="152">
        <f t="shared" si="0"/>
        <v>2007</v>
      </c>
      <c r="M39" s="153">
        <f>+IFERROR(INDEX([11]PARÁMETROS!$B$11:$B$37,MATCH(L39,[11]PARÁMETROS!$A$11:$A$37,0)),"")</f>
        <v>433700</v>
      </c>
      <c r="N39" s="291">
        <v>1810471500</v>
      </c>
      <c r="O39" s="155" t="s">
        <v>20</v>
      </c>
      <c r="P39" s="145" t="s">
        <v>54</v>
      </c>
      <c r="Q39" s="156" t="s">
        <v>54</v>
      </c>
      <c r="R39" s="157">
        <v>1</v>
      </c>
      <c r="S39" s="153">
        <f t="shared" si="1"/>
        <v>1810471500</v>
      </c>
      <c r="T39" s="158"/>
      <c r="U39" s="158"/>
      <c r="V39" s="190">
        <v>14</v>
      </c>
      <c r="W39" s="651" t="s">
        <v>5</v>
      </c>
      <c r="X39" s="651"/>
      <c r="Y39" s="651"/>
      <c r="Z39" s="651" t="s">
        <v>5</v>
      </c>
      <c r="AA39" s="651"/>
      <c r="AB39" s="651"/>
      <c r="AC39" s="651"/>
      <c r="AD39" s="651"/>
      <c r="AE39" s="651"/>
      <c r="AF39" s="651" t="s">
        <v>5</v>
      </c>
      <c r="AG39" s="651"/>
      <c r="AH39" s="651"/>
      <c r="AI39" s="454" t="s">
        <v>5</v>
      </c>
      <c r="AJ39" s="651"/>
      <c r="AK39" s="651"/>
      <c r="AL39" s="592" t="s">
        <v>886</v>
      </c>
      <c r="AM39" s="160" t="s">
        <v>881</v>
      </c>
      <c r="AN39" s="436"/>
    </row>
    <row r="40" spans="1:40" s="79" customFormat="1" ht="85.5" x14ac:dyDescent="0.25">
      <c r="A40" s="652" t="s">
        <v>830</v>
      </c>
      <c r="B40" s="125" t="s">
        <v>329</v>
      </c>
      <c r="C40" s="408">
        <v>96</v>
      </c>
      <c r="D40" s="127" t="str">
        <f>+IFERROR(INDEX([11]CONSOLIDADO!$D$4:$D$108,MATCH('EXP GEN. 25-32'!B40,[11]CONSOLIDADO!$C$4:$C$108,0)),"")</f>
        <v>SERVICIOS DE INGENIERIA Y CONSTRUCCION LIMITADA "SERVINC LTDA"</v>
      </c>
      <c r="E40" s="128" t="s">
        <v>831</v>
      </c>
      <c r="F40" s="129" t="s">
        <v>832</v>
      </c>
      <c r="G40" s="368" t="s">
        <v>5</v>
      </c>
      <c r="H40" s="368" t="s">
        <v>5</v>
      </c>
      <c r="I40" s="131">
        <v>0.5</v>
      </c>
      <c r="J40" s="132">
        <v>40331</v>
      </c>
      <c r="K40" s="132">
        <v>41215</v>
      </c>
      <c r="L40" s="133">
        <f t="shared" si="0"/>
        <v>2012</v>
      </c>
      <c r="M40" s="134">
        <f>+IFERROR(INDEX([11]PARÁMETROS!$B$11:$B$37,MATCH(L40,[11]PARÁMETROS!$A$11:$A$37,0)),"")</f>
        <v>566700</v>
      </c>
      <c r="N40" s="135">
        <v>4264498383</v>
      </c>
      <c r="O40" s="136" t="s">
        <v>20</v>
      </c>
      <c r="P40" s="125" t="s">
        <v>54</v>
      </c>
      <c r="Q40" s="137" t="s">
        <v>54</v>
      </c>
      <c r="R40" s="138">
        <v>1</v>
      </c>
      <c r="S40" s="134">
        <f t="shared" si="1"/>
        <v>4264498383</v>
      </c>
      <c r="T40" s="139">
        <f t="shared" si="2"/>
        <v>7525.1427263102169</v>
      </c>
      <c r="U40" s="139">
        <f t="shared" si="3"/>
        <v>3762.5713631551084</v>
      </c>
      <c r="V40" s="200">
        <v>2</v>
      </c>
      <c r="W40" s="649" t="s">
        <v>5</v>
      </c>
      <c r="X40" s="649"/>
      <c r="Y40" s="649"/>
      <c r="Z40" s="649" t="s">
        <v>5</v>
      </c>
      <c r="AA40" s="649"/>
      <c r="AB40" s="649"/>
      <c r="AC40" s="649"/>
      <c r="AD40" s="649"/>
      <c r="AE40" s="649"/>
      <c r="AF40" s="649" t="s">
        <v>5</v>
      </c>
      <c r="AG40" s="649"/>
      <c r="AH40" s="649"/>
      <c r="AI40" s="368" t="s">
        <v>5</v>
      </c>
      <c r="AJ40" s="649" t="str">
        <f>IF(U40="","",IF(SUM(U40:U45)&gt;=[11]PARÁMETROS!$H$5,"CUMPLE","NO CUMPLE"))</f>
        <v>CUMPLE</v>
      </c>
      <c r="AK40" s="649" t="str">
        <f>IF(U40="","",IF((U40+U41+U42+U43)&gt;=[11]PARÁMETROS!$F$5,"CUMPLE","NO CUMPLE"))</f>
        <v>CUMPLE</v>
      </c>
      <c r="AL40" s="368" t="str">
        <f>+IF(U40="","",IF(U40&gt;=[11]PARÁMETROS!$D$5,"CUMPLE","NO CUMPLE"))</f>
        <v>CUMPLE</v>
      </c>
      <c r="AM40" s="142"/>
      <c r="AN40" s="112"/>
    </row>
    <row r="41" spans="1:40" s="79" customFormat="1" ht="85.5" x14ac:dyDescent="0.25">
      <c r="A41" s="653"/>
      <c r="B41" s="377" t="s">
        <v>329</v>
      </c>
      <c r="C41" s="409">
        <v>127</v>
      </c>
      <c r="D41" s="65" t="str">
        <f>+IFERROR(INDEX([11]CONSOLIDADO!$D$4:$D$108,MATCH('EXP GEN. 25-32'!B41,[11]CONSOLIDADO!$C$4:$C$108,0)),"")</f>
        <v>SERVICIOS DE INGENIERIA Y CONSTRUCCION LIMITADA "SERVINC LTDA"</v>
      </c>
      <c r="E41" s="66" t="s">
        <v>19</v>
      </c>
      <c r="F41" s="67" t="s">
        <v>833</v>
      </c>
      <c r="G41" s="369" t="s">
        <v>5</v>
      </c>
      <c r="H41" s="369" t="s">
        <v>5</v>
      </c>
      <c r="I41" s="69">
        <v>0.4</v>
      </c>
      <c r="J41" s="70">
        <v>41075</v>
      </c>
      <c r="K41" s="70" t="s">
        <v>678</v>
      </c>
      <c r="L41" s="71">
        <v>2015</v>
      </c>
      <c r="M41" s="72">
        <f>+IFERROR(INDEX([11]PARÁMETROS!$B$11:$B$37,MATCH(L41,[11]PARÁMETROS!$A$11:$A$37,0)),"")</f>
        <v>644350</v>
      </c>
      <c r="N41" s="73">
        <v>23762347066</v>
      </c>
      <c r="O41" s="74" t="s">
        <v>20</v>
      </c>
      <c r="P41" s="377" t="s">
        <v>54</v>
      </c>
      <c r="Q41" s="75" t="s">
        <v>54</v>
      </c>
      <c r="R41" s="76">
        <v>1</v>
      </c>
      <c r="S41" s="72">
        <f t="shared" si="1"/>
        <v>23762347066</v>
      </c>
      <c r="T41" s="60">
        <f t="shared" si="2"/>
        <v>36878.012052455961</v>
      </c>
      <c r="U41" s="60">
        <f t="shared" si="3"/>
        <v>14751.204820982384</v>
      </c>
      <c r="V41" s="201" t="s">
        <v>868</v>
      </c>
      <c r="W41" s="650"/>
      <c r="X41" s="650"/>
      <c r="Y41" s="650"/>
      <c r="Z41" s="650"/>
      <c r="AA41" s="650"/>
      <c r="AB41" s="650"/>
      <c r="AC41" s="650"/>
      <c r="AD41" s="650"/>
      <c r="AE41" s="650"/>
      <c r="AF41" s="650"/>
      <c r="AG41" s="650"/>
      <c r="AH41" s="650"/>
      <c r="AI41" s="369"/>
      <c r="AJ41" s="650"/>
      <c r="AK41" s="650"/>
      <c r="AL41" s="369" t="str">
        <f>+IF(U41="","",IF(U41&gt;=[11]PARÁMETROS!$D$5,"CUMPLE","NO CUMPLE"))</f>
        <v>CUMPLE</v>
      </c>
      <c r="AM41" s="143"/>
      <c r="AN41" s="112"/>
    </row>
    <row r="42" spans="1:40" s="79" customFormat="1" ht="270.75" x14ac:dyDescent="0.25">
      <c r="A42" s="653"/>
      <c r="B42" s="377" t="s">
        <v>329</v>
      </c>
      <c r="C42" s="409">
        <v>130</v>
      </c>
      <c r="D42" s="65" t="str">
        <f>+IFERROR(INDEX([11]CONSOLIDADO!$D$4:$D$108,MATCH('EXP GEN. 25-32'!B42,[11]CONSOLIDADO!$C$4:$C$108,0)),"")</f>
        <v>SERVICIOS DE INGENIERIA Y CONSTRUCCION LIMITADA "SERVINC LTDA"</v>
      </c>
      <c r="E42" s="66" t="s">
        <v>831</v>
      </c>
      <c r="F42" s="67" t="s">
        <v>834</v>
      </c>
      <c r="G42" s="369" t="s">
        <v>5</v>
      </c>
      <c r="H42" s="369" t="s">
        <v>5</v>
      </c>
      <c r="I42" s="69">
        <v>0.6</v>
      </c>
      <c r="J42" s="70">
        <v>39351</v>
      </c>
      <c r="K42" s="70">
        <v>40051</v>
      </c>
      <c r="L42" s="71">
        <f t="shared" si="0"/>
        <v>2009</v>
      </c>
      <c r="M42" s="72">
        <f>+IFERROR(INDEX([11]PARÁMETROS!$B$11:$B$37,MATCH(L42,[11]PARÁMETROS!$A$11:$A$37,0)),"")</f>
        <v>496900</v>
      </c>
      <c r="N42" s="73">
        <v>1996592848</v>
      </c>
      <c r="O42" s="74" t="s">
        <v>20</v>
      </c>
      <c r="P42" s="377" t="s">
        <v>54</v>
      </c>
      <c r="Q42" s="75" t="s">
        <v>54</v>
      </c>
      <c r="R42" s="76">
        <v>1</v>
      </c>
      <c r="S42" s="72">
        <f t="shared" si="1"/>
        <v>1996592848</v>
      </c>
      <c r="T42" s="60">
        <f t="shared" si="2"/>
        <v>4018.0979029985911</v>
      </c>
      <c r="U42" s="60">
        <f t="shared" si="3"/>
        <v>2410.8587417991544</v>
      </c>
      <c r="V42" s="201">
        <v>15</v>
      </c>
      <c r="W42" s="650" t="s">
        <v>5</v>
      </c>
      <c r="X42" s="650"/>
      <c r="Y42" s="650"/>
      <c r="Z42" s="650" t="s">
        <v>5</v>
      </c>
      <c r="AA42" s="650"/>
      <c r="AB42" s="650"/>
      <c r="AC42" s="650"/>
      <c r="AD42" s="650"/>
      <c r="AE42" s="650"/>
      <c r="AF42" s="650" t="s">
        <v>5</v>
      </c>
      <c r="AG42" s="650"/>
      <c r="AH42" s="650"/>
      <c r="AI42" s="369" t="s">
        <v>5</v>
      </c>
      <c r="AJ42" s="650"/>
      <c r="AK42" s="650"/>
      <c r="AL42" s="369" t="str">
        <f>+IF(U42="","",IF(U42&gt;=[11]PARÁMETROS!$D$5,"CUMPLE","NO CUMPLE"))</f>
        <v>CUMPLE</v>
      </c>
      <c r="AM42" s="143"/>
      <c r="AN42" s="112"/>
    </row>
    <row r="43" spans="1:40" s="79" customFormat="1" ht="213.75" x14ac:dyDescent="0.25">
      <c r="A43" s="653"/>
      <c r="B43" s="377" t="s">
        <v>329</v>
      </c>
      <c r="C43" s="409">
        <v>151</v>
      </c>
      <c r="D43" s="65" t="str">
        <f>+IFERROR(INDEX([11]CONSOLIDADO!$D$4:$D$108,MATCH('EXP GEN. 25-32'!B43,[11]CONSOLIDADO!$C$4:$C$108,0)),"")</f>
        <v>SERVICIOS DE INGENIERIA Y CONSTRUCCION LIMITADA "SERVINC LTDA"</v>
      </c>
      <c r="E43" s="66" t="s">
        <v>831</v>
      </c>
      <c r="F43" s="67" t="s">
        <v>835</v>
      </c>
      <c r="G43" s="369" t="s">
        <v>5</v>
      </c>
      <c r="H43" s="369" t="s">
        <v>5</v>
      </c>
      <c r="I43" s="69">
        <v>1</v>
      </c>
      <c r="J43" s="70">
        <v>39021</v>
      </c>
      <c r="K43" s="70">
        <v>40480</v>
      </c>
      <c r="L43" s="71">
        <f t="shared" si="0"/>
        <v>2010</v>
      </c>
      <c r="M43" s="72">
        <f>+IFERROR(INDEX([11]PARÁMETROS!$B$11:$B$37,MATCH(L43,[11]PARÁMETROS!$A$11:$A$37,0)),"")</f>
        <v>515000</v>
      </c>
      <c r="N43" s="73">
        <v>5403026800</v>
      </c>
      <c r="O43" s="74" t="s">
        <v>20</v>
      </c>
      <c r="P43" s="377" t="s">
        <v>54</v>
      </c>
      <c r="Q43" s="75" t="s">
        <v>54</v>
      </c>
      <c r="R43" s="76">
        <v>1</v>
      </c>
      <c r="S43" s="72">
        <f t="shared" si="1"/>
        <v>5403026800</v>
      </c>
      <c r="T43" s="60">
        <f t="shared" si="2"/>
        <v>10491.314174757281</v>
      </c>
      <c r="U43" s="60">
        <f t="shared" si="3"/>
        <v>10491.314174757281</v>
      </c>
      <c r="V43" s="201">
        <v>19</v>
      </c>
      <c r="W43" s="650" t="s">
        <v>5</v>
      </c>
      <c r="X43" s="650"/>
      <c r="Y43" s="650"/>
      <c r="Z43" s="650" t="s">
        <v>5</v>
      </c>
      <c r="AA43" s="650"/>
      <c r="AB43" s="650"/>
      <c r="AC43" s="650"/>
      <c r="AD43" s="650"/>
      <c r="AE43" s="650"/>
      <c r="AF43" s="650" t="s">
        <v>5</v>
      </c>
      <c r="AG43" s="650"/>
      <c r="AH43" s="650"/>
      <c r="AI43" s="369" t="s">
        <v>5</v>
      </c>
      <c r="AJ43" s="650"/>
      <c r="AK43" s="650"/>
      <c r="AL43" s="369" t="str">
        <f>+IF(U43="","",IF(U43&gt;=[11]PARÁMETROS!$D$5,"CUMPLE","NO CUMPLE"))</f>
        <v>CUMPLE</v>
      </c>
      <c r="AM43" s="143"/>
      <c r="AN43" s="112"/>
    </row>
    <row r="44" spans="1:40" s="79" customFormat="1" ht="57" x14ac:dyDescent="0.25">
      <c r="A44" s="653"/>
      <c r="B44" s="377" t="s">
        <v>330</v>
      </c>
      <c r="C44" s="409">
        <v>179</v>
      </c>
      <c r="D44" s="65" t="str">
        <f>+IFERROR(INDEX([11]CONSOLIDADO!$D$4:$D$108,MATCH('EXP GEN. 25-32'!B44,[11]CONSOLIDADO!$C$4:$C$108,0)),"")</f>
        <v>VQM S.A.S.</v>
      </c>
      <c r="E44" s="66" t="s">
        <v>777</v>
      </c>
      <c r="F44" s="66" t="s">
        <v>836</v>
      </c>
      <c r="G44" s="369" t="s">
        <v>5</v>
      </c>
      <c r="H44" s="369" t="s">
        <v>5</v>
      </c>
      <c r="I44" s="80">
        <v>0.75</v>
      </c>
      <c r="J44" s="70">
        <v>38672</v>
      </c>
      <c r="K44" s="70">
        <v>39756</v>
      </c>
      <c r="L44" s="71">
        <f t="shared" si="0"/>
        <v>2008</v>
      </c>
      <c r="M44" s="72">
        <f>+IFERROR(INDEX([11]PARÁMETROS!$B$11:$B$37,MATCH(L44,[11]PARÁMETROS!$A$11:$A$37,0)),"")</f>
        <v>461500</v>
      </c>
      <c r="N44" s="81">
        <v>2323578630</v>
      </c>
      <c r="O44" s="72" t="s">
        <v>20</v>
      </c>
      <c r="P44" s="377" t="s">
        <v>54</v>
      </c>
      <c r="Q44" s="75" t="s">
        <v>54</v>
      </c>
      <c r="R44" s="76">
        <v>1</v>
      </c>
      <c r="S44" s="72">
        <f t="shared" si="1"/>
        <v>2323578630</v>
      </c>
      <c r="T44" s="60">
        <f t="shared" si="2"/>
        <v>5034.839934994583</v>
      </c>
      <c r="U44" s="60">
        <f t="shared" si="3"/>
        <v>3776.1299512459373</v>
      </c>
      <c r="V44" s="201">
        <v>8</v>
      </c>
      <c r="W44" s="650" t="s">
        <v>5</v>
      </c>
      <c r="X44" s="650"/>
      <c r="Y44" s="650"/>
      <c r="Z44" s="650" t="s">
        <v>5</v>
      </c>
      <c r="AA44" s="650"/>
      <c r="AB44" s="650"/>
      <c r="AC44" s="650"/>
      <c r="AD44" s="650"/>
      <c r="AE44" s="650"/>
      <c r="AF44" s="650" t="s">
        <v>5</v>
      </c>
      <c r="AG44" s="650"/>
      <c r="AH44" s="650"/>
      <c r="AI44" s="369" t="s">
        <v>5</v>
      </c>
      <c r="AJ44" s="650"/>
      <c r="AK44" s="650"/>
      <c r="AL44" s="369" t="str">
        <f>+IF(U44="","",IF(U44&gt;=[11]PARÁMETROS!$D$5,"CUMPLE","NO CUMPLE"))</f>
        <v>CUMPLE</v>
      </c>
      <c r="AM44" s="143"/>
      <c r="AN44" s="112"/>
    </row>
    <row r="45" spans="1:40" s="79" customFormat="1" ht="57.75" thickBot="1" x14ac:dyDescent="0.3">
      <c r="A45" s="654"/>
      <c r="B45" s="145" t="s">
        <v>330</v>
      </c>
      <c r="C45" s="411">
        <v>201</v>
      </c>
      <c r="D45" s="146" t="str">
        <f>+IFERROR(INDEX([11]CONSOLIDADO!$D$4:$D$108,MATCH('EXP GEN. 25-32'!B45,[11]CONSOLIDADO!$C$4:$C$108,0)),"")</f>
        <v>VQM S.A.S.</v>
      </c>
      <c r="E45" s="147" t="s">
        <v>777</v>
      </c>
      <c r="F45" s="147" t="s">
        <v>837</v>
      </c>
      <c r="G45" s="370" t="s">
        <v>5</v>
      </c>
      <c r="H45" s="370" t="s">
        <v>5</v>
      </c>
      <c r="I45" s="172">
        <v>0.75</v>
      </c>
      <c r="J45" s="151">
        <v>38673</v>
      </c>
      <c r="K45" s="151">
        <v>39960</v>
      </c>
      <c r="L45" s="152">
        <f t="shared" si="0"/>
        <v>2009</v>
      </c>
      <c r="M45" s="153">
        <f>+IFERROR(INDEX([11]PARÁMETROS!$B$11:$B$37,MATCH(L45,[11]PARÁMETROS!$A$11:$A$37,0)),"")</f>
        <v>496900</v>
      </c>
      <c r="N45" s="173">
        <v>1992021088</v>
      </c>
      <c r="O45" s="153" t="s">
        <v>20</v>
      </c>
      <c r="P45" s="145" t="s">
        <v>54</v>
      </c>
      <c r="Q45" s="156" t="s">
        <v>54</v>
      </c>
      <c r="R45" s="157">
        <v>1</v>
      </c>
      <c r="S45" s="153">
        <f t="shared" si="1"/>
        <v>1992021088</v>
      </c>
      <c r="T45" s="158">
        <f t="shared" si="2"/>
        <v>4008.8973395049306</v>
      </c>
      <c r="U45" s="158">
        <f t="shared" si="3"/>
        <v>3006.673004628698</v>
      </c>
      <c r="V45" s="190">
        <v>40</v>
      </c>
      <c r="W45" s="651" t="s">
        <v>5</v>
      </c>
      <c r="X45" s="651"/>
      <c r="Y45" s="651"/>
      <c r="Z45" s="651" t="s">
        <v>5</v>
      </c>
      <c r="AA45" s="651"/>
      <c r="AB45" s="651"/>
      <c r="AC45" s="651"/>
      <c r="AD45" s="651"/>
      <c r="AE45" s="651"/>
      <c r="AF45" s="651" t="s">
        <v>5</v>
      </c>
      <c r="AG45" s="651"/>
      <c r="AH45" s="651"/>
      <c r="AI45" s="370" t="s">
        <v>5</v>
      </c>
      <c r="AJ45" s="651"/>
      <c r="AK45" s="651"/>
      <c r="AL45" s="370" t="str">
        <f>+IF(U45="","",IF(U45&gt;=[11]PARÁMETROS!$D$5,"CUMPLE","NO CUMPLE"))</f>
        <v>CUMPLE</v>
      </c>
      <c r="AM45" s="160"/>
      <c r="AN45" s="112"/>
    </row>
    <row r="46" spans="1:40" s="79" customFormat="1" ht="30" customHeight="1" x14ac:dyDescent="0.25">
      <c r="A46" s="652"/>
      <c r="B46" s="125"/>
      <c r="C46" s="408"/>
      <c r="D46" s="127" t="str">
        <f>+IFERROR(INDEX([11]CONSOLIDADO!$D$4:$D$108,MATCH('EXP GEN. 25-32'!B46,[11]CONSOLIDADO!$C$4:$C$108,0)),"")</f>
        <v/>
      </c>
      <c r="E46" s="128"/>
      <c r="F46" s="128"/>
      <c r="G46" s="368"/>
      <c r="H46" s="368"/>
      <c r="I46" s="170"/>
      <c r="J46" s="132"/>
      <c r="K46" s="132"/>
      <c r="L46" s="133" t="str">
        <f t="shared" si="0"/>
        <v/>
      </c>
      <c r="M46" s="134" t="str">
        <f>+IFERROR(INDEX([11]PARÁMETROS!$B$11:$B$37,MATCH(L46,[11]PARÁMETROS!$A$11:$A$37,0)),"")</f>
        <v/>
      </c>
      <c r="N46" s="171"/>
      <c r="O46" s="134"/>
      <c r="P46" s="125"/>
      <c r="Q46" s="137"/>
      <c r="R46" s="138"/>
      <c r="S46" s="134" t="str">
        <f t="shared" si="1"/>
        <v/>
      </c>
      <c r="T46" s="139" t="str">
        <f t="shared" si="2"/>
        <v/>
      </c>
      <c r="U46" s="139" t="str">
        <f t="shared" si="3"/>
        <v/>
      </c>
      <c r="V46" s="139"/>
      <c r="W46" s="649"/>
      <c r="X46" s="649"/>
      <c r="Y46" s="649"/>
      <c r="Z46" s="649"/>
      <c r="AA46" s="649"/>
      <c r="AB46" s="649"/>
      <c r="AC46" s="649"/>
      <c r="AD46" s="649"/>
      <c r="AE46" s="649"/>
      <c r="AF46" s="649"/>
      <c r="AG46" s="649"/>
      <c r="AH46" s="649"/>
      <c r="AI46" s="368"/>
      <c r="AJ46" s="649" t="str">
        <f>IF(U46="","",IF(SUM(U46:U48)&gt;=[11]PARÁMETROS!$H$5,"CUMPLE","NO CUMPLE"))</f>
        <v/>
      </c>
      <c r="AK46" s="649" t="str">
        <f>IF(U46="","",IF(U46&gt;=[11]PARÁMETROS!$F$5,"CUMPLE","NO CUMPLE"))</f>
        <v/>
      </c>
      <c r="AL46" s="368" t="str">
        <f>+IF(U46="","",IF(U46&gt;=[11]PARÁMETROS!$D$5,"CUMPLE","NO CUMPLE"))</f>
        <v/>
      </c>
      <c r="AM46" s="142"/>
      <c r="AN46" s="112"/>
    </row>
    <row r="47" spans="1:40" s="79" customFormat="1" ht="30" customHeight="1" x14ac:dyDescent="0.25">
      <c r="A47" s="653"/>
      <c r="B47" s="377"/>
      <c r="C47" s="409"/>
      <c r="D47" s="65" t="str">
        <f>+IFERROR(INDEX([11]CONSOLIDADO!$D$4:$D$108,MATCH('EXP GEN. 25-32'!B47,[11]CONSOLIDADO!$C$4:$C$108,0)),"")</f>
        <v/>
      </c>
      <c r="E47" s="66"/>
      <c r="F47" s="66"/>
      <c r="G47" s="369"/>
      <c r="H47" s="369"/>
      <c r="I47" s="80"/>
      <c r="J47" s="70"/>
      <c r="K47" s="70"/>
      <c r="L47" s="71" t="str">
        <f t="shared" si="0"/>
        <v/>
      </c>
      <c r="M47" s="72" t="str">
        <f>+IFERROR(INDEX([11]PARÁMETROS!$B$11:$B$37,MATCH(L47,[11]PARÁMETROS!$A$11:$A$37,0)),"")</f>
        <v/>
      </c>
      <c r="N47" s="81"/>
      <c r="O47" s="72"/>
      <c r="P47" s="377"/>
      <c r="Q47" s="75"/>
      <c r="R47" s="76"/>
      <c r="S47" s="72" t="str">
        <f t="shared" si="1"/>
        <v/>
      </c>
      <c r="T47" s="60" t="str">
        <f t="shared" si="2"/>
        <v/>
      </c>
      <c r="U47" s="60" t="str">
        <f t="shared" si="3"/>
        <v/>
      </c>
      <c r="V47" s="60"/>
      <c r="W47" s="650"/>
      <c r="X47" s="650"/>
      <c r="Y47" s="650"/>
      <c r="Z47" s="650"/>
      <c r="AA47" s="650"/>
      <c r="AB47" s="650"/>
      <c r="AC47" s="650"/>
      <c r="AD47" s="650"/>
      <c r="AE47" s="650"/>
      <c r="AF47" s="650"/>
      <c r="AG47" s="650"/>
      <c r="AH47" s="650"/>
      <c r="AI47" s="369"/>
      <c r="AJ47" s="650"/>
      <c r="AK47" s="650"/>
      <c r="AL47" s="369" t="str">
        <f>+IF(U47="","",IF(U47&gt;=[11]PARÁMETROS!$D$5,"CUMPLE","NO CUMPLE"))</f>
        <v/>
      </c>
      <c r="AM47" s="143"/>
      <c r="AN47" s="112"/>
    </row>
    <row r="48" spans="1:40" s="79" customFormat="1" ht="30" customHeight="1" x14ac:dyDescent="0.25">
      <c r="A48" s="653"/>
      <c r="B48" s="377"/>
      <c r="C48" s="409"/>
      <c r="D48" s="65" t="str">
        <f>+IFERROR(INDEX([11]CONSOLIDADO!$D$4:$D$108,MATCH('EXP GEN. 25-32'!B48,[11]CONSOLIDADO!$C$4:$C$108,0)),"")</f>
        <v/>
      </c>
      <c r="E48" s="66"/>
      <c r="F48" s="66"/>
      <c r="G48" s="369"/>
      <c r="H48" s="369"/>
      <c r="I48" s="80"/>
      <c r="J48" s="70"/>
      <c r="K48" s="70"/>
      <c r="L48" s="71" t="str">
        <f t="shared" si="0"/>
        <v/>
      </c>
      <c r="M48" s="72" t="str">
        <f>+IFERROR(INDEX([11]PARÁMETROS!$B$11:$B$37,MATCH(L48,[11]PARÁMETROS!$A$11:$A$37,0)),"")</f>
        <v/>
      </c>
      <c r="N48" s="81"/>
      <c r="O48" s="72"/>
      <c r="P48" s="377"/>
      <c r="Q48" s="75"/>
      <c r="R48" s="76"/>
      <c r="S48" s="72" t="str">
        <f t="shared" si="1"/>
        <v/>
      </c>
      <c r="T48" s="60" t="str">
        <f t="shared" si="2"/>
        <v/>
      </c>
      <c r="U48" s="60" t="str">
        <f t="shared" si="3"/>
        <v/>
      </c>
      <c r="V48" s="60"/>
      <c r="W48" s="650"/>
      <c r="X48" s="650"/>
      <c r="Y48" s="650"/>
      <c r="Z48" s="650"/>
      <c r="AA48" s="650"/>
      <c r="AB48" s="650"/>
      <c r="AC48" s="650"/>
      <c r="AD48" s="650"/>
      <c r="AE48" s="650"/>
      <c r="AF48" s="650"/>
      <c r="AG48" s="650"/>
      <c r="AH48" s="650"/>
      <c r="AI48" s="369"/>
      <c r="AJ48" s="650"/>
      <c r="AK48" s="650"/>
      <c r="AL48" s="369" t="str">
        <f>+IF(U48="","",IF(U48&gt;=[11]PARÁMETROS!$D$5,"CUMPLE","NO CUMPLE"))</f>
        <v/>
      </c>
      <c r="AM48" s="143"/>
      <c r="AN48" s="112"/>
    </row>
    <row r="49" spans="1:40" s="79" customFormat="1" ht="30" customHeight="1" x14ac:dyDescent="0.25">
      <c r="A49" s="653"/>
      <c r="B49" s="377"/>
      <c r="C49" s="409"/>
      <c r="D49" s="65" t="str">
        <f>+IFERROR(INDEX([11]CONSOLIDADO!$D$4:$D$108,MATCH('EXP GEN. 25-32'!B49,[11]CONSOLIDADO!$C$4:$C$108,0)),"")</f>
        <v/>
      </c>
      <c r="E49" s="66"/>
      <c r="F49" s="66"/>
      <c r="G49" s="369"/>
      <c r="H49" s="369"/>
      <c r="I49" s="80"/>
      <c r="J49" s="70"/>
      <c r="K49" s="70"/>
      <c r="L49" s="71" t="str">
        <f t="shared" si="0"/>
        <v/>
      </c>
      <c r="M49" s="72" t="str">
        <f>+IFERROR(INDEX([11]PARÁMETROS!$B$11:$B$37,MATCH(L49,[11]PARÁMETROS!$A$11:$A$37,0)),"")</f>
        <v/>
      </c>
      <c r="N49" s="81"/>
      <c r="O49" s="72"/>
      <c r="P49" s="377"/>
      <c r="Q49" s="75"/>
      <c r="R49" s="76"/>
      <c r="S49" s="72" t="str">
        <f t="shared" si="1"/>
        <v/>
      </c>
      <c r="T49" s="60" t="str">
        <f t="shared" si="2"/>
        <v/>
      </c>
      <c r="U49" s="60" t="str">
        <f t="shared" si="3"/>
        <v/>
      </c>
      <c r="V49" s="60"/>
      <c r="W49" s="650"/>
      <c r="X49" s="650"/>
      <c r="Y49" s="650"/>
      <c r="Z49" s="650"/>
      <c r="AA49" s="650"/>
      <c r="AB49" s="650"/>
      <c r="AC49" s="650"/>
      <c r="AD49" s="650"/>
      <c r="AE49" s="650"/>
      <c r="AF49" s="650"/>
      <c r="AG49" s="650"/>
      <c r="AH49" s="650"/>
      <c r="AI49" s="369"/>
      <c r="AJ49" s="650"/>
      <c r="AK49" s="650"/>
      <c r="AL49" s="369" t="str">
        <f>+IF(U49="","",IF(U49&gt;=[11]PARÁMETROS!$D$5,"CUMPLE","NO CUMPLE"))</f>
        <v/>
      </c>
      <c r="AM49" s="143"/>
      <c r="AN49" s="112"/>
    </row>
    <row r="50" spans="1:40" s="79" customFormat="1" ht="30" customHeight="1" x14ac:dyDescent="0.25">
      <c r="A50" s="653"/>
      <c r="B50" s="377"/>
      <c r="C50" s="409"/>
      <c r="D50" s="65" t="str">
        <f>+IFERROR(INDEX([11]CONSOLIDADO!$D$4:$D$108,MATCH('EXP GEN. 25-32'!B50,[11]CONSOLIDADO!$C$4:$C$108,0)),"")</f>
        <v/>
      </c>
      <c r="E50" s="66"/>
      <c r="F50" s="66"/>
      <c r="G50" s="369"/>
      <c r="H50" s="369"/>
      <c r="I50" s="80"/>
      <c r="J50" s="70"/>
      <c r="K50" s="70"/>
      <c r="L50" s="71" t="str">
        <f t="shared" si="0"/>
        <v/>
      </c>
      <c r="M50" s="72" t="str">
        <f>+IFERROR(INDEX([11]PARÁMETROS!$B$11:$B$37,MATCH(L50,[11]PARÁMETROS!$A$11:$A$37,0)),"")</f>
        <v/>
      </c>
      <c r="N50" s="81"/>
      <c r="O50" s="72"/>
      <c r="P50" s="377"/>
      <c r="Q50" s="75"/>
      <c r="R50" s="76"/>
      <c r="S50" s="72" t="str">
        <f t="shared" si="1"/>
        <v/>
      </c>
      <c r="T50" s="60" t="str">
        <f t="shared" si="2"/>
        <v/>
      </c>
      <c r="U50" s="60" t="str">
        <f t="shared" si="3"/>
        <v/>
      </c>
      <c r="V50" s="60"/>
      <c r="W50" s="650"/>
      <c r="X50" s="650"/>
      <c r="Y50" s="650"/>
      <c r="Z50" s="650"/>
      <c r="AA50" s="650"/>
      <c r="AB50" s="650"/>
      <c r="AC50" s="650"/>
      <c r="AD50" s="650"/>
      <c r="AE50" s="650"/>
      <c r="AF50" s="650"/>
      <c r="AG50" s="650"/>
      <c r="AH50" s="650"/>
      <c r="AI50" s="369"/>
      <c r="AJ50" s="650"/>
      <c r="AK50" s="650"/>
      <c r="AL50" s="369" t="str">
        <f>+IF(U50="","",IF(U50&gt;=[11]PARÁMETROS!$D$5,"CUMPLE","NO CUMPLE"))</f>
        <v/>
      </c>
      <c r="AM50" s="143"/>
      <c r="AN50" s="112"/>
    </row>
    <row r="51" spans="1:40" s="79" customFormat="1" ht="30" customHeight="1" thickBot="1" x14ac:dyDescent="0.3">
      <c r="A51" s="654"/>
      <c r="B51" s="145"/>
      <c r="C51" s="411"/>
      <c r="D51" s="146" t="str">
        <f>+IFERROR(INDEX([11]CONSOLIDADO!$D$4:$D$108,MATCH('EXP GEN. 25-32'!B51,[11]CONSOLIDADO!$C$4:$C$108,0)),"")</f>
        <v/>
      </c>
      <c r="E51" s="147"/>
      <c r="F51" s="147"/>
      <c r="G51" s="370"/>
      <c r="H51" s="370"/>
      <c r="I51" s="172"/>
      <c r="J51" s="151"/>
      <c r="K51" s="151"/>
      <c r="L51" s="152" t="str">
        <f t="shared" si="0"/>
        <v/>
      </c>
      <c r="M51" s="153" t="str">
        <f>+IFERROR(INDEX([11]PARÁMETROS!$B$11:$B$37,MATCH(L51,[11]PARÁMETROS!$A$11:$A$37,0)),"")</f>
        <v/>
      </c>
      <c r="N51" s="173"/>
      <c r="O51" s="153"/>
      <c r="P51" s="145"/>
      <c r="Q51" s="156"/>
      <c r="R51" s="157"/>
      <c r="S51" s="153" t="str">
        <f t="shared" si="1"/>
        <v/>
      </c>
      <c r="T51" s="158" t="str">
        <f t="shared" si="2"/>
        <v/>
      </c>
      <c r="U51" s="158" t="str">
        <f t="shared" si="3"/>
        <v/>
      </c>
      <c r="V51" s="158"/>
      <c r="W51" s="651"/>
      <c r="X51" s="651"/>
      <c r="Y51" s="651"/>
      <c r="Z51" s="651"/>
      <c r="AA51" s="651"/>
      <c r="AB51" s="651"/>
      <c r="AC51" s="651"/>
      <c r="AD51" s="651"/>
      <c r="AE51" s="651"/>
      <c r="AF51" s="651"/>
      <c r="AG51" s="651"/>
      <c r="AH51" s="651"/>
      <c r="AI51" s="370"/>
      <c r="AJ51" s="651"/>
      <c r="AK51" s="651"/>
      <c r="AL51" s="370" t="str">
        <f>+IF(U51="","",IF(U51&gt;=[11]PARÁMETROS!$D$5,"CUMPLE","NO CUMPLE"))</f>
        <v/>
      </c>
      <c r="AM51" s="160"/>
      <c r="AN51" s="112"/>
    </row>
    <row r="52" spans="1:40" s="79" customFormat="1" ht="30" customHeight="1" x14ac:dyDescent="0.25">
      <c r="A52" s="652"/>
      <c r="B52" s="125"/>
      <c r="C52" s="408"/>
      <c r="D52" s="127" t="str">
        <f>+IFERROR(INDEX([11]CONSOLIDADO!$D$4:$D$108,MATCH('EXP GEN. 25-32'!B52,[11]CONSOLIDADO!$C$4:$C$108,0)),"")</f>
        <v/>
      </c>
      <c r="E52" s="128"/>
      <c r="F52" s="128"/>
      <c r="G52" s="368"/>
      <c r="H52" s="368"/>
      <c r="I52" s="170"/>
      <c r="J52" s="132"/>
      <c r="K52" s="132"/>
      <c r="L52" s="133" t="str">
        <f t="shared" si="0"/>
        <v/>
      </c>
      <c r="M52" s="134" t="str">
        <f>+IFERROR(INDEX([11]PARÁMETROS!$B$11:$B$37,MATCH(L52,[11]PARÁMETROS!$A$11:$A$37,0)),"")</f>
        <v/>
      </c>
      <c r="N52" s="171"/>
      <c r="O52" s="134"/>
      <c r="P52" s="125"/>
      <c r="Q52" s="137"/>
      <c r="R52" s="138"/>
      <c r="S52" s="134" t="str">
        <f t="shared" si="1"/>
        <v/>
      </c>
      <c r="T52" s="139" t="str">
        <f t="shared" si="2"/>
        <v/>
      </c>
      <c r="U52" s="139" t="str">
        <f t="shared" si="3"/>
        <v/>
      </c>
      <c r="V52" s="139"/>
      <c r="W52" s="649"/>
      <c r="X52" s="649"/>
      <c r="Y52" s="649"/>
      <c r="Z52" s="649"/>
      <c r="AA52" s="649"/>
      <c r="AB52" s="649"/>
      <c r="AC52" s="649"/>
      <c r="AD52" s="649"/>
      <c r="AE52" s="649"/>
      <c r="AF52" s="649"/>
      <c r="AG52" s="649"/>
      <c r="AH52" s="649"/>
      <c r="AI52" s="368"/>
      <c r="AJ52" s="649" t="str">
        <f>IF(U52="","",IF(SUM(U52:U54)&gt;=[11]PARÁMETROS!$H$5,"CUMPLE","NO CUMPLE"))</f>
        <v/>
      </c>
      <c r="AK52" s="649" t="str">
        <f>IF(U52="","",IF(U52&gt;=[11]PARÁMETROS!$F$5,"HÁBIL","NO CUMPLE"))</f>
        <v/>
      </c>
      <c r="AL52" s="368" t="str">
        <f>+IF(U52="","",IF(U52&gt;=[11]PARÁMETROS!$D$5,"CUMPLE","NO CUMPLE"))</f>
        <v/>
      </c>
      <c r="AM52" s="142"/>
      <c r="AN52" s="112"/>
    </row>
    <row r="53" spans="1:40" s="79" customFormat="1" ht="30" customHeight="1" x14ac:dyDescent="0.25">
      <c r="A53" s="653"/>
      <c r="B53" s="377"/>
      <c r="C53" s="409"/>
      <c r="D53" s="65" t="str">
        <f>+IFERROR(INDEX([11]CONSOLIDADO!$D$4:$D$108,MATCH('EXP GEN. 25-32'!B53,[11]CONSOLIDADO!$C$4:$C$108,0)),"")</f>
        <v/>
      </c>
      <c r="E53" s="66"/>
      <c r="F53" s="66"/>
      <c r="G53" s="369"/>
      <c r="H53" s="369"/>
      <c r="I53" s="80"/>
      <c r="J53" s="70"/>
      <c r="K53" s="70"/>
      <c r="L53" s="71" t="str">
        <f t="shared" si="0"/>
        <v/>
      </c>
      <c r="M53" s="72" t="str">
        <f>+IFERROR(INDEX([11]PARÁMETROS!$B$11:$B$37,MATCH(L53,[11]PARÁMETROS!$A$11:$A$37,0)),"")</f>
        <v/>
      </c>
      <c r="N53" s="81"/>
      <c r="O53" s="72"/>
      <c r="P53" s="377"/>
      <c r="Q53" s="75"/>
      <c r="R53" s="76"/>
      <c r="S53" s="72" t="str">
        <f t="shared" si="1"/>
        <v/>
      </c>
      <c r="T53" s="60" t="str">
        <f t="shared" si="2"/>
        <v/>
      </c>
      <c r="U53" s="60" t="str">
        <f t="shared" si="3"/>
        <v/>
      </c>
      <c r="V53" s="60"/>
      <c r="W53" s="650"/>
      <c r="X53" s="650"/>
      <c r="Y53" s="650"/>
      <c r="Z53" s="650"/>
      <c r="AA53" s="650"/>
      <c r="AB53" s="650"/>
      <c r="AC53" s="650"/>
      <c r="AD53" s="650"/>
      <c r="AE53" s="650"/>
      <c r="AF53" s="650"/>
      <c r="AG53" s="650"/>
      <c r="AH53" s="650"/>
      <c r="AI53" s="369"/>
      <c r="AJ53" s="650"/>
      <c r="AK53" s="650"/>
      <c r="AL53" s="369" t="str">
        <f>+IF(U53="","",IF(U53&gt;=[11]PARÁMETROS!$D$5,"CUMPLE","NO CUMPLE"))</f>
        <v/>
      </c>
      <c r="AM53" s="143"/>
      <c r="AN53" s="112"/>
    </row>
    <row r="54" spans="1:40" s="79" customFormat="1" ht="30" customHeight="1" x14ac:dyDescent="0.25">
      <c r="A54" s="653"/>
      <c r="B54" s="377"/>
      <c r="C54" s="409"/>
      <c r="D54" s="65" t="str">
        <f>+IFERROR(INDEX([11]CONSOLIDADO!$D$4:$D$108,MATCH('EXP GEN. 25-32'!B54,[11]CONSOLIDADO!$C$4:$C$108,0)),"")</f>
        <v/>
      </c>
      <c r="E54" s="66"/>
      <c r="F54" s="66"/>
      <c r="G54" s="369"/>
      <c r="H54" s="369"/>
      <c r="I54" s="80"/>
      <c r="J54" s="70"/>
      <c r="K54" s="70"/>
      <c r="L54" s="71" t="str">
        <f t="shared" si="0"/>
        <v/>
      </c>
      <c r="M54" s="72" t="str">
        <f>+IFERROR(INDEX([11]PARÁMETROS!$B$11:$B$37,MATCH(L54,[11]PARÁMETROS!$A$11:$A$37,0)),"")</f>
        <v/>
      </c>
      <c r="N54" s="81"/>
      <c r="O54" s="72"/>
      <c r="P54" s="377"/>
      <c r="Q54" s="75"/>
      <c r="R54" s="76"/>
      <c r="S54" s="72" t="str">
        <f t="shared" si="1"/>
        <v/>
      </c>
      <c r="T54" s="60" t="str">
        <f t="shared" si="2"/>
        <v/>
      </c>
      <c r="U54" s="60" t="str">
        <f t="shared" si="3"/>
        <v/>
      </c>
      <c r="V54" s="60"/>
      <c r="W54" s="650"/>
      <c r="X54" s="650"/>
      <c r="Y54" s="650"/>
      <c r="Z54" s="650"/>
      <c r="AA54" s="650"/>
      <c r="AB54" s="650"/>
      <c r="AC54" s="650"/>
      <c r="AD54" s="650"/>
      <c r="AE54" s="650"/>
      <c r="AF54" s="650"/>
      <c r="AG54" s="650"/>
      <c r="AH54" s="650"/>
      <c r="AI54" s="369"/>
      <c r="AJ54" s="650"/>
      <c r="AK54" s="650"/>
      <c r="AL54" s="369" t="str">
        <f>+IF(U54="","",IF(U54&gt;=[11]PARÁMETROS!$D$5,"CUMPLE","NO CUMPLE"))</f>
        <v/>
      </c>
      <c r="AM54" s="143"/>
      <c r="AN54" s="112"/>
    </row>
    <row r="55" spans="1:40" s="79" customFormat="1" ht="30" customHeight="1" x14ac:dyDescent="0.25">
      <c r="A55" s="653"/>
      <c r="B55" s="377"/>
      <c r="C55" s="409"/>
      <c r="D55" s="65" t="str">
        <f>+IFERROR(INDEX([11]CONSOLIDADO!$D$4:$D$108,MATCH('EXP GEN. 25-32'!B55,[11]CONSOLIDADO!$C$4:$C$108,0)),"")</f>
        <v/>
      </c>
      <c r="E55" s="66"/>
      <c r="F55" s="66"/>
      <c r="G55" s="369"/>
      <c r="H55" s="369"/>
      <c r="I55" s="80"/>
      <c r="J55" s="70"/>
      <c r="K55" s="70"/>
      <c r="L55" s="71" t="str">
        <f t="shared" si="0"/>
        <v/>
      </c>
      <c r="M55" s="72" t="str">
        <f>+IFERROR(INDEX([11]PARÁMETROS!$B$11:$B$37,MATCH(L55,[11]PARÁMETROS!$A$11:$A$37,0)),"")</f>
        <v/>
      </c>
      <c r="N55" s="81"/>
      <c r="O55" s="72"/>
      <c r="P55" s="377"/>
      <c r="Q55" s="75"/>
      <c r="R55" s="76"/>
      <c r="S55" s="72" t="str">
        <f t="shared" si="1"/>
        <v/>
      </c>
      <c r="T55" s="60" t="str">
        <f t="shared" si="2"/>
        <v/>
      </c>
      <c r="U55" s="60" t="str">
        <f t="shared" si="3"/>
        <v/>
      </c>
      <c r="V55" s="60"/>
      <c r="W55" s="650"/>
      <c r="X55" s="650"/>
      <c r="Y55" s="650"/>
      <c r="Z55" s="650"/>
      <c r="AA55" s="650"/>
      <c r="AB55" s="650"/>
      <c r="AC55" s="650"/>
      <c r="AD55" s="650"/>
      <c r="AE55" s="650"/>
      <c r="AF55" s="650"/>
      <c r="AG55" s="650"/>
      <c r="AH55" s="650"/>
      <c r="AI55" s="369"/>
      <c r="AJ55" s="650"/>
      <c r="AK55" s="650"/>
      <c r="AL55" s="369" t="str">
        <f>+IF(U55="","",IF(U55&gt;=[11]PARÁMETROS!$D$5,"CUMPLE","NO CUMPLE"))</f>
        <v/>
      </c>
      <c r="AM55" s="143"/>
      <c r="AN55" s="112"/>
    </row>
    <row r="56" spans="1:40" s="79" customFormat="1" ht="30" customHeight="1" x14ac:dyDescent="0.25">
      <c r="A56" s="653"/>
      <c r="B56" s="377"/>
      <c r="C56" s="409"/>
      <c r="D56" s="65" t="str">
        <f>+IFERROR(INDEX([11]CONSOLIDADO!$D$4:$D$108,MATCH('EXP GEN. 25-32'!B56,[11]CONSOLIDADO!$C$4:$C$108,0)),"")</f>
        <v/>
      </c>
      <c r="E56" s="66"/>
      <c r="F56" s="66"/>
      <c r="G56" s="369"/>
      <c r="H56" s="369"/>
      <c r="I56" s="80"/>
      <c r="J56" s="70"/>
      <c r="K56" s="70"/>
      <c r="L56" s="71" t="str">
        <f t="shared" si="0"/>
        <v/>
      </c>
      <c r="M56" s="72" t="str">
        <f>+IFERROR(INDEX([11]PARÁMETROS!$B$11:$B$37,MATCH(L56,[11]PARÁMETROS!$A$11:$A$37,0)),"")</f>
        <v/>
      </c>
      <c r="N56" s="81"/>
      <c r="O56" s="72"/>
      <c r="P56" s="377"/>
      <c r="Q56" s="75"/>
      <c r="R56" s="76"/>
      <c r="S56" s="72" t="str">
        <f t="shared" si="1"/>
        <v/>
      </c>
      <c r="T56" s="60" t="str">
        <f t="shared" si="2"/>
        <v/>
      </c>
      <c r="U56" s="60" t="str">
        <f t="shared" si="3"/>
        <v/>
      </c>
      <c r="V56" s="60"/>
      <c r="W56" s="650"/>
      <c r="X56" s="650"/>
      <c r="Y56" s="650"/>
      <c r="Z56" s="650"/>
      <c r="AA56" s="650"/>
      <c r="AB56" s="650"/>
      <c r="AC56" s="650"/>
      <c r="AD56" s="650"/>
      <c r="AE56" s="650"/>
      <c r="AF56" s="650"/>
      <c r="AG56" s="650"/>
      <c r="AH56" s="650"/>
      <c r="AI56" s="369"/>
      <c r="AJ56" s="650"/>
      <c r="AK56" s="650"/>
      <c r="AL56" s="369" t="str">
        <f>+IF(U56="","",IF(U56&gt;=[11]PARÁMETROS!$D$5,"CUMPLE","NO CUMPLE"))</f>
        <v/>
      </c>
      <c r="AM56" s="143"/>
      <c r="AN56" s="112"/>
    </row>
    <row r="57" spans="1:40" s="79" customFormat="1" ht="30" customHeight="1" thickBot="1" x14ac:dyDescent="0.3">
      <c r="A57" s="654"/>
      <c r="B57" s="145"/>
      <c r="C57" s="411"/>
      <c r="D57" s="146" t="str">
        <f>+IFERROR(INDEX([11]CONSOLIDADO!$D$4:$D$108,MATCH('EXP GEN. 25-32'!B57,[11]CONSOLIDADO!$C$4:$C$108,0)),"")</f>
        <v/>
      </c>
      <c r="E57" s="147"/>
      <c r="F57" s="147"/>
      <c r="G57" s="370"/>
      <c r="H57" s="370"/>
      <c r="I57" s="172"/>
      <c r="J57" s="151"/>
      <c r="K57" s="151"/>
      <c r="L57" s="152" t="str">
        <f t="shared" si="0"/>
        <v/>
      </c>
      <c r="M57" s="153" t="str">
        <f>+IFERROR(INDEX([11]PARÁMETROS!$B$11:$B$37,MATCH(L57,[11]PARÁMETROS!$A$11:$A$37,0)),"")</f>
        <v/>
      </c>
      <c r="N57" s="173"/>
      <c r="O57" s="153"/>
      <c r="P57" s="145"/>
      <c r="Q57" s="156"/>
      <c r="R57" s="157"/>
      <c r="S57" s="153" t="str">
        <f t="shared" si="1"/>
        <v/>
      </c>
      <c r="T57" s="158" t="str">
        <f t="shared" si="2"/>
        <v/>
      </c>
      <c r="U57" s="158" t="str">
        <f t="shared" si="3"/>
        <v/>
      </c>
      <c r="V57" s="158"/>
      <c r="W57" s="651"/>
      <c r="X57" s="651"/>
      <c r="Y57" s="651"/>
      <c r="Z57" s="651"/>
      <c r="AA57" s="651"/>
      <c r="AB57" s="651"/>
      <c r="AC57" s="651"/>
      <c r="AD57" s="651"/>
      <c r="AE57" s="651"/>
      <c r="AF57" s="651"/>
      <c r="AG57" s="651"/>
      <c r="AH57" s="651"/>
      <c r="AI57" s="370"/>
      <c r="AJ57" s="651"/>
      <c r="AK57" s="651"/>
      <c r="AL57" s="370" t="str">
        <f>+IF(U57="","",IF(U57&gt;=[11]PARÁMETROS!$D$5,"CUMPLE","NO CUMPLE"))</f>
        <v/>
      </c>
      <c r="AM57" s="160"/>
      <c r="AN57" s="112"/>
    </row>
    <row r="58" spans="1:40" s="79" customFormat="1" ht="30" customHeight="1" x14ac:dyDescent="0.25">
      <c r="A58" s="652"/>
      <c r="B58" s="125"/>
      <c r="C58" s="408"/>
      <c r="D58" s="127" t="str">
        <f>+IFERROR(INDEX([11]CONSOLIDADO!$D$4:$D$108,MATCH('EXP GEN. 25-32'!B58,[11]CONSOLIDADO!$C$4:$C$108,0)),"")</f>
        <v/>
      </c>
      <c r="E58" s="128"/>
      <c r="F58" s="128"/>
      <c r="G58" s="368"/>
      <c r="H58" s="368"/>
      <c r="I58" s="170"/>
      <c r="J58" s="132"/>
      <c r="K58" s="132"/>
      <c r="L58" s="133" t="str">
        <f t="shared" si="0"/>
        <v/>
      </c>
      <c r="M58" s="134" t="str">
        <f>+IFERROR(INDEX([11]PARÁMETROS!$B$11:$B$37,MATCH(L58,[11]PARÁMETROS!$A$11:$A$37,0)),"")</f>
        <v/>
      </c>
      <c r="N58" s="171"/>
      <c r="O58" s="134"/>
      <c r="P58" s="125"/>
      <c r="Q58" s="137"/>
      <c r="R58" s="138"/>
      <c r="S58" s="134" t="str">
        <f t="shared" si="1"/>
        <v/>
      </c>
      <c r="T58" s="139" t="str">
        <f t="shared" si="2"/>
        <v/>
      </c>
      <c r="U58" s="139" t="str">
        <f t="shared" si="3"/>
        <v/>
      </c>
      <c r="V58" s="139"/>
      <c r="W58" s="649"/>
      <c r="X58" s="649"/>
      <c r="Y58" s="649"/>
      <c r="Z58" s="649"/>
      <c r="AA58" s="649"/>
      <c r="AB58" s="649"/>
      <c r="AC58" s="649"/>
      <c r="AD58" s="649"/>
      <c r="AE58" s="649"/>
      <c r="AF58" s="649"/>
      <c r="AG58" s="649"/>
      <c r="AH58" s="649"/>
      <c r="AI58" s="368"/>
      <c r="AJ58" s="649" t="str">
        <f>IF(U58="","",IF(SUM(U58:U60)&gt;=[11]PARÁMETROS!$H$5,"HÁBIL","NO CUMPLE"))</f>
        <v/>
      </c>
      <c r="AK58" s="649" t="str">
        <f>IF(U58="","",IF(U58&gt;=[11]PARÁMETROS!$F$5,"HÁBIL","NO CUMPLE"))</f>
        <v/>
      </c>
      <c r="AL58" s="368" t="str">
        <f>+IF(U58="","",IF(U58&gt;=[11]PARÁMETROS!$D$5,"CUMPLE","NO CUMPLE"))</f>
        <v/>
      </c>
      <c r="AM58" s="142"/>
      <c r="AN58" s="112"/>
    </row>
    <row r="59" spans="1:40" s="79" customFormat="1" ht="30" customHeight="1" x14ac:dyDescent="0.25">
      <c r="A59" s="653"/>
      <c r="B59" s="377"/>
      <c r="C59" s="409"/>
      <c r="D59" s="65" t="str">
        <f>+IFERROR(INDEX([11]CONSOLIDADO!$D$4:$D$108,MATCH('EXP GEN. 25-32'!B59,[11]CONSOLIDADO!$C$4:$C$108,0)),"")</f>
        <v/>
      </c>
      <c r="E59" s="66"/>
      <c r="F59" s="66"/>
      <c r="G59" s="369"/>
      <c r="H59" s="369"/>
      <c r="I59" s="80"/>
      <c r="J59" s="70"/>
      <c r="K59" s="70"/>
      <c r="L59" s="71" t="str">
        <f t="shared" si="0"/>
        <v/>
      </c>
      <c r="M59" s="72" t="str">
        <f>+IFERROR(INDEX([11]PARÁMETROS!$B$11:$B$37,MATCH(L59,[11]PARÁMETROS!$A$11:$A$37,0)),"")</f>
        <v/>
      </c>
      <c r="N59" s="81"/>
      <c r="O59" s="72"/>
      <c r="P59" s="377"/>
      <c r="Q59" s="75"/>
      <c r="R59" s="76"/>
      <c r="S59" s="72" t="str">
        <f t="shared" si="1"/>
        <v/>
      </c>
      <c r="T59" s="60" t="str">
        <f t="shared" si="2"/>
        <v/>
      </c>
      <c r="U59" s="60" t="str">
        <f t="shared" si="3"/>
        <v/>
      </c>
      <c r="V59" s="60"/>
      <c r="W59" s="650"/>
      <c r="X59" s="650"/>
      <c r="Y59" s="650"/>
      <c r="Z59" s="650"/>
      <c r="AA59" s="650"/>
      <c r="AB59" s="650"/>
      <c r="AC59" s="650"/>
      <c r="AD59" s="650"/>
      <c r="AE59" s="650"/>
      <c r="AF59" s="650"/>
      <c r="AG59" s="650"/>
      <c r="AH59" s="650"/>
      <c r="AI59" s="369"/>
      <c r="AJ59" s="650"/>
      <c r="AK59" s="650"/>
      <c r="AL59" s="369" t="str">
        <f>+IF(U59="","",IF(U59&gt;=[11]PARÁMETROS!$D$5,"CUMPLE","NO CUMPLE"))</f>
        <v/>
      </c>
      <c r="AM59" s="143"/>
      <c r="AN59" s="112"/>
    </row>
    <row r="60" spans="1:40" s="79" customFormat="1" ht="30" customHeight="1" x14ac:dyDescent="0.25">
      <c r="A60" s="653"/>
      <c r="B60" s="377"/>
      <c r="C60" s="409"/>
      <c r="D60" s="65" t="str">
        <f>+IFERROR(INDEX([11]CONSOLIDADO!$D$4:$D$108,MATCH('EXP GEN. 25-32'!B60,[11]CONSOLIDADO!$C$4:$C$108,0)),"")</f>
        <v/>
      </c>
      <c r="E60" s="66"/>
      <c r="F60" s="66"/>
      <c r="G60" s="369"/>
      <c r="H60" s="369"/>
      <c r="I60" s="80"/>
      <c r="J60" s="70"/>
      <c r="K60" s="70"/>
      <c r="L60" s="71" t="str">
        <f t="shared" si="0"/>
        <v/>
      </c>
      <c r="M60" s="72" t="str">
        <f>+IFERROR(INDEX([11]PARÁMETROS!$B$11:$B$37,MATCH(L60,[11]PARÁMETROS!$A$11:$A$37,0)),"")</f>
        <v/>
      </c>
      <c r="N60" s="81"/>
      <c r="O60" s="72"/>
      <c r="P60" s="377"/>
      <c r="Q60" s="75"/>
      <c r="R60" s="76"/>
      <c r="S60" s="72" t="str">
        <f t="shared" si="1"/>
        <v/>
      </c>
      <c r="T60" s="60" t="str">
        <f t="shared" si="2"/>
        <v/>
      </c>
      <c r="U60" s="60" t="str">
        <f t="shared" si="3"/>
        <v/>
      </c>
      <c r="V60" s="60"/>
      <c r="W60" s="650"/>
      <c r="X60" s="650"/>
      <c r="Y60" s="650"/>
      <c r="Z60" s="650"/>
      <c r="AA60" s="650"/>
      <c r="AB60" s="650"/>
      <c r="AC60" s="650"/>
      <c r="AD60" s="650"/>
      <c r="AE60" s="650"/>
      <c r="AF60" s="650"/>
      <c r="AG60" s="650"/>
      <c r="AH60" s="650"/>
      <c r="AI60" s="369"/>
      <c r="AJ60" s="650"/>
      <c r="AK60" s="650"/>
      <c r="AL60" s="369" t="str">
        <f>+IF(U60="","",IF(U60&gt;=[11]PARÁMETROS!$D$5,"CUMPLE","NO CUMPLE"))</f>
        <v/>
      </c>
      <c r="AM60" s="143"/>
      <c r="AN60" s="112"/>
    </row>
    <row r="61" spans="1:40" s="79" customFormat="1" ht="30" customHeight="1" x14ac:dyDescent="0.25">
      <c r="A61" s="653"/>
      <c r="B61" s="377"/>
      <c r="C61" s="409"/>
      <c r="D61" s="65" t="str">
        <f>+IFERROR(INDEX([11]CONSOLIDADO!$D$4:$D$108,MATCH('EXP GEN. 25-32'!B61,[11]CONSOLIDADO!$C$4:$C$108,0)),"")</f>
        <v/>
      </c>
      <c r="E61" s="66"/>
      <c r="F61" s="66"/>
      <c r="G61" s="369"/>
      <c r="H61" s="369"/>
      <c r="I61" s="80"/>
      <c r="J61" s="70"/>
      <c r="K61" s="70"/>
      <c r="L61" s="71" t="str">
        <f t="shared" si="0"/>
        <v/>
      </c>
      <c r="M61" s="72" t="str">
        <f>+IFERROR(INDEX([11]PARÁMETROS!$B$11:$B$37,MATCH(L61,[11]PARÁMETROS!$A$11:$A$37,0)),"")</f>
        <v/>
      </c>
      <c r="N61" s="81"/>
      <c r="O61" s="72"/>
      <c r="P61" s="377"/>
      <c r="Q61" s="75"/>
      <c r="R61" s="76"/>
      <c r="S61" s="72" t="str">
        <f t="shared" si="1"/>
        <v/>
      </c>
      <c r="T61" s="60" t="str">
        <f t="shared" si="2"/>
        <v/>
      </c>
      <c r="U61" s="60" t="str">
        <f t="shared" si="3"/>
        <v/>
      </c>
      <c r="V61" s="60"/>
      <c r="W61" s="650"/>
      <c r="X61" s="650"/>
      <c r="Y61" s="650"/>
      <c r="Z61" s="650"/>
      <c r="AA61" s="650"/>
      <c r="AB61" s="650"/>
      <c r="AC61" s="650"/>
      <c r="AD61" s="650"/>
      <c r="AE61" s="650"/>
      <c r="AF61" s="650"/>
      <c r="AG61" s="650"/>
      <c r="AH61" s="650"/>
      <c r="AI61" s="369"/>
      <c r="AJ61" s="650"/>
      <c r="AK61" s="650"/>
      <c r="AL61" s="369" t="str">
        <f>+IF(U61="","",IF(U61&gt;=[11]PARÁMETROS!$D$5,"CUMPLE","NO CUMPLE"))</f>
        <v/>
      </c>
      <c r="AM61" s="143"/>
      <c r="AN61" s="112"/>
    </row>
    <row r="62" spans="1:40" s="79" customFormat="1" ht="30" customHeight="1" x14ac:dyDescent="0.25">
      <c r="A62" s="653"/>
      <c r="B62" s="377"/>
      <c r="C62" s="409"/>
      <c r="D62" s="65" t="str">
        <f>+IFERROR(INDEX([11]CONSOLIDADO!$D$4:$D$108,MATCH('EXP GEN. 25-32'!B62,[11]CONSOLIDADO!$C$4:$C$108,0)),"")</f>
        <v/>
      </c>
      <c r="E62" s="66"/>
      <c r="F62" s="66"/>
      <c r="G62" s="369"/>
      <c r="H62" s="369"/>
      <c r="I62" s="80"/>
      <c r="J62" s="70"/>
      <c r="K62" s="70"/>
      <c r="L62" s="71" t="str">
        <f t="shared" si="0"/>
        <v/>
      </c>
      <c r="M62" s="72" t="str">
        <f>+IFERROR(INDEX([11]PARÁMETROS!$B$11:$B$37,MATCH(L62,[11]PARÁMETROS!$A$11:$A$37,0)),"")</f>
        <v/>
      </c>
      <c r="N62" s="81"/>
      <c r="O62" s="72"/>
      <c r="P62" s="377"/>
      <c r="Q62" s="75"/>
      <c r="R62" s="76"/>
      <c r="S62" s="72" t="str">
        <f t="shared" si="1"/>
        <v/>
      </c>
      <c r="T62" s="60" t="str">
        <f t="shared" si="2"/>
        <v/>
      </c>
      <c r="U62" s="60" t="str">
        <f t="shared" si="3"/>
        <v/>
      </c>
      <c r="V62" s="60"/>
      <c r="W62" s="650"/>
      <c r="X62" s="650"/>
      <c r="Y62" s="650"/>
      <c r="Z62" s="650"/>
      <c r="AA62" s="650"/>
      <c r="AB62" s="650"/>
      <c r="AC62" s="650"/>
      <c r="AD62" s="650"/>
      <c r="AE62" s="650"/>
      <c r="AF62" s="650"/>
      <c r="AG62" s="650"/>
      <c r="AH62" s="650"/>
      <c r="AI62" s="369"/>
      <c r="AJ62" s="650"/>
      <c r="AK62" s="650"/>
      <c r="AL62" s="369" t="str">
        <f>+IF(U62="","",IF(U62&gt;=[11]PARÁMETROS!$D$5,"CUMPLE","NO CUMPLE"))</f>
        <v/>
      </c>
      <c r="AM62" s="143"/>
      <c r="AN62" s="112"/>
    </row>
    <row r="63" spans="1:40" s="79" customFormat="1" ht="30" customHeight="1" thickBot="1" x14ac:dyDescent="0.3">
      <c r="A63" s="654"/>
      <c r="B63" s="145"/>
      <c r="C63" s="411"/>
      <c r="D63" s="146" t="str">
        <f>+IFERROR(INDEX([11]CONSOLIDADO!$D$4:$D$108,MATCH('EXP GEN. 25-32'!B63,[11]CONSOLIDADO!$C$4:$C$108,0)),"")</f>
        <v/>
      </c>
      <c r="E63" s="147"/>
      <c r="F63" s="147"/>
      <c r="G63" s="370"/>
      <c r="H63" s="370"/>
      <c r="I63" s="172"/>
      <c r="J63" s="151"/>
      <c r="K63" s="151"/>
      <c r="L63" s="152" t="str">
        <f t="shared" si="0"/>
        <v/>
      </c>
      <c r="M63" s="153" t="str">
        <f>+IFERROR(INDEX([11]PARÁMETROS!$B$11:$B$37,MATCH(L63,[11]PARÁMETROS!$A$11:$A$37,0)),"")</f>
        <v/>
      </c>
      <c r="N63" s="173"/>
      <c r="O63" s="153"/>
      <c r="P63" s="145"/>
      <c r="Q63" s="156"/>
      <c r="R63" s="157"/>
      <c r="S63" s="153" t="str">
        <f t="shared" si="1"/>
        <v/>
      </c>
      <c r="T63" s="158" t="str">
        <f t="shared" si="2"/>
        <v/>
      </c>
      <c r="U63" s="158" t="str">
        <f t="shared" si="3"/>
        <v/>
      </c>
      <c r="V63" s="158"/>
      <c r="W63" s="651"/>
      <c r="X63" s="651"/>
      <c r="Y63" s="651"/>
      <c r="Z63" s="651"/>
      <c r="AA63" s="651"/>
      <c r="AB63" s="651"/>
      <c r="AC63" s="651"/>
      <c r="AD63" s="651"/>
      <c r="AE63" s="651"/>
      <c r="AF63" s="651"/>
      <c r="AG63" s="651"/>
      <c r="AH63" s="651"/>
      <c r="AI63" s="370"/>
      <c r="AJ63" s="651"/>
      <c r="AK63" s="651"/>
      <c r="AL63" s="370" t="str">
        <f>+IF(U63="","",IF(U63&gt;=[11]PARÁMETROS!$D$5,"CUMPLE","NO CUMPLE"))</f>
        <v/>
      </c>
      <c r="AM63" s="160"/>
      <c r="AN63" s="112"/>
    </row>
    <row r="64" spans="1:40" s="79" customFormat="1" ht="30" customHeight="1" x14ac:dyDescent="0.25">
      <c r="A64" s="652"/>
      <c r="B64" s="125"/>
      <c r="C64" s="408"/>
      <c r="D64" s="127" t="str">
        <f>+IFERROR(INDEX([11]CONSOLIDADO!$D$4:$D$108,MATCH('EXP GEN. 25-32'!B64,[11]CONSOLIDADO!$C$4:$C$108,0)),"")</f>
        <v/>
      </c>
      <c r="E64" s="128"/>
      <c r="F64" s="128"/>
      <c r="G64" s="368"/>
      <c r="H64" s="368"/>
      <c r="I64" s="170"/>
      <c r="J64" s="132"/>
      <c r="K64" s="132"/>
      <c r="L64" s="133" t="str">
        <f t="shared" si="0"/>
        <v/>
      </c>
      <c r="M64" s="134" t="str">
        <f>+IFERROR(INDEX([11]PARÁMETROS!$B$11:$B$37,MATCH(L64,[11]PARÁMETROS!$A$11:$A$37,0)),"")</f>
        <v/>
      </c>
      <c r="N64" s="171"/>
      <c r="O64" s="134"/>
      <c r="P64" s="125"/>
      <c r="Q64" s="137"/>
      <c r="R64" s="138"/>
      <c r="S64" s="134" t="str">
        <f t="shared" si="1"/>
        <v/>
      </c>
      <c r="T64" s="139" t="str">
        <f t="shared" si="2"/>
        <v/>
      </c>
      <c r="U64" s="139" t="str">
        <f t="shared" si="3"/>
        <v/>
      </c>
      <c r="V64" s="139"/>
      <c r="W64" s="649"/>
      <c r="X64" s="649"/>
      <c r="Y64" s="649"/>
      <c r="Z64" s="649"/>
      <c r="AA64" s="649"/>
      <c r="AB64" s="649"/>
      <c r="AC64" s="649"/>
      <c r="AD64" s="649"/>
      <c r="AE64" s="649"/>
      <c r="AF64" s="649"/>
      <c r="AG64" s="649"/>
      <c r="AH64" s="649"/>
      <c r="AI64" s="368"/>
      <c r="AJ64" s="649" t="str">
        <f>IF(U64="","",IF(SUM(U64:U66)&gt;=[11]PARÁMETROS!$H$5,"HÁBIL","NO HÁBIL"))</f>
        <v/>
      </c>
      <c r="AK64" s="649" t="str">
        <f>IF(U64="","",IF(U64&gt;=[11]PARÁMETROS!$F$5,"HÁBIL","NO HÁBIL"))</f>
        <v/>
      </c>
      <c r="AL64" s="368" t="str">
        <f>+IF(U64="","",IF(U64&gt;=[11]PARÁMETROS!$D$5,"CUMPLE","NO CUMPLE"))</f>
        <v/>
      </c>
      <c r="AM64" s="142"/>
      <c r="AN64" s="112"/>
    </row>
    <row r="65" spans="1:40" s="79" customFormat="1" ht="30" customHeight="1" x14ac:dyDescent="0.25">
      <c r="A65" s="653"/>
      <c r="B65" s="377"/>
      <c r="C65" s="409"/>
      <c r="D65" s="65" t="str">
        <f>+IFERROR(INDEX([11]CONSOLIDADO!$D$4:$D$108,MATCH('EXP GEN. 25-32'!B65,[11]CONSOLIDADO!$C$4:$C$108,0)),"")</f>
        <v/>
      </c>
      <c r="E65" s="66"/>
      <c r="F65" s="66"/>
      <c r="G65" s="369"/>
      <c r="H65" s="369"/>
      <c r="I65" s="80"/>
      <c r="J65" s="70"/>
      <c r="K65" s="70"/>
      <c r="L65" s="71" t="str">
        <f t="shared" si="0"/>
        <v/>
      </c>
      <c r="M65" s="72" t="str">
        <f>+IFERROR(INDEX([11]PARÁMETROS!$B$11:$B$37,MATCH(L65,[11]PARÁMETROS!$A$11:$A$37,0)),"")</f>
        <v/>
      </c>
      <c r="N65" s="81"/>
      <c r="O65" s="72"/>
      <c r="P65" s="377"/>
      <c r="Q65" s="75"/>
      <c r="R65" s="76"/>
      <c r="S65" s="72" t="str">
        <f t="shared" si="1"/>
        <v/>
      </c>
      <c r="T65" s="60" t="str">
        <f t="shared" si="2"/>
        <v/>
      </c>
      <c r="U65" s="60" t="str">
        <f t="shared" si="3"/>
        <v/>
      </c>
      <c r="V65" s="60"/>
      <c r="W65" s="650"/>
      <c r="X65" s="650"/>
      <c r="Y65" s="650"/>
      <c r="Z65" s="650"/>
      <c r="AA65" s="650"/>
      <c r="AB65" s="650"/>
      <c r="AC65" s="650"/>
      <c r="AD65" s="650"/>
      <c r="AE65" s="650"/>
      <c r="AF65" s="650"/>
      <c r="AG65" s="650"/>
      <c r="AH65" s="650"/>
      <c r="AI65" s="369"/>
      <c r="AJ65" s="650"/>
      <c r="AK65" s="650"/>
      <c r="AL65" s="369" t="str">
        <f>+IF(U65="","",IF(U65&gt;=[11]PARÁMETROS!$D$5,"CUMPLE","NO CUMPLE"))</f>
        <v/>
      </c>
      <c r="AM65" s="143"/>
      <c r="AN65" s="112"/>
    </row>
    <row r="66" spans="1:40" s="79" customFormat="1" ht="30" customHeight="1" x14ac:dyDescent="0.25">
      <c r="A66" s="653"/>
      <c r="B66" s="377"/>
      <c r="C66" s="409"/>
      <c r="D66" s="65" t="str">
        <f>+IFERROR(INDEX([11]CONSOLIDADO!$D$4:$D$108,MATCH('EXP GEN. 25-32'!B66,[11]CONSOLIDADO!$C$4:$C$108,0)),"")</f>
        <v/>
      </c>
      <c r="E66" s="66"/>
      <c r="F66" s="66"/>
      <c r="G66" s="369"/>
      <c r="H66" s="369"/>
      <c r="I66" s="80"/>
      <c r="J66" s="70"/>
      <c r="K66" s="70"/>
      <c r="L66" s="71" t="str">
        <f t="shared" si="0"/>
        <v/>
      </c>
      <c r="M66" s="72" t="str">
        <f>+IFERROR(INDEX([11]PARÁMETROS!$B$11:$B$37,MATCH(L66,[11]PARÁMETROS!$A$11:$A$37,0)),"")</f>
        <v/>
      </c>
      <c r="N66" s="81"/>
      <c r="O66" s="72"/>
      <c r="P66" s="377"/>
      <c r="Q66" s="75"/>
      <c r="R66" s="76"/>
      <c r="S66" s="72" t="str">
        <f t="shared" si="1"/>
        <v/>
      </c>
      <c r="T66" s="60" t="str">
        <f t="shared" si="2"/>
        <v/>
      </c>
      <c r="U66" s="60" t="str">
        <f t="shared" si="3"/>
        <v/>
      </c>
      <c r="V66" s="60"/>
      <c r="W66" s="650"/>
      <c r="X66" s="650"/>
      <c r="Y66" s="650"/>
      <c r="Z66" s="650"/>
      <c r="AA66" s="650"/>
      <c r="AB66" s="650"/>
      <c r="AC66" s="650"/>
      <c r="AD66" s="650"/>
      <c r="AE66" s="650"/>
      <c r="AF66" s="650"/>
      <c r="AG66" s="650"/>
      <c r="AH66" s="650"/>
      <c r="AI66" s="369"/>
      <c r="AJ66" s="650"/>
      <c r="AK66" s="650"/>
      <c r="AL66" s="369" t="str">
        <f>+IF(U66="","",IF(U66&gt;=[11]PARÁMETROS!$D$5,"CUMPLE","NO CUMPLE"))</f>
        <v/>
      </c>
      <c r="AM66" s="143"/>
      <c r="AN66" s="112"/>
    </row>
    <row r="67" spans="1:40" s="79" customFormat="1" ht="30" customHeight="1" x14ac:dyDescent="0.25">
      <c r="A67" s="653"/>
      <c r="B67" s="377"/>
      <c r="C67" s="409"/>
      <c r="D67" s="65" t="str">
        <f>+IFERROR(INDEX([11]CONSOLIDADO!$D$4:$D$108,MATCH('EXP GEN. 25-32'!B67,[11]CONSOLIDADO!$C$4:$C$108,0)),"")</f>
        <v/>
      </c>
      <c r="E67" s="66"/>
      <c r="F67" s="66"/>
      <c r="G67" s="369"/>
      <c r="H67" s="369"/>
      <c r="I67" s="80"/>
      <c r="J67" s="70"/>
      <c r="K67" s="70"/>
      <c r="L67" s="71" t="str">
        <f t="shared" si="0"/>
        <v/>
      </c>
      <c r="M67" s="72" t="str">
        <f>+IFERROR(INDEX([11]PARÁMETROS!$B$11:$B$37,MATCH(L67,[11]PARÁMETROS!$A$11:$A$37,0)),"")</f>
        <v/>
      </c>
      <c r="N67" s="81"/>
      <c r="O67" s="72"/>
      <c r="P67" s="377"/>
      <c r="Q67" s="75"/>
      <c r="R67" s="76"/>
      <c r="S67" s="72" t="str">
        <f t="shared" si="1"/>
        <v/>
      </c>
      <c r="T67" s="60" t="str">
        <f t="shared" si="2"/>
        <v/>
      </c>
      <c r="U67" s="60" t="str">
        <f t="shared" si="3"/>
        <v/>
      </c>
      <c r="V67" s="60"/>
      <c r="W67" s="650"/>
      <c r="X67" s="650"/>
      <c r="Y67" s="650"/>
      <c r="Z67" s="650"/>
      <c r="AA67" s="650"/>
      <c r="AB67" s="650"/>
      <c r="AC67" s="650"/>
      <c r="AD67" s="650"/>
      <c r="AE67" s="650"/>
      <c r="AF67" s="650"/>
      <c r="AG67" s="650"/>
      <c r="AH67" s="650"/>
      <c r="AI67" s="369"/>
      <c r="AJ67" s="650"/>
      <c r="AK67" s="650"/>
      <c r="AL67" s="369" t="str">
        <f>+IF(U67="","",IF(U67&gt;=[11]PARÁMETROS!$D$5,"CUMPLE","NO CUMPLE"))</f>
        <v/>
      </c>
      <c r="AM67" s="143"/>
      <c r="AN67" s="112"/>
    </row>
    <row r="68" spans="1:40" s="79" customFormat="1" ht="30" customHeight="1" x14ac:dyDescent="0.25">
      <c r="A68" s="653"/>
      <c r="B68" s="377"/>
      <c r="C68" s="409"/>
      <c r="D68" s="65" t="str">
        <f>+IFERROR(INDEX([11]CONSOLIDADO!$D$4:$D$108,MATCH('EXP GEN. 25-32'!B68,[11]CONSOLIDADO!$C$4:$C$108,0)),"")</f>
        <v/>
      </c>
      <c r="E68" s="66"/>
      <c r="F68" s="66"/>
      <c r="G68" s="369"/>
      <c r="H68" s="369"/>
      <c r="I68" s="80"/>
      <c r="J68" s="70"/>
      <c r="K68" s="70"/>
      <c r="L68" s="71" t="str">
        <f t="shared" ref="L68:L75" si="6">IF(K68="","",YEAR(K68))</f>
        <v/>
      </c>
      <c r="M68" s="72" t="str">
        <f>+IFERROR(INDEX([11]PARÁMETROS!$B$11:$B$37,MATCH(L68,[11]PARÁMETROS!$A$11:$A$37,0)),"")</f>
        <v/>
      </c>
      <c r="N68" s="81"/>
      <c r="O68" s="72"/>
      <c r="P68" s="377"/>
      <c r="Q68" s="75"/>
      <c r="R68" s="76"/>
      <c r="S68" s="72" t="str">
        <f t="shared" ref="S68:S75" si="7">IF(R68&lt;&gt;"",N68*R68,"")</f>
        <v/>
      </c>
      <c r="T68" s="60" t="str">
        <f t="shared" ref="T68:T75" si="8">+IFERROR(S68/M68,"")</f>
        <v/>
      </c>
      <c r="U68" s="60" t="str">
        <f t="shared" ref="U68:U75" si="9">IFERROR(T68*I68,"")</f>
        <v/>
      </c>
      <c r="V68" s="60"/>
      <c r="W68" s="650"/>
      <c r="X68" s="650"/>
      <c r="Y68" s="650"/>
      <c r="Z68" s="650"/>
      <c r="AA68" s="650"/>
      <c r="AB68" s="650"/>
      <c r="AC68" s="650"/>
      <c r="AD68" s="650"/>
      <c r="AE68" s="650"/>
      <c r="AF68" s="650"/>
      <c r="AG68" s="650"/>
      <c r="AH68" s="650"/>
      <c r="AI68" s="369"/>
      <c r="AJ68" s="650"/>
      <c r="AK68" s="650"/>
      <c r="AL68" s="369" t="str">
        <f>+IF(U68="","",IF(U68&gt;=[11]PARÁMETROS!$D$5,"CUMPLE","NO CUMPLE"))</f>
        <v/>
      </c>
      <c r="AM68" s="143"/>
      <c r="AN68" s="112"/>
    </row>
    <row r="69" spans="1:40" s="79" customFormat="1" ht="30" customHeight="1" thickBot="1" x14ac:dyDescent="0.3">
      <c r="A69" s="654"/>
      <c r="B69" s="145"/>
      <c r="C69" s="411"/>
      <c r="D69" s="146" t="str">
        <f>+IFERROR(INDEX([11]CONSOLIDADO!$D$4:$D$108,MATCH('EXP GEN. 25-32'!B69,[11]CONSOLIDADO!$C$4:$C$108,0)),"")</f>
        <v/>
      </c>
      <c r="E69" s="147"/>
      <c r="F69" s="147"/>
      <c r="G69" s="370"/>
      <c r="H69" s="370"/>
      <c r="I69" s="172"/>
      <c r="J69" s="151"/>
      <c r="K69" s="151"/>
      <c r="L69" s="152" t="str">
        <f t="shared" si="6"/>
        <v/>
      </c>
      <c r="M69" s="153" t="str">
        <f>+IFERROR(INDEX([11]PARÁMETROS!$B$11:$B$37,MATCH(L69,[11]PARÁMETROS!$A$11:$A$37,0)),"")</f>
        <v/>
      </c>
      <c r="N69" s="173"/>
      <c r="O69" s="153"/>
      <c r="P69" s="145"/>
      <c r="Q69" s="156"/>
      <c r="R69" s="157"/>
      <c r="S69" s="153" t="str">
        <f t="shared" si="7"/>
        <v/>
      </c>
      <c r="T69" s="158" t="str">
        <f t="shared" si="8"/>
        <v/>
      </c>
      <c r="U69" s="158" t="str">
        <f t="shared" si="9"/>
        <v/>
      </c>
      <c r="V69" s="158"/>
      <c r="W69" s="651"/>
      <c r="X69" s="651"/>
      <c r="Y69" s="651"/>
      <c r="Z69" s="651"/>
      <c r="AA69" s="651"/>
      <c r="AB69" s="651"/>
      <c r="AC69" s="651"/>
      <c r="AD69" s="651"/>
      <c r="AE69" s="651"/>
      <c r="AF69" s="651"/>
      <c r="AG69" s="651"/>
      <c r="AH69" s="651"/>
      <c r="AI69" s="370"/>
      <c r="AJ69" s="651"/>
      <c r="AK69" s="651"/>
      <c r="AL69" s="370" t="str">
        <f>+IF(U69="","",IF(U69&gt;=[11]PARÁMETROS!$D$5,"CUMPLE","NO CUMPLE"))</f>
        <v/>
      </c>
      <c r="AM69" s="160"/>
      <c r="AN69" s="112"/>
    </row>
    <row r="70" spans="1:40" s="79" customFormat="1" ht="30" customHeight="1" x14ac:dyDescent="0.25">
      <c r="A70" s="652"/>
      <c r="B70" s="125"/>
      <c r="C70" s="408"/>
      <c r="D70" s="127" t="str">
        <f>+IFERROR(INDEX([11]CONSOLIDADO!$D$4:$D$108,MATCH('EXP GEN. 25-32'!B70,[11]CONSOLIDADO!$C$4:$C$108,0)),"")</f>
        <v/>
      </c>
      <c r="E70" s="128"/>
      <c r="F70" s="128"/>
      <c r="G70" s="368"/>
      <c r="H70" s="368"/>
      <c r="I70" s="170"/>
      <c r="J70" s="132"/>
      <c r="K70" s="132"/>
      <c r="L70" s="133" t="str">
        <f t="shared" si="6"/>
        <v/>
      </c>
      <c r="M70" s="134" t="str">
        <f>+IFERROR(INDEX([11]PARÁMETROS!$B$11:$B$37,MATCH(L70,[11]PARÁMETROS!$A$11:$A$37,0)),"")</f>
        <v/>
      </c>
      <c r="N70" s="171"/>
      <c r="O70" s="134"/>
      <c r="P70" s="125"/>
      <c r="Q70" s="137"/>
      <c r="R70" s="138"/>
      <c r="S70" s="134" t="str">
        <f t="shared" si="7"/>
        <v/>
      </c>
      <c r="T70" s="139" t="str">
        <f t="shared" si="8"/>
        <v/>
      </c>
      <c r="U70" s="139" t="str">
        <f t="shared" si="9"/>
        <v/>
      </c>
      <c r="V70" s="139"/>
      <c r="W70" s="649"/>
      <c r="X70" s="649"/>
      <c r="Y70" s="649"/>
      <c r="Z70" s="649"/>
      <c r="AA70" s="649"/>
      <c r="AB70" s="649"/>
      <c r="AC70" s="649"/>
      <c r="AD70" s="649"/>
      <c r="AE70" s="649"/>
      <c r="AF70" s="649"/>
      <c r="AG70" s="649"/>
      <c r="AH70" s="649"/>
      <c r="AI70" s="368"/>
      <c r="AJ70" s="649" t="str">
        <f>IF(U70="","",IF(SUM(U70:U72)&gt;=[11]PARÁMETROS!$H$5,"HÁBIL","NO HÁBIL"))</f>
        <v/>
      </c>
      <c r="AK70" s="649" t="str">
        <f>IF(U70="","",IF(U70&gt;=[11]PARÁMETROS!$F$5,"HÁBIL","NO HÁBIL"))</f>
        <v/>
      </c>
      <c r="AL70" s="368" t="str">
        <f>+IF(U70="","",IF(U70&gt;=[11]PARÁMETROS!$D$5,"CUMPLE","NO CUMPLE"))</f>
        <v/>
      </c>
      <c r="AM70" s="142"/>
      <c r="AN70" s="112"/>
    </row>
    <row r="71" spans="1:40" s="79" customFormat="1" ht="30" customHeight="1" x14ac:dyDescent="0.25">
      <c r="A71" s="653"/>
      <c r="B71" s="377"/>
      <c r="C71" s="409"/>
      <c r="D71" s="65" t="str">
        <f>+IFERROR(INDEX([11]CONSOLIDADO!$D$4:$D$108,MATCH('EXP GEN. 25-32'!B71,[11]CONSOLIDADO!$C$4:$C$108,0)),"")</f>
        <v/>
      </c>
      <c r="E71" s="66"/>
      <c r="F71" s="66"/>
      <c r="G71" s="369"/>
      <c r="H71" s="369"/>
      <c r="I71" s="80"/>
      <c r="J71" s="70"/>
      <c r="K71" s="70"/>
      <c r="L71" s="71" t="str">
        <f t="shared" si="6"/>
        <v/>
      </c>
      <c r="M71" s="72" t="str">
        <f>+IFERROR(INDEX([11]PARÁMETROS!$B$11:$B$37,MATCH(L71,[11]PARÁMETROS!$A$11:$A$37,0)),"")</f>
        <v/>
      </c>
      <c r="N71" s="81"/>
      <c r="O71" s="72"/>
      <c r="P71" s="377"/>
      <c r="Q71" s="75"/>
      <c r="R71" s="76"/>
      <c r="S71" s="72" t="str">
        <f t="shared" si="7"/>
        <v/>
      </c>
      <c r="T71" s="60" t="str">
        <f t="shared" si="8"/>
        <v/>
      </c>
      <c r="U71" s="60" t="str">
        <f t="shared" si="9"/>
        <v/>
      </c>
      <c r="V71" s="60"/>
      <c r="W71" s="650"/>
      <c r="X71" s="650"/>
      <c r="Y71" s="650"/>
      <c r="Z71" s="650"/>
      <c r="AA71" s="650"/>
      <c r="AB71" s="650"/>
      <c r="AC71" s="650"/>
      <c r="AD71" s="650"/>
      <c r="AE71" s="650"/>
      <c r="AF71" s="650"/>
      <c r="AG71" s="650"/>
      <c r="AH71" s="650"/>
      <c r="AI71" s="369"/>
      <c r="AJ71" s="650"/>
      <c r="AK71" s="650"/>
      <c r="AL71" s="369" t="str">
        <f>+IF(U71="","",IF(U71&gt;=[11]PARÁMETROS!$D$5,"CUMPLE","NO CUMPLE"))</f>
        <v/>
      </c>
      <c r="AM71" s="143"/>
      <c r="AN71" s="112"/>
    </row>
    <row r="72" spans="1:40" s="79" customFormat="1" ht="30" customHeight="1" x14ac:dyDescent="0.25">
      <c r="A72" s="653"/>
      <c r="B72" s="377"/>
      <c r="C72" s="409"/>
      <c r="D72" s="65" t="str">
        <f>+IFERROR(INDEX([11]CONSOLIDADO!$D$4:$D$108,MATCH('EXP GEN. 25-32'!B72,[11]CONSOLIDADO!$C$4:$C$108,0)),"")</f>
        <v/>
      </c>
      <c r="E72" s="66"/>
      <c r="F72" s="66"/>
      <c r="G72" s="369"/>
      <c r="H72" s="369"/>
      <c r="I72" s="80"/>
      <c r="J72" s="70"/>
      <c r="K72" s="70"/>
      <c r="L72" s="71" t="str">
        <f t="shared" si="6"/>
        <v/>
      </c>
      <c r="M72" s="72" t="str">
        <f>+IFERROR(INDEX([11]PARÁMETROS!$B$11:$B$37,MATCH(L72,[11]PARÁMETROS!$A$11:$A$37,0)),"")</f>
        <v/>
      </c>
      <c r="N72" s="81"/>
      <c r="O72" s="72"/>
      <c r="P72" s="377"/>
      <c r="Q72" s="75"/>
      <c r="R72" s="76"/>
      <c r="S72" s="72" t="str">
        <f t="shared" si="7"/>
        <v/>
      </c>
      <c r="T72" s="60" t="str">
        <f t="shared" si="8"/>
        <v/>
      </c>
      <c r="U72" s="60" t="str">
        <f t="shared" si="9"/>
        <v/>
      </c>
      <c r="V72" s="60"/>
      <c r="W72" s="650"/>
      <c r="X72" s="650"/>
      <c r="Y72" s="650"/>
      <c r="Z72" s="650"/>
      <c r="AA72" s="650"/>
      <c r="AB72" s="650"/>
      <c r="AC72" s="650"/>
      <c r="AD72" s="650"/>
      <c r="AE72" s="650"/>
      <c r="AF72" s="650"/>
      <c r="AG72" s="650"/>
      <c r="AH72" s="650"/>
      <c r="AI72" s="369"/>
      <c r="AJ72" s="650"/>
      <c r="AK72" s="650"/>
      <c r="AL72" s="369" t="str">
        <f>+IF(U72="","",IF(U72&gt;=[11]PARÁMETROS!$D$5,"CUMPLE","NO CUMPLE"))</f>
        <v/>
      </c>
      <c r="AM72" s="143"/>
      <c r="AN72" s="112"/>
    </row>
    <row r="73" spans="1:40" s="79" customFormat="1" ht="30" customHeight="1" x14ac:dyDescent="0.25">
      <c r="A73" s="653"/>
      <c r="B73" s="377"/>
      <c r="C73" s="409"/>
      <c r="D73" s="65" t="str">
        <f>+IFERROR(INDEX([11]CONSOLIDADO!$D$4:$D$108,MATCH('EXP GEN. 25-32'!B73,[11]CONSOLIDADO!$C$4:$C$108,0)),"")</f>
        <v/>
      </c>
      <c r="E73" s="66"/>
      <c r="F73" s="66"/>
      <c r="G73" s="369"/>
      <c r="H73" s="369"/>
      <c r="I73" s="80"/>
      <c r="J73" s="70"/>
      <c r="K73" s="70"/>
      <c r="L73" s="71" t="str">
        <f t="shared" si="6"/>
        <v/>
      </c>
      <c r="M73" s="72" t="str">
        <f>+IFERROR(INDEX([11]PARÁMETROS!$B$11:$B$37,MATCH(L73,[11]PARÁMETROS!$A$11:$A$37,0)),"")</f>
        <v/>
      </c>
      <c r="N73" s="81"/>
      <c r="O73" s="72"/>
      <c r="P73" s="377"/>
      <c r="Q73" s="75"/>
      <c r="R73" s="76"/>
      <c r="S73" s="72" t="str">
        <f t="shared" si="7"/>
        <v/>
      </c>
      <c r="T73" s="60" t="str">
        <f t="shared" si="8"/>
        <v/>
      </c>
      <c r="U73" s="60" t="str">
        <f t="shared" si="9"/>
        <v/>
      </c>
      <c r="V73" s="60"/>
      <c r="W73" s="650"/>
      <c r="X73" s="650"/>
      <c r="Y73" s="650"/>
      <c r="Z73" s="650"/>
      <c r="AA73" s="650"/>
      <c r="AB73" s="650"/>
      <c r="AC73" s="650"/>
      <c r="AD73" s="650"/>
      <c r="AE73" s="650"/>
      <c r="AF73" s="650"/>
      <c r="AG73" s="650"/>
      <c r="AH73" s="650"/>
      <c r="AI73" s="369"/>
      <c r="AJ73" s="650"/>
      <c r="AK73" s="650"/>
      <c r="AL73" s="369" t="str">
        <f>+IF(U73="","",IF(U73&gt;=[11]PARÁMETROS!$D$5,"CUMPLE","NO CUMPLE"))</f>
        <v/>
      </c>
      <c r="AM73" s="143"/>
      <c r="AN73" s="112"/>
    </row>
    <row r="74" spans="1:40" s="79" customFormat="1" ht="30" customHeight="1" x14ac:dyDescent="0.25">
      <c r="A74" s="653"/>
      <c r="B74" s="377"/>
      <c r="C74" s="409"/>
      <c r="D74" s="65" t="str">
        <f>+IFERROR(INDEX([11]CONSOLIDADO!$D$4:$D$108,MATCH('EXP GEN. 25-32'!B74,[11]CONSOLIDADO!$C$4:$C$108,0)),"")</f>
        <v/>
      </c>
      <c r="E74" s="66"/>
      <c r="F74" s="66"/>
      <c r="G74" s="369"/>
      <c r="H74" s="369"/>
      <c r="I74" s="80"/>
      <c r="J74" s="70"/>
      <c r="K74" s="70"/>
      <c r="L74" s="71" t="str">
        <f t="shared" si="6"/>
        <v/>
      </c>
      <c r="M74" s="72" t="str">
        <f>+IFERROR(INDEX([11]PARÁMETROS!$B$11:$B$37,MATCH(L74,[11]PARÁMETROS!$A$11:$A$37,0)),"")</f>
        <v/>
      </c>
      <c r="N74" s="81"/>
      <c r="O74" s="72"/>
      <c r="P74" s="377"/>
      <c r="Q74" s="75"/>
      <c r="R74" s="76"/>
      <c r="S74" s="72" t="str">
        <f t="shared" si="7"/>
        <v/>
      </c>
      <c r="T74" s="60" t="str">
        <f t="shared" si="8"/>
        <v/>
      </c>
      <c r="U74" s="60" t="str">
        <f t="shared" si="9"/>
        <v/>
      </c>
      <c r="V74" s="60"/>
      <c r="W74" s="650"/>
      <c r="X74" s="650"/>
      <c r="Y74" s="650"/>
      <c r="Z74" s="650"/>
      <c r="AA74" s="650"/>
      <c r="AB74" s="650"/>
      <c r="AC74" s="650"/>
      <c r="AD74" s="650"/>
      <c r="AE74" s="650"/>
      <c r="AF74" s="650"/>
      <c r="AG74" s="650"/>
      <c r="AH74" s="650"/>
      <c r="AI74" s="369"/>
      <c r="AJ74" s="650"/>
      <c r="AK74" s="650"/>
      <c r="AL74" s="369" t="str">
        <f>+IF(U74="","",IF(U74&gt;=[11]PARÁMETROS!$D$5,"CUMPLE","NO CUMPLE"))</f>
        <v/>
      </c>
      <c r="AM74" s="143"/>
      <c r="AN74" s="112"/>
    </row>
    <row r="75" spans="1:40" s="79" customFormat="1" ht="30" customHeight="1" thickBot="1" x14ac:dyDescent="0.3">
      <c r="A75" s="654"/>
      <c r="B75" s="145"/>
      <c r="C75" s="411"/>
      <c r="D75" s="146" t="str">
        <f>+IFERROR(INDEX([11]CONSOLIDADO!$D$4:$D$108,MATCH('EXP GEN. 25-32'!B75,[11]CONSOLIDADO!$C$4:$C$108,0)),"")</f>
        <v/>
      </c>
      <c r="E75" s="147"/>
      <c r="F75" s="147"/>
      <c r="G75" s="370"/>
      <c r="H75" s="370"/>
      <c r="I75" s="172"/>
      <c r="J75" s="151"/>
      <c r="K75" s="151"/>
      <c r="L75" s="152" t="str">
        <f t="shared" si="6"/>
        <v/>
      </c>
      <c r="M75" s="153" t="str">
        <f>+IFERROR(INDEX([11]PARÁMETROS!$B$11:$B$37,MATCH(L75,[11]PARÁMETROS!$A$11:$A$37,0)),"")</f>
        <v/>
      </c>
      <c r="N75" s="173"/>
      <c r="O75" s="153"/>
      <c r="P75" s="145"/>
      <c r="Q75" s="156"/>
      <c r="R75" s="157"/>
      <c r="S75" s="153" t="str">
        <f t="shared" si="7"/>
        <v/>
      </c>
      <c r="T75" s="158" t="str">
        <f t="shared" si="8"/>
        <v/>
      </c>
      <c r="U75" s="158" t="str">
        <f t="shared" si="9"/>
        <v/>
      </c>
      <c r="V75" s="158"/>
      <c r="W75" s="651"/>
      <c r="X75" s="651"/>
      <c r="Y75" s="651"/>
      <c r="Z75" s="651"/>
      <c r="AA75" s="651"/>
      <c r="AB75" s="651"/>
      <c r="AC75" s="651"/>
      <c r="AD75" s="651"/>
      <c r="AE75" s="651"/>
      <c r="AF75" s="651"/>
      <c r="AG75" s="651"/>
      <c r="AH75" s="651"/>
      <c r="AI75" s="370"/>
      <c r="AJ75" s="651"/>
      <c r="AK75" s="651"/>
      <c r="AL75" s="370" t="str">
        <f>+IF(U75="","",IF(U75&gt;=[11]PARÁMETROS!$D$5,"CUMPLE","NO CUMPLE"))</f>
        <v/>
      </c>
      <c r="AM75" s="160"/>
      <c r="AN75" s="112"/>
    </row>
    <row r="76" spans="1:40" s="79" customFormat="1" ht="30" customHeight="1" x14ac:dyDescent="0.25">
      <c r="A76" s="377"/>
      <c r="B76" s="377"/>
      <c r="C76" s="409"/>
      <c r="D76" s="65"/>
      <c r="E76" s="66"/>
      <c r="F76" s="66"/>
      <c r="G76" s="66"/>
      <c r="H76" s="66"/>
      <c r="I76" s="80"/>
      <c r="J76" s="70"/>
      <c r="K76" s="70"/>
      <c r="L76" s="71"/>
      <c r="M76" s="72"/>
      <c r="N76" s="81"/>
      <c r="O76" s="72"/>
      <c r="P76" s="377"/>
      <c r="Q76" s="75"/>
      <c r="R76" s="76"/>
      <c r="S76" s="72"/>
      <c r="T76" s="60"/>
      <c r="U76" s="60"/>
      <c r="V76" s="60"/>
      <c r="W76" s="369"/>
      <c r="X76" s="369"/>
      <c r="Y76" s="369"/>
      <c r="Z76" s="369"/>
      <c r="AA76" s="369"/>
      <c r="AB76" s="369"/>
      <c r="AC76" s="369"/>
      <c r="AD76" s="369"/>
      <c r="AE76" s="369"/>
      <c r="AF76" s="369"/>
      <c r="AG76" s="369"/>
      <c r="AH76" s="369"/>
      <c r="AI76" s="369"/>
      <c r="AJ76" s="369"/>
      <c r="AK76" s="369"/>
      <c r="AL76" s="369"/>
      <c r="AM76" s="66"/>
    </row>
    <row r="77" spans="1:40" s="79" customFormat="1" ht="30" customHeight="1" x14ac:dyDescent="0.25">
      <c r="A77" s="377"/>
      <c r="B77" s="377"/>
      <c r="C77" s="409"/>
      <c r="D77" s="65"/>
      <c r="E77" s="66"/>
      <c r="F77" s="66"/>
      <c r="G77" s="66"/>
      <c r="H77" s="66"/>
      <c r="I77" s="80"/>
      <c r="J77" s="70"/>
      <c r="K77" s="70"/>
      <c r="L77" s="71"/>
      <c r="M77" s="72"/>
      <c r="N77" s="81"/>
      <c r="O77" s="72"/>
      <c r="P77" s="377"/>
      <c r="Q77" s="75"/>
      <c r="R77" s="76"/>
      <c r="S77" s="72"/>
      <c r="T77" s="60"/>
      <c r="U77" s="60"/>
      <c r="V77" s="60"/>
      <c r="W77" s="369"/>
      <c r="X77" s="369"/>
      <c r="Y77" s="369"/>
      <c r="Z77" s="369"/>
      <c r="AA77" s="369"/>
      <c r="AB77" s="369"/>
      <c r="AC77" s="369"/>
      <c r="AD77" s="369"/>
      <c r="AE77" s="369"/>
      <c r="AF77" s="369"/>
      <c r="AG77" s="369"/>
      <c r="AH77" s="369"/>
      <c r="AI77" s="369"/>
      <c r="AJ77" s="369"/>
      <c r="AK77" s="369"/>
      <c r="AL77" s="369"/>
      <c r="AM77" s="66"/>
    </row>
    <row r="78" spans="1:40" s="79" customFormat="1" ht="30" customHeight="1" x14ac:dyDescent="0.25">
      <c r="A78" s="377"/>
      <c r="B78" s="377"/>
      <c r="C78" s="409"/>
      <c r="D78" s="65"/>
      <c r="E78" s="66"/>
      <c r="F78" s="66"/>
      <c r="G78" s="66"/>
      <c r="H78" s="66"/>
      <c r="I78" s="80"/>
      <c r="J78" s="70"/>
      <c r="K78" s="70"/>
      <c r="L78" s="71"/>
      <c r="M78" s="72"/>
      <c r="N78" s="81"/>
      <c r="O78" s="72"/>
      <c r="P78" s="377"/>
      <c r="Q78" s="75"/>
      <c r="R78" s="76"/>
      <c r="S78" s="72"/>
      <c r="T78" s="60"/>
      <c r="U78" s="60"/>
      <c r="V78" s="60"/>
      <c r="W78" s="369"/>
      <c r="X78" s="369"/>
      <c r="Y78" s="369"/>
      <c r="Z78" s="369"/>
      <c r="AA78" s="369"/>
      <c r="AB78" s="369"/>
      <c r="AC78" s="369"/>
      <c r="AD78" s="369"/>
      <c r="AE78" s="369"/>
      <c r="AF78" s="369"/>
      <c r="AG78" s="369"/>
      <c r="AH78" s="369"/>
      <c r="AI78" s="369"/>
      <c r="AJ78" s="369"/>
      <c r="AK78" s="369"/>
      <c r="AL78" s="369"/>
      <c r="AM78" s="66"/>
    </row>
    <row r="79" spans="1:40" s="79" customFormat="1" ht="30" customHeight="1" x14ac:dyDescent="0.25">
      <c r="A79" s="377"/>
      <c r="B79" s="377"/>
      <c r="C79" s="409"/>
      <c r="D79" s="65"/>
      <c r="E79" s="66"/>
      <c r="F79" s="66"/>
      <c r="G79" s="66"/>
      <c r="H79" s="66"/>
      <c r="I79" s="80"/>
      <c r="J79" s="70"/>
      <c r="K79" s="70"/>
      <c r="L79" s="71"/>
      <c r="M79" s="72"/>
      <c r="N79" s="81"/>
      <c r="O79" s="72"/>
      <c r="P79" s="377"/>
      <c r="Q79" s="75"/>
      <c r="R79" s="76"/>
      <c r="S79" s="72"/>
      <c r="T79" s="60"/>
      <c r="U79" s="60"/>
      <c r="V79" s="60"/>
      <c r="W79" s="369"/>
      <c r="X79" s="369"/>
      <c r="Y79" s="369"/>
      <c r="Z79" s="369"/>
      <c r="AA79" s="369"/>
      <c r="AB79" s="369"/>
      <c r="AC79" s="369"/>
      <c r="AD79" s="369"/>
      <c r="AE79" s="369"/>
      <c r="AF79" s="369"/>
      <c r="AG79" s="369"/>
      <c r="AH79" s="369"/>
      <c r="AI79" s="369"/>
      <c r="AJ79" s="369"/>
      <c r="AK79" s="369"/>
      <c r="AL79" s="369"/>
      <c r="AM79" s="66"/>
    </row>
    <row r="80" spans="1:40" s="79" customFormat="1" ht="30" customHeight="1" x14ac:dyDescent="0.25">
      <c r="A80" s="377"/>
      <c r="B80" s="377"/>
      <c r="C80" s="409"/>
      <c r="D80" s="65"/>
      <c r="E80" s="66"/>
      <c r="F80" s="66"/>
      <c r="G80" s="66"/>
      <c r="H80" s="66"/>
      <c r="I80" s="80"/>
      <c r="J80" s="70"/>
      <c r="K80" s="70"/>
      <c r="L80" s="71"/>
      <c r="M80" s="72"/>
      <c r="N80" s="81"/>
      <c r="O80" s="72"/>
      <c r="P80" s="377"/>
      <c r="Q80" s="75"/>
      <c r="R80" s="76"/>
      <c r="S80" s="72"/>
      <c r="T80" s="60"/>
      <c r="U80" s="60"/>
      <c r="V80" s="60"/>
      <c r="W80" s="369"/>
      <c r="X80" s="369"/>
      <c r="Y80" s="369"/>
      <c r="Z80" s="369"/>
      <c r="AA80" s="369"/>
      <c r="AB80" s="369"/>
      <c r="AC80" s="369"/>
      <c r="AD80" s="369"/>
      <c r="AE80" s="369"/>
      <c r="AF80" s="369"/>
      <c r="AG80" s="369"/>
      <c r="AH80" s="369"/>
      <c r="AI80" s="369"/>
      <c r="AJ80" s="369"/>
      <c r="AK80" s="369"/>
      <c r="AL80" s="369"/>
      <c r="AM80" s="66"/>
    </row>
    <row r="81" spans="1:39" s="79" customFormat="1" ht="30" customHeight="1" x14ac:dyDescent="0.25">
      <c r="A81" s="377"/>
      <c r="B81" s="377"/>
      <c r="C81" s="409"/>
      <c r="D81" s="65"/>
      <c r="E81" s="66"/>
      <c r="F81" s="66"/>
      <c r="G81" s="66"/>
      <c r="H81" s="66"/>
      <c r="I81" s="80"/>
      <c r="J81" s="70"/>
      <c r="K81" s="70"/>
      <c r="L81" s="71"/>
      <c r="M81" s="72"/>
      <c r="N81" s="81"/>
      <c r="O81" s="72"/>
      <c r="P81" s="377"/>
      <c r="Q81" s="75"/>
      <c r="R81" s="76"/>
      <c r="S81" s="72"/>
      <c r="T81" s="60"/>
      <c r="U81" s="60"/>
      <c r="V81" s="60"/>
      <c r="W81" s="369"/>
      <c r="X81" s="369"/>
      <c r="Y81" s="369"/>
      <c r="Z81" s="369"/>
      <c r="AA81" s="369"/>
      <c r="AB81" s="369"/>
      <c r="AC81" s="369"/>
      <c r="AD81" s="369"/>
      <c r="AE81" s="369"/>
      <c r="AF81" s="369"/>
      <c r="AG81" s="369"/>
      <c r="AH81" s="369"/>
      <c r="AI81" s="369"/>
      <c r="AJ81" s="369"/>
      <c r="AK81" s="369"/>
      <c r="AL81" s="369"/>
      <c r="AM81" s="66"/>
    </row>
    <row r="82" spans="1:39" s="79" customFormat="1" ht="30" customHeight="1" x14ac:dyDescent="0.25">
      <c r="A82" s="377"/>
      <c r="B82" s="377"/>
      <c r="C82" s="409"/>
      <c r="D82" s="65"/>
      <c r="E82" s="66"/>
      <c r="F82" s="66"/>
      <c r="G82" s="66"/>
      <c r="H82" s="66"/>
      <c r="I82" s="80"/>
      <c r="J82" s="70"/>
      <c r="K82" s="70"/>
      <c r="L82" s="71"/>
      <c r="M82" s="72"/>
      <c r="N82" s="81"/>
      <c r="O82" s="72"/>
      <c r="P82" s="377"/>
      <c r="Q82" s="75"/>
      <c r="R82" s="76"/>
      <c r="S82" s="72"/>
      <c r="T82" s="60"/>
      <c r="U82" s="60"/>
      <c r="V82" s="60"/>
      <c r="W82" s="369"/>
      <c r="X82" s="369"/>
      <c r="Y82" s="369"/>
      <c r="Z82" s="369"/>
      <c r="AA82" s="369"/>
      <c r="AB82" s="369"/>
      <c r="AC82" s="369"/>
      <c r="AD82" s="369"/>
      <c r="AE82" s="369"/>
      <c r="AF82" s="369"/>
      <c r="AG82" s="369"/>
      <c r="AH82" s="369"/>
      <c r="AI82" s="369"/>
      <c r="AJ82" s="369"/>
      <c r="AK82" s="369"/>
      <c r="AL82" s="369"/>
      <c r="AM82" s="66"/>
    </row>
    <row r="83" spans="1:39" s="79" customFormat="1" ht="30" customHeight="1" x14ac:dyDescent="0.25">
      <c r="A83" s="377"/>
      <c r="B83" s="377"/>
      <c r="C83" s="409"/>
      <c r="D83" s="65"/>
      <c r="E83" s="66"/>
      <c r="F83" s="66"/>
      <c r="G83" s="66"/>
      <c r="H83" s="66"/>
      <c r="I83" s="80"/>
      <c r="J83" s="70"/>
      <c r="K83" s="70"/>
      <c r="L83" s="71"/>
      <c r="M83" s="72"/>
      <c r="N83" s="81"/>
      <c r="O83" s="72"/>
      <c r="P83" s="377"/>
      <c r="Q83" s="75"/>
      <c r="R83" s="76"/>
      <c r="S83" s="72"/>
      <c r="T83" s="60"/>
      <c r="U83" s="60"/>
      <c r="V83" s="60"/>
      <c r="W83" s="369"/>
      <c r="X83" s="369"/>
      <c r="Y83" s="369"/>
      <c r="Z83" s="369"/>
      <c r="AA83" s="369"/>
      <c r="AB83" s="369"/>
      <c r="AC83" s="369"/>
      <c r="AD83" s="369"/>
      <c r="AE83" s="369"/>
      <c r="AF83" s="369"/>
      <c r="AG83" s="369"/>
      <c r="AH83" s="369"/>
      <c r="AI83" s="369"/>
      <c r="AJ83" s="369"/>
      <c r="AK83" s="369"/>
      <c r="AL83" s="369"/>
      <c r="AM83" s="66"/>
    </row>
    <row r="84" spans="1:39" s="79" customFormat="1" ht="30" customHeight="1" x14ac:dyDescent="0.25">
      <c r="A84" s="377"/>
      <c r="B84" s="377"/>
      <c r="C84" s="409"/>
      <c r="D84" s="65"/>
      <c r="E84" s="66"/>
      <c r="F84" s="66"/>
      <c r="G84" s="66"/>
      <c r="H84" s="66"/>
      <c r="I84" s="80"/>
      <c r="J84" s="70"/>
      <c r="K84" s="70"/>
      <c r="L84" s="71"/>
      <c r="M84" s="72"/>
      <c r="N84" s="81"/>
      <c r="O84" s="72"/>
      <c r="P84" s="377"/>
      <c r="Q84" s="75"/>
      <c r="R84" s="76"/>
      <c r="S84" s="72"/>
      <c r="T84" s="60"/>
      <c r="U84" s="60"/>
      <c r="V84" s="60"/>
      <c r="W84" s="369"/>
      <c r="X84" s="369"/>
      <c r="Y84" s="369"/>
      <c r="Z84" s="369"/>
      <c r="AA84" s="369"/>
      <c r="AB84" s="369"/>
      <c r="AC84" s="369"/>
      <c r="AD84" s="369"/>
      <c r="AE84" s="369"/>
      <c r="AF84" s="369"/>
      <c r="AG84" s="369"/>
      <c r="AH84" s="369"/>
      <c r="AI84" s="369"/>
      <c r="AJ84" s="369"/>
      <c r="AK84" s="369"/>
      <c r="AL84" s="369"/>
      <c r="AM84" s="66"/>
    </row>
    <row r="85" spans="1:39" s="79" customFormat="1" ht="30" customHeight="1" x14ac:dyDescent="0.25">
      <c r="A85" s="377"/>
      <c r="B85" s="377"/>
      <c r="C85" s="409"/>
      <c r="D85" s="65"/>
      <c r="E85" s="66"/>
      <c r="F85" s="66"/>
      <c r="G85" s="66"/>
      <c r="H85" s="66"/>
      <c r="I85" s="80"/>
      <c r="J85" s="70"/>
      <c r="K85" s="70"/>
      <c r="L85" s="71"/>
      <c r="M85" s="72"/>
      <c r="N85" s="81"/>
      <c r="O85" s="72"/>
      <c r="P85" s="377"/>
      <c r="Q85" s="75"/>
      <c r="R85" s="76"/>
      <c r="S85" s="72"/>
      <c r="T85" s="60"/>
      <c r="U85" s="60"/>
      <c r="V85" s="60"/>
      <c r="W85" s="369"/>
      <c r="X85" s="369"/>
      <c r="Y85" s="369"/>
      <c r="Z85" s="369"/>
      <c r="AA85" s="369"/>
      <c r="AB85" s="369"/>
      <c r="AC85" s="369"/>
      <c r="AD85" s="369"/>
      <c r="AE85" s="369"/>
      <c r="AF85" s="369"/>
      <c r="AG85" s="369"/>
      <c r="AH85" s="369"/>
      <c r="AI85" s="369"/>
      <c r="AJ85" s="369"/>
      <c r="AK85" s="369"/>
      <c r="AL85" s="369"/>
      <c r="AM85" s="66"/>
    </row>
    <row r="86" spans="1:39" s="79" customFormat="1" ht="30" customHeight="1" x14ac:dyDescent="0.25">
      <c r="A86" s="377"/>
      <c r="B86" s="377"/>
      <c r="C86" s="409"/>
      <c r="D86" s="65"/>
      <c r="E86" s="66"/>
      <c r="F86" s="66"/>
      <c r="G86" s="66"/>
      <c r="H86" s="66"/>
      <c r="I86" s="80"/>
      <c r="J86" s="70"/>
      <c r="K86" s="70"/>
      <c r="L86" s="71"/>
      <c r="M86" s="72"/>
      <c r="N86" s="81"/>
      <c r="O86" s="72"/>
      <c r="P86" s="377"/>
      <c r="Q86" s="75"/>
      <c r="R86" s="76"/>
      <c r="S86" s="72"/>
      <c r="T86" s="60"/>
      <c r="U86" s="60"/>
      <c r="V86" s="60"/>
      <c r="W86" s="369"/>
      <c r="X86" s="369"/>
      <c r="Y86" s="369"/>
      <c r="Z86" s="369"/>
      <c r="AA86" s="369"/>
      <c r="AB86" s="369"/>
      <c r="AC86" s="369"/>
      <c r="AD86" s="369"/>
      <c r="AE86" s="369"/>
      <c r="AF86" s="369"/>
      <c r="AG86" s="369"/>
      <c r="AH86" s="369"/>
      <c r="AI86" s="369"/>
      <c r="AJ86" s="369"/>
      <c r="AK86" s="369"/>
      <c r="AL86" s="369"/>
      <c r="AM86" s="66"/>
    </row>
    <row r="87" spans="1:39" s="79" customFormat="1" ht="30" customHeight="1" x14ac:dyDescent="0.25">
      <c r="A87" s="377"/>
      <c r="B87" s="377"/>
      <c r="C87" s="409"/>
      <c r="D87" s="65"/>
      <c r="E87" s="66"/>
      <c r="F87" s="66"/>
      <c r="G87" s="66"/>
      <c r="H87" s="66"/>
      <c r="I87" s="80"/>
      <c r="J87" s="70"/>
      <c r="K87" s="70"/>
      <c r="L87" s="71"/>
      <c r="M87" s="72"/>
      <c r="N87" s="81"/>
      <c r="O87" s="72"/>
      <c r="P87" s="377"/>
      <c r="Q87" s="75"/>
      <c r="R87" s="76"/>
      <c r="S87" s="72"/>
      <c r="T87" s="60"/>
      <c r="U87" s="60"/>
      <c r="V87" s="60"/>
      <c r="W87" s="369"/>
      <c r="X87" s="369"/>
      <c r="Y87" s="369"/>
      <c r="Z87" s="369"/>
      <c r="AA87" s="369"/>
      <c r="AB87" s="369"/>
      <c r="AC87" s="369"/>
      <c r="AD87" s="369"/>
      <c r="AE87" s="369"/>
      <c r="AF87" s="369"/>
      <c r="AG87" s="369"/>
      <c r="AH87" s="369"/>
      <c r="AI87" s="369"/>
      <c r="AJ87" s="369"/>
      <c r="AK87" s="369"/>
      <c r="AL87" s="369"/>
      <c r="AM87" s="66"/>
    </row>
    <row r="88" spans="1:39" s="103" customFormat="1" ht="30" customHeight="1" x14ac:dyDescent="0.25">
      <c r="A88" s="94"/>
      <c r="B88" s="94"/>
      <c r="C88" s="413"/>
      <c r="D88" s="95"/>
      <c r="E88" s="96"/>
      <c r="F88" s="96"/>
      <c r="G88" s="96"/>
      <c r="H88" s="96"/>
      <c r="I88" s="97"/>
      <c r="J88" s="98"/>
      <c r="K88" s="98"/>
      <c r="L88" s="99"/>
      <c r="M88" s="72"/>
      <c r="N88" s="100"/>
      <c r="O88" s="101"/>
      <c r="P88" s="377"/>
      <c r="Q88" s="75"/>
      <c r="R88" s="76"/>
      <c r="S88" s="72"/>
      <c r="T88" s="60"/>
      <c r="U88" s="60"/>
      <c r="V88" s="60"/>
      <c r="W88" s="102"/>
      <c r="X88" s="102"/>
      <c r="Y88" s="102"/>
      <c r="Z88" s="102"/>
      <c r="AA88" s="102"/>
      <c r="AB88" s="102"/>
      <c r="AC88" s="102"/>
      <c r="AD88" s="102"/>
      <c r="AE88" s="102"/>
      <c r="AF88" s="102"/>
      <c r="AG88" s="102"/>
      <c r="AH88" s="102"/>
      <c r="AI88" s="369"/>
      <c r="AJ88" s="369"/>
      <c r="AK88" s="369"/>
      <c r="AL88" s="369"/>
      <c r="AM88" s="96"/>
    </row>
    <row r="89" spans="1:39" s="103" customFormat="1" ht="30" customHeight="1" x14ac:dyDescent="0.25">
      <c r="A89" s="94"/>
      <c r="B89" s="94"/>
      <c r="C89" s="413"/>
      <c r="D89" s="95"/>
      <c r="E89" s="96"/>
      <c r="F89" s="96"/>
      <c r="G89" s="96"/>
      <c r="H89" s="96"/>
      <c r="I89" s="97"/>
      <c r="J89" s="98"/>
      <c r="K89" s="98"/>
      <c r="L89" s="99"/>
      <c r="M89" s="72"/>
      <c r="N89" s="100"/>
      <c r="O89" s="101"/>
      <c r="P89" s="377"/>
      <c r="Q89" s="75"/>
      <c r="R89" s="76"/>
      <c r="S89" s="72"/>
      <c r="T89" s="60"/>
      <c r="U89" s="60"/>
      <c r="V89" s="60"/>
      <c r="W89" s="102"/>
      <c r="X89" s="102"/>
      <c r="Y89" s="102"/>
      <c r="Z89" s="102"/>
      <c r="AA89" s="102"/>
      <c r="AB89" s="102"/>
      <c r="AC89" s="102"/>
      <c r="AD89" s="102"/>
      <c r="AE89" s="102"/>
      <c r="AF89" s="102"/>
      <c r="AG89" s="102"/>
      <c r="AH89" s="102"/>
      <c r="AI89" s="369"/>
      <c r="AJ89" s="369"/>
      <c r="AK89" s="369"/>
      <c r="AL89" s="369"/>
      <c r="AM89" s="96"/>
    </row>
    <row r="90" spans="1:39" s="103" customFormat="1" ht="30" customHeight="1" x14ac:dyDescent="0.25">
      <c r="A90" s="94"/>
      <c r="B90" s="94"/>
      <c r="C90" s="413"/>
      <c r="D90" s="95"/>
      <c r="E90" s="96"/>
      <c r="F90" s="96"/>
      <c r="G90" s="96"/>
      <c r="H90" s="96"/>
      <c r="I90" s="97"/>
      <c r="J90" s="98"/>
      <c r="K90" s="98"/>
      <c r="L90" s="99"/>
      <c r="M90" s="72"/>
      <c r="N90" s="100"/>
      <c r="O90" s="101"/>
      <c r="P90" s="377"/>
      <c r="Q90" s="75"/>
      <c r="R90" s="76"/>
      <c r="S90" s="72"/>
      <c r="T90" s="60"/>
      <c r="U90" s="60"/>
      <c r="V90" s="60"/>
      <c r="W90" s="102"/>
      <c r="X90" s="102"/>
      <c r="Y90" s="102"/>
      <c r="Z90" s="102"/>
      <c r="AA90" s="102"/>
      <c r="AB90" s="102"/>
      <c r="AC90" s="102"/>
      <c r="AD90" s="102"/>
      <c r="AE90" s="102"/>
      <c r="AF90" s="102"/>
      <c r="AG90" s="102"/>
      <c r="AH90" s="102"/>
      <c r="AI90" s="369"/>
      <c r="AJ90" s="369"/>
      <c r="AK90" s="369"/>
      <c r="AL90" s="369"/>
      <c r="AM90" s="96"/>
    </row>
    <row r="91" spans="1:39" s="103" customFormat="1" ht="30" customHeight="1" x14ac:dyDescent="0.25">
      <c r="A91" s="94"/>
      <c r="B91" s="94"/>
      <c r="C91" s="413"/>
      <c r="D91" s="95"/>
      <c r="E91" s="96"/>
      <c r="F91" s="96"/>
      <c r="G91" s="96"/>
      <c r="H91" s="96"/>
      <c r="I91" s="97"/>
      <c r="J91" s="98"/>
      <c r="K91" s="98"/>
      <c r="L91" s="99"/>
      <c r="M91" s="72"/>
      <c r="N91" s="100"/>
      <c r="O91" s="101"/>
      <c r="P91" s="377"/>
      <c r="Q91" s="75"/>
      <c r="R91" s="76"/>
      <c r="S91" s="72"/>
      <c r="T91" s="60"/>
      <c r="U91" s="60"/>
      <c r="V91" s="60"/>
      <c r="W91" s="102"/>
      <c r="X91" s="102"/>
      <c r="Y91" s="102"/>
      <c r="Z91" s="102"/>
      <c r="AA91" s="102"/>
      <c r="AB91" s="102"/>
      <c r="AC91" s="102"/>
      <c r="AD91" s="102"/>
      <c r="AE91" s="102"/>
      <c r="AF91" s="102"/>
      <c r="AG91" s="102"/>
      <c r="AH91" s="102"/>
      <c r="AI91" s="369"/>
      <c r="AJ91" s="369"/>
      <c r="AK91" s="369"/>
      <c r="AL91" s="369"/>
      <c r="AM91" s="96"/>
    </row>
    <row r="92" spans="1:39" s="103" customFormat="1" ht="30" customHeight="1" x14ac:dyDescent="0.25">
      <c r="A92" s="94"/>
      <c r="B92" s="94"/>
      <c r="C92" s="413"/>
      <c r="D92" s="95"/>
      <c r="E92" s="96"/>
      <c r="F92" s="96"/>
      <c r="G92" s="96"/>
      <c r="H92" s="96"/>
      <c r="I92" s="97"/>
      <c r="J92" s="98"/>
      <c r="K92" s="98"/>
      <c r="L92" s="99"/>
      <c r="M92" s="72"/>
      <c r="N92" s="100"/>
      <c r="O92" s="101"/>
      <c r="P92" s="377"/>
      <c r="Q92" s="75"/>
      <c r="R92" s="76"/>
      <c r="S92" s="72"/>
      <c r="T92" s="60"/>
      <c r="U92" s="60"/>
      <c r="V92" s="60"/>
      <c r="W92" s="102"/>
      <c r="X92" s="102"/>
      <c r="Y92" s="102"/>
      <c r="Z92" s="102"/>
      <c r="AA92" s="102"/>
      <c r="AB92" s="102"/>
      <c r="AC92" s="102"/>
      <c r="AD92" s="102"/>
      <c r="AE92" s="102"/>
      <c r="AF92" s="102"/>
      <c r="AG92" s="102"/>
      <c r="AH92" s="102"/>
      <c r="AI92" s="369"/>
      <c r="AJ92" s="369"/>
      <c r="AK92" s="369"/>
      <c r="AL92" s="369"/>
      <c r="AM92" s="96"/>
    </row>
    <row r="93" spans="1:39" s="103" customFormat="1" ht="30" customHeight="1" x14ac:dyDescent="0.25">
      <c r="A93" s="94"/>
      <c r="B93" s="94"/>
      <c r="C93" s="413"/>
      <c r="D93" s="95"/>
      <c r="E93" s="96"/>
      <c r="F93" s="96"/>
      <c r="G93" s="96"/>
      <c r="H93" s="96"/>
      <c r="I93" s="97"/>
      <c r="J93" s="98"/>
      <c r="K93" s="98"/>
      <c r="L93" s="99"/>
      <c r="M93" s="72"/>
      <c r="N93" s="100"/>
      <c r="O93" s="101"/>
      <c r="P93" s="377"/>
      <c r="Q93" s="75"/>
      <c r="R93" s="76"/>
      <c r="S93" s="72"/>
      <c r="T93" s="60"/>
      <c r="U93" s="60"/>
      <c r="V93" s="60"/>
      <c r="W93" s="102"/>
      <c r="X93" s="102"/>
      <c r="Y93" s="102"/>
      <c r="Z93" s="102"/>
      <c r="AA93" s="102"/>
      <c r="AB93" s="102"/>
      <c r="AC93" s="102"/>
      <c r="AD93" s="102"/>
      <c r="AE93" s="102"/>
      <c r="AF93" s="102"/>
      <c r="AG93" s="102"/>
      <c r="AH93" s="102"/>
      <c r="AI93" s="369"/>
      <c r="AJ93" s="369"/>
      <c r="AK93" s="369"/>
      <c r="AL93" s="369"/>
      <c r="AM93" s="96"/>
    </row>
    <row r="94" spans="1:39" s="103" customFormat="1" ht="30" customHeight="1" x14ac:dyDescent="0.25">
      <c r="A94" s="94"/>
      <c r="B94" s="94"/>
      <c r="C94" s="413"/>
      <c r="D94" s="95"/>
      <c r="E94" s="96"/>
      <c r="F94" s="96"/>
      <c r="G94" s="96"/>
      <c r="H94" s="96"/>
      <c r="I94" s="97"/>
      <c r="J94" s="98"/>
      <c r="K94" s="98"/>
      <c r="L94" s="99"/>
      <c r="M94" s="72"/>
      <c r="N94" s="100"/>
      <c r="O94" s="101"/>
      <c r="P94" s="377"/>
      <c r="Q94" s="75"/>
      <c r="R94" s="76"/>
      <c r="S94" s="72"/>
      <c r="T94" s="60"/>
      <c r="U94" s="60"/>
      <c r="V94" s="60"/>
      <c r="W94" s="102"/>
      <c r="X94" s="102"/>
      <c r="Y94" s="102"/>
      <c r="Z94" s="102"/>
      <c r="AA94" s="102"/>
      <c r="AB94" s="102"/>
      <c r="AC94" s="102"/>
      <c r="AD94" s="102"/>
      <c r="AE94" s="102"/>
      <c r="AF94" s="102"/>
      <c r="AG94" s="102"/>
      <c r="AH94" s="102"/>
      <c r="AI94" s="369"/>
      <c r="AJ94" s="369"/>
      <c r="AK94" s="369"/>
      <c r="AL94" s="369"/>
      <c r="AM94" s="96"/>
    </row>
    <row r="95" spans="1:39" s="103" customFormat="1" ht="30" customHeight="1" x14ac:dyDescent="0.25">
      <c r="A95" s="94"/>
      <c r="B95" s="94"/>
      <c r="C95" s="413"/>
      <c r="D95" s="95"/>
      <c r="E95" s="96"/>
      <c r="F95" s="96"/>
      <c r="G95" s="96"/>
      <c r="H95" s="96"/>
      <c r="I95" s="97"/>
      <c r="J95" s="98"/>
      <c r="K95" s="98"/>
      <c r="L95" s="99"/>
      <c r="M95" s="72"/>
      <c r="N95" s="100"/>
      <c r="O95" s="101"/>
      <c r="P95" s="377"/>
      <c r="Q95" s="75"/>
      <c r="R95" s="76"/>
      <c r="S95" s="72"/>
      <c r="T95" s="60"/>
      <c r="U95" s="60"/>
      <c r="V95" s="60"/>
      <c r="W95" s="102"/>
      <c r="X95" s="102"/>
      <c r="Y95" s="102"/>
      <c r="Z95" s="102"/>
      <c r="AA95" s="102"/>
      <c r="AB95" s="102"/>
      <c r="AC95" s="102"/>
      <c r="AD95" s="102"/>
      <c r="AE95" s="102"/>
      <c r="AF95" s="102"/>
      <c r="AG95" s="102"/>
      <c r="AH95" s="102"/>
      <c r="AI95" s="369"/>
      <c r="AJ95" s="369"/>
      <c r="AK95" s="369"/>
      <c r="AL95" s="369"/>
      <c r="AM95" s="96"/>
    </row>
    <row r="96" spans="1:39" s="103" customFormat="1" ht="30" customHeight="1" x14ac:dyDescent="0.25">
      <c r="A96" s="94"/>
      <c r="B96" s="94"/>
      <c r="C96" s="413"/>
      <c r="D96" s="95"/>
      <c r="E96" s="96"/>
      <c r="F96" s="96"/>
      <c r="G96" s="96"/>
      <c r="H96" s="96"/>
      <c r="I96" s="97"/>
      <c r="J96" s="98"/>
      <c r="K96" s="98"/>
      <c r="L96" s="99"/>
      <c r="M96" s="72"/>
      <c r="N96" s="100"/>
      <c r="O96" s="101"/>
      <c r="P96" s="377"/>
      <c r="Q96" s="75"/>
      <c r="R96" s="76"/>
      <c r="S96" s="72"/>
      <c r="T96" s="60"/>
      <c r="U96" s="60"/>
      <c r="V96" s="60"/>
      <c r="W96" s="102"/>
      <c r="X96" s="102"/>
      <c r="Y96" s="102"/>
      <c r="Z96" s="102"/>
      <c r="AA96" s="102"/>
      <c r="AB96" s="102"/>
      <c r="AC96" s="102"/>
      <c r="AD96" s="102"/>
      <c r="AE96" s="102"/>
      <c r="AF96" s="102"/>
      <c r="AG96" s="102"/>
      <c r="AH96" s="102"/>
      <c r="AI96" s="369"/>
      <c r="AJ96" s="369"/>
      <c r="AK96" s="369"/>
      <c r="AL96" s="369"/>
      <c r="AM96" s="96"/>
    </row>
    <row r="97" spans="1:39" s="103" customFormat="1" ht="30" customHeight="1" x14ac:dyDescent="0.25">
      <c r="A97" s="94"/>
      <c r="B97" s="94"/>
      <c r="C97" s="413"/>
      <c r="D97" s="95"/>
      <c r="E97" s="96"/>
      <c r="F97" s="96"/>
      <c r="G97" s="96"/>
      <c r="H97" s="96"/>
      <c r="I97" s="97"/>
      <c r="J97" s="98"/>
      <c r="K97" s="98"/>
      <c r="L97" s="99"/>
      <c r="M97" s="72"/>
      <c r="N97" s="100"/>
      <c r="O97" s="101"/>
      <c r="P97" s="377"/>
      <c r="Q97" s="75"/>
      <c r="R97" s="76"/>
      <c r="S97" s="72"/>
      <c r="T97" s="60"/>
      <c r="U97" s="60"/>
      <c r="V97" s="60"/>
      <c r="W97" s="102"/>
      <c r="X97" s="102"/>
      <c r="Y97" s="102"/>
      <c r="Z97" s="102"/>
      <c r="AA97" s="102"/>
      <c r="AB97" s="102"/>
      <c r="AC97" s="102"/>
      <c r="AD97" s="102"/>
      <c r="AE97" s="102"/>
      <c r="AF97" s="102"/>
      <c r="AG97" s="102"/>
      <c r="AH97" s="102"/>
      <c r="AI97" s="369"/>
      <c r="AJ97" s="369"/>
      <c r="AK97" s="369"/>
      <c r="AL97" s="369"/>
      <c r="AM97" s="96"/>
    </row>
    <row r="98" spans="1:39" s="103" customFormat="1" ht="30" customHeight="1" x14ac:dyDescent="0.25">
      <c r="A98" s="94"/>
      <c r="B98" s="94"/>
      <c r="C98" s="413"/>
      <c r="D98" s="95"/>
      <c r="E98" s="96"/>
      <c r="F98" s="96"/>
      <c r="G98" s="96"/>
      <c r="H98" s="96"/>
      <c r="I98" s="97"/>
      <c r="J98" s="98"/>
      <c r="K98" s="98"/>
      <c r="L98" s="99"/>
      <c r="M98" s="72"/>
      <c r="N98" s="100"/>
      <c r="O98" s="101"/>
      <c r="P98" s="377"/>
      <c r="Q98" s="75"/>
      <c r="R98" s="76"/>
      <c r="S98" s="72"/>
      <c r="T98" s="60"/>
      <c r="U98" s="60"/>
      <c r="V98" s="60"/>
      <c r="W98" s="102"/>
      <c r="X98" s="102"/>
      <c r="Y98" s="102"/>
      <c r="Z98" s="102"/>
      <c r="AA98" s="102"/>
      <c r="AB98" s="102"/>
      <c r="AC98" s="102"/>
      <c r="AD98" s="102"/>
      <c r="AE98" s="102"/>
      <c r="AF98" s="102"/>
      <c r="AG98" s="102"/>
      <c r="AH98" s="102"/>
      <c r="AI98" s="369"/>
      <c r="AJ98" s="369"/>
      <c r="AK98" s="369"/>
      <c r="AL98" s="369"/>
      <c r="AM98" s="96"/>
    </row>
    <row r="99" spans="1:39" s="103" customFormat="1" ht="30" customHeight="1" x14ac:dyDescent="0.25">
      <c r="A99" s="94"/>
      <c r="B99" s="94"/>
      <c r="C99" s="413"/>
      <c r="D99" s="95"/>
      <c r="E99" s="96"/>
      <c r="F99" s="96"/>
      <c r="G99" s="96"/>
      <c r="H99" s="96"/>
      <c r="I99" s="97"/>
      <c r="J99" s="98"/>
      <c r="K99" s="98"/>
      <c r="L99" s="99"/>
      <c r="M99" s="72"/>
      <c r="N99" s="100"/>
      <c r="O99" s="101"/>
      <c r="P99" s="377"/>
      <c r="Q99" s="75"/>
      <c r="R99" s="76"/>
      <c r="S99" s="72"/>
      <c r="T99" s="60"/>
      <c r="U99" s="60"/>
      <c r="V99" s="60"/>
      <c r="W99" s="102"/>
      <c r="X99" s="102"/>
      <c r="Y99" s="102"/>
      <c r="Z99" s="102"/>
      <c r="AA99" s="102"/>
      <c r="AB99" s="102"/>
      <c r="AC99" s="102"/>
      <c r="AD99" s="102"/>
      <c r="AE99" s="102"/>
      <c r="AF99" s="102"/>
      <c r="AG99" s="102"/>
      <c r="AH99" s="102"/>
      <c r="AI99" s="369"/>
      <c r="AJ99" s="369"/>
      <c r="AK99" s="369"/>
      <c r="AL99" s="369"/>
      <c r="AM99" s="96"/>
    </row>
    <row r="100" spans="1:39" s="103" customFormat="1" ht="30" customHeight="1" x14ac:dyDescent="0.25">
      <c r="A100" s="94"/>
      <c r="B100" s="94"/>
      <c r="C100" s="413"/>
      <c r="D100" s="95"/>
      <c r="E100" s="96"/>
      <c r="F100" s="96"/>
      <c r="G100" s="96"/>
      <c r="H100" s="96"/>
      <c r="I100" s="97"/>
      <c r="J100" s="98"/>
      <c r="K100" s="98"/>
      <c r="L100" s="99"/>
      <c r="M100" s="72"/>
      <c r="N100" s="100"/>
      <c r="O100" s="101"/>
      <c r="P100" s="377"/>
      <c r="Q100" s="75"/>
      <c r="R100" s="76"/>
      <c r="S100" s="72"/>
      <c r="T100" s="60"/>
      <c r="U100" s="60"/>
      <c r="V100" s="60"/>
      <c r="W100" s="102"/>
      <c r="X100" s="102"/>
      <c r="Y100" s="102"/>
      <c r="Z100" s="102"/>
      <c r="AA100" s="102"/>
      <c r="AB100" s="102"/>
      <c r="AC100" s="102"/>
      <c r="AD100" s="102"/>
      <c r="AE100" s="102"/>
      <c r="AF100" s="102"/>
      <c r="AG100" s="102"/>
      <c r="AH100" s="102"/>
      <c r="AI100" s="369"/>
      <c r="AJ100" s="369"/>
      <c r="AK100" s="369"/>
      <c r="AL100" s="369"/>
      <c r="AM100" s="96"/>
    </row>
    <row r="101" spans="1:39" s="103" customFormat="1" ht="30" customHeight="1" x14ac:dyDescent="0.25">
      <c r="A101" s="94"/>
      <c r="B101" s="94"/>
      <c r="C101" s="413"/>
      <c r="D101" s="95"/>
      <c r="E101" s="96"/>
      <c r="F101" s="96"/>
      <c r="G101" s="96"/>
      <c r="H101" s="96"/>
      <c r="I101" s="97"/>
      <c r="J101" s="98"/>
      <c r="K101" s="98"/>
      <c r="L101" s="99"/>
      <c r="M101" s="72"/>
      <c r="N101" s="100"/>
      <c r="O101" s="101"/>
      <c r="P101" s="377"/>
      <c r="Q101" s="75"/>
      <c r="R101" s="76"/>
      <c r="S101" s="72"/>
      <c r="T101" s="60"/>
      <c r="U101" s="60"/>
      <c r="V101" s="60"/>
      <c r="W101" s="102"/>
      <c r="X101" s="102"/>
      <c r="Y101" s="102"/>
      <c r="Z101" s="102"/>
      <c r="AA101" s="102"/>
      <c r="AB101" s="102"/>
      <c r="AC101" s="102"/>
      <c r="AD101" s="102"/>
      <c r="AE101" s="102"/>
      <c r="AF101" s="102"/>
      <c r="AG101" s="102"/>
      <c r="AH101" s="102"/>
      <c r="AI101" s="369"/>
      <c r="AJ101" s="369"/>
      <c r="AK101" s="369"/>
      <c r="AL101" s="369"/>
      <c r="AM101" s="96"/>
    </row>
    <row r="102" spans="1:39" s="103" customFormat="1" ht="30" customHeight="1" x14ac:dyDescent="0.25">
      <c r="A102" s="94"/>
      <c r="B102" s="94"/>
      <c r="C102" s="413"/>
      <c r="D102" s="95"/>
      <c r="E102" s="96"/>
      <c r="F102" s="96"/>
      <c r="G102" s="96"/>
      <c r="H102" s="96"/>
      <c r="I102" s="97"/>
      <c r="J102" s="98"/>
      <c r="K102" s="98"/>
      <c r="L102" s="99"/>
      <c r="M102" s="72"/>
      <c r="N102" s="100"/>
      <c r="O102" s="101"/>
      <c r="P102" s="377"/>
      <c r="Q102" s="75"/>
      <c r="R102" s="76"/>
      <c r="S102" s="72"/>
      <c r="T102" s="60"/>
      <c r="U102" s="60"/>
      <c r="V102" s="60"/>
      <c r="W102" s="102"/>
      <c r="X102" s="102"/>
      <c r="Y102" s="102"/>
      <c r="Z102" s="102"/>
      <c r="AA102" s="102"/>
      <c r="AB102" s="102"/>
      <c r="AC102" s="102"/>
      <c r="AD102" s="102"/>
      <c r="AE102" s="102"/>
      <c r="AF102" s="102"/>
      <c r="AG102" s="102"/>
      <c r="AH102" s="102"/>
      <c r="AI102" s="369"/>
      <c r="AJ102" s="369"/>
      <c r="AK102" s="369"/>
      <c r="AL102" s="369"/>
      <c r="AM102" s="96"/>
    </row>
    <row r="103" spans="1:39" s="103" customFormat="1" ht="30" customHeight="1" x14ac:dyDescent="0.25">
      <c r="A103" s="94"/>
      <c r="B103" s="94"/>
      <c r="C103" s="413"/>
      <c r="D103" s="95"/>
      <c r="E103" s="96"/>
      <c r="F103" s="96"/>
      <c r="G103" s="96"/>
      <c r="H103" s="96"/>
      <c r="I103" s="97"/>
      <c r="J103" s="98"/>
      <c r="K103" s="98"/>
      <c r="L103" s="99"/>
      <c r="M103" s="72"/>
      <c r="N103" s="100"/>
      <c r="O103" s="101"/>
      <c r="P103" s="377"/>
      <c r="Q103" s="75"/>
      <c r="R103" s="76"/>
      <c r="S103" s="72"/>
      <c r="T103" s="60"/>
      <c r="U103" s="60"/>
      <c r="V103" s="60"/>
      <c r="W103" s="102"/>
      <c r="X103" s="102"/>
      <c r="Y103" s="102"/>
      <c r="Z103" s="102"/>
      <c r="AA103" s="102"/>
      <c r="AB103" s="102"/>
      <c r="AC103" s="102"/>
      <c r="AD103" s="102"/>
      <c r="AE103" s="102"/>
      <c r="AF103" s="102"/>
      <c r="AG103" s="102"/>
      <c r="AH103" s="102"/>
      <c r="AI103" s="369"/>
      <c r="AJ103" s="369"/>
      <c r="AK103" s="369"/>
      <c r="AL103" s="369"/>
      <c r="AM103" s="96"/>
    </row>
    <row r="104" spans="1:39" s="103" customFormat="1" ht="30" customHeight="1" x14ac:dyDescent="0.25">
      <c r="A104" s="94"/>
      <c r="B104" s="94"/>
      <c r="C104" s="413"/>
      <c r="D104" s="95"/>
      <c r="E104" s="96"/>
      <c r="F104" s="96"/>
      <c r="G104" s="96"/>
      <c r="H104" s="96"/>
      <c r="I104" s="97"/>
      <c r="J104" s="98"/>
      <c r="K104" s="98"/>
      <c r="L104" s="99"/>
      <c r="M104" s="72"/>
      <c r="N104" s="100"/>
      <c r="O104" s="101"/>
      <c r="P104" s="377"/>
      <c r="Q104" s="75"/>
      <c r="R104" s="76"/>
      <c r="S104" s="72"/>
      <c r="T104" s="60"/>
      <c r="U104" s="60"/>
      <c r="V104" s="60"/>
      <c r="W104" s="102"/>
      <c r="X104" s="102"/>
      <c r="Y104" s="102"/>
      <c r="Z104" s="102"/>
      <c r="AA104" s="102"/>
      <c r="AB104" s="102"/>
      <c r="AC104" s="102"/>
      <c r="AD104" s="102"/>
      <c r="AE104" s="102"/>
      <c r="AF104" s="102"/>
      <c r="AG104" s="102"/>
      <c r="AH104" s="102"/>
      <c r="AI104" s="369"/>
      <c r="AJ104" s="369"/>
      <c r="AK104" s="369"/>
      <c r="AL104" s="369"/>
      <c r="AM104" s="96"/>
    </row>
    <row r="105" spans="1:39" s="103" customFormat="1" ht="30" customHeight="1" x14ac:dyDescent="0.25">
      <c r="A105" s="94"/>
      <c r="B105" s="94"/>
      <c r="C105" s="413"/>
      <c r="D105" s="95"/>
      <c r="E105" s="96"/>
      <c r="F105" s="96"/>
      <c r="G105" s="96"/>
      <c r="H105" s="96"/>
      <c r="I105" s="97"/>
      <c r="J105" s="98"/>
      <c r="K105" s="98"/>
      <c r="L105" s="99"/>
      <c r="M105" s="72"/>
      <c r="N105" s="100"/>
      <c r="O105" s="101"/>
      <c r="P105" s="377"/>
      <c r="Q105" s="75"/>
      <c r="R105" s="76"/>
      <c r="S105" s="72"/>
      <c r="T105" s="60"/>
      <c r="U105" s="60"/>
      <c r="V105" s="60"/>
      <c r="W105" s="102"/>
      <c r="X105" s="102"/>
      <c r="Y105" s="102"/>
      <c r="Z105" s="102"/>
      <c r="AA105" s="102"/>
      <c r="AB105" s="102"/>
      <c r="AC105" s="102"/>
      <c r="AD105" s="102"/>
      <c r="AE105" s="102"/>
      <c r="AF105" s="102"/>
      <c r="AG105" s="102"/>
      <c r="AH105" s="102"/>
      <c r="AI105" s="369"/>
      <c r="AJ105" s="369"/>
      <c r="AK105" s="369"/>
      <c r="AL105" s="369"/>
      <c r="AM105" s="96"/>
    </row>
    <row r="106" spans="1:39" s="103" customFormat="1" ht="30" customHeight="1" x14ac:dyDescent="0.25">
      <c r="A106" s="94"/>
      <c r="B106" s="94"/>
      <c r="C106" s="413"/>
      <c r="D106" s="95"/>
      <c r="E106" s="96"/>
      <c r="F106" s="96"/>
      <c r="G106" s="96"/>
      <c r="H106" s="96"/>
      <c r="I106" s="97"/>
      <c r="J106" s="98"/>
      <c r="K106" s="98"/>
      <c r="L106" s="99"/>
      <c r="M106" s="72"/>
      <c r="N106" s="100"/>
      <c r="O106" s="101"/>
      <c r="P106" s="377"/>
      <c r="Q106" s="75"/>
      <c r="R106" s="76"/>
      <c r="S106" s="72"/>
      <c r="T106" s="60"/>
      <c r="U106" s="60"/>
      <c r="V106" s="60"/>
      <c r="W106" s="102"/>
      <c r="X106" s="102"/>
      <c r="Y106" s="102"/>
      <c r="Z106" s="102"/>
      <c r="AA106" s="102"/>
      <c r="AB106" s="102"/>
      <c r="AC106" s="102"/>
      <c r="AD106" s="102"/>
      <c r="AE106" s="102"/>
      <c r="AF106" s="102"/>
      <c r="AG106" s="102"/>
      <c r="AH106" s="102"/>
      <c r="AI106" s="369"/>
      <c r="AJ106" s="369"/>
      <c r="AK106" s="369"/>
      <c r="AL106" s="369"/>
      <c r="AM106" s="96"/>
    </row>
    <row r="107" spans="1:39" s="103" customFormat="1" ht="30" customHeight="1" x14ac:dyDescent="0.25">
      <c r="A107" s="94"/>
      <c r="B107" s="94"/>
      <c r="C107" s="413"/>
      <c r="D107" s="95"/>
      <c r="E107" s="96"/>
      <c r="F107" s="96"/>
      <c r="G107" s="96"/>
      <c r="H107" s="96"/>
      <c r="I107" s="97"/>
      <c r="J107" s="98"/>
      <c r="K107" s="98"/>
      <c r="L107" s="99"/>
      <c r="M107" s="72"/>
      <c r="N107" s="100"/>
      <c r="O107" s="101"/>
      <c r="P107" s="377"/>
      <c r="Q107" s="75"/>
      <c r="R107" s="76"/>
      <c r="S107" s="72"/>
      <c r="T107" s="60"/>
      <c r="U107" s="60"/>
      <c r="V107" s="60"/>
      <c r="W107" s="102"/>
      <c r="X107" s="102"/>
      <c r="Y107" s="102"/>
      <c r="Z107" s="102"/>
      <c r="AA107" s="102"/>
      <c r="AB107" s="102"/>
      <c r="AC107" s="102"/>
      <c r="AD107" s="102"/>
      <c r="AE107" s="102"/>
      <c r="AF107" s="102"/>
      <c r="AG107" s="102"/>
      <c r="AH107" s="102"/>
      <c r="AI107" s="369"/>
      <c r="AJ107" s="369"/>
      <c r="AK107" s="369"/>
      <c r="AL107" s="369"/>
      <c r="AM107" s="96"/>
    </row>
    <row r="108" spans="1:39" s="103" customFormat="1" ht="30" customHeight="1" x14ac:dyDescent="0.25">
      <c r="A108" s="94"/>
      <c r="B108" s="94"/>
      <c r="C108" s="413"/>
      <c r="D108" s="95"/>
      <c r="E108" s="96"/>
      <c r="F108" s="96"/>
      <c r="G108" s="96"/>
      <c r="H108" s="96"/>
      <c r="I108" s="97"/>
      <c r="J108" s="98"/>
      <c r="K108" s="98"/>
      <c r="L108" s="99"/>
      <c r="M108" s="72"/>
      <c r="N108" s="100"/>
      <c r="O108" s="101"/>
      <c r="P108" s="377"/>
      <c r="Q108" s="75"/>
      <c r="R108" s="76"/>
      <c r="S108" s="72"/>
      <c r="T108" s="60"/>
      <c r="U108" s="60"/>
      <c r="V108" s="60"/>
      <c r="W108" s="102"/>
      <c r="X108" s="102"/>
      <c r="Y108" s="102"/>
      <c r="Z108" s="102"/>
      <c r="AA108" s="102"/>
      <c r="AB108" s="102"/>
      <c r="AC108" s="102"/>
      <c r="AD108" s="102"/>
      <c r="AE108" s="102"/>
      <c r="AF108" s="102"/>
      <c r="AG108" s="102"/>
      <c r="AH108" s="102"/>
      <c r="AI108" s="369"/>
      <c r="AJ108" s="369"/>
      <c r="AK108" s="369"/>
      <c r="AL108" s="369"/>
      <c r="AM108" s="96"/>
    </row>
    <row r="109" spans="1:39" s="103" customFormat="1" ht="30" customHeight="1" x14ac:dyDescent="0.25">
      <c r="A109" s="94"/>
      <c r="B109" s="94"/>
      <c r="C109" s="413"/>
      <c r="D109" s="95"/>
      <c r="E109" s="96"/>
      <c r="F109" s="96"/>
      <c r="G109" s="96"/>
      <c r="H109" s="96"/>
      <c r="I109" s="97"/>
      <c r="J109" s="98"/>
      <c r="K109" s="98"/>
      <c r="L109" s="99"/>
      <c r="M109" s="72"/>
      <c r="N109" s="100"/>
      <c r="O109" s="101"/>
      <c r="P109" s="377"/>
      <c r="Q109" s="75"/>
      <c r="R109" s="76"/>
      <c r="S109" s="72"/>
      <c r="T109" s="60"/>
      <c r="U109" s="60"/>
      <c r="V109" s="60"/>
      <c r="W109" s="102"/>
      <c r="X109" s="102"/>
      <c r="Y109" s="102"/>
      <c r="Z109" s="102"/>
      <c r="AA109" s="102"/>
      <c r="AB109" s="102"/>
      <c r="AC109" s="102"/>
      <c r="AD109" s="102"/>
      <c r="AE109" s="102"/>
      <c r="AF109" s="102"/>
      <c r="AG109" s="102"/>
      <c r="AH109" s="102"/>
      <c r="AI109" s="369"/>
      <c r="AJ109" s="369"/>
      <c r="AK109" s="369"/>
      <c r="AL109" s="369"/>
      <c r="AM109" s="96"/>
    </row>
    <row r="110" spans="1:39" s="103" customFormat="1" ht="30" customHeight="1" x14ac:dyDescent="0.25">
      <c r="A110" s="94"/>
      <c r="B110" s="94"/>
      <c r="C110" s="413"/>
      <c r="D110" s="95"/>
      <c r="E110" s="96"/>
      <c r="F110" s="96"/>
      <c r="G110" s="96"/>
      <c r="H110" s="96"/>
      <c r="I110" s="97"/>
      <c r="J110" s="98"/>
      <c r="K110" s="98"/>
      <c r="L110" s="99"/>
      <c r="M110" s="72"/>
      <c r="N110" s="100"/>
      <c r="O110" s="101"/>
      <c r="P110" s="377"/>
      <c r="Q110" s="75"/>
      <c r="R110" s="76"/>
      <c r="S110" s="72"/>
      <c r="T110" s="60"/>
      <c r="U110" s="60"/>
      <c r="V110" s="60"/>
      <c r="W110" s="102"/>
      <c r="X110" s="102"/>
      <c r="Y110" s="102"/>
      <c r="Z110" s="102"/>
      <c r="AA110" s="102"/>
      <c r="AB110" s="102"/>
      <c r="AC110" s="102"/>
      <c r="AD110" s="102"/>
      <c r="AE110" s="102"/>
      <c r="AF110" s="102"/>
      <c r="AG110" s="102"/>
      <c r="AH110" s="102"/>
      <c r="AI110" s="369"/>
      <c r="AJ110" s="369"/>
      <c r="AK110" s="369"/>
      <c r="AL110" s="369"/>
      <c r="AM110" s="96"/>
    </row>
    <row r="111" spans="1:39" s="103" customFormat="1" ht="30" customHeight="1" x14ac:dyDescent="0.25">
      <c r="A111" s="94"/>
      <c r="B111" s="94"/>
      <c r="C111" s="413"/>
      <c r="D111" s="95"/>
      <c r="E111" s="96"/>
      <c r="F111" s="96"/>
      <c r="G111" s="96"/>
      <c r="H111" s="96"/>
      <c r="I111" s="97"/>
      <c r="J111" s="98"/>
      <c r="K111" s="98"/>
      <c r="L111" s="99"/>
      <c r="M111" s="72"/>
      <c r="N111" s="100"/>
      <c r="O111" s="101"/>
      <c r="P111" s="377"/>
      <c r="Q111" s="75"/>
      <c r="R111" s="76"/>
      <c r="S111" s="72"/>
      <c r="T111" s="60"/>
      <c r="U111" s="60"/>
      <c r="V111" s="60"/>
      <c r="W111" s="102"/>
      <c r="X111" s="102"/>
      <c r="Y111" s="102"/>
      <c r="Z111" s="102"/>
      <c r="AA111" s="102"/>
      <c r="AB111" s="102"/>
      <c r="AC111" s="102"/>
      <c r="AD111" s="102"/>
      <c r="AE111" s="102"/>
      <c r="AF111" s="102"/>
      <c r="AG111" s="102"/>
      <c r="AH111" s="102"/>
      <c r="AI111" s="369"/>
      <c r="AJ111" s="369"/>
      <c r="AK111" s="369"/>
      <c r="AL111" s="369"/>
      <c r="AM111" s="96"/>
    </row>
    <row r="112" spans="1:39" s="103" customFormat="1" ht="30" customHeight="1" x14ac:dyDescent="0.25">
      <c r="A112" s="94"/>
      <c r="B112" s="94"/>
      <c r="C112" s="413"/>
      <c r="D112" s="95"/>
      <c r="E112" s="96"/>
      <c r="F112" s="96"/>
      <c r="G112" s="96"/>
      <c r="H112" s="96"/>
      <c r="I112" s="97"/>
      <c r="J112" s="98"/>
      <c r="K112" s="98"/>
      <c r="L112" s="99"/>
      <c r="M112" s="72"/>
      <c r="N112" s="100"/>
      <c r="O112" s="101"/>
      <c r="P112" s="377"/>
      <c r="Q112" s="75"/>
      <c r="R112" s="76"/>
      <c r="S112" s="72"/>
      <c r="T112" s="60"/>
      <c r="U112" s="60"/>
      <c r="V112" s="60"/>
      <c r="W112" s="102"/>
      <c r="X112" s="102"/>
      <c r="Y112" s="102"/>
      <c r="Z112" s="102"/>
      <c r="AA112" s="102"/>
      <c r="AB112" s="102"/>
      <c r="AC112" s="102"/>
      <c r="AD112" s="102"/>
      <c r="AE112" s="102"/>
      <c r="AF112" s="102"/>
      <c r="AG112" s="102"/>
      <c r="AH112" s="102"/>
      <c r="AI112" s="369"/>
      <c r="AJ112" s="369"/>
      <c r="AK112" s="369"/>
      <c r="AL112" s="369"/>
      <c r="AM112" s="96"/>
    </row>
    <row r="113" spans="1:39" s="103" customFormat="1" ht="30" customHeight="1" x14ac:dyDescent="0.25">
      <c r="A113" s="94"/>
      <c r="B113" s="94"/>
      <c r="C113" s="413"/>
      <c r="D113" s="95"/>
      <c r="E113" s="96"/>
      <c r="F113" s="96"/>
      <c r="G113" s="96"/>
      <c r="H113" s="96"/>
      <c r="I113" s="97"/>
      <c r="J113" s="98"/>
      <c r="K113" s="98"/>
      <c r="L113" s="99"/>
      <c r="M113" s="72"/>
      <c r="N113" s="100"/>
      <c r="O113" s="101"/>
      <c r="P113" s="377"/>
      <c r="Q113" s="75"/>
      <c r="R113" s="76"/>
      <c r="S113" s="72"/>
      <c r="T113" s="60"/>
      <c r="U113" s="60"/>
      <c r="V113" s="60"/>
      <c r="W113" s="102"/>
      <c r="X113" s="102"/>
      <c r="Y113" s="102"/>
      <c r="Z113" s="102"/>
      <c r="AA113" s="102"/>
      <c r="AB113" s="102"/>
      <c r="AC113" s="102"/>
      <c r="AD113" s="102"/>
      <c r="AE113" s="102"/>
      <c r="AF113" s="102"/>
      <c r="AG113" s="102"/>
      <c r="AH113" s="102"/>
      <c r="AI113" s="369"/>
      <c r="AJ113" s="369"/>
      <c r="AK113" s="369"/>
      <c r="AL113" s="369"/>
      <c r="AM113" s="96"/>
    </row>
    <row r="114" spans="1:39" s="103" customFormat="1" ht="30" customHeight="1" x14ac:dyDescent="0.25">
      <c r="A114" s="94"/>
      <c r="B114" s="94"/>
      <c r="C114" s="413"/>
      <c r="D114" s="95"/>
      <c r="E114" s="96"/>
      <c r="F114" s="96"/>
      <c r="G114" s="96"/>
      <c r="H114" s="96"/>
      <c r="I114" s="97"/>
      <c r="J114" s="98"/>
      <c r="K114" s="98"/>
      <c r="L114" s="99"/>
      <c r="M114" s="72"/>
      <c r="N114" s="100"/>
      <c r="O114" s="101"/>
      <c r="P114" s="377"/>
      <c r="Q114" s="75"/>
      <c r="R114" s="76"/>
      <c r="S114" s="72"/>
      <c r="T114" s="60"/>
      <c r="U114" s="60"/>
      <c r="V114" s="60"/>
      <c r="W114" s="102"/>
      <c r="X114" s="102"/>
      <c r="Y114" s="102"/>
      <c r="Z114" s="102"/>
      <c r="AA114" s="102"/>
      <c r="AB114" s="102"/>
      <c r="AC114" s="102"/>
      <c r="AD114" s="102"/>
      <c r="AE114" s="102"/>
      <c r="AF114" s="102"/>
      <c r="AG114" s="102"/>
      <c r="AH114" s="102"/>
      <c r="AI114" s="369"/>
      <c r="AJ114" s="369"/>
      <c r="AK114" s="369"/>
      <c r="AL114" s="369"/>
      <c r="AM114" s="96"/>
    </row>
    <row r="115" spans="1:39" s="103" customFormat="1" ht="30" customHeight="1" x14ac:dyDescent="0.25">
      <c r="A115" s="94"/>
      <c r="B115" s="94"/>
      <c r="C115" s="413"/>
      <c r="D115" s="95"/>
      <c r="E115" s="96"/>
      <c r="F115" s="96"/>
      <c r="G115" s="96"/>
      <c r="H115" s="96"/>
      <c r="I115" s="97"/>
      <c r="J115" s="98"/>
      <c r="K115" s="98"/>
      <c r="L115" s="99"/>
      <c r="M115" s="72"/>
      <c r="N115" s="100"/>
      <c r="O115" s="101"/>
      <c r="P115" s="377"/>
      <c r="Q115" s="75"/>
      <c r="R115" s="76"/>
      <c r="S115" s="72"/>
      <c r="T115" s="60"/>
      <c r="U115" s="60"/>
      <c r="V115" s="60"/>
      <c r="W115" s="102"/>
      <c r="X115" s="102"/>
      <c r="Y115" s="102"/>
      <c r="Z115" s="102"/>
      <c r="AA115" s="102"/>
      <c r="AB115" s="102"/>
      <c r="AC115" s="102"/>
      <c r="AD115" s="102"/>
      <c r="AE115" s="102"/>
      <c r="AF115" s="102"/>
      <c r="AG115" s="102"/>
      <c r="AH115" s="102"/>
      <c r="AI115" s="369"/>
      <c r="AJ115" s="369"/>
      <c r="AK115" s="369"/>
      <c r="AL115" s="369"/>
      <c r="AM115" s="96"/>
    </row>
    <row r="116" spans="1:39" s="103" customFormat="1" ht="30" customHeight="1" x14ac:dyDescent="0.25">
      <c r="A116" s="94"/>
      <c r="B116" s="94"/>
      <c r="C116" s="413"/>
      <c r="D116" s="95"/>
      <c r="E116" s="96"/>
      <c r="F116" s="96"/>
      <c r="G116" s="96"/>
      <c r="H116" s="96"/>
      <c r="I116" s="97"/>
      <c r="J116" s="98"/>
      <c r="K116" s="98"/>
      <c r="L116" s="99"/>
      <c r="M116" s="72"/>
      <c r="N116" s="100"/>
      <c r="O116" s="101"/>
      <c r="P116" s="377"/>
      <c r="Q116" s="75"/>
      <c r="R116" s="76"/>
      <c r="S116" s="72"/>
      <c r="T116" s="60"/>
      <c r="U116" s="60"/>
      <c r="V116" s="60"/>
      <c r="W116" s="102"/>
      <c r="X116" s="102"/>
      <c r="Y116" s="102"/>
      <c r="Z116" s="102"/>
      <c r="AA116" s="102"/>
      <c r="AB116" s="102"/>
      <c r="AC116" s="102"/>
      <c r="AD116" s="102"/>
      <c r="AE116" s="102"/>
      <c r="AF116" s="102"/>
      <c r="AG116" s="102"/>
      <c r="AH116" s="102"/>
      <c r="AI116" s="369"/>
      <c r="AJ116" s="369"/>
      <c r="AK116" s="369"/>
      <c r="AL116" s="369"/>
      <c r="AM116" s="96"/>
    </row>
    <row r="117" spans="1:39" s="103" customFormat="1" ht="30" customHeight="1" x14ac:dyDescent="0.25">
      <c r="A117" s="94"/>
      <c r="B117" s="94"/>
      <c r="C117" s="413"/>
      <c r="D117" s="95"/>
      <c r="E117" s="96"/>
      <c r="F117" s="96"/>
      <c r="G117" s="96"/>
      <c r="H117" s="96"/>
      <c r="I117" s="97"/>
      <c r="J117" s="98"/>
      <c r="K117" s="98"/>
      <c r="L117" s="99"/>
      <c r="M117" s="72"/>
      <c r="N117" s="100"/>
      <c r="O117" s="101"/>
      <c r="P117" s="377"/>
      <c r="Q117" s="75"/>
      <c r="R117" s="76"/>
      <c r="S117" s="72"/>
      <c r="T117" s="60"/>
      <c r="U117" s="60"/>
      <c r="V117" s="60"/>
      <c r="W117" s="102"/>
      <c r="X117" s="102"/>
      <c r="Y117" s="102"/>
      <c r="Z117" s="102"/>
      <c r="AA117" s="102"/>
      <c r="AB117" s="102"/>
      <c r="AC117" s="102"/>
      <c r="AD117" s="102"/>
      <c r="AE117" s="102"/>
      <c r="AF117" s="102"/>
      <c r="AG117" s="102"/>
      <c r="AH117" s="102"/>
      <c r="AI117" s="369"/>
      <c r="AJ117" s="369"/>
      <c r="AK117" s="369"/>
      <c r="AL117" s="369"/>
      <c r="AM117" s="96"/>
    </row>
    <row r="118" spans="1:39" s="103" customFormat="1" ht="30" customHeight="1" x14ac:dyDescent="0.25">
      <c r="A118" s="94"/>
      <c r="B118" s="94"/>
      <c r="C118" s="413"/>
      <c r="D118" s="95"/>
      <c r="E118" s="96"/>
      <c r="F118" s="96"/>
      <c r="G118" s="96"/>
      <c r="H118" s="96"/>
      <c r="I118" s="97"/>
      <c r="J118" s="98"/>
      <c r="K118" s="98"/>
      <c r="L118" s="99"/>
      <c r="M118" s="72"/>
      <c r="N118" s="100"/>
      <c r="O118" s="101"/>
      <c r="P118" s="377"/>
      <c r="Q118" s="75"/>
      <c r="R118" s="76"/>
      <c r="S118" s="72"/>
      <c r="T118" s="60"/>
      <c r="U118" s="60"/>
      <c r="V118" s="60"/>
      <c r="W118" s="102"/>
      <c r="X118" s="102"/>
      <c r="Y118" s="102"/>
      <c r="Z118" s="102"/>
      <c r="AA118" s="102"/>
      <c r="AB118" s="102"/>
      <c r="AC118" s="102"/>
      <c r="AD118" s="102"/>
      <c r="AE118" s="102"/>
      <c r="AF118" s="102"/>
      <c r="AG118" s="102"/>
      <c r="AH118" s="102"/>
      <c r="AI118" s="369"/>
      <c r="AJ118" s="369"/>
      <c r="AK118" s="369"/>
      <c r="AL118" s="369"/>
      <c r="AM118" s="96"/>
    </row>
    <row r="119" spans="1:39" s="103" customFormat="1" ht="30" customHeight="1" x14ac:dyDescent="0.25">
      <c r="A119" s="94"/>
      <c r="B119" s="94"/>
      <c r="C119" s="413"/>
      <c r="D119" s="95"/>
      <c r="E119" s="96"/>
      <c r="F119" s="96"/>
      <c r="G119" s="96"/>
      <c r="H119" s="96"/>
      <c r="I119" s="97"/>
      <c r="J119" s="98"/>
      <c r="K119" s="98"/>
      <c r="L119" s="99"/>
      <c r="M119" s="72"/>
      <c r="N119" s="100"/>
      <c r="O119" s="101"/>
      <c r="P119" s="377"/>
      <c r="Q119" s="75"/>
      <c r="R119" s="76"/>
      <c r="S119" s="72"/>
      <c r="T119" s="60"/>
      <c r="U119" s="60"/>
      <c r="V119" s="60"/>
      <c r="W119" s="102"/>
      <c r="X119" s="102"/>
      <c r="Y119" s="102"/>
      <c r="Z119" s="102"/>
      <c r="AA119" s="102"/>
      <c r="AB119" s="102"/>
      <c r="AC119" s="102"/>
      <c r="AD119" s="102"/>
      <c r="AE119" s="102"/>
      <c r="AF119" s="102"/>
      <c r="AG119" s="102"/>
      <c r="AH119" s="102"/>
      <c r="AI119" s="369"/>
      <c r="AJ119" s="369"/>
      <c r="AK119" s="369"/>
      <c r="AL119" s="369"/>
      <c r="AM119" s="96"/>
    </row>
    <row r="120" spans="1:39" s="103" customFormat="1" ht="30" customHeight="1" x14ac:dyDescent="0.25">
      <c r="A120" s="94"/>
      <c r="B120" s="94"/>
      <c r="C120" s="413"/>
      <c r="D120" s="95"/>
      <c r="E120" s="96"/>
      <c r="F120" s="96"/>
      <c r="G120" s="96"/>
      <c r="H120" s="96"/>
      <c r="I120" s="97"/>
      <c r="J120" s="98"/>
      <c r="K120" s="98"/>
      <c r="L120" s="99"/>
      <c r="M120" s="72"/>
      <c r="N120" s="100"/>
      <c r="O120" s="101"/>
      <c r="P120" s="377"/>
      <c r="Q120" s="75"/>
      <c r="R120" s="76"/>
      <c r="S120" s="72"/>
      <c r="T120" s="60"/>
      <c r="U120" s="60"/>
      <c r="V120" s="60"/>
      <c r="W120" s="102"/>
      <c r="X120" s="102"/>
      <c r="Y120" s="102"/>
      <c r="Z120" s="102"/>
      <c r="AA120" s="102"/>
      <c r="AB120" s="102"/>
      <c r="AC120" s="102"/>
      <c r="AD120" s="102"/>
      <c r="AE120" s="102"/>
      <c r="AF120" s="102"/>
      <c r="AG120" s="102"/>
      <c r="AH120" s="102"/>
      <c r="AI120" s="369"/>
      <c r="AJ120" s="369"/>
      <c r="AK120" s="369"/>
      <c r="AL120" s="369"/>
      <c r="AM120" s="96"/>
    </row>
    <row r="121" spans="1:39" s="103" customFormat="1" ht="30" customHeight="1" x14ac:dyDescent="0.25">
      <c r="A121" s="94"/>
      <c r="B121" s="94"/>
      <c r="C121" s="413"/>
      <c r="D121" s="95"/>
      <c r="E121" s="96"/>
      <c r="F121" s="96"/>
      <c r="G121" s="96"/>
      <c r="H121" s="96"/>
      <c r="I121" s="97"/>
      <c r="J121" s="98"/>
      <c r="K121" s="98"/>
      <c r="L121" s="99"/>
      <c r="M121" s="72"/>
      <c r="N121" s="100"/>
      <c r="O121" s="101"/>
      <c r="P121" s="377"/>
      <c r="Q121" s="75"/>
      <c r="R121" s="76"/>
      <c r="S121" s="72"/>
      <c r="T121" s="60"/>
      <c r="U121" s="60"/>
      <c r="V121" s="60"/>
      <c r="W121" s="102"/>
      <c r="X121" s="102"/>
      <c r="Y121" s="102"/>
      <c r="Z121" s="102"/>
      <c r="AA121" s="102"/>
      <c r="AB121" s="102"/>
      <c r="AC121" s="102"/>
      <c r="AD121" s="102"/>
      <c r="AE121" s="102"/>
      <c r="AF121" s="102"/>
      <c r="AG121" s="102"/>
      <c r="AH121" s="102"/>
      <c r="AI121" s="369"/>
      <c r="AJ121" s="369"/>
      <c r="AK121" s="369"/>
      <c r="AL121" s="369"/>
      <c r="AM121" s="96"/>
    </row>
    <row r="122" spans="1:39" s="103" customFormat="1" ht="30" customHeight="1" x14ac:dyDescent="0.25">
      <c r="A122" s="94"/>
      <c r="B122" s="94"/>
      <c r="C122" s="413"/>
      <c r="D122" s="95"/>
      <c r="E122" s="96"/>
      <c r="F122" s="96"/>
      <c r="G122" s="96"/>
      <c r="H122" s="96"/>
      <c r="I122" s="97"/>
      <c r="J122" s="98"/>
      <c r="K122" s="98"/>
      <c r="L122" s="99"/>
      <c r="M122" s="72"/>
      <c r="N122" s="100"/>
      <c r="O122" s="101"/>
      <c r="P122" s="377"/>
      <c r="Q122" s="75"/>
      <c r="R122" s="76"/>
      <c r="S122" s="72"/>
      <c r="T122" s="60"/>
      <c r="U122" s="60"/>
      <c r="V122" s="60"/>
      <c r="W122" s="102"/>
      <c r="X122" s="102"/>
      <c r="Y122" s="102"/>
      <c r="Z122" s="102"/>
      <c r="AA122" s="102"/>
      <c r="AB122" s="102"/>
      <c r="AC122" s="102"/>
      <c r="AD122" s="102"/>
      <c r="AE122" s="102"/>
      <c r="AF122" s="102"/>
      <c r="AG122" s="102"/>
      <c r="AH122" s="102"/>
      <c r="AI122" s="369"/>
      <c r="AJ122" s="369"/>
      <c r="AK122" s="369"/>
      <c r="AL122" s="369"/>
      <c r="AM122" s="96"/>
    </row>
    <row r="123" spans="1:39" s="103" customFormat="1" ht="30" customHeight="1" x14ac:dyDescent="0.25">
      <c r="A123" s="94"/>
      <c r="B123" s="94"/>
      <c r="C123" s="413"/>
      <c r="D123" s="95"/>
      <c r="E123" s="96"/>
      <c r="F123" s="96"/>
      <c r="G123" s="96"/>
      <c r="H123" s="96"/>
      <c r="I123" s="97"/>
      <c r="J123" s="98"/>
      <c r="K123" s="98"/>
      <c r="L123" s="99"/>
      <c r="M123" s="72"/>
      <c r="N123" s="100"/>
      <c r="O123" s="101"/>
      <c r="P123" s="377"/>
      <c r="Q123" s="75"/>
      <c r="R123" s="76"/>
      <c r="S123" s="72"/>
      <c r="T123" s="60"/>
      <c r="U123" s="60"/>
      <c r="V123" s="60"/>
      <c r="W123" s="102"/>
      <c r="X123" s="102"/>
      <c r="Y123" s="102"/>
      <c r="Z123" s="102"/>
      <c r="AA123" s="102"/>
      <c r="AB123" s="102"/>
      <c r="AC123" s="102"/>
      <c r="AD123" s="102"/>
      <c r="AE123" s="102"/>
      <c r="AF123" s="102"/>
      <c r="AG123" s="102"/>
      <c r="AH123" s="102"/>
      <c r="AI123" s="369"/>
      <c r="AJ123" s="369"/>
      <c r="AK123" s="369"/>
      <c r="AL123" s="369"/>
      <c r="AM123" s="96"/>
    </row>
    <row r="124" spans="1:39" s="103" customFormat="1" ht="30" customHeight="1" x14ac:dyDescent="0.25">
      <c r="A124" s="94"/>
      <c r="B124" s="94"/>
      <c r="C124" s="413"/>
      <c r="D124" s="95"/>
      <c r="E124" s="96"/>
      <c r="F124" s="96"/>
      <c r="G124" s="96"/>
      <c r="H124" s="96"/>
      <c r="I124" s="97"/>
      <c r="J124" s="98"/>
      <c r="K124" s="98"/>
      <c r="L124" s="99"/>
      <c r="M124" s="72"/>
      <c r="N124" s="100"/>
      <c r="O124" s="101"/>
      <c r="P124" s="377"/>
      <c r="Q124" s="75"/>
      <c r="R124" s="76"/>
      <c r="S124" s="72"/>
      <c r="T124" s="60"/>
      <c r="U124" s="60"/>
      <c r="V124" s="60"/>
      <c r="W124" s="102"/>
      <c r="X124" s="102"/>
      <c r="Y124" s="102"/>
      <c r="Z124" s="102"/>
      <c r="AA124" s="102"/>
      <c r="AB124" s="102"/>
      <c r="AC124" s="102"/>
      <c r="AD124" s="102"/>
      <c r="AE124" s="102"/>
      <c r="AF124" s="102"/>
      <c r="AG124" s="102"/>
      <c r="AH124" s="102"/>
      <c r="AI124" s="369"/>
      <c r="AJ124" s="369"/>
      <c r="AK124" s="369"/>
      <c r="AL124" s="369"/>
      <c r="AM124" s="96"/>
    </row>
    <row r="125" spans="1:39" s="103" customFormat="1" ht="30" customHeight="1" x14ac:dyDescent="0.25">
      <c r="A125" s="94"/>
      <c r="B125" s="94"/>
      <c r="C125" s="413"/>
      <c r="D125" s="95"/>
      <c r="E125" s="96"/>
      <c r="F125" s="96"/>
      <c r="G125" s="96"/>
      <c r="H125" s="96"/>
      <c r="I125" s="97"/>
      <c r="J125" s="98"/>
      <c r="K125" s="98"/>
      <c r="L125" s="99"/>
      <c r="M125" s="72"/>
      <c r="N125" s="100"/>
      <c r="O125" s="101"/>
      <c r="P125" s="377"/>
      <c r="Q125" s="75"/>
      <c r="R125" s="76"/>
      <c r="S125" s="72"/>
      <c r="T125" s="60"/>
      <c r="U125" s="60"/>
      <c r="V125" s="60"/>
      <c r="W125" s="102"/>
      <c r="X125" s="102"/>
      <c r="Y125" s="102"/>
      <c r="Z125" s="102"/>
      <c r="AA125" s="102"/>
      <c r="AB125" s="102"/>
      <c r="AC125" s="102"/>
      <c r="AD125" s="102"/>
      <c r="AE125" s="102"/>
      <c r="AF125" s="102"/>
      <c r="AG125" s="102"/>
      <c r="AH125" s="102"/>
      <c r="AI125" s="369"/>
      <c r="AJ125" s="369"/>
      <c r="AK125" s="369"/>
      <c r="AL125" s="369"/>
      <c r="AM125" s="96"/>
    </row>
    <row r="126" spans="1:39" s="103" customFormat="1" ht="30" customHeight="1" x14ac:dyDescent="0.25">
      <c r="A126" s="94"/>
      <c r="B126" s="94"/>
      <c r="C126" s="413"/>
      <c r="D126" s="95"/>
      <c r="E126" s="96"/>
      <c r="F126" s="96"/>
      <c r="G126" s="96"/>
      <c r="H126" s="96"/>
      <c r="I126" s="97"/>
      <c r="J126" s="98"/>
      <c r="K126" s="98"/>
      <c r="L126" s="99"/>
      <c r="M126" s="72"/>
      <c r="N126" s="100"/>
      <c r="O126" s="101"/>
      <c r="P126" s="377"/>
      <c r="Q126" s="75"/>
      <c r="R126" s="76"/>
      <c r="S126" s="72"/>
      <c r="T126" s="60"/>
      <c r="U126" s="60"/>
      <c r="V126" s="60"/>
      <c r="W126" s="102"/>
      <c r="X126" s="102"/>
      <c r="Y126" s="102"/>
      <c r="Z126" s="102"/>
      <c r="AA126" s="102"/>
      <c r="AB126" s="102"/>
      <c r="AC126" s="102"/>
      <c r="AD126" s="102"/>
      <c r="AE126" s="102"/>
      <c r="AF126" s="102"/>
      <c r="AG126" s="102"/>
      <c r="AH126" s="102"/>
      <c r="AI126" s="369"/>
      <c r="AJ126" s="369"/>
      <c r="AK126" s="369"/>
      <c r="AL126" s="369"/>
      <c r="AM126" s="96"/>
    </row>
    <row r="127" spans="1:39" s="103" customFormat="1" ht="30" customHeight="1" x14ac:dyDescent="0.25">
      <c r="A127" s="94"/>
      <c r="B127" s="94"/>
      <c r="C127" s="413"/>
      <c r="D127" s="95"/>
      <c r="E127" s="96"/>
      <c r="F127" s="96"/>
      <c r="G127" s="96"/>
      <c r="H127" s="96"/>
      <c r="I127" s="97"/>
      <c r="J127" s="98"/>
      <c r="K127" s="98"/>
      <c r="L127" s="99"/>
      <c r="M127" s="72"/>
      <c r="N127" s="100"/>
      <c r="O127" s="101"/>
      <c r="P127" s="377"/>
      <c r="Q127" s="75"/>
      <c r="R127" s="76"/>
      <c r="S127" s="72"/>
      <c r="T127" s="60"/>
      <c r="U127" s="60"/>
      <c r="V127" s="60"/>
      <c r="W127" s="102"/>
      <c r="X127" s="102"/>
      <c r="Y127" s="102"/>
      <c r="Z127" s="102"/>
      <c r="AA127" s="102"/>
      <c r="AB127" s="102"/>
      <c r="AC127" s="102"/>
      <c r="AD127" s="102"/>
      <c r="AE127" s="102"/>
      <c r="AF127" s="102"/>
      <c r="AG127" s="102"/>
      <c r="AH127" s="102"/>
      <c r="AI127" s="369"/>
      <c r="AJ127" s="369"/>
      <c r="AK127" s="369"/>
      <c r="AL127" s="369"/>
      <c r="AM127" s="96"/>
    </row>
    <row r="128" spans="1:39" s="103" customFormat="1" ht="30" customHeight="1" x14ac:dyDescent="0.25">
      <c r="A128" s="94"/>
      <c r="B128" s="94"/>
      <c r="C128" s="413"/>
      <c r="D128" s="95"/>
      <c r="E128" s="96"/>
      <c r="F128" s="96"/>
      <c r="G128" s="96"/>
      <c r="H128" s="96"/>
      <c r="I128" s="97"/>
      <c r="J128" s="98"/>
      <c r="K128" s="98"/>
      <c r="L128" s="99"/>
      <c r="M128" s="72"/>
      <c r="N128" s="100"/>
      <c r="O128" s="101"/>
      <c r="P128" s="377"/>
      <c r="Q128" s="75"/>
      <c r="R128" s="76"/>
      <c r="S128" s="72"/>
      <c r="T128" s="60"/>
      <c r="U128" s="60"/>
      <c r="V128" s="60"/>
      <c r="W128" s="102"/>
      <c r="X128" s="102"/>
      <c r="Y128" s="102"/>
      <c r="Z128" s="102"/>
      <c r="AA128" s="102"/>
      <c r="AB128" s="102"/>
      <c r="AC128" s="102"/>
      <c r="AD128" s="102"/>
      <c r="AE128" s="102"/>
      <c r="AF128" s="102"/>
      <c r="AG128" s="102"/>
      <c r="AH128" s="102"/>
      <c r="AI128" s="369"/>
      <c r="AJ128" s="369"/>
      <c r="AK128" s="369"/>
      <c r="AL128" s="369"/>
      <c r="AM128" s="96"/>
    </row>
    <row r="129" spans="1:39" s="103" customFormat="1" ht="30" customHeight="1" x14ac:dyDescent="0.25">
      <c r="A129" s="94"/>
      <c r="B129" s="94"/>
      <c r="C129" s="413"/>
      <c r="D129" s="95"/>
      <c r="E129" s="96"/>
      <c r="F129" s="96"/>
      <c r="G129" s="96"/>
      <c r="H129" s="96"/>
      <c r="I129" s="97"/>
      <c r="J129" s="98"/>
      <c r="K129" s="98"/>
      <c r="L129" s="99"/>
      <c r="M129" s="72"/>
      <c r="N129" s="100"/>
      <c r="O129" s="101"/>
      <c r="P129" s="377"/>
      <c r="Q129" s="75"/>
      <c r="R129" s="76"/>
      <c r="S129" s="72"/>
      <c r="T129" s="60"/>
      <c r="U129" s="60"/>
      <c r="V129" s="60"/>
      <c r="W129" s="102"/>
      <c r="X129" s="102"/>
      <c r="Y129" s="102"/>
      <c r="Z129" s="102"/>
      <c r="AA129" s="102"/>
      <c r="AB129" s="102"/>
      <c r="AC129" s="102"/>
      <c r="AD129" s="102"/>
      <c r="AE129" s="102"/>
      <c r="AF129" s="102"/>
      <c r="AG129" s="102"/>
      <c r="AH129" s="102"/>
      <c r="AI129" s="369"/>
      <c r="AJ129" s="369"/>
      <c r="AK129" s="369"/>
      <c r="AL129" s="369"/>
      <c r="AM129" s="96"/>
    </row>
    <row r="130" spans="1:39" s="103" customFormat="1" ht="30" customHeight="1" x14ac:dyDescent="0.25">
      <c r="A130" s="94"/>
      <c r="B130" s="94"/>
      <c r="C130" s="413"/>
      <c r="D130" s="95"/>
      <c r="E130" s="96"/>
      <c r="F130" s="96"/>
      <c r="G130" s="96"/>
      <c r="H130" s="96"/>
      <c r="I130" s="97"/>
      <c r="J130" s="98"/>
      <c r="K130" s="98"/>
      <c r="L130" s="99"/>
      <c r="M130" s="72"/>
      <c r="N130" s="100"/>
      <c r="O130" s="101"/>
      <c r="P130" s="377"/>
      <c r="Q130" s="75"/>
      <c r="R130" s="76"/>
      <c r="S130" s="72"/>
      <c r="T130" s="60"/>
      <c r="U130" s="60"/>
      <c r="V130" s="60"/>
      <c r="W130" s="102"/>
      <c r="X130" s="102"/>
      <c r="Y130" s="102"/>
      <c r="Z130" s="102"/>
      <c r="AA130" s="102"/>
      <c r="AB130" s="102"/>
      <c r="AC130" s="102"/>
      <c r="AD130" s="102"/>
      <c r="AE130" s="102"/>
      <c r="AF130" s="102"/>
      <c r="AG130" s="102"/>
      <c r="AH130" s="102"/>
      <c r="AI130" s="369"/>
      <c r="AJ130" s="369"/>
      <c r="AK130" s="369"/>
      <c r="AL130" s="369"/>
      <c r="AM130" s="96"/>
    </row>
    <row r="131" spans="1:39" s="103" customFormat="1" ht="65.099999999999994" customHeight="1" x14ac:dyDescent="0.25">
      <c r="A131" s="94"/>
      <c r="B131" s="94"/>
      <c r="C131" s="413"/>
      <c r="D131" s="95"/>
      <c r="E131" s="96"/>
      <c r="F131" s="96"/>
      <c r="G131" s="96"/>
      <c r="H131" s="96"/>
      <c r="I131" s="97"/>
      <c r="J131" s="98"/>
      <c r="K131" s="98"/>
      <c r="L131" s="99"/>
      <c r="M131" s="72"/>
      <c r="N131" s="100"/>
      <c r="O131" s="101"/>
      <c r="P131" s="377"/>
      <c r="Q131" s="75"/>
      <c r="R131" s="76"/>
      <c r="S131" s="72"/>
      <c r="T131" s="60"/>
      <c r="U131" s="60"/>
      <c r="V131" s="60"/>
      <c r="W131" s="102"/>
      <c r="X131" s="102"/>
      <c r="Y131" s="102"/>
      <c r="Z131" s="102"/>
      <c r="AA131" s="102"/>
      <c r="AB131" s="102"/>
      <c r="AC131" s="102"/>
      <c r="AD131" s="102"/>
      <c r="AE131" s="102"/>
      <c r="AF131" s="102"/>
      <c r="AG131" s="102"/>
      <c r="AH131" s="102"/>
      <c r="AI131" s="369"/>
      <c r="AJ131" s="369"/>
      <c r="AK131" s="369"/>
      <c r="AL131" s="369"/>
      <c r="AM131" s="96"/>
    </row>
    <row r="132" spans="1:39" s="103" customFormat="1" ht="65.099999999999994" customHeight="1" x14ac:dyDescent="0.25">
      <c r="A132" s="94"/>
      <c r="B132" s="94"/>
      <c r="C132" s="413"/>
      <c r="D132" s="95"/>
      <c r="E132" s="96"/>
      <c r="F132" s="96"/>
      <c r="G132" s="96"/>
      <c r="H132" s="96"/>
      <c r="I132" s="97"/>
      <c r="J132" s="98"/>
      <c r="K132" s="98"/>
      <c r="L132" s="99"/>
      <c r="M132" s="72"/>
      <c r="N132" s="100"/>
      <c r="O132" s="101"/>
      <c r="P132" s="377"/>
      <c r="Q132" s="75"/>
      <c r="R132" s="76"/>
      <c r="S132" s="72"/>
      <c r="T132" s="60"/>
      <c r="U132" s="60"/>
      <c r="V132" s="60"/>
      <c r="W132" s="102"/>
      <c r="X132" s="102"/>
      <c r="Y132" s="102"/>
      <c r="Z132" s="102"/>
      <c r="AA132" s="102"/>
      <c r="AB132" s="102"/>
      <c r="AC132" s="102"/>
      <c r="AD132" s="102"/>
      <c r="AE132" s="102"/>
      <c r="AF132" s="102"/>
      <c r="AG132" s="102"/>
      <c r="AH132" s="102"/>
      <c r="AI132" s="369"/>
      <c r="AJ132" s="369"/>
      <c r="AK132" s="369"/>
      <c r="AL132" s="369"/>
      <c r="AM132" s="96"/>
    </row>
    <row r="133" spans="1:39" s="103" customFormat="1" ht="65.099999999999994" customHeight="1" x14ac:dyDescent="0.25">
      <c r="A133" s="94"/>
      <c r="B133" s="94"/>
      <c r="C133" s="413"/>
      <c r="D133" s="95"/>
      <c r="E133" s="96"/>
      <c r="F133" s="96"/>
      <c r="G133" s="96"/>
      <c r="H133" s="96"/>
      <c r="I133" s="97"/>
      <c r="J133" s="98"/>
      <c r="K133" s="98"/>
      <c r="L133" s="99"/>
      <c r="M133" s="72"/>
      <c r="N133" s="100"/>
      <c r="O133" s="101"/>
      <c r="P133" s="377"/>
      <c r="Q133" s="75"/>
      <c r="R133" s="76"/>
      <c r="S133" s="72"/>
      <c r="T133" s="60"/>
      <c r="U133" s="60"/>
      <c r="V133" s="60"/>
      <c r="W133" s="102"/>
      <c r="X133" s="102"/>
      <c r="Y133" s="102"/>
      <c r="Z133" s="102"/>
      <c r="AA133" s="102"/>
      <c r="AB133" s="102"/>
      <c r="AC133" s="102"/>
      <c r="AD133" s="102"/>
      <c r="AE133" s="102"/>
      <c r="AF133" s="102"/>
      <c r="AG133" s="102"/>
      <c r="AH133" s="102"/>
      <c r="AI133" s="369"/>
      <c r="AJ133" s="369"/>
      <c r="AK133" s="369"/>
      <c r="AL133" s="369"/>
      <c r="AM133" s="96"/>
    </row>
    <row r="134" spans="1:39" s="103" customFormat="1" ht="65.099999999999994" customHeight="1" x14ac:dyDescent="0.25">
      <c r="A134" s="94"/>
      <c r="B134" s="94"/>
      <c r="C134" s="413"/>
      <c r="D134" s="95"/>
      <c r="E134" s="96"/>
      <c r="F134" s="96"/>
      <c r="G134" s="96"/>
      <c r="H134" s="96"/>
      <c r="I134" s="97"/>
      <c r="J134" s="98"/>
      <c r="K134" s="98"/>
      <c r="L134" s="99"/>
      <c r="M134" s="72"/>
      <c r="N134" s="100"/>
      <c r="O134" s="101"/>
      <c r="P134" s="377"/>
      <c r="Q134" s="75"/>
      <c r="R134" s="76"/>
      <c r="S134" s="72"/>
      <c r="T134" s="60"/>
      <c r="U134" s="60"/>
      <c r="V134" s="60"/>
      <c r="W134" s="102"/>
      <c r="X134" s="102"/>
      <c r="Y134" s="102"/>
      <c r="Z134" s="102"/>
      <c r="AA134" s="102"/>
      <c r="AB134" s="102"/>
      <c r="AC134" s="102"/>
      <c r="AD134" s="102"/>
      <c r="AE134" s="102"/>
      <c r="AF134" s="102"/>
      <c r="AG134" s="102"/>
      <c r="AH134" s="102"/>
      <c r="AI134" s="369"/>
      <c r="AJ134" s="369"/>
      <c r="AK134" s="369"/>
      <c r="AL134" s="369"/>
      <c r="AM134" s="96"/>
    </row>
    <row r="135" spans="1:39" s="103" customFormat="1" ht="65.099999999999994" customHeight="1" x14ac:dyDescent="0.25">
      <c r="A135" s="94"/>
      <c r="B135" s="94"/>
      <c r="C135" s="413"/>
      <c r="D135" s="95"/>
      <c r="E135" s="96"/>
      <c r="F135" s="96"/>
      <c r="G135" s="96"/>
      <c r="H135" s="96"/>
      <c r="I135" s="97"/>
      <c r="J135" s="98"/>
      <c r="K135" s="98"/>
      <c r="L135" s="99"/>
      <c r="M135" s="72"/>
      <c r="N135" s="100"/>
      <c r="O135" s="101"/>
      <c r="P135" s="377"/>
      <c r="Q135" s="75"/>
      <c r="R135" s="76"/>
      <c r="S135" s="72"/>
      <c r="T135" s="60"/>
      <c r="U135" s="60"/>
      <c r="V135" s="60"/>
      <c r="W135" s="102"/>
      <c r="X135" s="102"/>
      <c r="Y135" s="102"/>
      <c r="Z135" s="102"/>
      <c r="AA135" s="102"/>
      <c r="AB135" s="102"/>
      <c r="AC135" s="102"/>
      <c r="AD135" s="102"/>
      <c r="AE135" s="102"/>
      <c r="AF135" s="102"/>
      <c r="AG135" s="102"/>
      <c r="AH135" s="102"/>
      <c r="AI135" s="369"/>
      <c r="AJ135" s="369"/>
      <c r="AK135" s="369"/>
      <c r="AL135" s="369"/>
      <c r="AM135" s="96"/>
    </row>
    <row r="136" spans="1:39" s="103" customFormat="1" ht="65.099999999999994" customHeight="1" x14ac:dyDescent="0.25">
      <c r="A136" s="94"/>
      <c r="B136" s="94"/>
      <c r="C136" s="413"/>
      <c r="D136" s="95"/>
      <c r="E136" s="96"/>
      <c r="F136" s="96"/>
      <c r="G136" s="96"/>
      <c r="H136" s="96"/>
      <c r="I136" s="97"/>
      <c r="J136" s="98"/>
      <c r="K136" s="98"/>
      <c r="L136" s="99"/>
      <c r="M136" s="72"/>
      <c r="N136" s="100"/>
      <c r="O136" s="101"/>
      <c r="P136" s="377"/>
      <c r="Q136" s="75"/>
      <c r="R136" s="76"/>
      <c r="S136" s="72"/>
      <c r="T136" s="60"/>
      <c r="U136" s="60"/>
      <c r="V136" s="60"/>
      <c r="W136" s="102"/>
      <c r="X136" s="102"/>
      <c r="Y136" s="102"/>
      <c r="Z136" s="102"/>
      <c r="AA136" s="102"/>
      <c r="AB136" s="102"/>
      <c r="AC136" s="102"/>
      <c r="AD136" s="102"/>
      <c r="AE136" s="102"/>
      <c r="AF136" s="102"/>
      <c r="AG136" s="102"/>
      <c r="AH136" s="102"/>
      <c r="AI136" s="369"/>
      <c r="AJ136" s="369"/>
      <c r="AK136" s="369"/>
      <c r="AL136" s="369"/>
      <c r="AM136" s="96"/>
    </row>
    <row r="137" spans="1:39" s="103" customFormat="1" ht="65.099999999999994" customHeight="1" x14ac:dyDescent="0.25">
      <c r="A137" s="94"/>
      <c r="B137" s="94"/>
      <c r="C137" s="413"/>
      <c r="D137" s="95"/>
      <c r="E137" s="96"/>
      <c r="F137" s="96"/>
      <c r="G137" s="96"/>
      <c r="H137" s="96"/>
      <c r="I137" s="97"/>
      <c r="J137" s="98"/>
      <c r="K137" s="98"/>
      <c r="L137" s="99"/>
      <c r="M137" s="72"/>
      <c r="N137" s="100"/>
      <c r="O137" s="101"/>
      <c r="P137" s="377"/>
      <c r="Q137" s="75"/>
      <c r="R137" s="76"/>
      <c r="S137" s="72"/>
      <c r="T137" s="60"/>
      <c r="U137" s="60"/>
      <c r="V137" s="60"/>
      <c r="W137" s="102"/>
      <c r="X137" s="102"/>
      <c r="Y137" s="102"/>
      <c r="Z137" s="102"/>
      <c r="AA137" s="102"/>
      <c r="AB137" s="102"/>
      <c r="AC137" s="102"/>
      <c r="AD137" s="102"/>
      <c r="AE137" s="102"/>
      <c r="AF137" s="102"/>
      <c r="AG137" s="102"/>
      <c r="AH137" s="102"/>
      <c r="AI137" s="369"/>
      <c r="AJ137" s="369"/>
      <c r="AK137" s="369"/>
      <c r="AL137" s="369"/>
      <c r="AM137" s="96"/>
    </row>
    <row r="138" spans="1:39" s="103" customFormat="1" ht="65.099999999999994" customHeight="1" x14ac:dyDescent="0.25">
      <c r="A138" s="94"/>
      <c r="B138" s="94"/>
      <c r="C138" s="413"/>
      <c r="D138" s="95"/>
      <c r="E138" s="96"/>
      <c r="F138" s="96"/>
      <c r="G138" s="96"/>
      <c r="H138" s="96"/>
      <c r="I138" s="97"/>
      <c r="J138" s="98"/>
      <c r="K138" s="98"/>
      <c r="L138" s="99"/>
      <c r="M138" s="72"/>
      <c r="N138" s="100"/>
      <c r="O138" s="101"/>
      <c r="P138" s="377"/>
      <c r="Q138" s="75"/>
      <c r="R138" s="76"/>
      <c r="S138" s="72"/>
      <c r="T138" s="60"/>
      <c r="U138" s="60"/>
      <c r="V138" s="60"/>
      <c r="W138" s="102"/>
      <c r="X138" s="102"/>
      <c r="Y138" s="102"/>
      <c r="Z138" s="102"/>
      <c r="AA138" s="102"/>
      <c r="AB138" s="102"/>
      <c r="AC138" s="102"/>
      <c r="AD138" s="102"/>
      <c r="AE138" s="102"/>
      <c r="AF138" s="102"/>
      <c r="AG138" s="102"/>
      <c r="AH138" s="102"/>
      <c r="AI138" s="369"/>
      <c r="AJ138" s="369"/>
      <c r="AK138" s="369"/>
      <c r="AL138" s="369"/>
      <c r="AM138" s="96"/>
    </row>
    <row r="139" spans="1:39" s="103" customFormat="1" ht="65.099999999999994" customHeight="1" x14ac:dyDescent="0.25">
      <c r="A139" s="94"/>
      <c r="B139" s="94"/>
      <c r="C139" s="413"/>
      <c r="D139" s="95"/>
      <c r="E139" s="96"/>
      <c r="F139" s="96"/>
      <c r="G139" s="96"/>
      <c r="H139" s="96"/>
      <c r="I139" s="97"/>
      <c r="J139" s="98"/>
      <c r="K139" s="98"/>
      <c r="L139" s="99"/>
      <c r="M139" s="72"/>
      <c r="N139" s="100"/>
      <c r="O139" s="101"/>
      <c r="P139" s="377"/>
      <c r="Q139" s="75"/>
      <c r="R139" s="76"/>
      <c r="S139" s="72"/>
      <c r="T139" s="60"/>
      <c r="U139" s="60"/>
      <c r="V139" s="60"/>
      <c r="W139" s="102"/>
      <c r="X139" s="102"/>
      <c r="Y139" s="102"/>
      <c r="Z139" s="102"/>
      <c r="AA139" s="102"/>
      <c r="AB139" s="102"/>
      <c r="AC139" s="102"/>
      <c r="AD139" s="102"/>
      <c r="AE139" s="102"/>
      <c r="AF139" s="102"/>
      <c r="AG139" s="102"/>
      <c r="AH139" s="102"/>
      <c r="AI139" s="369"/>
      <c r="AJ139" s="369"/>
      <c r="AK139" s="369"/>
      <c r="AL139" s="369"/>
      <c r="AM139" s="96"/>
    </row>
    <row r="140" spans="1:39" s="103" customFormat="1" ht="65.099999999999994" customHeight="1" x14ac:dyDescent="0.25">
      <c r="A140" s="94"/>
      <c r="B140" s="94"/>
      <c r="C140" s="413"/>
      <c r="D140" s="95"/>
      <c r="E140" s="96"/>
      <c r="F140" s="96"/>
      <c r="G140" s="96"/>
      <c r="H140" s="96"/>
      <c r="I140" s="97"/>
      <c r="J140" s="98"/>
      <c r="K140" s="98"/>
      <c r="L140" s="99"/>
      <c r="M140" s="72"/>
      <c r="N140" s="100"/>
      <c r="O140" s="101"/>
      <c r="P140" s="377"/>
      <c r="Q140" s="75"/>
      <c r="R140" s="76"/>
      <c r="S140" s="72"/>
      <c r="T140" s="60"/>
      <c r="U140" s="60"/>
      <c r="V140" s="60"/>
      <c r="W140" s="102"/>
      <c r="X140" s="102"/>
      <c r="Y140" s="102"/>
      <c r="Z140" s="102"/>
      <c r="AA140" s="102"/>
      <c r="AB140" s="102"/>
      <c r="AC140" s="102"/>
      <c r="AD140" s="102"/>
      <c r="AE140" s="102"/>
      <c r="AF140" s="102"/>
      <c r="AG140" s="102"/>
      <c r="AH140" s="102"/>
      <c r="AI140" s="369"/>
      <c r="AJ140" s="369"/>
      <c r="AK140" s="369"/>
      <c r="AL140" s="369"/>
      <c r="AM140" s="96"/>
    </row>
    <row r="141" spans="1:39" s="103" customFormat="1" ht="65.099999999999994" customHeight="1" x14ac:dyDescent="0.25">
      <c r="A141" s="94"/>
      <c r="B141" s="94"/>
      <c r="C141" s="413"/>
      <c r="D141" s="95"/>
      <c r="E141" s="96"/>
      <c r="F141" s="96"/>
      <c r="G141" s="96"/>
      <c r="H141" s="96"/>
      <c r="I141" s="97"/>
      <c r="J141" s="98"/>
      <c r="K141" s="98"/>
      <c r="L141" s="99"/>
      <c r="M141" s="72"/>
      <c r="N141" s="100"/>
      <c r="O141" s="101"/>
      <c r="P141" s="377"/>
      <c r="Q141" s="75"/>
      <c r="R141" s="76"/>
      <c r="S141" s="72"/>
      <c r="T141" s="60"/>
      <c r="U141" s="60"/>
      <c r="V141" s="60"/>
      <c r="W141" s="102"/>
      <c r="X141" s="102"/>
      <c r="Y141" s="102"/>
      <c r="Z141" s="102"/>
      <c r="AA141" s="102"/>
      <c r="AB141" s="102"/>
      <c r="AC141" s="102"/>
      <c r="AD141" s="102"/>
      <c r="AE141" s="102"/>
      <c r="AF141" s="102"/>
      <c r="AG141" s="102"/>
      <c r="AH141" s="102"/>
      <c r="AI141" s="369"/>
      <c r="AJ141" s="369"/>
      <c r="AK141" s="369"/>
      <c r="AL141" s="369"/>
      <c r="AM141" s="96"/>
    </row>
    <row r="142" spans="1:39" s="103" customFormat="1" ht="65.099999999999994" customHeight="1" x14ac:dyDescent="0.25">
      <c r="A142" s="94"/>
      <c r="B142" s="94"/>
      <c r="C142" s="413"/>
      <c r="D142" s="95"/>
      <c r="E142" s="96"/>
      <c r="F142" s="96"/>
      <c r="G142" s="96"/>
      <c r="H142" s="96"/>
      <c r="I142" s="97"/>
      <c r="J142" s="98"/>
      <c r="K142" s="98"/>
      <c r="L142" s="99"/>
      <c r="M142" s="72"/>
      <c r="N142" s="100"/>
      <c r="O142" s="101"/>
      <c r="P142" s="377"/>
      <c r="Q142" s="75"/>
      <c r="R142" s="76"/>
      <c r="S142" s="72"/>
      <c r="T142" s="60"/>
      <c r="U142" s="60"/>
      <c r="V142" s="60"/>
      <c r="W142" s="102"/>
      <c r="X142" s="102"/>
      <c r="Y142" s="102"/>
      <c r="Z142" s="102"/>
      <c r="AA142" s="102"/>
      <c r="AB142" s="102"/>
      <c r="AC142" s="102"/>
      <c r="AD142" s="102"/>
      <c r="AE142" s="102"/>
      <c r="AF142" s="102"/>
      <c r="AG142" s="102"/>
      <c r="AH142" s="102"/>
      <c r="AI142" s="369"/>
      <c r="AJ142" s="369"/>
      <c r="AK142" s="369"/>
      <c r="AL142" s="369"/>
      <c r="AM142" s="96"/>
    </row>
    <row r="143" spans="1:39" s="103" customFormat="1" ht="65.099999999999994" customHeight="1" x14ac:dyDescent="0.25">
      <c r="A143" s="94"/>
      <c r="B143" s="94"/>
      <c r="C143" s="413"/>
      <c r="D143" s="95"/>
      <c r="E143" s="96"/>
      <c r="F143" s="96"/>
      <c r="G143" s="96"/>
      <c r="H143" s="96"/>
      <c r="I143" s="97"/>
      <c r="J143" s="98"/>
      <c r="K143" s="98"/>
      <c r="L143" s="99"/>
      <c r="M143" s="72"/>
      <c r="N143" s="100"/>
      <c r="O143" s="101"/>
      <c r="P143" s="377"/>
      <c r="Q143" s="75"/>
      <c r="R143" s="76"/>
      <c r="S143" s="72"/>
      <c r="T143" s="60"/>
      <c r="U143" s="60"/>
      <c r="V143" s="60"/>
      <c r="W143" s="102"/>
      <c r="X143" s="102"/>
      <c r="Y143" s="102"/>
      <c r="Z143" s="102"/>
      <c r="AA143" s="102"/>
      <c r="AB143" s="102"/>
      <c r="AC143" s="102"/>
      <c r="AD143" s="102"/>
      <c r="AE143" s="102"/>
      <c r="AF143" s="102"/>
      <c r="AG143" s="102"/>
      <c r="AH143" s="102"/>
      <c r="AI143" s="369"/>
      <c r="AJ143" s="369"/>
      <c r="AK143" s="369"/>
      <c r="AL143" s="369"/>
      <c r="AM143" s="96"/>
    </row>
    <row r="144" spans="1:39" s="103" customFormat="1" ht="65.099999999999994" customHeight="1" x14ac:dyDescent="0.25">
      <c r="A144" s="94"/>
      <c r="B144" s="94"/>
      <c r="C144" s="413"/>
      <c r="D144" s="95"/>
      <c r="E144" s="96"/>
      <c r="F144" s="96"/>
      <c r="G144" s="96"/>
      <c r="H144" s="96"/>
      <c r="I144" s="97"/>
      <c r="J144" s="98"/>
      <c r="K144" s="98"/>
      <c r="L144" s="99"/>
      <c r="M144" s="72"/>
      <c r="N144" s="100"/>
      <c r="O144" s="101"/>
      <c r="P144" s="377"/>
      <c r="Q144" s="75"/>
      <c r="R144" s="76"/>
      <c r="S144" s="72"/>
      <c r="T144" s="60"/>
      <c r="U144" s="60"/>
      <c r="V144" s="60"/>
      <c r="W144" s="102"/>
      <c r="X144" s="102"/>
      <c r="Y144" s="102"/>
      <c r="Z144" s="102"/>
      <c r="AA144" s="102"/>
      <c r="AB144" s="102"/>
      <c r="AC144" s="102"/>
      <c r="AD144" s="102"/>
      <c r="AE144" s="102"/>
      <c r="AF144" s="102"/>
      <c r="AG144" s="102"/>
      <c r="AH144" s="102"/>
      <c r="AI144" s="369"/>
      <c r="AJ144" s="369"/>
      <c r="AK144" s="369"/>
      <c r="AL144" s="369"/>
      <c r="AM144" s="96"/>
    </row>
    <row r="145" spans="1:39" s="103" customFormat="1" ht="65.099999999999994" customHeight="1" x14ac:dyDescent="0.25">
      <c r="A145" s="94"/>
      <c r="B145" s="94"/>
      <c r="C145" s="413"/>
      <c r="D145" s="95"/>
      <c r="E145" s="96"/>
      <c r="F145" s="96"/>
      <c r="G145" s="96"/>
      <c r="H145" s="96"/>
      <c r="I145" s="97"/>
      <c r="J145" s="98"/>
      <c r="K145" s="98"/>
      <c r="L145" s="99"/>
      <c r="M145" s="72"/>
      <c r="N145" s="100"/>
      <c r="O145" s="101"/>
      <c r="P145" s="377"/>
      <c r="Q145" s="75"/>
      <c r="R145" s="76"/>
      <c r="S145" s="72"/>
      <c r="T145" s="60"/>
      <c r="U145" s="60"/>
      <c r="V145" s="60"/>
      <c r="W145" s="102"/>
      <c r="X145" s="102"/>
      <c r="Y145" s="102"/>
      <c r="Z145" s="102"/>
      <c r="AA145" s="102"/>
      <c r="AB145" s="102"/>
      <c r="AC145" s="102"/>
      <c r="AD145" s="102"/>
      <c r="AE145" s="102"/>
      <c r="AF145" s="102"/>
      <c r="AG145" s="102"/>
      <c r="AH145" s="102"/>
      <c r="AI145" s="369"/>
      <c r="AJ145" s="369"/>
      <c r="AK145" s="369"/>
      <c r="AL145" s="369"/>
      <c r="AM145" s="96"/>
    </row>
    <row r="146" spans="1:39" s="103" customFormat="1" ht="65.099999999999994" customHeight="1" x14ac:dyDescent="0.25">
      <c r="A146" s="94"/>
      <c r="B146" s="94"/>
      <c r="C146" s="413"/>
      <c r="D146" s="95"/>
      <c r="E146" s="96"/>
      <c r="F146" s="96"/>
      <c r="G146" s="96"/>
      <c r="H146" s="96"/>
      <c r="I146" s="97"/>
      <c r="J146" s="98"/>
      <c r="K146" s="98"/>
      <c r="L146" s="99"/>
      <c r="M146" s="72"/>
      <c r="N146" s="100"/>
      <c r="O146" s="101"/>
      <c r="P146" s="377"/>
      <c r="Q146" s="75"/>
      <c r="R146" s="76"/>
      <c r="S146" s="72"/>
      <c r="T146" s="60"/>
      <c r="U146" s="60"/>
      <c r="V146" s="60"/>
      <c r="W146" s="102"/>
      <c r="X146" s="102"/>
      <c r="Y146" s="102"/>
      <c r="Z146" s="102"/>
      <c r="AA146" s="102"/>
      <c r="AB146" s="102"/>
      <c r="AC146" s="102"/>
      <c r="AD146" s="102"/>
      <c r="AE146" s="102"/>
      <c r="AF146" s="102"/>
      <c r="AG146" s="102"/>
      <c r="AH146" s="102"/>
      <c r="AI146" s="369"/>
      <c r="AJ146" s="369"/>
      <c r="AK146" s="369"/>
      <c r="AL146" s="369"/>
      <c r="AM146" s="96"/>
    </row>
    <row r="147" spans="1:39" s="103" customFormat="1" ht="65.099999999999994" customHeight="1" x14ac:dyDescent="0.25">
      <c r="A147" s="94"/>
      <c r="B147" s="94"/>
      <c r="C147" s="413"/>
      <c r="D147" s="95"/>
      <c r="E147" s="96"/>
      <c r="F147" s="96"/>
      <c r="G147" s="96"/>
      <c r="H147" s="96"/>
      <c r="I147" s="97"/>
      <c r="J147" s="98"/>
      <c r="K147" s="98"/>
      <c r="L147" s="99"/>
      <c r="M147" s="72"/>
      <c r="N147" s="100"/>
      <c r="O147" s="101"/>
      <c r="P147" s="377"/>
      <c r="Q147" s="75"/>
      <c r="R147" s="76"/>
      <c r="S147" s="72"/>
      <c r="T147" s="60"/>
      <c r="U147" s="60"/>
      <c r="V147" s="60"/>
      <c r="W147" s="102"/>
      <c r="X147" s="102"/>
      <c r="Y147" s="102"/>
      <c r="Z147" s="102"/>
      <c r="AA147" s="102"/>
      <c r="AB147" s="102"/>
      <c r="AC147" s="102"/>
      <c r="AD147" s="102"/>
      <c r="AE147" s="102"/>
      <c r="AF147" s="102"/>
      <c r="AG147" s="102"/>
      <c r="AH147" s="102"/>
      <c r="AI147" s="369"/>
      <c r="AJ147" s="369"/>
      <c r="AK147" s="369"/>
      <c r="AL147" s="369"/>
      <c r="AM147" s="96"/>
    </row>
    <row r="148" spans="1:39" s="103" customFormat="1" ht="65.099999999999994" customHeight="1" x14ac:dyDescent="0.25">
      <c r="A148" s="94"/>
      <c r="B148" s="94"/>
      <c r="C148" s="413"/>
      <c r="D148" s="95"/>
      <c r="E148" s="96"/>
      <c r="F148" s="96"/>
      <c r="G148" s="96"/>
      <c r="H148" s="96"/>
      <c r="I148" s="97"/>
      <c r="J148" s="98"/>
      <c r="K148" s="98"/>
      <c r="L148" s="99"/>
      <c r="M148" s="72"/>
      <c r="N148" s="100"/>
      <c r="O148" s="101"/>
      <c r="P148" s="377"/>
      <c r="Q148" s="75"/>
      <c r="R148" s="76"/>
      <c r="S148" s="72"/>
      <c r="T148" s="60"/>
      <c r="U148" s="60"/>
      <c r="V148" s="60"/>
      <c r="W148" s="102"/>
      <c r="X148" s="102"/>
      <c r="Y148" s="102"/>
      <c r="Z148" s="102"/>
      <c r="AA148" s="102"/>
      <c r="AB148" s="102"/>
      <c r="AC148" s="102"/>
      <c r="AD148" s="102"/>
      <c r="AE148" s="102"/>
      <c r="AF148" s="102"/>
      <c r="AG148" s="102"/>
      <c r="AH148" s="102"/>
      <c r="AI148" s="369"/>
      <c r="AJ148" s="369"/>
      <c r="AK148" s="369"/>
      <c r="AL148" s="369"/>
      <c r="AM148" s="96"/>
    </row>
    <row r="149" spans="1:39" s="103" customFormat="1" ht="65.099999999999994" customHeight="1" x14ac:dyDescent="0.25">
      <c r="A149" s="94"/>
      <c r="B149" s="94"/>
      <c r="C149" s="413"/>
      <c r="D149" s="95"/>
      <c r="E149" s="96"/>
      <c r="F149" s="96"/>
      <c r="G149" s="96"/>
      <c r="H149" s="96"/>
      <c r="I149" s="97"/>
      <c r="J149" s="98"/>
      <c r="K149" s="98"/>
      <c r="L149" s="99"/>
      <c r="M149" s="72"/>
      <c r="N149" s="100"/>
      <c r="O149" s="101"/>
      <c r="P149" s="377"/>
      <c r="Q149" s="75"/>
      <c r="R149" s="76"/>
      <c r="S149" s="72"/>
      <c r="T149" s="60"/>
      <c r="U149" s="60"/>
      <c r="V149" s="60"/>
      <c r="W149" s="102"/>
      <c r="X149" s="102"/>
      <c r="Y149" s="102"/>
      <c r="Z149" s="102"/>
      <c r="AA149" s="102"/>
      <c r="AB149" s="102"/>
      <c r="AC149" s="102"/>
      <c r="AD149" s="102"/>
      <c r="AE149" s="102"/>
      <c r="AF149" s="102"/>
      <c r="AG149" s="102"/>
      <c r="AH149" s="102"/>
      <c r="AI149" s="369"/>
      <c r="AJ149" s="369"/>
      <c r="AK149" s="369"/>
      <c r="AL149" s="369"/>
      <c r="AM149" s="96"/>
    </row>
    <row r="150" spans="1:39" s="103" customFormat="1" ht="65.099999999999994" customHeight="1" x14ac:dyDescent="0.25">
      <c r="A150" s="94"/>
      <c r="B150" s="94"/>
      <c r="C150" s="413"/>
      <c r="D150" s="95"/>
      <c r="E150" s="96"/>
      <c r="F150" s="96"/>
      <c r="G150" s="96"/>
      <c r="H150" s="96"/>
      <c r="I150" s="97"/>
      <c r="J150" s="98"/>
      <c r="K150" s="98"/>
      <c r="L150" s="99"/>
      <c r="M150" s="72"/>
      <c r="N150" s="100"/>
      <c r="O150" s="101"/>
      <c r="P150" s="377"/>
      <c r="Q150" s="75"/>
      <c r="R150" s="76"/>
      <c r="S150" s="72"/>
      <c r="T150" s="60"/>
      <c r="U150" s="60"/>
      <c r="V150" s="60"/>
      <c r="W150" s="102"/>
      <c r="X150" s="102"/>
      <c r="Y150" s="102"/>
      <c r="Z150" s="102"/>
      <c r="AA150" s="102"/>
      <c r="AB150" s="102"/>
      <c r="AC150" s="102"/>
      <c r="AD150" s="102"/>
      <c r="AE150" s="102"/>
      <c r="AF150" s="102"/>
      <c r="AG150" s="102"/>
      <c r="AH150" s="102"/>
      <c r="AI150" s="369"/>
      <c r="AJ150" s="369"/>
      <c r="AK150" s="369"/>
      <c r="AL150" s="369"/>
      <c r="AM150" s="96"/>
    </row>
    <row r="151" spans="1:39" s="103" customFormat="1" ht="65.099999999999994" customHeight="1" x14ac:dyDescent="0.25">
      <c r="A151" s="94"/>
      <c r="B151" s="94"/>
      <c r="C151" s="413"/>
      <c r="D151" s="95"/>
      <c r="E151" s="96"/>
      <c r="F151" s="96"/>
      <c r="G151" s="96"/>
      <c r="H151" s="96"/>
      <c r="I151" s="97"/>
      <c r="J151" s="98"/>
      <c r="K151" s="98"/>
      <c r="L151" s="99"/>
      <c r="M151" s="72"/>
      <c r="N151" s="100"/>
      <c r="O151" s="101"/>
      <c r="P151" s="377"/>
      <c r="Q151" s="75"/>
      <c r="R151" s="76"/>
      <c r="S151" s="72"/>
      <c r="T151" s="60"/>
      <c r="U151" s="60"/>
      <c r="V151" s="60"/>
      <c r="W151" s="102"/>
      <c r="X151" s="102"/>
      <c r="Y151" s="102"/>
      <c r="Z151" s="102"/>
      <c r="AA151" s="102"/>
      <c r="AB151" s="102"/>
      <c r="AC151" s="102"/>
      <c r="AD151" s="102"/>
      <c r="AE151" s="102"/>
      <c r="AF151" s="102"/>
      <c r="AG151" s="102"/>
      <c r="AH151" s="102"/>
      <c r="AI151" s="369"/>
      <c r="AJ151" s="369"/>
      <c r="AK151" s="369"/>
      <c r="AL151" s="369"/>
      <c r="AM151" s="96"/>
    </row>
    <row r="152" spans="1:39" s="103" customFormat="1" ht="65.099999999999994" customHeight="1" x14ac:dyDescent="0.25">
      <c r="A152" s="94"/>
      <c r="B152" s="94"/>
      <c r="C152" s="413"/>
      <c r="D152" s="95"/>
      <c r="E152" s="96"/>
      <c r="F152" s="96"/>
      <c r="G152" s="96"/>
      <c r="H152" s="96"/>
      <c r="I152" s="97"/>
      <c r="J152" s="98"/>
      <c r="K152" s="98"/>
      <c r="L152" s="99"/>
      <c r="M152" s="72"/>
      <c r="N152" s="100"/>
      <c r="O152" s="101"/>
      <c r="P152" s="377"/>
      <c r="Q152" s="75"/>
      <c r="R152" s="76"/>
      <c r="S152" s="72"/>
      <c r="T152" s="60"/>
      <c r="U152" s="60"/>
      <c r="V152" s="60"/>
      <c r="W152" s="102"/>
      <c r="X152" s="102"/>
      <c r="Y152" s="102"/>
      <c r="Z152" s="102"/>
      <c r="AA152" s="102"/>
      <c r="AB152" s="102"/>
      <c r="AC152" s="102"/>
      <c r="AD152" s="102"/>
      <c r="AE152" s="102"/>
      <c r="AF152" s="102"/>
      <c r="AG152" s="102"/>
      <c r="AH152" s="102"/>
      <c r="AI152" s="369"/>
      <c r="AJ152" s="369"/>
      <c r="AK152" s="369"/>
      <c r="AL152" s="369"/>
      <c r="AM152" s="96"/>
    </row>
    <row r="153" spans="1:39" s="103" customFormat="1" ht="65.099999999999994" customHeight="1" x14ac:dyDescent="0.25">
      <c r="A153" s="94"/>
      <c r="B153" s="94"/>
      <c r="C153" s="413"/>
      <c r="D153" s="95"/>
      <c r="E153" s="96"/>
      <c r="F153" s="96"/>
      <c r="G153" s="96"/>
      <c r="H153" s="96"/>
      <c r="I153" s="97"/>
      <c r="J153" s="98"/>
      <c r="K153" s="98"/>
      <c r="L153" s="99"/>
      <c r="M153" s="72"/>
      <c r="N153" s="100"/>
      <c r="O153" s="101"/>
      <c r="P153" s="377"/>
      <c r="Q153" s="75"/>
      <c r="R153" s="76"/>
      <c r="S153" s="72"/>
      <c r="T153" s="60"/>
      <c r="U153" s="60"/>
      <c r="V153" s="60"/>
      <c r="W153" s="102"/>
      <c r="X153" s="102"/>
      <c r="Y153" s="102"/>
      <c r="Z153" s="102"/>
      <c r="AA153" s="102"/>
      <c r="AB153" s="102"/>
      <c r="AC153" s="102"/>
      <c r="AD153" s="102"/>
      <c r="AE153" s="102"/>
      <c r="AF153" s="102"/>
      <c r="AG153" s="102"/>
      <c r="AH153" s="102"/>
      <c r="AI153" s="369"/>
      <c r="AJ153" s="369"/>
      <c r="AK153" s="369"/>
      <c r="AL153" s="369"/>
      <c r="AM153" s="96"/>
    </row>
    <row r="154" spans="1:39" s="103" customFormat="1" ht="65.099999999999994" customHeight="1" x14ac:dyDescent="0.25">
      <c r="A154" s="94"/>
      <c r="B154" s="94"/>
      <c r="C154" s="413"/>
      <c r="D154" s="95"/>
      <c r="E154" s="96"/>
      <c r="F154" s="96"/>
      <c r="G154" s="96"/>
      <c r="H154" s="96"/>
      <c r="I154" s="97"/>
      <c r="J154" s="98"/>
      <c r="K154" s="98"/>
      <c r="L154" s="99"/>
      <c r="M154" s="72"/>
      <c r="N154" s="100"/>
      <c r="O154" s="101"/>
      <c r="P154" s="377"/>
      <c r="Q154" s="75"/>
      <c r="R154" s="76"/>
      <c r="S154" s="72"/>
      <c r="T154" s="60"/>
      <c r="U154" s="60"/>
      <c r="V154" s="60"/>
      <c r="W154" s="102"/>
      <c r="X154" s="102"/>
      <c r="Y154" s="102"/>
      <c r="Z154" s="102"/>
      <c r="AA154" s="102"/>
      <c r="AB154" s="102"/>
      <c r="AC154" s="102"/>
      <c r="AD154" s="102"/>
      <c r="AE154" s="102"/>
      <c r="AF154" s="102"/>
      <c r="AG154" s="102"/>
      <c r="AH154" s="102"/>
      <c r="AI154" s="369"/>
      <c r="AJ154" s="369"/>
      <c r="AK154" s="369"/>
      <c r="AL154" s="369"/>
      <c r="AM154" s="96"/>
    </row>
    <row r="155" spans="1:39" s="103" customFormat="1" ht="65.099999999999994" customHeight="1" x14ac:dyDescent="0.25">
      <c r="A155" s="94"/>
      <c r="B155" s="94"/>
      <c r="C155" s="413"/>
      <c r="D155" s="95"/>
      <c r="E155" s="96"/>
      <c r="F155" s="96"/>
      <c r="G155" s="96"/>
      <c r="H155" s="96"/>
      <c r="I155" s="97"/>
      <c r="J155" s="98"/>
      <c r="K155" s="98"/>
      <c r="L155" s="99"/>
      <c r="M155" s="72"/>
      <c r="N155" s="100"/>
      <c r="O155" s="101"/>
      <c r="P155" s="377"/>
      <c r="Q155" s="75"/>
      <c r="R155" s="76"/>
      <c r="S155" s="72"/>
      <c r="T155" s="60"/>
      <c r="U155" s="60"/>
      <c r="V155" s="60"/>
      <c r="W155" s="102"/>
      <c r="X155" s="102"/>
      <c r="Y155" s="102"/>
      <c r="Z155" s="102"/>
      <c r="AA155" s="102"/>
      <c r="AB155" s="102"/>
      <c r="AC155" s="102"/>
      <c r="AD155" s="102"/>
      <c r="AE155" s="102"/>
      <c r="AF155" s="102"/>
      <c r="AG155" s="102"/>
      <c r="AH155" s="102"/>
      <c r="AI155" s="369"/>
      <c r="AJ155" s="369"/>
      <c r="AK155" s="369"/>
      <c r="AL155" s="369"/>
      <c r="AM155" s="96"/>
    </row>
    <row r="156" spans="1:39" s="103" customFormat="1" ht="65.099999999999994" customHeight="1" x14ac:dyDescent="0.25">
      <c r="A156" s="94"/>
      <c r="B156" s="94"/>
      <c r="C156" s="413"/>
      <c r="D156" s="95"/>
      <c r="E156" s="96"/>
      <c r="F156" s="96"/>
      <c r="G156" s="96"/>
      <c r="H156" s="96"/>
      <c r="I156" s="97"/>
      <c r="J156" s="98"/>
      <c r="K156" s="98"/>
      <c r="L156" s="99"/>
      <c r="M156" s="72"/>
      <c r="N156" s="100"/>
      <c r="O156" s="101"/>
      <c r="P156" s="377"/>
      <c r="Q156" s="75"/>
      <c r="R156" s="76"/>
      <c r="S156" s="72"/>
      <c r="T156" s="60"/>
      <c r="U156" s="60"/>
      <c r="V156" s="60"/>
      <c r="W156" s="102"/>
      <c r="X156" s="102"/>
      <c r="Y156" s="102"/>
      <c r="Z156" s="102"/>
      <c r="AA156" s="102"/>
      <c r="AB156" s="102"/>
      <c r="AC156" s="102"/>
      <c r="AD156" s="102"/>
      <c r="AE156" s="102"/>
      <c r="AF156" s="102"/>
      <c r="AG156" s="102"/>
      <c r="AH156" s="102"/>
      <c r="AI156" s="369"/>
      <c r="AJ156" s="369"/>
      <c r="AK156" s="369"/>
      <c r="AL156" s="369"/>
      <c r="AM156" s="96"/>
    </row>
    <row r="157" spans="1:39" s="103" customFormat="1" ht="65.099999999999994" customHeight="1" x14ac:dyDescent="0.25">
      <c r="A157" s="94"/>
      <c r="B157" s="94"/>
      <c r="C157" s="413"/>
      <c r="D157" s="95"/>
      <c r="E157" s="96"/>
      <c r="F157" s="96"/>
      <c r="G157" s="96"/>
      <c r="H157" s="96"/>
      <c r="I157" s="97"/>
      <c r="J157" s="98"/>
      <c r="K157" s="98"/>
      <c r="L157" s="99"/>
      <c r="M157" s="72"/>
      <c r="N157" s="100"/>
      <c r="O157" s="101"/>
      <c r="P157" s="377"/>
      <c r="Q157" s="75"/>
      <c r="R157" s="76"/>
      <c r="S157" s="72"/>
      <c r="T157" s="60"/>
      <c r="U157" s="60"/>
      <c r="V157" s="60"/>
      <c r="W157" s="102"/>
      <c r="X157" s="102"/>
      <c r="Y157" s="102"/>
      <c r="Z157" s="102"/>
      <c r="AA157" s="102"/>
      <c r="AB157" s="102"/>
      <c r="AC157" s="102"/>
      <c r="AD157" s="102"/>
      <c r="AE157" s="102"/>
      <c r="AF157" s="102"/>
      <c r="AG157" s="102"/>
      <c r="AH157" s="102"/>
      <c r="AI157" s="369"/>
      <c r="AJ157" s="369"/>
      <c r="AK157" s="369"/>
      <c r="AL157" s="369"/>
      <c r="AM157" s="96"/>
    </row>
    <row r="158" spans="1:39" s="103" customFormat="1" ht="65.099999999999994" customHeight="1" x14ac:dyDescent="0.25">
      <c r="A158" s="94"/>
      <c r="B158" s="94"/>
      <c r="C158" s="413"/>
      <c r="D158" s="95"/>
      <c r="E158" s="96"/>
      <c r="F158" s="96"/>
      <c r="G158" s="96"/>
      <c r="H158" s="96"/>
      <c r="I158" s="97"/>
      <c r="J158" s="98"/>
      <c r="K158" s="98"/>
      <c r="L158" s="99"/>
      <c r="M158" s="72"/>
      <c r="N158" s="100"/>
      <c r="O158" s="101"/>
      <c r="P158" s="377"/>
      <c r="Q158" s="75"/>
      <c r="R158" s="76"/>
      <c r="S158" s="72"/>
      <c r="T158" s="60"/>
      <c r="U158" s="60"/>
      <c r="V158" s="60"/>
      <c r="W158" s="102"/>
      <c r="X158" s="102"/>
      <c r="Y158" s="102"/>
      <c r="Z158" s="102"/>
      <c r="AA158" s="102"/>
      <c r="AB158" s="102"/>
      <c r="AC158" s="102"/>
      <c r="AD158" s="102"/>
      <c r="AE158" s="102"/>
      <c r="AF158" s="102"/>
      <c r="AG158" s="102"/>
      <c r="AH158" s="102"/>
      <c r="AI158" s="369"/>
      <c r="AJ158" s="369"/>
      <c r="AK158" s="369"/>
      <c r="AL158" s="369"/>
      <c r="AM158" s="96"/>
    </row>
    <row r="159" spans="1:39" s="103" customFormat="1" ht="65.099999999999994" customHeight="1" x14ac:dyDescent="0.25">
      <c r="A159" s="94"/>
      <c r="B159" s="94"/>
      <c r="C159" s="413"/>
      <c r="D159" s="95"/>
      <c r="E159" s="96"/>
      <c r="F159" s="96"/>
      <c r="G159" s="96"/>
      <c r="H159" s="96"/>
      <c r="I159" s="97"/>
      <c r="J159" s="98"/>
      <c r="K159" s="98"/>
      <c r="L159" s="99"/>
      <c r="M159" s="72"/>
      <c r="N159" s="100"/>
      <c r="O159" s="101"/>
      <c r="P159" s="377"/>
      <c r="Q159" s="75"/>
      <c r="R159" s="76"/>
      <c r="S159" s="72"/>
      <c r="T159" s="60"/>
      <c r="U159" s="60"/>
      <c r="V159" s="60"/>
      <c r="W159" s="102"/>
      <c r="X159" s="102"/>
      <c r="Y159" s="102"/>
      <c r="Z159" s="102"/>
      <c r="AA159" s="102"/>
      <c r="AB159" s="102"/>
      <c r="AC159" s="102"/>
      <c r="AD159" s="102"/>
      <c r="AE159" s="102"/>
      <c r="AF159" s="102"/>
      <c r="AG159" s="102"/>
      <c r="AH159" s="102"/>
      <c r="AI159" s="369"/>
      <c r="AJ159" s="369"/>
      <c r="AK159" s="369"/>
      <c r="AL159" s="369"/>
      <c r="AM159" s="96"/>
    </row>
    <row r="160" spans="1:39" s="103" customFormat="1" ht="65.099999999999994" customHeight="1" x14ac:dyDescent="0.25">
      <c r="A160" s="94"/>
      <c r="B160" s="94"/>
      <c r="C160" s="413"/>
      <c r="D160" s="95"/>
      <c r="E160" s="96"/>
      <c r="F160" s="96"/>
      <c r="G160" s="96"/>
      <c r="H160" s="96"/>
      <c r="I160" s="97"/>
      <c r="J160" s="98"/>
      <c r="K160" s="98"/>
      <c r="L160" s="99"/>
      <c r="M160" s="72"/>
      <c r="N160" s="100"/>
      <c r="O160" s="101"/>
      <c r="P160" s="377"/>
      <c r="Q160" s="75"/>
      <c r="R160" s="76"/>
      <c r="S160" s="72"/>
      <c r="T160" s="60"/>
      <c r="U160" s="60"/>
      <c r="V160" s="60"/>
      <c r="W160" s="102"/>
      <c r="X160" s="102"/>
      <c r="Y160" s="102"/>
      <c r="Z160" s="102"/>
      <c r="AA160" s="102"/>
      <c r="AB160" s="102"/>
      <c r="AC160" s="102"/>
      <c r="AD160" s="102"/>
      <c r="AE160" s="102"/>
      <c r="AF160" s="102"/>
      <c r="AG160" s="102"/>
      <c r="AH160" s="102"/>
      <c r="AI160" s="369"/>
      <c r="AJ160" s="369"/>
      <c r="AK160" s="369"/>
      <c r="AL160" s="369"/>
      <c r="AM160" s="96"/>
    </row>
    <row r="161" spans="1:39" s="103" customFormat="1" ht="65.099999999999994" customHeight="1" x14ac:dyDescent="0.25">
      <c r="A161" s="94"/>
      <c r="B161" s="94"/>
      <c r="C161" s="413"/>
      <c r="D161" s="95"/>
      <c r="E161" s="96"/>
      <c r="F161" s="96"/>
      <c r="G161" s="96"/>
      <c r="H161" s="96"/>
      <c r="I161" s="97"/>
      <c r="J161" s="98"/>
      <c r="K161" s="98"/>
      <c r="L161" s="99"/>
      <c r="M161" s="72"/>
      <c r="N161" s="100"/>
      <c r="O161" s="101"/>
      <c r="P161" s="377"/>
      <c r="Q161" s="75"/>
      <c r="R161" s="76"/>
      <c r="S161" s="72"/>
      <c r="T161" s="60"/>
      <c r="U161" s="60"/>
      <c r="V161" s="60"/>
      <c r="W161" s="102"/>
      <c r="X161" s="102"/>
      <c r="Y161" s="102"/>
      <c r="Z161" s="102"/>
      <c r="AA161" s="102"/>
      <c r="AB161" s="102"/>
      <c r="AC161" s="102"/>
      <c r="AD161" s="102"/>
      <c r="AE161" s="102"/>
      <c r="AF161" s="102"/>
      <c r="AG161" s="102"/>
      <c r="AH161" s="102"/>
      <c r="AI161" s="369"/>
      <c r="AJ161" s="369"/>
      <c r="AK161" s="369"/>
      <c r="AL161" s="369"/>
      <c r="AM161" s="96"/>
    </row>
    <row r="162" spans="1:39" s="103" customFormat="1" ht="65.099999999999994" customHeight="1" x14ac:dyDescent="0.25">
      <c r="A162" s="94"/>
      <c r="B162" s="94"/>
      <c r="C162" s="413"/>
      <c r="D162" s="95"/>
      <c r="E162" s="96"/>
      <c r="F162" s="96"/>
      <c r="G162" s="96"/>
      <c r="H162" s="96"/>
      <c r="I162" s="97"/>
      <c r="J162" s="98"/>
      <c r="K162" s="98"/>
      <c r="L162" s="99"/>
      <c r="M162" s="72"/>
      <c r="N162" s="100"/>
      <c r="O162" s="101"/>
      <c r="P162" s="377"/>
      <c r="Q162" s="75"/>
      <c r="R162" s="76"/>
      <c r="S162" s="72"/>
      <c r="T162" s="60"/>
      <c r="U162" s="60"/>
      <c r="V162" s="60"/>
      <c r="W162" s="102"/>
      <c r="X162" s="102"/>
      <c r="Y162" s="102"/>
      <c r="Z162" s="102"/>
      <c r="AA162" s="102"/>
      <c r="AB162" s="102"/>
      <c r="AC162" s="102"/>
      <c r="AD162" s="102"/>
      <c r="AE162" s="102"/>
      <c r="AF162" s="102"/>
      <c r="AG162" s="102"/>
      <c r="AH162" s="102"/>
      <c r="AI162" s="369"/>
      <c r="AJ162" s="369"/>
      <c r="AK162" s="369"/>
      <c r="AL162" s="369"/>
      <c r="AM162" s="96"/>
    </row>
    <row r="163" spans="1:39" s="103" customFormat="1" ht="65.099999999999994" customHeight="1" x14ac:dyDescent="0.25">
      <c r="A163" s="94"/>
      <c r="B163" s="94"/>
      <c r="C163" s="413"/>
      <c r="D163" s="95"/>
      <c r="E163" s="96"/>
      <c r="F163" s="96"/>
      <c r="G163" s="96"/>
      <c r="H163" s="96"/>
      <c r="I163" s="97"/>
      <c r="J163" s="98"/>
      <c r="K163" s="98"/>
      <c r="L163" s="99"/>
      <c r="M163" s="72"/>
      <c r="N163" s="100"/>
      <c r="O163" s="101"/>
      <c r="P163" s="377"/>
      <c r="Q163" s="75"/>
      <c r="R163" s="76"/>
      <c r="S163" s="72"/>
      <c r="T163" s="60"/>
      <c r="U163" s="60"/>
      <c r="V163" s="60"/>
      <c r="W163" s="102"/>
      <c r="X163" s="102"/>
      <c r="Y163" s="102"/>
      <c r="Z163" s="102"/>
      <c r="AA163" s="102"/>
      <c r="AB163" s="102"/>
      <c r="AC163" s="102"/>
      <c r="AD163" s="102"/>
      <c r="AE163" s="102"/>
      <c r="AF163" s="102"/>
      <c r="AG163" s="102"/>
      <c r="AH163" s="102"/>
      <c r="AI163" s="369"/>
      <c r="AJ163" s="369"/>
      <c r="AK163" s="369"/>
      <c r="AL163" s="369"/>
      <c r="AM163" s="96"/>
    </row>
    <row r="164" spans="1:39" s="103" customFormat="1" ht="65.099999999999994" customHeight="1" x14ac:dyDescent="0.25">
      <c r="A164" s="94"/>
      <c r="B164" s="94"/>
      <c r="C164" s="413"/>
      <c r="D164" s="95"/>
      <c r="E164" s="96"/>
      <c r="F164" s="96"/>
      <c r="G164" s="96"/>
      <c r="H164" s="96"/>
      <c r="I164" s="97"/>
      <c r="J164" s="98"/>
      <c r="K164" s="98"/>
      <c r="L164" s="99"/>
      <c r="M164" s="72"/>
      <c r="N164" s="100"/>
      <c r="O164" s="101"/>
      <c r="P164" s="377"/>
      <c r="Q164" s="75"/>
      <c r="R164" s="76"/>
      <c r="S164" s="72"/>
      <c r="T164" s="60"/>
      <c r="U164" s="60"/>
      <c r="V164" s="60"/>
      <c r="W164" s="102"/>
      <c r="X164" s="102"/>
      <c r="Y164" s="102"/>
      <c r="Z164" s="102"/>
      <c r="AA164" s="102"/>
      <c r="AB164" s="102"/>
      <c r="AC164" s="102"/>
      <c r="AD164" s="102"/>
      <c r="AE164" s="102"/>
      <c r="AF164" s="102"/>
      <c r="AG164" s="102"/>
      <c r="AH164" s="102"/>
      <c r="AI164" s="369"/>
      <c r="AJ164" s="369"/>
      <c r="AK164" s="369"/>
      <c r="AL164" s="369"/>
      <c r="AM164" s="96"/>
    </row>
    <row r="165" spans="1:39" s="103" customFormat="1" ht="65.099999999999994" customHeight="1" x14ac:dyDescent="0.25">
      <c r="A165" s="94"/>
      <c r="B165" s="94"/>
      <c r="C165" s="413"/>
      <c r="D165" s="95"/>
      <c r="E165" s="96"/>
      <c r="F165" s="96"/>
      <c r="G165" s="96"/>
      <c r="H165" s="96"/>
      <c r="I165" s="97"/>
      <c r="J165" s="98"/>
      <c r="K165" s="98"/>
      <c r="L165" s="99"/>
      <c r="M165" s="72"/>
      <c r="N165" s="100"/>
      <c r="O165" s="101"/>
      <c r="P165" s="377"/>
      <c r="Q165" s="75"/>
      <c r="R165" s="76"/>
      <c r="S165" s="72"/>
      <c r="T165" s="60"/>
      <c r="U165" s="60"/>
      <c r="V165" s="60"/>
      <c r="W165" s="102"/>
      <c r="X165" s="102"/>
      <c r="Y165" s="102"/>
      <c r="Z165" s="102"/>
      <c r="AA165" s="102"/>
      <c r="AB165" s="102"/>
      <c r="AC165" s="102"/>
      <c r="AD165" s="102"/>
      <c r="AE165" s="102"/>
      <c r="AF165" s="102"/>
      <c r="AG165" s="102"/>
      <c r="AH165" s="102"/>
      <c r="AI165" s="369"/>
      <c r="AJ165" s="369"/>
      <c r="AK165" s="369"/>
      <c r="AL165" s="369"/>
      <c r="AM165" s="96"/>
    </row>
    <row r="166" spans="1:39" s="103" customFormat="1" ht="65.099999999999994" customHeight="1" x14ac:dyDescent="0.25">
      <c r="A166" s="94"/>
      <c r="B166" s="94"/>
      <c r="C166" s="413"/>
      <c r="D166" s="95"/>
      <c r="E166" s="96"/>
      <c r="F166" s="96"/>
      <c r="G166" s="96"/>
      <c r="H166" s="96"/>
      <c r="I166" s="97"/>
      <c r="J166" s="98"/>
      <c r="K166" s="98"/>
      <c r="L166" s="99"/>
      <c r="M166" s="72"/>
      <c r="N166" s="100"/>
      <c r="O166" s="101"/>
      <c r="P166" s="377"/>
      <c r="Q166" s="75"/>
      <c r="R166" s="76"/>
      <c r="S166" s="72"/>
      <c r="T166" s="60"/>
      <c r="U166" s="60"/>
      <c r="V166" s="60"/>
      <c r="W166" s="102"/>
      <c r="X166" s="102"/>
      <c r="Y166" s="102"/>
      <c r="Z166" s="102"/>
      <c r="AA166" s="102"/>
      <c r="AB166" s="102"/>
      <c r="AC166" s="102"/>
      <c r="AD166" s="102"/>
      <c r="AE166" s="102"/>
      <c r="AF166" s="102"/>
      <c r="AG166" s="102"/>
      <c r="AH166" s="102"/>
      <c r="AI166" s="369"/>
      <c r="AJ166" s="369"/>
      <c r="AK166" s="369"/>
      <c r="AL166" s="369"/>
      <c r="AM166" s="96"/>
    </row>
    <row r="167" spans="1:39" s="103" customFormat="1" ht="65.099999999999994" customHeight="1" x14ac:dyDescent="0.25">
      <c r="A167" s="94"/>
      <c r="B167" s="94"/>
      <c r="C167" s="413"/>
      <c r="D167" s="95"/>
      <c r="E167" s="96"/>
      <c r="F167" s="96"/>
      <c r="G167" s="96"/>
      <c r="H167" s="96"/>
      <c r="I167" s="97"/>
      <c r="J167" s="98"/>
      <c r="K167" s="98"/>
      <c r="L167" s="99"/>
      <c r="M167" s="72"/>
      <c r="N167" s="100"/>
      <c r="O167" s="101"/>
      <c r="P167" s="377"/>
      <c r="Q167" s="75"/>
      <c r="R167" s="76"/>
      <c r="S167" s="72"/>
      <c r="T167" s="60"/>
      <c r="U167" s="60"/>
      <c r="V167" s="60"/>
      <c r="W167" s="102"/>
      <c r="X167" s="102"/>
      <c r="Y167" s="102"/>
      <c r="Z167" s="102"/>
      <c r="AA167" s="102"/>
      <c r="AB167" s="102"/>
      <c r="AC167" s="102"/>
      <c r="AD167" s="102"/>
      <c r="AE167" s="102"/>
      <c r="AF167" s="102"/>
      <c r="AG167" s="102"/>
      <c r="AH167" s="102"/>
      <c r="AI167" s="369"/>
      <c r="AJ167" s="369"/>
      <c r="AK167" s="369"/>
      <c r="AL167" s="369"/>
      <c r="AM167" s="96"/>
    </row>
    <row r="168" spans="1:39" s="103" customFormat="1" ht="65.099999999999994" customHeight="1" x14ac:dyDescent="0.25">
      <c r="A168" s="94"/>
      <c r="B168" s="94"/>
      <c r="C168" s="413"/>
      <c r="D168" s="95"/>
      <c r="E168" s="96"/>
      <c r="F168" s="96"/>
      <c r="G168" s="96"/>
      <c r="H168" s="96"/>
      <c r="I168" s="97"/>
      <c r="J168" s="98"/>
      <c r="K168" s="98"/>
      <c r="L168" s="99"/>
      <c r="M168" s="72"/>
      <c r="N168" s="100"/>
      <c r="O168" s="101"/>
      <c r="P168" s="377"/>
      <c r="Q168" s="75"/>
      <c r="R168" s="76"/>
      <c r="S168" s="72"/>
      <c r="T168" s="60"/>
      <c r="U168" s="60"/>
      <c r="V168" s="60"/>
      <c r="W168" s="102"/>
      <c r="X168" s="102"/>
      <c r="Y168" s="102"/>
      <c r="Z168" s="102"/>
      <c r="AA168" s="102"/>
      <c r="AB168" s="102"/>
      <c r="AC168" s="102"/>
      <c r="AD168" s="102"/>
      <c r="AE168" s="102"/>
      <c r="AF168" s="102"/>
      <c r="AG168" s="102"/>
      <c r="AH168" s="102"/>
      <c r="AI168" s="369"/>
      <c r="AJ168" s="369"/>
      <c r="AK168" s="369"/>
      <c r="AL168" s="369"/>
      <c r="AM168" s="96"/>
    </row>
    <row r="169" spans="1:39" s="103" customFormat="1" ht="65.099999999999994" customHeight="1" x14ac:dyDescent="0.25">
      <c r="A169" s="94"/>
      <c r="B169" s="94"/>
      <c r="C169" s="413"/>
      <c r="D169" s="95"/>
      <c r="E169" s="96"/>
      <c r="F169" s="96"/>
      <c r="G169" s="96"/>
      <c r="H169" s="96"/>
      <c r="I169" s="97"/>
      <c r="J169" s="98"/>
      <c r="K169" s="98"/>
      <c r="L169" s="99"/>
      <c r="M169" s="72"/>
      <c r="N169" s="100"/>
      <c r="O169" s="101"/>
      <c r="P169" s="377"/>
      <c r="Q169" s="75"/>
      <c r="R169" s="76"/>
      <c r="S169" s="72"/>
      <c r="T169" s="60"/>
      <c r="U169" s="60"/>
      <c r="V169" s="60"/>
      <c r="W169" s="102"/>
      <c r="X169" s="102"/>
      <c r="Y169" s="102"/>
      <c r="Z169" s="102"/>
      <c r="AA169" s="102"/>
      <c r="AB169" s="102"/>
      <c r="AC169" s="102"/>
      <c r="AD169" s="102"/>
      <c r="AE169" s="102"/>
      <c r="AF169" s="102"/>
      <c r="AG169" s="102"/>
      <c r="AH169" s="102"/>
      <c r="AI169" s="369"/>
      <c r="AJ169" s="369"/>
      <c r="AK169" s="369"/>
      <c r="AL169" s="369"/>
      <c r="AM169" s="96"/>
    </row>
    <row r="170" spans="1:39" s="103" customFormat="1" ht="65.099999999999994" customHeight="1" x14ac:dyDescent="0.25">
      <c r="A170" s="94"/>
      <c r="B170" s="94"/>
      <c r="C170" s="413"/>
      <c r="D170" s="95"/>
      <c r="E170" s="96"/>
      <c r="F170" s="96"/>
      <c r="G170" s="96"/>
      <c r="H170" s="96"/>
      <c r="I170" s="97"/>
      <c r="J170" s="98"/>
      <c r="K170" s="98"/>
      <c r="L170" s="99"/>
      <c r="M170" s="72"/>
      <c r="N170" s="100"/>
      <c r="O170" s="101"/>
      <c r="P170" s="377"/>
      <c r="Q170" s="75"/>
      <c r="R170" s="76"/>
      <c r="S170" s="72"/>
      <c r="T170" s="60"/>
      <c r="U170" s="60"/>
      <c r="V170" s="60"/>
      <c r="W170" s="102"/>
      <c r="X170" s="102"/>
      <c r="Y170" s="102"/>
      <c r="Z170" s="102"/>
      <c r="AA170" s="102"/>
      <c r="AB170" s="102"/>
      <c r="AC170" s="102"/>
      <c r="AD170" s="102"/>
      <c r="AE170" s="102"/>
      <c r="AF170" s="102"/>
      <c r="AG170" s="102"/>
      <c r="AH170" s="102"/>
      <c r="AI170" s="369"/>
      <c r="AJ170" s="369"/>
      <c r="AK170" s="369"/>
      <c r="AL170" s="369"/>
      <c r="AM170" s="96"/>
    </row>
    <row r="171" spans="1:39" s="103" customFormat="1" ht="65.099999999999994" customHeight="1" x14ac:dyDescent="0.25">
      <c r="A171" s="94"/>
      <c r="B171" s="94"/>
      <c r="C171" s="413"/>
      <c r="D171" s="95"/>
      <c r="E171" s="96"/>
      <c r="F171" s="96"/>
      <c r="G171" s="96"/>
      <c r="H171" s="96"/>
      <c r="I171" s="97"/>
      <c r="J171" s="98"/>
      <c r="K171" s="98"/>
      <c r="L171" s="99"/>
      <c r="M171" s="72"/>
      <c r="N171" s="100"/>
      <c r="O171" s="101"/>
      <c r="P171" s="377"/>
      <c r="Q171" s="75"/>
      <c r="R171" s="76"/>
      <c r="S171" s="72"/>
      <c r="T171" s="60"/>
      <c r="U171" s="60"/>
      <c r="V171" s="60"/>
      <c r="W171" s="102"/>
      <c r="X171" s="102"/>
      <c r="Y171" s="102"/>
      <c r="Z171" s="102"/>
      <c r="AA171" s="102"/>
      <c r="AB171" s="102"/>
      <c r="AC171" s="102"/>
      <c r="AD171" s="102"/>
      <c r="AE171" s="102"/>
      <c r="AF171" s="102"/>
      <c r="AG171" s="102"/>
      <c r="AH171" s="102"/>
      <c r="AI171" s="369"/>
      <c r="AJ171" s="369"/>
      <c r="AK171" s="369"/>
      <c r="AL171" s="369"/>
      <c r="AM171" s="96"/>
    </row>
    <row r="172" spans="1:39" s="103" customFormat="1" ht="65.099999999999994" customHeight="1" x14ac:dyDescent="0.25">
      <c r="A172" s="94"/>
      <c r="B172" s="94"/>
      <c r="C172" s="413"/>
      <c r="D172" s="95"/>
      <c r="E172" s="96"/>
      <c r="F172" s="96"/>
      <c r="G172" s="96"/>
      <c r="H172" s="96"/>
      <c r="I172" s="97"/>
      <c r="J172" s="98"/>
      <c r="K172" s="98"/>
      <c r="L172" s="99"/>
      <c r="M172" s="72"/>
      <c r="N172" s="100"/>
      <c r="O172" s="101"/>
      <c r="P172" s="377"/>
      <c r="Q172" s="75"/>
      <c r="R172" s="76"/>
      <c r="S172" s="72"/>
      <c r="T172" s="60"/>
      <c r="U172" s="60"/>
      <c r="V172" s="60"/>
      <c r="W172" s="102"/>
      <c r="X172" s="102"/>
      <c r="Y172" s="102"/>
      <c r="Z172" s="102"/>
      <c r="AA172" s="102"/>
      <c r="AB172" s="102"/>
      <c r="AC172" s="102"/>
      <c r="AD172" s="102"/>
      <c r="AE172" s="102"/>
      <c r="AF172" s="102"/>
      <c r="AG172" s="102"/>
      <c r="AH172" s="102"/>
      <c r="AI172" s="369"/>
      <c r="AJ172" s="369"/>
      <c r="AK172" s="369"/>
      <c r="AL172" s="369"/>
      <c r="AM172" s="96"/>
    </row>
    <row r="173" spans="1:39" s="103" customFormat="1" ht="65.099999999999994" customHeight="1" x14ac:dyDescent="0.25">
      <c r="A173" s="94"/>
      <c r="B173" s="94"/>
      <c r="C173" s="413"/>
      <c r="D173" s="95"/>
      <c r="E173" s="96"/>
      <c r="F173" s="96"/>
      <c r="G173" s="96"/>
      <c r="H173" s="96"/>
      <c r="I173" s="97"/>
      <c r="J173" s="98"/>
      <c r="K173" s="98"/>
      <c r="L173" s="99"/>
      <c r="M173" s="72"/>
      <c r="N173" s="100"/>
      <c r="O173" s="101"/>
      <c r="P173" s="377"/>
      <c r="Q173" s="75"/>
      <c r="R173" s="76"/>
      <c r="S173" s="72"/>
      <c r="T173" s="60"/>
      <c r="U173" s="60"/>
      <c r="V173" s="60"/>
      <c r="W173" s="102"/>
      <c r="X173" s="102"/>
      <c r="Y173" s="102"/>
      <c r="Z173" s="102"/>
      <c r="AA173" s="102"/>
      <c r="AB173" s="102"/>
      <c r="AC173" s="102"/>
      <c r="AD173" s="102"/>
      <c r="AE173" s="102"/>
      <c r="AF173" s="102"/>
      <c r="AG173" s="102"/>
      <c r="AH173" s="102"/>
      <c r="AI173" s="369"/>
      <c r="AJ173" s="369"/>
      <c r="AK173" s="369"/>
      <c r="AL173" s="369"/>
      <c r="AM173" s="96"/>
    </row>
    <row r="174" spans="1:39" s="103" customFormat="1" ht="65.099999999999994" customHeight="1" x14ac:dyDescent="0.25">
      <c r="A174" s="94"/>
      <c r="B174" s="94"/>
      <c r="C174" s="413"/>
      <c r="D174" s="95"/>
      <c r="E174" s="96"/>
      <c r="F174" s="96"/>
      <c r="G174" s="96"/>
      <c r="H174" s="96"/>
      <c r="I174" s="97"/>
      <c r="J174" s="98"/>
      <c r="K174" s="98"/>
      <c r="L174" s="99"/>
      <c r="M174" s="72"/>
      <c r="N174" s="100"/>
      <c r="O174" s="101"/>
      <c r="P174" s="377"/>
      <c r="Q174" s="75"/>
      <c r="R174" s="76"/>
      <c r="S174" s="72"/>
      <c r="T174" s="60"/>
      <c r="U174" s="60"/>
      <c r="V174" s="60"/>
      <c r="W174" s="102"/>
      <c r="X174" s="102"/>
      <c r="Y174" s="102"/>
      <c r="Z174" s="102"/>
      <c r="AA174" s="102"/>
      <c r="AB174" s="102"/>
      <c r="AC174" s="102"/>
      <c r="AD174" s="102"/>
      <c r="AE174" s="102"/>
      <c r="AF174" s="102"/>
      <c r="AG174" s="102"/>
      <c r="AH174" s="102"/>
      <c r="AI174" s="369"/>
      <c r="AJ174" s="369"/>
      <c r="AK174" s="369"/>
      <c r="AL174" s="369"/>
      <c r="AM174" s="96"/>
    </row>
    <row r="175" spans="1:39" s="103" customFormat="1" ht="65.099999999999994" customHeight="1" x14ac:dyDescent="0.25">
      <c r="A175" s="94"/>
      <c r="B175" s="94"/>
      <c r="C175" s="413"/>
      <c r="D175" s="95"/>
      <c r="E175" s="96"/>
      <c r="F175" s="96"/>
      <c r="G175" s="96"/>
      <c r="H175" s="96"/>
      <c r="I175" s="97"/>
      <c r="J175" s="98"/>
      <c r="K175" s="98"/>
      <c r="L175" s="99"/>
      <c r="M175" s="72"/>
      <c r="N175" s="100"/>
      <c r="O175" s="101"/>
      <c r="P175" s="377"/>
      <c r="Q175" s="75"/>
      <c r="R175" s="76"/>
      <c r="S175" s="72"/>
      <c r="T175" s="60"/>
      <c r="U175" s="60"/>
      <c r="V175" s="60"/>
      <c r="W175" s="102"/>
      <c r="X175" s="102"/>
      <c r="Y175" s="102"/>
      <c r="Z175" s="102"/>
      <c r="AA175" s="102"/>
      <c r="AB175" s="102"/>
      <c r="AC175" s="102"/>
      <c r="AD175" s="102"/>
      <c r="AE175" s="102"/>
      <c r="AF175" s="102"/>
      <c r="AG175" s="102"/>
      <c r="AH175" s="102"/>
      <c r="AI175" s="369"/>
      <c r="AJ175" s="369"/>
      <c r="AK175" s="369"/>
      <c r="AL175" s="369"/>
      <c r="AM175" s="96"/>
    </row>
    <row r="176" spans="1:39" s="103" customFormat="1" ht="65.099999999999994" customHeight="1" x14ac:dyDescent="0.25">
      <c r="A176" s="94"/>
      <c r="B176" s="94"/>
      <c r="C176" s="413"/>
      <c r="D176" s="95"/>
      <c r="E176" s="96"/>
      <c r="F176" s="96"/>
      <c r="G176" s="96"/>
      <c r="H176" s="96"/>
      <c r="I176" s="97"/>
      <c r="J176" s="98"/>
      <c r="K176" s="98"/>
      <c r="L176" s="99"/>
      <c r="M176" s="72"/>
      <c r="N176" s="100"/>
      <c r="O176" s="101"/>
      <c r="P176" s="377"/>
      <c r="Q176" s="75"/>
      <c r="R176" s="76"/>
      <c r="S176" s="72"/>
      <c r="T176" s="60"/>
      <c r="U176" s="60"/>
      <c r="V176" s="60"/>
      <c r="W176" s="102"/>
      <c r="X176" s="102"/>
      <c r="Y176" s="102"/>
      <c r="Z176" s="102"/>
      <c r="AA176" s="102"/>
      <c r="AB176" s="102"/>
      <c r="AC176" s="102"/>
      <c r="AD176" s="102"/>
      <c r="AE176" s="102"/>
      <c r="AF176" s="102"/>
      <c r="AG176" s="102"/>
      <c r="AH176" s="102"/>
      <c r="AI176" s="369"/>
      <c r="AJ176" s="369"/>
      <c r="AK176" s="369"/>
      <c r="AL176" s="369"/>
      <c r="AM176" s="96"/>
    </row>
    <row r="177" spans="1:39" s="103" customFormat="1" ht="65.099999999999994" customHeight="1" x14ac:dyDescent="0.25">
      <c r="A177" s="94"/>
      <c r="B177" s="94"/>
      <c r="C177" s="413"/>
      <c r="D177" s="95"/>
      <c r="E177" s="96"/>
      <c r="F177" s="96"/>
      <c r="G177" s="96"/>
      <c r="H177" s="96"/>
      <c r="I177" s="97"/>
      <c r="J177" s="98"/>
      <c r="K177" s="98"/>
      <c r="L177" s="99"/>
      <c r="M177" s="72"/>
      <c r="N177" s="100"/>
      <c r="O177" s="101"/>
      <c r="P177" s="377"/>
      <c r="Q177" s="75"/>
      <c r="R177" s="76"/>
      <c r="S177" s="72"/>
      <c r="T177" s="60"/>
      <c r="U177" s="60"/>
      <c r="V177" s="60"/>
      <c r="W177" s="102"/>
      <c r="X177" s="102"/>
      <c r="Y177" s="102"/>
      <c r="Z177" s="102"/>
      <c r="AA177" s="102"/>
      <c r="AB177" s="102"/>
      <c r="AC177" s="102"/>
      <c r="AD177" s="102"/>
      <c r="AE177" s="102"/>
      <c r="AF177" s="102"/>
      <c r="AG177" s="102"/>
      <c r="AH177" s="102"/>
      <c r="AI177" s="369"/>
      <c r="AJ177" s="369"/>
      <c r="AK177" s="369"/>
      <c r="AL177" s="369"/>
      <c r="AM177" s="96"/>
    </row>
    <row r="178" spans="1:39" s="103" customFormat="1" ht="65.099999999999994" customHeight="1" x14ac:dyDescent="0.25">
      <c r="A178" s="94"/>
      <c r="B178" s="94"/>
      <c r="C178" s="413"/>
      <c r="D178" s="95"/>
      <c r="E178" s="96"/>
      <c r="F178" s="96"/>
      <c r="G178" s="96"/>
      <c r="H178" s="96"/>
      <c r="I178" s="97"/>
      <c r="J178" s="98"/>
      <c r="K178" s="98"/>
      <c r="L178" s="99"/>
      <c r="M178" s="72"/>
      <c r="N178" s="100"/>
      <c r="O178" s="101"/>
      <c r="P178" s="377"/>
      <c r="Q178" s="75"/>
      <c r="R178" s="76"/>
      <c r="S178" s="72"/>
      <c r="T178" s="60"/>
      <c r="U178" s="60"/>
      <c r="V178" s="60"/>
      <c r="W178" s="102"/>
      <c r="X178" s="102"/>
      <c r="Y178" s="102"/>
      <c r="Z178" s="102"/>
      <c r="AA178" s="102"/>
      <c r="AB178" s="102"/>
      <c r="AC178" s="102"/>
      <c r="AD178" s="102"/>
      <c r="AE178" s="102"/>
      <c r="AF178" s="102"/>
      <c r="AG178" s="102"/>
      <c r="AH178" s="102"/>
      <c r="AI178" s="369"/>
      <c r="AJ178" s="369"/>
      <c r="AK178" s="369"/>
      <c r="AL178" s="369"/>
      <c r="AM178" s="96"/>
    </row>
    <row r="179" spans="1:39" s="103" customFormat="1" ht="65.099999999999994" customHeight="1" x14ac:dyDescent="0.25">
      <c r="A179" s="94"/>
      <c r="B179" s="94"/>
      <c r="C179" s="413"/>
      <c r="D179" s="95"/>
      <c r="E179" s="96"/>
      <c r="F179" s="96"/>
      <c r="G179" s="96"/>
      <c r="H179" s="96"/>
      <c r="I179" s="97"/>
      <c r="J179" s="98"/>
      <c r="K179" s="98"/>
      <c r="L179" s="99"/>
      <c r="M179" s="72"/>
      <c r="N179" s="100"/>
      <c r="O179" s="101"/>
      <c r="P179" s="377"/>
      <c r="Q179" s="75"/>
      <c r="R179" s="76"/>
      <c r="S179" s="72"/>
      <c r="T179" s="60"/>
      <c r="U179" s="60"/>
      <c r="V179" s="60"/>
      <c r="W179" s="102"/>
      <c r="X179" s="102"/>
      <c r="Y179" s="102"/>
      <c r="Z179" s="102"/>
      <c r="AA179" s="102"/>
      <c r="AB179" s="102"/>
      <c r="AC179" s="102"/>
      <c r="AD179" s="102"/>
      <c r="AE179" s="102"/>
      <c r="AF179" s="102"/>
      <c r="AG179" s="102"/>
      <c r="AH179" s="102"/>
      <c r="AI179" s="369"/>
      <c r="AJ179" s="369"/>
      <c r="AK179" s="369"/>
      <c r="AL179" s="369"/>
      <c r="AM179" s="96"/>
    </row>
    <row r="180" spans="1:39" s="103" customFormat="1" ht="65.099999999999994" customHeight="1" x14ac:dyDescent="0.25">
      <c r="A180" s="94"/>
      <c r="B180" s="94"/>
      <c r="C180" s="413"/>
      <c r="D180" s="95"/>
      <c r="E180" s="96"/>
      <c r="F180" s="96"/>
      <c r="G180" s="96"/>
      <c r="H180" s="96"/>
      <c r="I180" s="97"/>
      <c r="J180" s="98"/>
      <c r="K180" s="98"/>
      <c r="L180" s="99"/>
      <c r="M180" s="72"/>
      <c r="N180" s="100"/>
      <c r="O180" s="101"/>
      <c r="P180" s="377"/>
      <c r="Q180" s="75"/>
      <c r="R180" s="76"/>
      <c r="S180" s="72"/>
      <c r="T180" s="60"/>
      <c r="U180" s="60"/>
      <c r="V180" s="60"/>
      <c r="W180" s="102"/>
      <c r="X180" s="102"/>
      <c r="Y180" s="102"/>
      <c r="Z180" s="102"/>
      <c r="AA180" s="102"/>
      <c r="AB180" s="102"/>
      <c r="AC180" s="102"/>
      <c r="AD180" s="102"/>
      <c r="AE180" s="102"/>
      <c r="AF180" s="102"/>
      <c r="AG180" s="102"/>
      <c r="AH180" s="102"/>
      <c r="AI180" s="369"/>
      <c r="AJ180" s="369"/>
      <c r="AK180" s="369"/>
      <c r="AL180" s="369"/>
      <c r="AM180" s="96"/>
    </row>
    <row r="181" spans="1:39" s="103" customFormat="1" ht="65.099999999999994" customHeight="1" x14ac:dyDescent="0.25">
      <c r="A181" s="94"/>
      <c r="B181" s="94"/>
      <c r="C181" s="413"/>
      <c r="D181" s="95"/>
      <c r="E181" s="96"/>
      <c r="F181" s="96"/>
      <c r="G181" s="96"/>
      <c r="H181" s="96"/>
      <c r="I181" s="97"/>
      <c r="J181" s="98"/>
      <c r="K181" s="98"/>
      <c r="L181" s="99"/>
      <c r="M181" s="72"/>
      <c r="N181" s="100"/>
      <c r="O181" s="101"/>
      <c r="P181" s="377"/>
      <c r="Q181" s="75"/>
      <c r="R181" s="76"/>
      <c r="S181" s="72"/>
      <c r="T181" s="60"/>
      <c r="U181" s="60"/>
      <c r="V181" s="60"/>
      <c r="W181" s="102"/>
      <c r="X181" s="102"/>
      <c r="Y181" s="102"/>
      <c r="Z181" s="102"/>
      <c r="AA181" s="102"/>
      <c r="AB181" s="102"/>
      <c r="AC181" s="102"/>
      <c r="AD181" s="102"/>
      <c r="AE181" s="102"/>
      <c r="AF181" s="102"/>
      <c r="AG181" s="102"/>
      <c r="AH181" s="102"/>
      <c r="AI181" s="369"/>
      <c r="AJ181" s="369"/>
      <c r="AK181" s="369"/>
      <c r="AL181" s="369"/>
      <c r="AM181" s="96"/>
    </row>
    <row r="182" spans="1:39" s="103" customFormat="1" ht="65.099999999999994" customHeight="1" x14ac:dyDescent="0.25">
      <c r="A182" s="94"/>
      <c r="B182" s="94"/>
      <c r="C182" s="413"/>
      <c r="D182" s="95"/>
      <c r="E182" s="96"/>
      <c r="F182" s="96"/>
      <c r="G182" s="96"/>
      <c r="H182" s="96"/>
      <c r="I182" s="97"/>
      <c r="J182" s="98"/>
      <c r="K182" s="98"/>
      <c r="L182" s="99"/>
      <c r="M182" s="72"/>
      <c r="N182" s="100"/>
      <c r="O182" s="101"/>
      <c r="P182" s="377"/>
      <c r="Q182" s="75"/>
      <c r="R182" s="76"/>
      <c r="S182" s="72"/>
      <c r="T182" s="60"/>
      <c r="U182" s="60"/>
      <c r="V182" s="60"/>
      <c r="W182" s="102"/>
      <c r="X182" s="102"/>
      <c r="Y182" s="102"/>
      <c r="Z182" s="102"/>
      <c r="AA182" s="102"/>
      <c r="AB182" s="102"/>
      <c r="AC182" s="102"/>
      <c r="AD182" s="102"/>
      <c r="AE182" s="102"/>
      <c r="AF182" s="102"/>
      <c r="AG182" s="102"/>
      <c r="AH182" s="102"/>
      <c r="AI182" s="369"/>
      <c r="AJ182" s="369"/>
      <c r="AK182" s="369"/>
      <c r="AL182" s="369"/>
      <c r="AM182" s="96"/>
    </row>
    <row r="183" spans="1:39" s="103" customFormat="1" ht="65.099999999999994" customHeight="1" x14ac:dyDescent="0.25">
      <c r="A183" s="94"/>
      <c r="B183" s="94"/>
      <c r="C183" s="413"/>
      <c r="D183" s="95"/>
      <c r="E183" s="96"/>
      <c r="F183" s="96"/>
      <c r="G183" s="96"/>
      <c r="H183" s="96"/>
      <c r="I183" s="97"/>
      <c r="J183" s="98"/>
      <c r="K183" s="98"/>
      <c r="L183" s="99"/>
      <c r="M183" s="72"/>
      <c r="N183" s="100"/>
      <c r="O183" s="101"/>
      <c r="P183" s="377"/>
      <c r="Q183" s="75"/>
      <c r="R183" s="76"/>
      <c r="S183" s="72"/>
      <c r="T183" s="60"/>
      <c r="U183" s="60"/>
      <c r="V183" s="60"/>
      <c r="W183" s="102"/>
      <c r="X183" s="102"/>
      <c r="Y183" s="102"/>
      <c r="Z183" s="102"/>
      <c r="AA183" s="102"/>
      <c r="AB183" s="102"/>
      <c r="AC183" s="102"/>
      <c r="AD183" s="102"/>
      <c r="AE183" s="102"/>
      <c r="AF183" s="102"/>
      <c r="AG183" s="102"/>
      <c r="AH183" s="102"/>
      <c r="AI183" s="369"/>
      <c r="AJ183" s="369"/>
      <c r="AK183" s="369"/>
      <c r="AL183" s="369"/>
      <c r="AM183" s="96"/>
    </row>
    <row r="184" spans="1:39" s="103" customFormat="1" ht="65.099999999999994" customHeight="1" x14ac:dyDescent="0.25">
      <c r="A184" s="94"/>
      <c r="B184" s="94"/>
      <c r="C184" s="413"/>
      <c r="D184" s="95"/>
      <c r="E184" s="96"/>
      <c r="F184" s="96"/>
      <c r="G184" s="96"/>
      <c r="H184" s="96"/>
      <c r="I184" s="97"/>
      <c r="J184" s="98"/>
      <c r="K184" s="98"/>
      <c r="L184" s="99"/>
      <c r="M184" s="72"/>
      <c r="N184" s="100"/>
      <c r="O184" s="101"/>
      <c r="P184" s="377"/>
      <c r="Q184" s="75"/>
      <c r="R184" s="76"/>
      <c r="S184" s="72"/>
      <c r="T184" s="60"/>
      <c r="U184" s="60"/>
      <c r="V184" s="60"/>
      <c r="W184" s="102"/>
      <c r="X184" s="102"/>
      <c r="Y184" s="102"/>
      <c r="Z184" s="102"/>
      <c r="AA184" s="102"/>
      <c r="AB184" s="102"/>
      <c r="AC184" s="102"/>
      <c r="AD184" s="102"/>
      <c r="AE184" s="102"/>
      <c r="AF184" s="102"/>
      <c r="AG184" s="102"/>
      <c r="AH184" s="102"/>
      <c r="AI184" s="369"/>
      <c r="AJ184" s="369"/>
      <c r="AK184" s="369"/>
      <c r="AL184" s="369"/>
      <c r="AM184" s="96"/>
    </row>
    <row r="185" spans="1:39" s="103" customFormat="1" ht="65.099999999999994" customHeight="1" x14ac:dyDescent="0.25">
      <c r="A185" s="94"/>
      <c r="B185" s="94"/>
      <c r="C185" s="413"/>
      <c r="D185" s="95"/>
      <c r="E185" s="96"/>
      <c r="F185" s="96"/>
      <c r="G185" s="96"/>
      <c r="H185" s="96"/>
      <c r="I185" s="97"/>
      <c r="J185" s="98"/>
      <c r="K185" s="98"/>
      <c r="L185" s="99"/>
      <c r="M185" s="72"/>
      <c r="N185" s="100"/>
      <c r="O185" s="101"/>
      <c r="P185" s="377"/>
      <c r="Q185" s="75"/>
      <c r="R185" s="76"/>
      <c r="S185" s="72"/>
      <c r="T185" s="60"/>
      <c r="U185" s="60"/>
      <c r="V185" s="60"/>
      <c r="W185" s="102"/>
      <c r="X185" s="102"/>
      <c r="Y185" s="102"/>
      <c r="Z185" s="102"/>
      <c r="AA185" s="102"/>
      <c r="AB185" s="102"/>
      <c r="AC185" s="102"/>
      <c r="AD185" s="102"/>
      <c r="AE185" s="102"/>
      <c r="AF185" s="102"/>
      <c r="AG185" s="102"/>
      <c r="AH185" s="102"/>
      <c r="AI185" s="369"/>
      <c r="AJ185" s="369"/>
      <c r="AK185" s="369"/>
      <c r="AL185" s="369"/>
      <c r="AM185" s="96"/>
    </row>
    <row r="186" spans="1:39" s="103" customFormat="1" ht="65.099999999999994" customHeight="1" x14ac:dyDescent="0.25">
      <c r="A186" s="94"/>
      <c r="B186" s="94"/>
      <c r="C186" s="413"/>
      <c r="D186" s="95"/>
      <c r="E186" s="96"/>
      <c r="F186" s="96"/>
      <c r="G186" s="96"/>
      <c r="H186" s="96"/>
      <c r="I186" s="97"/>
      <c r="J186" s="98"/>
      <c r="K186" s="98"/>
      <c r="L186" s="99"/>
      <c r="M186" s="72"/>
      <c r="N186" s="100"/>
      <c r="O186" s="101"/>
      <c r="P186" s="377"/>
      <c r="Q186" s="75"/>
      <c r="R186" s="76"/>
      <c r="S186" s="72"/>
      <c r="T186" s="60"/>
      <c r="U186" s="60"/>
      <c r="V186" s="60"/>
      <c r="W186" s="102"/>
      <c r="X186" s="102"/>
      <c r="Y186" s="102"/>
      <c r="Z186" s="102"/>
      <c r="AA186" s="102"/>
      <c r="AB186" s="102"/>
      <c r="AC186" s="102"/>
      <c r="AD186" s="102"/>
      <c r="AE186" s="102"/>
      <c r="AF186" s="102"/>
      <c r="AG186" s="102"/>
      <c r="AH186" s="102"/>
      <c r="AI186" s="369"/>
      <c r="AJ186" s="369"/>
      <c r="AK186" s="369"/>
      <c r="AL186" s="369"/>
      <c r="AM186" s="96"/>
    </row>
    <row r="187" spans="1:39" s="103" customFormat="1" ht="65.099999999999994" customHeight="1" x14ac:dyDescent="0.25">
      <c r="A187" s="94"/>
      <c r="B187" s="94"/>
      <c r="C187" s="413"/>
      <c r="D187" s="95"/>
      <c r="E187" s="96"/>
      <c r="F187" s="96"/>
      <c r="G187" s="96"/>
      <c r="H187" s="96"/>
      <c r="I187" s="97"/>
      <c r="J187" s="98"/>
      <c r="K187" s="98"/>
      <c r="L187" s="99"/>
      <c r="M187" s="72"/>
      <c r="N187" s="100"/>
      <c r="O187" s="101"/>
      <c r="P187" s="377"/>
      <c r="Q187" s="75"/>
      <c r="R187" s="76"/>
      <c r="S187" s="72"/>
      <c r="T187" s="60"/>
      <c r="U187" s="60"/>
      <c r="V187" s="60"/>
      <c r="W187" s="102"/>
      <c r="X187" s="102"/>
      <c r="Y187" s="102"/>
      <c r="Z187" s="102"/>
      <c r="AA187" s="102"/>
      <c r="AB187" s="102"/>
      <c r="AC187" s="102"/>
      <c r="AD187" s="102"/>
      <c r="AE187" s="102"/>
      <c r="AF187" s="102"/>
      <c r="AG187" s="102"/>
      <c r="AH187" s="102"/>
      <c r="AI187" s="369"/>
      <c r="AJ187" s="369"/>
      <c r="AK187" s="369"/>
      <c r="AL187" s="369"/>
      <c r="AM187" s="96"/>
    </row>
    <row r="188" spans="1:39" s="103" customFormat="1" ht="65.099999999999994" customHeight="1" x14ac:dyDescent="0.25">
      <c r="A188" s="94"/>
      <c r="B188" s="94"/>
      <c r="C188" s="413"/>
      <c r="D188" s="95"/>
      <c r="E188" s="96"/>
      <c r="F188" s="96"/>
      <c r="G188" s="96"/>
      <c r="H188" s="96"/>
      <c r="I188" s="97"/>
      <c r="J188" s="98"/>
      <c r="K188" s="98"/>
      <c r="L188" s="99"/>
      <c r="M188" s="72"/>
      <c r="N188" s="100"/>
      <c r="O188" s="101"/>
      <c r="P188" s="377"/>
      <c r="Q188" s="75"/>
      <c r="R188" s="76"/>
      <c r="S188" s="72"/>
      <c r="T188" s="60"/>
      <c r="U188" s="60"/>
      <c r="V188" s="60"/>
      <c r="W188" s="102"/>
      <c r="X188" s="102"/>
      <c r="Y188" s="102"/>
      <c r="Z188" s="102"/>
      <c r="AA188" s="102"/>
      <c r="AB188" s="102"/>
      <c r="AC188" s="102"/>
      <c r="AD188" s="102"/>
      <c r="AE188" s="102"/>
      <c r="AF188" s="102"/>
      <c r="AG188" s="102"/>
      <c r="AH188" s="102"/>
      <c r="AI188" s="369"/>
      <c r="AJ188" s="369"/>
      <c r="AK188" s="369"/>
      <c r="AL188" s="369"/>
      <c r="AM188" s="96"/>
    </row>
    <row r="189" spans="1:39" s="103" customFormat="1" ht="65.099999999999994" customHeight="1" x14ac:dyDescent="0.25">
      <c r="A189" s="94"/>
      <c r="B189" s="94"/>
      <c r="C189" s="413"/>
      <c r="D189" s="95"/>
      <c r="E189" s="96"/>
      <c r="F189" s="96"/>
      <c r="G189" s="96"/>
      <c r="H189" s="96"/>
      <c r="I189" s="97"/>
      <c r="J189" s="98"/>
      <c r="K189" s="98"/>
      <c r="L189" s="99"/>
      <c r="M189" s="72"/>
      <c r="N189" s="100"/>
      <c r="O189" s="101"/>
      <c r="P189" s="377"/>
      <c r="Q189" s="75"/>
      <c r="R189" s="76"/>
      <c r="S189" s="72"/>
      <c r="T189" s="60"/>
      <c r="U189" s="60"/>
      <c r="V189" s="60"/>
      <c r="W189" s="102"/>
      <c r="X189" s="102"/>
      <c r="Y189" s="102"/>
      <c r="Z189" s="102"/>
      <c r="AA189" s="102"/>
      <c r="AB189" s="102"/>
      <c r="AC189" s="102"/>
      <c r="AD189" s="102"/>
      <c r="AE189" s="102"/>
      <c r="AF189" s="102"/>
      <c r="AG189" s="102"/>
      <c r="AH189" s="102"/>
      <c r="AI189" s="369"/>
      <c r="AJ189" s="369"/>
      <c r="AK189" s="369"/>
      <c r="AL189" s="369"/>
      <c r="AM189" s="96"/>
    </row>
    <row r="190" spans="1:39" s="103" customFormat="1" ht="65.099999999999994" customHeight="1" x14ac:dyDescent="0.25">
      <c r="A190" s="94"/>
      <c r="B190" s="94"/>
      <c r="C190" s="413"/>
      <c r="D190" s="95"/>
      <c r="E190" s="96"/>
      <c r="F190" s="96"/>
      <c r="G190" s="96"/>
      <c r="H190" s="96"/>
      <c r="I190" s="97"/>
      <c r="J190" s="98"/>
      <c r="K190" s="98"/>
      <c r="L190" s="99"/>
      <c r="M190" s="72"/>
      <c r="N190" s="100"/>
      <c r="O190" s="101"/>
      <c r="P190" s="377"/>
      <c r="Q190" s="75"/>
      <c r="R190" s="76"/>
      <c r="S190" s="72"/>
      <c r="T190" s="60"/>
      <c r="U190" s="60"/>
      <c r="V190" s="60"/>
      <c r="W190" s="102"/>
      <c r="X190" s="102"/>
      <c r="Y190" s="102"/>
      <c r="Z190" s="102"/>
      <c r="AA190" s="102"/>
      <c r="AB190" s="102"/>
      <c r="AC190" s="102"/>
      <c r="AD190" s="102"/>
      <c r="AE190" s="102"/>
      <c r="AF190" s="102"/>
      <c r="AG190" s="102"/>
      <c r="AH190" s="102"/>
      <c r="AI190" s="369"/>
      <c r="AJ190" s="369"/>
      <c r="AK190" s="369"/>
      <c r="AL190" s="369"/>
      <c r="AM190" s="96"/>
    </row>
    <row r="191" spans="1:39" s="103" customFormat="1" ht="65.099999999999994" customHeight="1" x14ac:dyDescent="0.25">
      <c r="A191" s="94"/>
      <c r="B191" s="94"/>
      <c r="C191" s="413"/>
      <c r="D191" s="95"/>
      <c r="E191" s="96"/>
      <c r="F191" s="96"/>
      <c r="G191" s="96"/>
      <c r="H191" s="96"/>
      <c r="I191" s="97"/>
      <c r="J191" s="98"/>
      <c r="K191" s="98"/>
      <c r="L191" s="99"/>
      <c r="M191" s="72"/>
      <c r="N191" s="100"/>
      <c r="O191" s="101"/>
      <c r="P191" s="377"/>
      <c r="Q191" s="75"/>
      <c r="R191" s="76"/>
      <c r="S191" s="72"/>
      <c r="T191" s="60"/>
      <c r="U191" s="60"/>
      <c r="V191" s="60"/>
      <c r="W191" s="102"/>
      <c r="X191" s="102"/>
      <c r="Y191" s="102"/>
      <c r="Z191" s="102"/>
      <c r="AA191" s="102"/>
      <c r="AB191" s="102"/>
      <c r="AC191" s="102"/>
      <c r="AD191" s="102"/>
      <c r="AE191" s="102"/>
      <c r="AF191" s="102"/>
      <c r="AG191" s="102"/>
      <c r="AH191" s="102"/>
      <c r="AI191" s="369"/>
      <c r="AJ191" s="369"/>
      <c r="AK191" s="369"/>
      <c r="AL191" s="369"/>
      <c r="AM191" s="96"/>
    </row>
    <row r="192" spans="1:39" s="103" customFormat="1" ht="65.099999999999994" customHeight="1" x14ac:dyDescent="0.25">
      <c r="A192" s="94"/>
      <c r="B192" s="94"/>
      <c r="C192" s="413"/>
      <c r="D192" s="95"/>
      <c r="E192" s="96"/>
      <c r="F192" s="96"/>
      <c r="G192" s="96"/>
      <c r="H192" s="96"/>
      <c r="I192" s="97"/>
      <c r="J192" s="98"/>
      <c r="K192" s="98"/>
      <c r="L192" s="99"/>
      <c r="M192" s="72"/>
      <c r="N192" s="100"/>
      <c r="O192" s="101"/>
      <c r="P192" s="377"/>
      <c r="Q192" s="75"/>
      <c r="R192" s="76"/>
      <c r="S192" s="72"/>
      <c r="T192" s="60"/>
      <c r="U192" s="60"/>
      <c r="V192" s="60"/>
      <c r="W192" s="102"/>
      <c r="X192" s="102"/>
      <c r="Y192" s="102"/>
      <c r="Z192" s="102"/>
      <c r="AA192" s="102"/>
      <c r="AB192" s="102"/>
      <c r="AC192" s="102"/>
      <c r="AD192" s="102"/>
      <c r="AE192" s="102"/>
      <c r="AF192" s="102"/>
      <c r="AG192" s="102"/>
      <c r="AH192" s="102"/>
      <c r="AI192" s="369"/>
      <c r="AJ192" s="369"/>
      <c r="AK192" s="369"/>
      <c r="AL192" s="369"/>
      <c r="AM192" s="96"/>
    </row>
    <row r="193" spans="1:39" s="103" customFormat="1" ht="65.099999999999994" customHeight="1" x14ac:dyDescent="0.25">
      <c r="A193" s="94"/>
      <c r="B193" s="94"/>
      <c r="C193" s="413"/>
      <c r="D193" s="95"/>
      <c r="E193" s="96"/>
      <c r="F193" s="96"/>
      <c r="G193" s="96"/>
      <c r="H193" s="96"/>
      <c r="I193" s="97"/>
      <c r="J193" s="98"/>
      <c r="K193" s="98"/>
      <c r="L193" s="99"/>
      <c r="M193" s="72"/>
      <c r="N193" s="100"/>
      <c r="O193" s="101"/>
      <c r="P193" s="377"/>
      <c r="Q193" s="75"/>
      <c r="R193" s="76"/>
      <c r="S193" s="72"/>
      <c r="T193" s="60"/>
      <c r="U193" s="60"/>
      <c r="V193" s="60"/>
      <c r="W193" s="102"/>
      <c r="X193" s="102"/>
      <c r="Y193" s="102"/>
      <c r="Z193" s="102"/>
      <c r="AA193" s="102"/>
      <c r="AB193" s="102"/>
      <c r="AC193" s="102"/>
      <c r="AD193" s="102"/>
      <c r="AE193" s="102"/>
      <c r="AF193" s="102"/>
      <c r="AG193" s="102"/>
      <c r="AH193" s="102"/>
      <c r="AI193" s="369"/>
      <c r="AJ193" s="369"/>
      <c r="AK193" s="369"/>
      <c r="AL193" s="369"/>
      <c r="AM193" s="96"/>
    </row>
    <row r="194" spans="1:39" s="103" customFormat="1" ht="65.099999999999994" customHeight="1" x14ac:dyDescent="0.25">
      <c r="A194" s="94"/>
      <c r="B194" s="94"/>
      <c r="C194" s="413"/>
      <c r="D194" s="95"/>
      <c r="E194" s="96"/>
      <c r="F194" s="96"/>
      <c r="G194" s="96"/>
      <c r="H194" s="96"/>
      <c r="I194" s="97"/>
      <c r="J194" s="98"/>
      <c r="K194" s="98"/>
      <c r="L194" s="99"/>
      <c r="M194" s="72"/>
      <c r="N194" s="100"/>
      <c r="O194" s="101"/>
      <c r="P194" s="377"/>
      <c r="Q194" s="75"/>
      <c r="R194" s="76"/>
      <c r="S194" s="72"/>
      <c r="T194" s="60"/>
      <c r="U194" s="60"/>
      <c r="V194" s="60"/>
      <c r="W194" s="102"/>
      <c r="X194" s="102"/>
      <c r="Y194" s="102"/>
      <c r="Z194" s="102"/>
      <c r="AA194" s="102"/>
      <c r="AB194" s="102"/>
      <c r="AC194" s="102"/>
      <c r="AD194" s="102"/>
      <c r="AE194" s="102"/>
      <c r="AF194" s="102"/>
      <c r="AG194" s="102"/>
      <c r="AH194" s="102"/>
      <c r="AI194" s="369"/>
      <c r="AJ194" s="369"/>
      <c r="AK194" s="369"/>
      <c r="AL194" s="369"/>
      <c r="AM194" s="96"/>
    </row>
    <row r="195" spans="1:39" s="103" customFormat="1" ht="65.099999999999994" customHeight="1" x14ac:dyDescent="0.25">
      <c r="A195" s="94"/>
      <c r="B195" s="94"/>
      <c r="C195" s="413"/>
      <c r="D195" s="95"/>
      <c r="E195" s="96"/>
      <c r="F195" s="96"/>
      <c r="G195" s="96"/>
      <c r="H195" s="96"/>
      <c r="I195" s="97"/>
      <c r="J195" s="98"/>
      <c r="K195" s="98"/>
      <c r="L195" s="99"/>
      <c r="M195" s="72"/>
      <c r="N195" s="100"/>
      <c r="O195" s="101"/>
      <c r="P195" s="377"/>
      <c r="Q195" s="75"/>
      <c r="R195" s="76"/>
      <c r="S195" s="72"/>
      <c r="T195" s="60"/>
      <c r="U195" s="60"/>
      <c r="V195" s="60"/>
      <c r="W195" s="102"/>
      <c r="X195" s="102"/>
      <c r="Y195" s="102"/>
      <c r="Z195" s="102"/>
      <c r="AA195" s="102"/>
      <c r="AB195" s="102"/>
      <c r="AC195" s="102"/>
      <c r="AD195" s="102"/>
      <c r="AE195" s="102"/>
      <c r="AF195" s="102"/>
      <c r="AG195" s="102"/>
      <c r="AH195" s="102"/>
      <c r="AI195" s="369"/>
      <c r="AJ195" s="369"/>
      <c r="AK195" s="369"/>
      <c r="AL195" s="369"/>
      <c r="AM195" s="96"/>
    </row>
    <row r="196" spans="1:39" s="103" customFormat="1" ht="65.099999999999994" customHeight="1" x14ac:dyDescent="0.25">
      <c r="A196" s="94"/>
      <c r="B196" s="94"/>
      <c r="C196" s="413"/>
      <c r="D196" s="95"/>
      <c r="E196" s="96"/>
      <c r="F196" s="96"/>
      <c r="G196" s="96"/>
      <c r="H196" s="96"/>
      <c r="I196" s="97"/>
      <c r="J196" s="98"/>
      <c r="K196" s="98"/>
      <c r="L196" s="99"/>
      <c r="M196" s="72"/>
      <c r="N196" s="100"/>
      <c r="O196" s="101"/>
      <c r="P196" s="377"/>
      <c r="Q196" s="75"/>
      <c r="R196" s="76"/>
      <c r="S196" s="72"/>
      <c r="T196" s="60"/>
      <c r="U196" s="60"/>
      <c r="V196" s="60"/>
      <c r="W196" s="102"/>
      <c r="X196" s="102"/>
      <c r="Y196" s="102"/>
      <c r="Z196" s="102"/>
      <c r="AA196" s="102"/>
      <c r="AB196" s="102"/>
      <c r="AC196" s="102"/>
      <c r="AD196" s="102"/>
      <c r="AE196" s="102"/>
      <c r="AF196" s="102"/>
      <c r="AG196" s="102"/>
      <c r="AH196" s="102"/>
      <c r="AI196" s="369"/>
      <c r="AJ196" s="369"/>
      <c r="AK196" s="369"/>
      <c r="AL196" s="369"/>
      <c r="AM196" s="96"/>
    </row>
    <row r="197" spans="1:39" s="103" customFormat="1" ht="65.099999999999994" customHeight="1" x14ac:dyDescent="0.25">
      <c r="A197" s="94"/>
      <c r="B197" s="94"/>
      <c r="C197" s="413"/>
      <c r="D197" s="95"/>
      <c r="E197" s="96"/>
      <c r="F197" s="96"/>
      <c r="G197" s="96"/>
      <c r="H197" s="96"/>
      <c r="I197" s="97"/>
      <c r="J197" s="98"/>
      <c r="K197" s="98"/>
      <c r="L197" s="99"/>
      <c r="M197" s="72"/>
      <c r="N197" s="100"/>
      <c r="O197" s="101"/>
      <c r="P197" s="377"/>
      <c r="Q197" s="75"/>
      <c r="R197" s="76"/>
      <c r="S197" s="72"/>
      <c r="T197" s="60"/>
      <c r="U197" s="60"/>
      <c r="V197" s="60"/>
      <c r="W197" s="102"/>
      <c r="X197" s="102"/>
      <c r="Y197" s="102"/>
      <c r="Z197" s="102"/>
      <c r="AA197" s="102"/>
      <c r="AB197" s="102"/>
      <c r="AC197" s="102"/>
      <c r="AD197" s="102"/>
      <c r="AE197" s="102"/>
      <c r="AF197" s="102"/>
      <c r="AG197" s="102"/>
      <c r="AH197" s="102"/>
      <c r="AI197" s="369"/>
      <c r="AJ197" s="369"/>
      <c r="AK197" s="369"/>
      <c r="AL197" s="369"/>
      <c r="AM197" s="96"/>
    </row>
    <row r="198" spans="1:39" s="103" customFormat="1" ht="65.099999999999994" customHeight="1" x14ac:dyDescent="0.25">
      <c r="A198" s="94"/>
      <c r="B198" s="94"/>
      <c r="C198" s="413"/>
      <c r="D198" s="95"/>
      <c r="E198" s="96"/>
      <c r="F198" s="96"/>
      <c r="G198" s="96"/>
      <c r="H198" s="96"/>
      <c r="I198" s="97"/>
      <c r="J198" s="98"/>
      <c r="K198" s="98"/>
      <c r="L198" s="99"/>
      <c r="M198" s="72"/>
      <c r="N198" s="100"/>
      <c r="O198" s="101"/>
      <c r="P198" s="377"/>
      <c r="Q198" s="75"/>
      <c r="R198" s="76"/>
      <c r="S198" s="72"/>
      <c r="T198" s="60"/>
      <c r="U198" s="60"/>
      <c r="V198" s="60"/>
      <c r="W198" s="102"/>
      <c r="X198" s="102"/>
      <c r="Y198" s="102"/>
      <c r="Z198" s="102"/>
      <c r="AA198" s="102"/>
      <c r="AB198" s="102"/>
      <c r="AC198" s="102"/>
      <c r="AD198" s="102"/>
      <c r="AE198" s="102"/>
      <c r="AF198" s="102"/>
      <c r="AG198" s="102"/>
      <c r="AH198" s="102"/>
      <c r="AI198" s="369"/>
      <c r="AJ198" s="369"/>
      <c r="AK198" s="369"/>
      <c r="AL198" s="369"/>
      <c r="AM198" s="96"/>
    </row>
    <row r="199" spans="1:39" s="103" customFormat="1" ht="65.099999999999994" customHeight="1" x14ac:dyDescent="0.25">
      <c r="A199" s="94"/>
      <c r="B199" s="94"/>
      <c r="C199" s="413"/>
      <c r="D199" s="95"/>
      <c r="E199" s="96"/>
      <c r="F199" s="96"/>
      <c r="G199" s="96"/>
      <c r="H199" s="96"/>
      <c r="I199" s="97"/>
      <c r="J199" s="98"/>
      <c r="K199" s="98"/>
      <c r="L199" s="99"/>
      <c r="M199" s="72"/>
      <c r="N199" s="100"/>
      <c r="O199" s="101"/>
      <c r="P199" s="377"/>
      <c r="Q199" s="75"/>
      <c r="R199" s="76"/>
      <c r="S199" s="72"/>
      <c r="T199" s="60"/>
      <c r="U199" s="60"/>
      <c r="V199" s="60"/>
      <c r="W199" s="102"/>
      <c r="X199" s="102"/>
      <c r="Y199" s="102"/>
      <c r="Z199" s="102"/>
      <c r="AA199" s="102"/>
      <c r="AB199" s="102"/>
      <c r="AC199" s="102"/>
      <c r="AD199" s="102"/>
      <c r="AE199" s="102"/>
      <c r="AF199" s="102"/>
      <c r="AG199" s="102"/>
      <c r="AH199" s="102"/>
      <c r="AI199" s="369"/>
      <c r="AJ199" s="369"/>
      <c r="AK199" s="369"/>
      <c r="AL199" s="369"/>
      <c r="AM199" s="96"/>
    </row>
    <row r="200" spans="1:39" s="103" customFormat="1" ht="65.099999999999994" customHeight="1" x14ac:dyDescent="0.25">
      <c r="A200" s="94"/>
      <c r="B200" s="94"/>
      <c r="C200" s="413"/>
      <c r="D200" s="95"/>
      <c r="E200" s="96"/>
      <c r="F200" s="96"/>
      <c r="G200" s="96"/>
      <c r="H200" s="96"/>
      <c r="I200" s="97"/>
      <c r="J200" s="98"/>
      <c r="K200" s="98"/>
      <c r="L200" s="99"/>
      <c r="M200" s="72"/>
      <c r="N200" s="100"/>
      <c r="O200" s="101"/>
      <c r="P200" s="377"/>
      <c r="Q200" s="75"/>
      <c r="R200" s="76"/>
      <c r="S200" s="72"/>
      <c r="T200" s="60"/>
      <c r="U200" s="60"/>
      <c r="V200" s="60"/>
      <c r="W200" s="102"/>
      <c r="X200" s="102"/>
      <c r="Y200" s="102"/>
      <c r="Z200" s="102"/>
      <c r="AA200" s="102"/>
      <c r="AB200" s="102"/>
      <c r="AC200" s="102"/>
      <c r="AD200" s="102"/>
      <c r="AE200" s="102"/>
      <c r="AF200" s="102"/>
      <c r="AG200" s="102"/>
      <c r="AH200" s="102"/>
      <c r="AI200" s="369"/>
      <c r="AJ200" s="369"/>
      <c r="AK200" s="369"/>
      <c r="AL200" s="369"/>
      <c r="AM200" s="96"/>
    </row>
    <row r="201" spans="1:39" s="103" customFormat="1" ht="65.099999999999994" customHeight="1" x14ac:dyDescent="0.25">
      <c r="A201" s="94"/>
      <c r="B201" s="94"/>
      <c r="C201" s="413"/>
      <c r="D201" s="95"/>
      <c r="E201" s="96"/>
      <c r="F201" s="96"/>
      <c r="G201" s="96"/>
      <c r="H201" s="96"/>
      <c r="I201" s="97"/>
      <c r="J201" s="98"/>
      <c r="K201" s="98"/>
      <c r="L201" s="99"/>
      <c r="M201" s="72"/>
      <c r="N201" s="100"/>
      <c r="O201" s="101"/>
      <c r="P201" s="377"/>
      <c r="Q201" s="75"/>
      <c r="R201" s="76"/>
      <c r="S201" s="72"/>
      <c r="T201" s="60"/>
      <c r="U201" s="60"/>
      <c r="V201" s="60"/>
      <c r="W201" s="102"/>
      <c r="X201" s="102"/>
      <c r="Y201" s="102"/>
      <c r="Z201" s="102"/>
      <c r="AA201" s="102"/>
      <c r="AB201" s="102"/>
      <c r="AC201" s="102"/>
      <c r="AD201" s="102"/>
      <c r="AE201" s="102"/>
      <c r="AF201" s="102"/>
      <c r="AG201" s="102"/>
      <c r="AH201" s="102"/>
      <c r="AI201" s="369"/>
      <c r="AJ201" s="369"/>
      <c r="AK201" s="369"/>
      <c r="AL201" s="369"/>
      <c r="AM201" s="96"/>
    </row>
    <row r="202" spans="1:39" s="103" customFormat="1" ht="65.099999999999994" customHeight="1" x14ac:dyDescent="0.25">
      <c r="A202" s="94"/>
      <c r="B202" s="94"/>
      <c r="C202" s="413"/>
      <c r="D202" s="95"/>
      <c r="E202" s="96"/>
      <c r="F202" s="96"/>
      <c r="G202" s="96"/>
      <c r="H202" s="96"/>
      <c r="I202" s="97"/>
      <c r="J202" s="98"/>
      <c r="K202" s="98"/>
      <c r="L202" s="99"/>
      <c r="M202" s="72"/>
      <c r="N202" s="100"/>
      <c r="O202" s="101"/>
      <c r="P202" s="377"/>
      <c r="Q202" s="75"/>
      <c r="R202" s="76"/>
      <c r="S202" s="72"/>
      <c r="T202" s="60"/>
      <c r="U202" s="60"/>
      <c r="V202" s="60"/>
      <c r="W202" s="102"/>
      <c r="X202" s="102"/>
      <c r="Y202" s="102"/>
      <c r="Z202" s="102"/>
      <c r="AA202" s="102"/>
      <c r="AB202" s="102"/>
      <c r="AC202" s="102"/>
      <c r="AD202" s="102"/>
      <c r="AE202" s="102"/>
      <c r="AF202" s="102"/>
      <c r="AG202" s="102"/>
      <c r="AH202" s="102"/>
      <c r="AI202" s="369"/>
      <c r="AJ202" s="369"/>
      <c r="AK202" s="369"/>
      <c r="AL202" s="369"/>
      <c r="AM202" s="96"/>
    </row>
    <row r="203" spans="1:39" s="103" customFormat="1" ht="65.099999999999994" customHeight="1" x14ac:dyDescent="0.25">
      <c r="A203" s="94"/>
      <c r="B203" s="94"/>
      <c r="C203" s="413"/>
      <c r="D203" s="95"/>
      <c r="E203" s="96"/>
      <c r="F203" s="96"/>
      <c r="G203" s="96"/>
      <c r="H203" s="96"/>
      <c r="I203" s="97"/>
      <c r="J203" s="98"/>
      <c r="K203" s="98"/>
      <c r="L203" s="99"/>
      <c r="M203" s="72"/>
      <c r="N203" s="100"/>
      <c r="O203" s="101"/>
      <c r="P203" s="377"/>
      <c r="Q203" s="75"/>
      <c r="R203" s="76"/>
      <c r="S203" s="72"/>
      <c r="T203" s="60"/>
      <c r="U203" s="60"/>
      <c r="V203" s="60"/>
      <c r="W203" s="102"/>
      <c r="X203" s="102"/>
      <c r="Y203" s="102"/>
      <c r="Z203" s="102"/>
      <c r="AA203" s="102"/>
      <c r="AB203" s="102"/>
      <c r="AC203" s="102"/>
      <c r="AD203" s="102"/>
      <c r="AE203" s="102"/>
      <c r="AF203" s="102"/>
      <c r="AG203" s="102"/>
      <c r="AH203" s="102"/>
      <c r="AI203" s="369"/>
      <c r="AJ203" s="369"/>
      <c r="AK203" s="369"/>
      <c r="AL203" s="369"/>
      <c r="AM203" s="96"/>
    </row>
    <row r="204" spans="1:39" s="103" customFormat="1" ht="65.099999999999994" customHeight="1" x14ac:dyDescent="0.25">
      <c r="A204" s="94"/>
      <c r="B204" s="94"/>
      <c r="C204" s="413"/>
      <c r="D204" s="95"/>
      <c r="E204" s="96"/>
      <c r="F204" s="96"/>
      <c r="G204" s="96"/>
      <c r="H204" s="96"/>
      <c r="I204" s="97"/>
      <c r="J204" s="98"/>
      <c r="K204" s="98"/>
      <c r="L204" s="99"/>
      <c r="M204" s="72"/>
      <c r="N204" s="100"/>
      <c r="O204" s="101"/>
      <c r="P204" s="377"/>
      <c r="Q204" s="75"/>
      <c r="R204" s="76"/>
      <c r="S204" s="72"/>
      <c r="T204" s="60"/>
      <c r="U204" s="60"/>
      <c r="V204" s="60"/>
      <c r="W204" s="102"/>
      <c r="X204" s="102"/>
      <c r="Y204" s="102"/>
      <c r="Z204" s="102"/>
      <c r="AA204" s="102"/>
      <c r="AB204" s="102"/>
      <c r="AC204" s="102"/>
      <c r="AD204" s="102"/>
      <c r="AE204" s="102"/>
      <c r="AF204" s="102"/>
      <c r="AG204" s="102"/>
      <c r="AH204" s="102"/>
      <c r="AI204" s="369"/>
      <c r="AJ204" s="369"/>
      <c r="AK204" s="369"/>
      <c r="AL204" s="369"/>
      <c r="AM204" s="96"/>
    </row>
    <row r="205" spans="1:39" s="103" customFormat="1" ht="65.099999999999994" customHeight="1" x14ac:dyDescent="0.25">
      <c r="A205" s="94"/>
      <c r="B205" s="94"/>
      <c r="C205" s="413"/>
      <c r="D205" s="95"/>
      <c r="E205" s="96"/>
      <c r="F205" s="96"/>
      <c r="G205" s="96"/>
      <c r="H205" s="96"/>
      <c r="I205" s="97"/>
      <c r="J205" s="98"/>
      <c r="K205" s="98"/>
      <c r="L205" s="99"/>
      <c r="M205" s="72"/>
      <c r="N205" s="100"/>
      <c r="O205" s="101"/>
      <c r="P205" s="377"/>
      <c r="Q205" s="75"/>
      <c r="R205" s="76"/>
      <c r="S205" s="72"/>
      <c r="T205" s="60"/>
      <c r="U205" s="60"/>
      <c r="V205" s="60"/>
      <c r="W205" s="102"/>
      <c r="X205" s="102"/>
      <c r="Y205" s="102"/>
      <c r="Z205" s="102"/>
      <c r="AA205" s="102"/>
      <c r="AB205" s="102"/>
      <c r="AC205" s="102"/>
      <c r="AD205" s="102"/>
      <c r="AE205" s="102"/>
      <c r="AF205" s="102"/>
      <c r="AG205" s="102"/>
      <c r="AH205" s="102"/>
      <c r="AI205" s="369"/>
      <c r="AJ205" s="369"/>
      <c r="AK205" s="369"/>
      <c r="AL205" s="369"/>
      <c r="AM205" s="96"/>
    </row>
    <row r="206" spans="1:39" s="103" customFormat="1" ht="65.099999999999994" customHeight="1" x14ac:dyDescent="0.25">
      <c r="A206" s="94"/>
      <c r="B206" s="94"/>
      <c r="C206" s="413"/>
      <c r="D206" s="95"/>
      <c r="E206" s="96"/>
      <c r="F206" s="96"/>
      <c r="G206" s="96"/>
      <c r="H206" s="96"/>
      <c r="I206" s="97"/>
      <c r="J206" s="98"/>
      <c r="K206" s="98"/>
      <c r="L206" s="99"/>
      <c r="M206" s="72"/>
      <c r="N206" s="100"/>
      <c r="O206" s="101"/>
      <c r="P206" s="377"/>
      <c r="Q206" s="75"/>
      <c r="R206" s="76"/>
      <c r="S206" s="72"/>
      <c r="T206" s="60"/>
      <c r="U206" s="60"/>
      <c r="V206" s="60"/>
      <c r="W206" s="102"/>
      <c r="X206" s="102"/>
      <c r="Y206" s="102"/>
      <c r="Z206" s="102"/>
      <c r="AA206" s="102"/>
      <c r="AB206" s="102"/>
      <c r="AC206" s="102"/>
      <c r="AD206" s="102"/>
      <c r="AE206" s="102"/>
      <c r="AF206" s="102"/>
      <c r="AG206" s="102"/>
      <c r="AH206" s="102"/>
      <c r="AI206" s="369"/>
      <c r="AJ206" s="369"/>
      <c r="AK206" s="369"/>
      <c r="AL206" s="369"/>
      <c r="AM206" s="96"/>
    </row>
    <row r="207" spans="1:39" s="103" customFormat="1" ht="65.099999999999994" customHeight="1" x14ac:dyDescent="0.25">
      <c r="A207" s="94"/>
      <c r="B207" s="94"/>
      <c r="C207" s="413"/>
      <c r="D207" s="95"/>
      <c r="E207" s="96"/>
      <c r="F207" s="96"/>
      <c r="G207" s="96"/>
      <c r="H207" s="96"/>
      <c r="I207" s="97"/>
      <c r="J207" s="98"/>
      <c r="K207" s="98"/>
      <c r="L207" s="99"/>
      <c r="M207" s="72"/>
      <c r="N207" s="100"/>
      <c r="O207" s="101"/>
      <c r="P207" s="377"/>
      <c r="Q207" s="75"/>
      <c r="R207" s="76"/>
      <c r="S207" s="72"/>
      <c r="T207" s="60"/>
      <c r="U207" s="60"/>
      <c r="V207" s="60"/>
      <c r="W207" s="102"/>
      <c r="X207" s="102"/>
      <c r="Y207" s="102"/>
      <c r="Z207" s="102"/>
      <c r="AA207" s="102"/>
      <c r="AB207" s="102"/>
      <c r="AC207" s="102"/>
      <c r="AD207" s="102"/>
      <c r="AE207" s="102"/>
      <c r="AF207" s="102"/>
      <c r="AG207" s="102"/>
      <c r="AH207" s="102"/>
      <c r="AI207" s="369"/>
      <c r="AJ207" s="369"/>
      <c r="AK207" s="369"/>
      <c r="AL207" s="369"/>
      <c r="AM207" s="96"/>
    </row>
    <row r="208" spans="1:39" s="103" customFormat="1" ht="65.099999999999994" customHeight="1" x14ac:dyDescent="0.25">
      <c r="A208" s="94"/>
      <c r="B208" s="94"/>
      <c r="C208" s="413"/>
      <c r="D208" s="95"/>
      <c r="E208" s="96"/>
      <c r="F208" s="96"/>
      <c r="G208" s="96"/>
      <c r="H208" s="96"/>
      <c r="I208" s="97"/>
      <c r="J208" s="98"/>
      <c r="K208" s="98"/>
      <c r="L208" s="99"/>
      <c r="M208" s="72"/>
      <c r="N208" s="100"/>
      <c r="O208" s="101"/>
      <c r="P208" s="377"/>
      <c r="Q208" s="75"/>
      <c r="R208" s="76"/>
      <c r="S208" s="72"/>
      <c r="T208" s="60"/>
      <c r="U208" s="60"/>
      <c r="V208" s="60"/>
      <c r="W208" s="102"/>
      <c r="X208" s="102"/>
      <c r="Y208" s="102"/>
      <c r="Z208" s="102"/>
      <c r="AA208" s="102"/>
      <c r="AB208" s="102"/>
      <c r="AC208" s="102"/>
      <c r="AD208" s="102"/>
      <c r="AE208" s="102"/>
      <c r="AF208" s="102"/>
      <c r="AG208" s="102"/>
      <c r="AH208" s="102"/>
      <c r="AI208" s="369"/>
      <c r="AJ208" s="369"/>
      <c r="AK208" s="369"/>
      <c r="AL208" s="369"/>
      <c r="AM208" s="96"/>
    </row>
    <row r="209" spans="1:39" s="103" customFormat="1" ht="65.099999999999994" customHeight="1" x14ac:dyDescent="0.25">
      <c r="A209" s="94"/>
      <c r="B209" s="94"/>
      <c r="C209" s="413"/>
      <c r="D209" s="95"/>
      <c r="E209" s="96"/>
      <c r="F209" s="96"/>
      <c r="G209" s="96"/>
      <c r="H209" s="96"/>
      <c r="I209" s="97"/>
      <c r="J209" s="98"/>
      <c r="K209" s="98"/>
      <c r="L209" s="99"/>
      <c r="M209" s="72"/>
      <c r="N209" s="100"/>
      <c r="O209" s="101"/>
      <c r="P209" s="377"/>
      <c r="Q209" s="75"/>
      <c r="R209" s="76"/>
      <c r="S209" s="72"/>
      <c r="T209" s="60"/>
      <c r="U209" s="60"/>
      <c r="V209" s="60"/>
      <c r="W209" s="102"/>
      <c r="X209" s="102"/>
      <c r="Y209" s="102"/>
      <c r="Z209" s="102"/>
      <c r="AA209" s="102"/>
      <c r="AB209" s="102"/>
      <c r="AC209" s="102"/>
      <c r="AD209" s="102"/>
      <c r="AE209" s="102"/>
      <c r="AF209" s="102"/>
      <c r="AG209" s="102"/>
      <c r="AH209" s="102"/>
      <c r="AI209" s="369"/>
      <c r="AJ209" s="369"/>
      <c r="AK209" s="369"/>
      <c r="AL209" s="369"/>
      <c r="AM209" s="96"/>
    </row>
    <row r="210" spans="1:39" s="103" customFormat="1" ht="65.099999999999994" customHeight="1" x14ac:dyDescent="0.25">
      <c r="A210" s="94"/>
      <c r="B210" s="94"/>
      <c r="C210" s="413"/>
      <c r="D210" s="95"/>
      <c r="E210" s="96"/>
      <c r="F210" s="96"/>
      <c r="G210" s="96"/>
      <c r="H210" s="96"/>
      <c r="I210" s="97"/>
      <c r="J210" s="98"/>
      <c r="K210" s="98"/>
      <c r="L210" s="99"/>
      <c r="M210" s="72"/>
      <c r="N210" s="100"/>
      <c r="O210" s="101"/>
      <c r="P210" s="377"/>
      <c r="Q210" s="75"/>
      <c r="R210" s="76"/>
      <c r="S210" s="72"/>
      <c r="T210" s="60"/>
      <c r="U210" s="60"/>
      <c r="V210" s="60"/>
      <c r="W210" s="102"/>
      <c r="X210" s="102"/>
      <c r="Y210" s="102"/>
      <c r="Z210" s="102"/>
      <c r="AA210" s="102"/>
      <c r="AB210" s="102"/>
      <c r="AC210" s="102"/>
      <c r="AD210" s="102"/>
      <c r="AE210" s="102"/>
      <c r="AF210" s="102"/>
      <c r="AG210" s="102"/>
      <c r="AH210" s="102"/>
      <c r="AI210" s="369"/>
      <c r="AJ210" s="369"/>
      <c r="AK210" s="369"/>
      <c r="AL210" s="369"/>
      <c r="AM210" s="96"/>
    </row>
    <row r="211" spans="1:39" s="103" customFormat="1" ht="65.099999999999994" customHeight="1" x14ac:dyDescent="0.25">
      <c r="A211" s="94"/>
      <c r="B211" s="94"/>
      <c r="C211" s="413"/>
      <c r="D211" s="95"/>
      <c r="E211" s="96"/>
      <c r="F211" s="96"/>
      <c r="G211" s="96"/>
      <c r="H211" s="96"/>
      <c r="I211" s="97"/>
      <c r="J211" s="98"/>
      <c r="K211" s="98"/>
      <c r="L211" s="99"/>
      <c r="M211" s="72"/>
      <c r="N211" s="100"/>
      <c r="O211" s="101"/>
      <c r="P211" s="377"/>
      <c r="Q211" s="75"/>
      <c r="R211" s="76"/>
      <c r="S211" s="72"/>
      <c r="T211" s="60"/>
      <c r="U211" s="60"/>
      <c r="V211" s="60"/>
      <c r="W211" s="102"/>
      <c r="X211" s="102"/>
      <c r="Y211" s="102"/>
      <c r="Z211" s="102"/>
      <c r="AA211" s="102"/>
      <c r="AB211" s="102"/>
      <c r="AC211" s="102"/>
      <c r="AD211" s="102"/>
      <c r="AE211" s="102"/>
      <c r="AF211" s="102"/>
      <c r="AG211" s="102"/>
      <c r="AH211" s="102"/>
      <c r="AI211" s="369"/>
      <c r="AJ211" s="369"/>
      <c r="AK211" s="369"/>
      <c r="AL211" s="369"/>
      <c r="AM211" s="96"/>
    </row>
    <row r="212" spans="1:39" s="103" customFormat="1" ht="65.099999999999994" customHeight="1" x14ac:dyDescent="0.25">
      <c r="A212" s="94"/>
      <c r="B212" s="94"/>
      <c r="C212" s="413"/>
      <c r="D212" s="95"/>
      <c r="E212" s="96"/>
      <c r="F212" s="96"/>
      <c r="G212" s="96"/>
      <c r="H212" s="96"/>
      <c r="I212" s="97"/>
      <c r="J212" s="98"/>
      <c r="K212" s="98"/>
      <c r="L212" s="99"/>
      <c r="M212" s="72"/>
      <c r="N212" s="100"/>
      <c r="O212" s="101"/>
      <c r="P212" s="377"/>
      <c r="Q212" s="75"/>
      <c r="R212" s="76"/>
      <c r="S212" s="72"/>
      <c r="T212" s="60"/>
      <c r="U212" s="60"/>
      <c r="V212" s="60"/>
      <c r="W212" s="102"/>
      <c r="X212" s="102"/>
      <c r="Y212" s="102"/>
      <c r="Z212" s="102"/>
      <c r="AA212" s="102"/>
      <c r="AB212" s="102"/>
      <c r="AC212" s="102"/>
      <c r="AD212" s="102"/>
      <c r="AE212" s="102"/>
      <c r="AF212" s="102"/>
      <c r="AG212" s="102"/>
      <c r="AH212" s="102"/>
      <c r="AI212" s="369"/>
      <c r="AJ212" s="369"/>
      <c r="AK212" s="369"/>
      <c r="AL212" s="369"/>
      <c r="AM212" s="96"/>
    </row>
    <row r="213" spans="1:39" s="103" customFormat="1" ht="65.099999999999994" customHeight="1" x14ac:dyDescent="0.25">
      <c r="A213" s="94"/>
      <c r="B213" s="94"/>
      <c r="C213" s="413"/>
      <c r="D213" s="95"/>
      <c r="E213" s="96"/>
      <c r="F213" s="96"/>
      <c r="G213" s="96"/>
      <c r="H213" s="96"/>
      <c r="I213" s="97"/>
      <c r="J213" s="98"/>
      <c r="K213" s="98"/>
      <c r="L213" s="99"/>
      <c r="M213" s="72"/>
      <c r="N213" s="100"/>
      <c r="O213" s="101"/>
      <c r="P213" s="377"/>
      <c r="Q213" s="75"/>
      <c r="R213" s="76"/>
      <c r="S213" s="72"/>
      <c r="T213" s="60"/>
      <c r="U213" s="60"/>
      <c r="V213" s="60"/>
      <c r="W213" s="102"/>
      <c r="X213" s="102"/>
      <c r="Y213" s="102"/>
      <c r="Z213" s="102"/>
      <c r="AA213" s="102"/>
      <c r="AB213" s="102"/>
      <c r="AC213" s="102"/>
      <c r="AD213" s="102"/>
      <c r="AE213" s="102"/>
      <c r="AF213" s="102"/>
      <c r="AG213" s="102"/>
      <c r="AH213" s="102"/>
      <c r="AI213" s="369"/>
      <c r="AJ213" s="369"/>
      <c r="AK213" s="369"/>
      <c r="AL213" s="369"/>
      <c r="AM213" s="96"/>
    </row>
    <row r="214" spans="1:39" s="103" customFormat="1" ht="65.099999999999994" customHeight="1" x14ac:dyDescent="0.25">
      <c r="A214" s="94"/>
      <c r="B214" s="94"/>
      <c r="C214" s="413"/>
      <c r="D214" s="95"/>
      <c r="E214" s="96"/>
      <c r="F214" s="96"/>
      <c r="G214" s="96"/>
      <c r="H214" s="96"/>
      <c r="I214" s="97"/>
      <c r="J214" s="98"/>
      <c r="K214" s="98"/>
      <c r="L214" s="99"/>
      <c r="M214" s="72"/>
      <c r="N214" s="100"/>
      <c r="O214" s="101"/>
      <c r="P214" s="377"/>
      <c r="Q214" s="75"/>
      <c r="R214" s="76"/>
      <c r="S214" s="72"/>
      <c r="T214" s="60"/>
      <c r="U214" s="60"/>
      <c r="V214" s="60"/>
      <c r="W214" s="102"/>
      <c r="X214" s="102"/>
      <c r="Y214" s="102"/>
      <c r="Z214" s="102"/>
      <c r="AA214" s="102"/>
      <c r="AB214" s="102"/>
      <c r="AC214" s="102"/>
      <c r="AD214" s="102"/>
      <c r="AE214" s="102"/>
      <c r="AF214" s="102"/>
      <c r="AG214" s="102"/>
      <c r="AH214" s="102"/>
      <c r="AI214" s="369"/>
      <c r="AJ214" s="369"/>
      <c r="AK214" s="369"/>
      <c r="AL214" s="369"/>
      <c r="AM214" s="96"/>
    </row>
    <row r="215" spans="1:39" s="103" customFormat="1" ht="65.099999999999994" customHeight="1" x14ac:dyDescent="0.25">
      <c r="A215" s="94"/>
      <c r="B215" s="94"/>
      <c r="C215" s="413"/>
      <c r="D215" s="95"/>
      <c r="E215" s="96"/>
      <c r="F215" s="96"/>
      <c r="G215" s="96"/>
      <c r="H215" s="96"/>
      <c r="I215" s="97"/>
      <c r="J215" s="98"/>
      <c r="K215" s="98"/>
      <c r="L215" s="99"/>
      <c r="M215" s="72"/>
      <c r="N215" s="100"/>
      <c r="O215" s="101"/>
      <c r="P215" s="377"/>
      <c r="Q215" s="75"/>
      <c r="R215" s="76"/>
      <c r="S215" s="72"/>
      <c r="T215" s="60"/>
      <c r="U215" s="60"/>
      <c r="V215" s="60"/>
      <c r="W215" s="102"/>
      <c r="X215" s="102"/>
      <c r="Y215" s="102"/>
      <c r="Z215" s="102"/>
      <c r="AA215" s="102"/>
      <c r="AB215" s="102"/>
      <c r="AC215" s="102"/>
      <c r="AD215" s="102"/>
      <c r="AE215" s="102"/>
      <c r="AF215" s="102"/>
      <c r="AG215" s="102"/>
      <c r="AH215" s="102"/>
      <c r="AI215" s="369"/>
      <c r="AJ215" s="369"/>
      <c r="AK215" s="369"/>
      <c r="AL215" s="369"/>
      <c r="AM215" s="96"/>
    </row>
    <row r="216" spans="1:39" s="103" customFormat="1" ht="65.099999999999994" customHeight="1" x14ac:dyDescent="0.25">
      <c r="A216" s="94"/>
      <c r="B216" s="94"/>
      <c r="C216" s="413"/>
      <c r="D216" s="95"/>
      <c r="E216" s="96"/>
      <c r="F216" s="96"/>
      <c r="G216" s="96"/>
      <c r="H216" s="96"/>
      <c r="I216" s="97"/>
      <c r="J216" s="98"/>
      <c r="K216" s="98"/>
      <c r="L216" s="99"/>
      <c r="M216" s="72"/>
      <c r="N216" s="100"/>
      <c r="O216" s="101"/>
      <c r="P216" s="377"/>
      <c r="Q216" s="75"/>
      <c r="R216" s="76"/>
      <c r="S216" s="72"/>
      <c r="T216" s="60"/>
      <c r="U216" s="60"/>
      <c r="V216" s="60"/>
      <c r="W216" s="102"/>
      <c r="X216" s="102"/>
      <c r="Y216" s="102"/>
      <c r="Z216" s="102"/>
      <c r="AA216" s="102"/>
      <c r="AB216" s="102"/>
      <c r="AC216" s="102"/>
      <c r="AD216" s="102"/>
      <c r="AE216" s="102"/>
      <c r="AF216" s="102"/>
      <c r="AG216" s="102"/>
      <c r="AH216" s="102"/>
      <c r="AI216" s="369"/>
      <c r="AJ216" s="369"/>
      <c r="AK216" s="369"/>
      <c r="AL216" s="369"/>
      <c r="AM216" s="96"/>
    </row>
    <row r="217" spans="1:39" s="103" customFormat="1" ht="65.099999999999994" customHeight="1" x14ac:dyDescent="0.25">
      <c r="A217" s="94"/>
      <c r="B217" s="94"/>
      <c r="C217" s="413"/>
      <c r="D217" s="95"/>
      <c r="E217" s="96"/>
      <c r="F217" s="96"/>
      <c r="G217" s="96"/>
      <c r="H217" s="96"/>
      <c r="I217" s="97"/>
      <c r="J217" s="98"/>
      <c r="K217" s="98"/>
      <c r="L217" s="99"/>
      <c r="M217" s="72"/>
      <c r="N217" s="100"/>
      <c r="O217" s="101"/>
      <c r="P217" s="377"/>
      <c r="Q217" s="75"/>
      <c r="R217" s="76"/>
      <c r="S217" s="72"/>
      <c r="T217" s="60"/>
      <c r="U217" s="60"/>
      <c r="V217" s="60"/>
      <c r="W217" s="102"/>
      <c r="X217" s="102"/>
      <c r="Y217" s="102"/>
      <c r="Z217" s="102"/>
      <c r="AA217" s="102"/>
      <c r="AB217" s="102"/>
      <c r="AC217" s="102"/>
      <c r="AD217" s="102"/>
      <c r="AE217" s="102"/>
      <c r="AF217" s="102"/>
      <c r="AG217" s="102"/>
      <c r="AH217" s="102"/>
      <c r="AI217" s="369"/>
      <c r="AJ217" s="369"/>
      <c r="AK217" s="369"/>
      <c r="AL217" s="369"/>
      <c r="AM217" s="96"/>
    </row>
    <row r="218" spans="1:39" s="103" customFormat="1" ht="65.099999999999994" customHeight="1" x14ac:dyDescent="0.25">
      <c r="A218" s="94"/>
      <c r="B218" s="94"/>
      <c r="C218" s="413"/>
      <c r="D218" s="95"/>
      <c r="E218" s="96"/>
      <c r="F218" s="96"/>
      <c r="G218" s="96"/>
      <c r="H218" s="96"/>
      <c r="I218" s="97"/>
      <c r="J218" s="98"/>
      <c r="K218" s="98"/>
      <c r="L218" s="99"/>
      <c r="M218" s="72"/>
      <c r="N218" s="100"/>
      <c r="O218" s="101"/>
      <c r="P218" s="377"/>
      <c r="Q218" s="75"/>
      <c r="R218" s="76"/>
      <c r="S218" s="72"/>
      <c r="T218" s="60"/>
      <c r="U218" s="60"/>
      <c r="V218" s="60"/>
      <c r="W218" s="102"/>
      <c r="X218" s="102"/>
      <c r="Y218" s="102"/>
      <c r="Z218" s="102"/>
      <c r="AA218" s="102"/>
      <c r="AB218" s="102"/>
      <c r="AC218" s="102"/>
      <c r="AD218" s="102"/>
      <c r="AE218" s="102"/>
      <c r="AF218" s="102"/>
      <c r="AG218" s="102"/>
      <c r="AH218" s="102"/>
      <c r="AI218" s="369"/>
      <c r="AJ218" s="369"/>
      <c r="AK218" s="369"/>
      <c r="AL218" s="369"/>
      <c r="AM218" s="96"/>
    </row>
    <row r="219" spans="1:39" s="103" customFormat="1" ht="65.099999999999994" customHeight="1" x14ac:dyDescent="0.25">
      <c r="A219" s="94"/>
      <c r="B219" s="94"/>
      <c r="C219" s="413"/>
      <c r="D219" s="95"/>
      <c r="E219" s="96"/>
      <c r="F219" s="96"/>
      <c r="G219" s="96"/>
      <c r="H219" s="96"/>
      <c r="I219" s="97"/>
      <c r="J219" s="98"/>
      <c r="K219" s="98"/>
      <c r="L219" s="99"/>
      <c r="M219" s="72"/>
      <c r="N219" s="100"/>
      <c r="O219" s="101"/>
      <c r="P219" s="377"/>
      <c r="Q219" s="75"/>
      <c r="R219" s="76"/>
      <c r="S219" s="72"/>
      <c r="T219" s="60"/>
      <c r="U219" s="60"/>
      <c r="V219" s="60"/>
      <c r="W219" s="102"/>
      <c r="X219" s="102"/>
      <c r="Y219" s="102"/>
      <c r="Z219" s="102"/>
      <c r="AA219" s="102"/>
      <c r="AB219" s="102"/>
      <c r="AC219" s="102"/>
      <c r="AD219" s="102"/>
      <c r="AE219" s="102"/>
      <c r="AF219" s="102"/>
      <c r="AG219" s="102"/>
      <c r="AH219" s="102"/>
      <c r="AI219" s="369"/>
      <c r="AJ219" s="369"/>
      <c r="AK219" s="369"/>
      <c r="AL219" s="369"/>
      <c r="AM219" s="96"/>
    </row>
  </sheetData>
  <autoFilter ref="A1:AM21">
    <filterColumn colId="22" showButton="0"/>
    <filterColumn colId="23" showButton="0"/>
    <filterColumn colId="25" showButton="0"/>
    <filterColumn colId="26" showButton="0"/>
    <filterColumn colId="28" showButton="0"/>
    <filterColumn colId="29" showButton="0"/>
  </autoFilter>
  <mergeCells count="362">
    <mergeCell ref="B1:B2"/>
    <mergeCell ref="C1:C2"/>
    <mergeCell ref="D1:D2"/>
    <mergeCell ref="E1:E2"/>
    <mergeCell ref="F1:F2"/>
    <mergeCell ref="O1:O2"/>
    <mergeCell ref="P1:P2"/>
    <mergeCell ref="Q1:Q2"/>
    <mergeCell ref="G1:G2"/>
    <mergeCell ref="H1:H2"/>
    <mergeCell ref="I1:I2"/>
    <mergeCell ref="J1:J2"/>
    <mergeCell ref="K1:K2"/>
    <mergeCell ref="L1:L2"/>
    <mergeCell ref="N1:N2"/>
    <mergeCell ref="AM1:AM2"/>
    <mergeCell ref="A3:A8"/>
    <mergeCell ref="W3:Y3"/>
    <mergeCell ref="Z3:AB3"/>
    <mergeCell ref="AC3:AE3"/>
    <mergeCell ref="AF3:AH3"/>
    <mergeCell ref="AJ3:AJ8"/>
    <mergeCell ref="AK3:AK8"/>
    <mergeCell ref="W4:Y4"/>
    <mergeCell ref="Z4:AB4"/>
    <mergeCell ref="AC1:AE1"/>
    <mergeCell ref="AF1:AH1"/>
    <mergeCell ref="AI1:AI2"/>
    <mergeCell ref="AJ1:AJ2"/>
    <mergeCell ref="AK1:AK2"/>
    <mergeCell ref="AL1:AL2"/>
    <mergeCell ref="S1:S2"/>
    <mergeCell ref="A1:A2"/>
    <mergeCell ref="T1:T2"/>
    <mergeCell ref="U1:U2"/>
    <mergeCell ref="V1:V2"/>
    <mergeCell ref="W1:Y1"/>
    <mergeCell ref="Z1:AB1"/>
    <mergeCell ref="M1:M2"/>
    <mergeCell ref="W6:Y6"/>
    <mergeCell ref="Z6:AB6"/>
    <mergeCell ref="R1:R2"/>
    <mergeCell ref="AC6:AE6"/>
    <mergeCell ref="AF6:AH6"/>
    <mergeCell ref="W7:Y7"/>
    <mergeCell ref="Z7:AB7"/>
    <mergeCell ref="AC7:AE7"/>
    <mergeCell ref="AF7:AH7"/>
    <mergeCell ref="AC4:AE4"/>
    <mergeCell ref="AF4:AH4"/>
    <mergeCell ref="W5:Y5"/>
    <mergeCell ref="Z5:AB5"/>
    <mergeCell ref="AC5:AE5"/>
    <mergeCell ref="AF5:AH5"/>
    <mergeCell ref="W8:Y8"/>
    <mergeCell ref="Z8:AB8"/>
    <mergeCell ref="AC8:AE8"/>
    <mergeCell ref="AF8:AH8"/>
    <mergeCell ref="A9:A12"/>
    <mergeCell ref="W9:Y9"/>
    <mergeCell ref="Z9:AB9"/>
    <mergeCell ref="AC9:AE9"/>
    <mergeCell ref="AF9:AH9"/>
    <mergeCell ref="W12:Y12"/>
    <mergeCell ref="AJ9:AJ12"/>
    <mergeCell ref="AK9:AK12"/>
    <mergeCell ref="W10:Y10"/>
    <mergeCell ref="Z10:AB10"/>
    <mergeCell ref="AC10:AE10"/>
    <mergeCell ref="AF10:AH10"/>
    <mergeCell ref="W11:Y11"/>
    <mergeCell ref="Z11:AB11"/>
    <mergeCell ref="AC11:AE11"/>
    <mergeCell ref="AF11:AH11"/>
    <mergeCell ref="Z12:AB12"/>
    <mergeCell ref="AC12:AE12"/>
    <mergeCell ref="AF12:AH12"/>
    <mergeCell ref="A13:A18"/>
    <mergeCell ref="W13:Y13"/>
    <mergeCell ref="Z13:AB13"/>
    <mergeCell ref="AC13:AE13"/>
    <mergeCell ref="AF13:AH13"/>
    <mergeCell ref="W16:Y16"/>
    <mergeCell ref="Z16:AB16"/>
    <mergeCell ref="AC16:AE16"/>
    <mergeCell ref="AF16:AH16"/>
    <mergeCell ref="W17:Y17"/>
    <mergeCell ref="Z17:AB17"/>
    <mergeCell ref="AC17:AE17"/>
    <mergeCell ref="AF17:AH17"/>
    <mergeCell ref="AJ13:AJ18"/>
    <mergeCell ref="AK13:AK18"/>
    <mergeCell ref="W14:Y14"/>
    <mergeCell ref="Z14:AB14"/>
    <mergeCell ref="AC14:AE14"/>
    <mergeCell ref="AF14:AH14"/>
    <mergeCell ref="W15:Y15"/>
    <mergeCell ref="Z15:AB15"/>
    <mergeCell ref="AC15:AE15"/>
    <mergeCell ref="AF15:AH15"/>
    <mergeCell ref="W18:Y18"/>
    <mergeCell ref="Z18:AB18"/>
    <mergeCell ref="AC18:AE18"/>
    <mergeCell ref="AF18:AH18"/>
    <mergeCell ref="A19:A23"/>
    <mergeCell ref="W19:Y19"/>
    <mergeCell ref="Z19:AB19"/>
    <mergeCell ref="AC19:AE19"/>
    <mergeCell ref="AF19:AH19"/>
    <mergeCell ref="W22:Y22"/>
    <mergeCell ref="Z22:AB22"/>
    <mergeCell ref="AC22:AE22"/>
    <mergeCell ref="AF22:AH22"/>
    <mergeCell ref="W23:Y23"/>
    <mergeCell ref="Z23:AB23"/>
    <mergeCell ref="AC23:AE23"/>
    <mergeCell ref="AF23:AH23"/>
    <mergeCell ref="AJ19:AJ23"/>
    <mergeCell ref="AK19:AK23"/>
    <mergeCell ref="W20:Y20"/>
    <mergeCell ref="Z20:AB20"/>
    <mergeCell ref="AC20:AE20"/>
    <mergeCell ref="AF20:AH20"/>
    <mergeCell ref="W21:Y21"/>
    <mergeCell ref="Z21:AB21"/>
    <mergeCell ref="AC21:AE21"/>
    <mergeCell ref="AF21:AH21"/>
    <mergeCell ref="A24:A29"/>
    <mergeCell ref="W24:Y24"/>
    <mergeCell ref="Z24:AB24"/>
    <mergeCell ref="AC24:AE24"/>
    <mergeCell ref="AF24:AH24"/>
    <mergeCell ref="AJ24:AJ29"/>
    <mergeCell ref="Z27:AB27"/>
    <mergeCell ref="AC27:AE27"/>
    <mergeCell ref="AF27:AH27"/>
    <mergeCell ref="W28:Y28"/>
    <mergeCell ref="Z28:AB28"/>
    <mergeCell ref="AC28:AE28"/>
    <mergeCell ref="AF28:AH28"/>
    <mergeCell ref="W29:Y29"/>
    <mergeCell ref="Z29:AB29"/>
    <mergeCell ref="AC29:AE29"/>
    <mergeCell ref="AF29:AH29"/>
    <mergeCell ref="AK24:AK29"/>
    <mergeCell ref="W25:Y25"/>
    <mergeCell ref="Z25:AB25"/>
    <mergeCell ref="AC25:AE25"/>
    <mergeCell ref="AF25:AH25"/>
    <mergeCell ref="W26:Y26"/>
    <mergeCell ref="Z26:AB26"/>
    <mergeCell ref="AC26:AE26"/>
    <mergeCell ref="AF26:AH26"/>
    <mergeCell ref="W27:Y27"/>
    <mergeCell ref="A30:A33"/>
    <mergeCell ref="W30:Y30"/>
    <mergeCell ref="Z30:AB30"/>
    <mergeCell ref="AC30:AE30"/>
    <mergeCell ref="AF30:AH30"/>
    <mergeCell ref="AJ30:AJ33"/>
    <mergeCell ref="Z33:AB33"/>
    <mergeCell ref="AC33:AE33"/>
    <mergeCell ref="AF33:AH33"/>
    <mergeCell ref="AK30:AK33"/>
    <mergeCell ref="W31:Y31"/>
    <mergeCell ref="Z31:AB31"/>
    <mergeCell ref="AC31:AE31"/>
    <mergeCell ref="AF31:AH31"/>
    <mergeCell ref="W32:Y32"/>
    <mergeCell ref="Z32:AB32"/>
    <mergeCell ref="AC32:AE32"/>
    <mergeCell ref="AF32:AH32"/>
    <mergeCell ref="W33:Y33"/>
    <mergeCell ref="A34:A39"/>
    <mergeCell ref="W34:Y34"/>
    <mergeCell ref="Z34:AB34"/>
    <mergeCell ref="AC34:AE34"/>
    <mergeCell ref="AF34:AH34"/>
    <mergeCell ref="AJ34:AJ39"/>
    <mergeCell ref="Z37:AB37"/>
    <mergeCell ref="AC37:AE37"/>
    <mergeCell ref="AF37:AH37"/>
    <mergeCell ref="W38:Y38"/>
    <mergeCell ref="Z38:AB38"/>
    <mergeCell ref="AC38:AE38"/>
    <mergeCell ref="AF38:AH38"/>
    <mergeCell ref="W39:Y39"/>
    <mergeCell ref="Z39:AB39"/>
    <mergeCell ref="AC39:AE39"/>
    <mergeCell ref="AF39:AH39"/>
    <mergeCell ref="AK34:AK39"/>
    <mergeCell ref="W35:Y35"/>
    <mergeCell ref="Z35:AB35"/>
    <mergeCell ref="AC35:AE35"/>
    <mergeCell ref="AF35:AH35"/>
    <mergeCell ref="W36:Y36"/>
    <mergeCell ref="Z36:AB36"/>
    <mergeCell ref="AC36:AE36"/>
    <mergeCell ref="AF36:AH36"/>
    <mergeCell ref="W37:Y37"/>
    <mergeCell ref="A40:A45"/>
    <mergeCell ref="W40:Y40"/>
    <mergeCell ref="Z40:AB40"/>
    <mergeCell ref="AC40:AE40"/>
    <mergeCell ref="AF40:AH40"/>
    <mergeCell ref="AJ40:AJ45"/>
    <mergeCell ref="Z43:AB43"/>
    <mergeCell ref="AC43:AE43"/>
    <mergeCell ref="AF43:AH43"/>
    <mergeCell ref="W44:Y44"/>
    <mergeCell ref="Z44:AB44"/>
    <mergeCell ref="AC44:AE44"/>
    <mergeCell ref="AF44:AH44"/>
    <mergeCell ref="W45:Y45"/>
    <mergeCell ref="Z45:AB45"/>
    <mergeCell ref="AC45:AE45"/>
    <mergeCell ref="AF45:AH45"/>
    <mergeCell ref="AK40:AK45"/>
    <mergeCell ref="W41:Y41"/>
    <mergeCell ref="Z41:AB41"/>
    <mergeCell ref="AC41:AE41"/>
    <mergeCell ref="AF41:AH41"/>
    <mergeCell ref="W42:Y42"/>
    <mergeCell ref="Z42:AB42"/>
    <mergeCell ref="AC42:AE42"/>
    <mergeCell ref="AF42:AH42"/>
    <mergeCell ref="W43:Y43"/>
    <mergeCell ref="A46:A51"/>
    <mergeCell ref="W46:Y46"/>
    <mergeCell ref="Z46:AB46"/>
    <mergeCell ref="AC46:AE46"/>
    <mergeCell ref="AF46:AH46"/>
    <mergeCell ref="AJ46:AJ51"/>
    <mergeCell ref="Z49:AB49"/>
    <mergeCell ref="AC49:AE49"/>
    <mergeCell ref="AF49:AH49"/>
    <mergeCell ref="W50:Y50"/>
    <mergeCell ref="Z50:AB50"/>
    <mergeCell ref="AC50:AE50"/>
    <mergeCell ref="AF50:AH50"/>
    <mergeCell ref="W51:Y51"/>
    <mergeCell ref="Z51:AB51"/>
    <mergeCell ref="AC51:AE51"/>
    <mergeCell ref="AF51:AH51"/>
    <mergeCell ref="AK46:AK51"/>
    <mergeCell ref="W47:Y47"/>
    <mergeCell ref="Z47:AB47"/>
    <mergeCell ref="AC47:AE47"/>
    <mergeCell ref="AF47:AH47"/>
    <mergeCell ref="W48:Y48"/>
    <mergeCell ref="Z48:AB48"/>
    <mergeCell ref="AC48:AE48"/>
    <mergeCell ref="AF48:AH48"/>
    <mergeCell ref="W49:Y49"/>
    <mergeCell ref="A52:A57"/>
    <mergeCell ref="W52:Y52"/>
    <mergeCell ref="Z52:AB52"/>
    <mergeCell ref="AC52:AE52"/>
    <mergeCell ref="AF52:AH52"/>
    <mergeCell ref="AJ52:AJ57"/>
    <mergeCell ref="Z55:AB55"/>
    <mergeCell ref="AC55:AE55"/>
    <mergeCell ref="AF55:AH55"/>
    <mergeCell ref="W56:Y56"/>
    <mergeCell ref="Z56:AB56"/>
    <mergeCell ref="AC56:AE56"/>
    <mergeCell ref="AF56:AH56"/>
    <mergeCell ref="W57:Y57"/>
    <mergeCell ref="Z57:AB57"/>
    <mergeCell ref="AC57:AE57"/>
    <mergeCell ref="AF57:AH57"/>
    <mergeCell ref="AK52:AK57"/>
    <mergeCell ref="W53:Y53"/>
    <mergeCell ref="Z53:AB53"/>
    <mergeCell ref="AC53:AE53"/>
    <mergeCell ref="AF53:AH53"/>
    <mergeCell ref="W54:Y54"/>
    <mergeCell ref="Z54:AB54"/>
    <mergeCell ref="AC54:AE54"/>
    <mergeCell ref="AF54:AH54"/>
    <mergeCell ref="W55:Y55"/>
    <mergeCell ref="A58:A63"/>
    <mergeCell ref="W58:Y58"/>
    <mergeCell ref="Z58:AB58"/>
    <mergeCell ref="AC58:AE58"/>
    <mergeCell ref="AF58:AH58"/>
    <mergeCell ref="AJ58:AJ63"/>
    <mergeCell ref="Z61:AB61"/>
    <mergeCell ref="AC61:AE61"/>
    <mergeCell ref="AF61:AH61"/>
    <mergeCell ref="W62:Y62"/>
    <mergeCell ref="Z62:AB62"/>
    <mergeCell ref="AC62:AE62"/>
    <mergeCell ref="AF62:AH62"/>
    <mergeCell ref="W63:Y63"/>
    <mergeCell ref="Z63:AB63"/>
    <mergeCell ref="AC63:AE63"/>
    <mergeCell ref="AF63:AH63"/>
    <mergeCell ref="AK58:AK63"/>
    <mergeCell ref="W59:Y59"/>
    <mergeCell ref="Z59:AB59"/>
    <mergeCell ref="AC59:AE59"/>
    <mergeCell ref="AF59:AH59"/>
    <mergeCell ref="W60:Y60"/>
    <mergeCell ref="Z60:AB60"/>
    <mergeCell ref="AC60:AE60"/>
    <mergeCell ref="AF60:AH60"/>
    <mergeCell ref="W61:Y61"/>
    <mergeCell ref="A64:A69"/>
    <mergeCell ref="W64:Y64"/>
    <mergeCell ref="Z64:AB64"/>
    <mergeCell ref="AC64:AE64"/>
    <mergeCell ref="AF64:AH64"/>
    <mergeCell ref="AJ64:AJ69"/>
    <mergeCell ref="Z67:AB67"/>
    <mergeCell ref="AC67:AE67"/>
    <mergeCell ref="AF67:AH67"/>
    <mergeCell ref="W68:Y68"/>
    <mergeCell ref="Z68:AB68"/>
    <mergeCell ref="AC68:AE68"/>
    <mergeCell ref="AF68:AH68"/>
    <mergeCell ref="W69:Y69"/>
    <mergeCell ref="Z69:AB69"/>
    <mergeCell ref="AC69:AE69"/>
    <mergeCell ref="AF69:AH69"/>
    <mergeCell ref="AK64:AK69"/>
    <mergeCell ref="W65:Y65"/>
    <mergeCell ref="Z65:AB65"/>
    <mergeCell ref="AC65:AE65"/>
    <mergeCell ref="AF65:AH65"/>
    <mergeCell ref="W66:Y66"/>
    <mergeCell ref="Z66:AB66"/>
    <mergeCell ref="AC66:AE66"/>
    <mergeCell ref="AF66:AH66"/>
    <mergeCell ref="W67:Y67"/>
    <mergeCell ref="A70:A75"/>
    <mergeCell ref="W70:Y70"/>
    <mergeCell ref="Z70:AB70"/>
    <mergeCell ref="AC70:AE70"/>
    <mergeCell ref="AF70:AH70"/>
    <mergeCell ref="AJ70:AJ75"/>
    <mergeCell ref="Z73:AB73"/>
    <mergeCell ref="AC73:AE73"/>
    <mergeCell ref="AF73:AH73"/>
    <mergeCell ref="W74:Y74"/>
    <mergeCell ref="Z74:AB74"/>
    <mergeCell ref="AC74:AE74"/>
    <mergeCell ref="AF74:AH74"/>
    <mergeCell ref="W75:Y75"/>
    <mergeCell ref="Z75:AB75"/>
    <mergeCell ref="AC75:AE75"/>
    <mergeCell ref="AF75:AH75"/>
    <mergeCell ref="AK70:AK75"/>
    <mergeCell ref="W71:Y71"/>
    <mergeCell ref="Z71:AB71"/>
    <mergeCell ref="AC71:AE71"/>
    <mergeCell ref="AF71:AH71"/>
    <mergeCell ref="W72:Y72"/>
    <mergeCell ref="Z72:AB72"/>
    <mergeCell ref="AC72:AE72"/>
    <mergeCell ref="AF72:AH72"/>
    <mergeCell ref="W73:Y73"/>
  </mergeCells>
  <conditionalFormatting sqref="AI4:AI75 G3:H75">
    <cfRule type="containsText" dxfId="44" priority="2" operator="containsText" text="NO">
      <formula>NOT(ISERROR(SEARCH("NO",G3)))</formula>
    </cfRule>
  </conditionalFormatting>
  <conditionalFormatting sqref="AI3:AJ3 AJ9:AK9 AJ13:AK13 AJ19:AK19 AJ24:AK24 AJ30:AK30 AJ34:AK34 AJ40:AK40 AJ46:AK46 AJ52:AK52 AJ58:AK58 AJ64:AK64 AJ70:AK70">
    <cfRule type="containsText" dxfId="43" priority="1" operator="containsText" text="NO">
      <formula>NOT(ISERROR(SEARCH("NO",AI3)))</formula>
    </cfRule>
  </conditionalFormatting>
  <dataValidations count="1">
    <dataValidation type="list" allowBlank="1" showInputMessage="1" showErrorMessage="1" sqref="W3:Y23 W25:Y29 G3:H75 W33:Y33 Z3:AI75">
      <formula1>$AO$1:$AP$1</formula1>
    </dataValidation>
  </dataValidations>
  <pageMargins left="0.75" right="0.75" top="1" bottom="1" header="0.5" footer="0.5"/>
  <pageSetup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B198"/>
  <sheetViews>
    <sheetView zoomScale="55" zoomScaleNormal="55" zoomScalePageLayoutView="75" workbookViewId="0">
      <pane xSplit="1" ySplit="2" topLeftCell="H48" activePane="bottomRight" state="frozen"/>
      <selection pane="topRight" activeCell="B1" sqref="B1"/>
      <selection pane="bottomLeft" activeCell="A3" sqref="A3"/>
      <selection pane="bottomRight" activeCell="A23" sqref="A23:A26"/>
    </sheetView>
  </sheetViews>
  <sheetFormatPr baseColWidth="10" defaultColWidth="10.875" defaultRowHeight="15.75" x14ac:dyDescent="0.25"/>
  <cols>
    <col min="1" max="1" width="16.5" style="94" customWidth="1"/>
    <col min="2" max="2" width="8.875" style="94" customWidth="1"/>
    <col min="3" max="3" width="10.75" style="413" customWidth="1"/>
    <col min="4" max="4" width="18.625" style="96" customWidth="1"/>
    <col min="5" max="5" width="17.5" style="96" customWidth="1"/>
    <col min="6" max="6" width="66.125" style="104" customWidth="1"/>
    <col min="7" max="7" width="18.5" style="104" customWidth="1"/>
    <col min="8" max="8" width="23.875" style="104" customWidth="1"/>
    <col min="9" max="10" width="18.875" style="104" customWidth="1"/>
    <col min="11" max="11" width="13.625" style="105" customWidth="1"/>
    <col min="12" max="12" width="10.625" style="106" customWidth="1"/>
    <col min="13" max="13" width="11" style="107" customWidth="1"/>
    <col min="14" max="14" width="11" style="108" customWidth="1"/>
    <col min="15" max="15" width="11" style="74" customWidth="1"/>
    <col min="16" max="16" width="18.5" style="109" customWidth="1"/>
    <col min="17" max="17" width="8.75" style="109" customWidth="1"/>
    <col min="18" max="18" width="11.375" style="74" customWidth="1"/>
    <col min="19" max="19" width="16.25" style="74" customWidth="1"/>
    <col min="20" max="20" width="11.25" style="74" customWidth="1"/>
    <col min="21" max="21" width="19" style="74" customWidth="1"/>
    <col min="22" max="22" width="15.5" style="74" customWidth="1"/>
    <col min="23" max="23" width="18.375" style="87" customWidth="1"/>
    <col min="24" max="24" width="19.5" style="377" customWidth="1"/>
    <col min="25" max="25" width="59.125" style="96" customWidth="1"/>
    <col min="26" max="28" width="10.875" style="111"/>
    <col min="29" max="30" width="15.125" style="111" bestFit="1" customWidth="1"/>
    <col min="31" max="16384" width="10.875" style="111"/>
  </cols>
  <sheetData>
    <row r="1" spans="1:28" s="61" customFormat="1" ht="15" customHeight="1" x14ac:dyDescent="0.25">
      <c r="A1" s="661" t="s">
        <v>2</v>
      </c>
      <c r="B1" s="661" t="s">
        <v>1</v>
      </c>
      <c r="C1" s="676" t="s">
        <v>369</v>
      </c>
      <c r="D1" s="661" t="s">
        <v>7</v>
      </c>
      <c r="E1" s="661" t="s">
        <v>8</v>
      </c>
      <c r="F1" s="661" t="s">
        <v>9</v>
      </c>
      <c r="G1" s="662" t="s">
        <v>382</v>
      </c>
      <c r="H1" s="662" t="s">
        <v>857</v>
      </c>
      <c r="I1" s="663" t="s">
        <v>383</v>
      </c>
      <c r="J1" s="663" t="s">
        <v>18</v>
      </c>
      <c r="K1" s="670" t="s">
        <v>56</v>
      </c>
      <c r="L1" s="672" t="s">
        <v>10</v>
      </c>
      <c r="M1" s="672" t="s">
        <v>443</v>
      </c>
      <c r="N1" s="674" t="s">
        <v>65</v>
      </c>
      <c r="O1" s="661" t="s">
        <v>64</v>
      </c>
      <c r="P1" s="661" t="s">
        <v>11</v>
      </c>
      <c r="Q1" s="661" t="s">
        <v>12</v>
      </c>
      <c r="R1" s="662" t="s">
        <v>13</v>
      </c>
      <c r="S1" s="662" t="s">
        <v>14</v>
      </c>
      <c r="T1" s="662" t="s">
        <v>15</v>
      </c>
      <c r="U1" s="662" t="s">
        <v>16</v>
      </c>
      <c r="V1" s="661" t="s">
        <v>17</v>
      </c>
      <c r="W1" s="662" t="s">
        <v>687</v>
      </c>
      <c r="X1" s="664" t="s">
        <v>375</v>
      </c>
      <c r="Y1" s="659" t="s">
        <v>0</v>
      </c>
      <c r="AA1" s="62" t="s">
        <v>5</v>
      </c>
      <c r="AB1" s="62" t="s">
        <v>6</v>
      </c>
    </row>
    <row r="2" spans="1:28" s="61" customFormat="1" ht="62.25" customHeight="1" thickBot="1" x14ac:dyDescent="0.3">
      <c r="A2" s="667"/>
      <c r="B2" s="667"/>
      <c r="C2" s="677"/>
      <c r="D2" s="667"/>
      <c r="E2" s="667"/>
      <c r="F2" s="667"/>
      <c r="G2" s="663"/>
      <c r="H2" s="663"/>
      <c r="I2" s="678"/>
      <c r="J2" s="678"/>
      <c r="K2" s="671"/>
      <c r="L2" s="673"/>
      <c r="M2" s="673"/>
      <c r="N2" s="675"/>
      <c r="O2" s="667"/>
      <c r="P2" s="667"/>
      <c r="Q2" s="667"/>
      <c r="R2" s="663"/>
      <c r="S2" s="663"/>
      <c r="T2" s="663"/>
      <c r="U2" s="663"/>
      <c r="V2" s="667"/>
      <c r="W2" s="663"/>
      <c r="X2" s="665"/>
      <c r="Y2" s="660"/>
    </row>
    <row r="3" spans="1:28" s="79" customFormat="1" ht="57" x14ac:dyDescent="0.25">
      <c r="A3" s="652" t="s">
        <v>775</v>
      </c>
      <c r="B3" s="125" t="s">
        <v>312</v>
      </c>
      <c r="C3" s="126"/>
      <c r="D3" s="127" t="str">
        <f>+IFERROR(INDEX([11]CONSOLIDADO!$D$4:$D$108,MATCH('EXP ESPEC. 25-32'!B3,[11]CONSOLIDADO!$C$4:$C$108,0)),"")</f>
        <v>JOYCO</v>
      </c>
      <c r="E3" s="128" t="s">
        <v>26</v>
      </c>
      <c r="F3" s="129" t="s">
        <v>776</v>
      </c>
      <c r="G3" s="368" t="s">
        <v>5</v>
      </c>
      <c r="H3" s="368" t="s">
        <v>5</v>
      </c>
      <c r="I3" s="368" t="s">
        <v>5</v>
      </c>
      <c r="J3" s="368" t="s">
        <v>6</v>
      </c>
      <c r="K3" s="131">
        <v>1</v>
      </c>
      <c r="L3" s="132">
        <v>38321</v>
      </c>
      <c r="M3" s="132">
        <v>39901</v>
      </c>
      <c r="N3" s="133">
        <f>IF(M3="","",YEAR(M3))</f>
        <v>2009</v>
      </c>
      <c r="O3" s="134">
        <f>+IFERROR(INDEX([11]PARÁMETROS!$B$11:$B$37,MATCH(N3,[11]PARÁMETROS!$A$11:$A$37,0)),"")</f>
        <v>496900</v>
      </c>
      <c r="P3" s="135">
        <v>1676200327</v>
      </c>
      <c r="Q3" s="136" t="s">
        <v>20</v>
      </c>
      <c r="R3" s="125" t="s">
        <v>54</v>
      </c>
      <c r="S3" s="137" t="s">
        <v>54</v>
      </c>
      <c r="T3" s="138">
        <v>1</v>
      </c>
      <c r="U3" s="134">
        <f>IF(T3&lt;&gt;"",P3*T3,"")</f>
        <v>1676200327</v>
      </c>
      <c r="V3" s="139">
        <f>+IFERROR(U3/O3,"")</f>
        <v>3373.3152082914066</v>
      </c>
      <c r="W3" s="139">
        <f>IFERROR(V3*K3,"")</f>
        <v>3373.3152082914066</v>
      </c>
      <c r="X3" s="373" t="str">
        <f>+IF(W3="","",IF(W3&gt;=[11]PARÁMETROS!$J$5,"CUMPLE","NO CUMPLE"))</f>
        <v>CUMPLE</v>
      </c>
      <c r="Y3" s="142"/>
      <c r="Z3" s="112"/>
    </row>
    <row r="4" spans="1:28" s="79" customFormat="1" ht="85.5" x14ac:dyDescent="0.25">
      <c r="A4" s="653"/>
      <c r="B4" s="377" t="s">
        <v>312</v>
      </c>
      <c r="C4" s="64"/>
      <c r="D4" s="65" t="str">
        <f>+IFERROR(INDEX([11]CONSOLIDADO!$D$4:$D$108,MATCH('EXP ESPEC. 25-32'!B4,[11]CONSOLIDADO!$C$4:$C$108,0)),"")</f>
        <v>JOYCO</v>
      </c>
      <c r="E4" s="66" t="s">
        <v>777</v>
      </c>
      <c r="F4" s="66" t="s">
        <v>778</v>
      </c>
      <c r="G4" s="369" t="s">
        <v>5</v>
      </c>
      <c r="H4" s="369" t="s">
        <v>6</v>
      </c>
      <c r="I4" s="369" t="s">
        <v>5</v>
      </c>
      <c r="J4" s="369" t="s">
        <v>6</v>
      </c>
      <c r="K4" s="80">
        <v>1</v>
      </c>
      <c r="L4" s="70">
        <v>38658</v>
      </c>
      <c r="M4" s="70">
        <v>39813</v>
      </c>
      <c r="N4" s="71">
        <f t="shared" ref="N4:N54" si="0">IF(M4="","",YEAR(M4))</f>
        <v>2008</v>
      </c>
      <c r="O4" s="72">
        <f>+IFERROR(INDEX([11]PARÁMETROS!$B$11:$B$37,MATCH(N4,[11]PARÁMETROS!$A$11:$A$37,0)),"")</f>
        <v>461500</v>
      </c>
      <c r="P4" s="81">
        <v>2904906735</v>
      </c>
      <c r="Q4" s="72" t="s">
        <v>20</v>
      </c>
      <c r="R4" s="377" t="s">
        <v>54</v>
      </c>
      <c r="S4" s="75" t="s">
        <v>54</v>
      </c>
      <c r="T4" s="76">
        <v>1</v>
      </c>
      <c r="U4" s="72">
        <f t="shared" ref="U4:U54" si="1">IF(T4&lt;&gt;"",P4*T4,"")</f>
        <v>2904906735</v>
      </c>
      <c r="V4" s="60">
        <f t="shared" ref="V4:V54" si="2">+IFERROR(U4/O4,"")</f>
        <v>6294.4891332611051</v>
      </c>
      <c r="W4" s="60">
        <f t="shared" ref="W4:W54" si="3">IFERROR(V4*K4,"")</f>
        <v>6294.4891332611051</v>
      </c>
      <c r="X4" s="369" t="str">
        <f>+IF(W4="","",IF(W4&gt;=[11]PARÁMETROS!$J$5,"CUMPLE","NO CUMPLE"))</f>
        <v>CUMPLE</v>
      </c>
      <c r="Y4" s="143"/>
      <c r="Z4" s="112"/>
    </row>
    <row r="5" spans="1:28" s="79" customFormat="1" ht="99.75" x14ac:dyDescent="0.25">
      <c r="A5" s="653"/>
      <c r="B5" s="377" t="s">
        <v>312</v>
      </c>
      <c r="C5" s="64"/>
      <c r="D5" s="65" t="str">
        <f>+IFERROR(INDEX([11]CONSOLIDADO!$D$4:$D$108,MATCH('EXP ESPEC. 25-32'!B5,[11]CONSOLIDADO!$C$4:$C$108,0)),"")</f>
        <v>JOYCO</v>
      </c>
      <c r="E5" s="66" t="s">
        <v>777</v>
      </c>
      <c r="F5" s="67" t="s">
        <v>782</v>
      </c>
      <c r="G5" s="369" t="s">
        <v>5</v>
      </c>
      <c r="H5" s="369" t="s">
        <v>6</v>
      </c>
      <c r="I5" s="369" t="s">
        <v>5</v>
      </c>
      <c r="J5" s="369" t="s">
        <v>6</v>
      </c>
      <c r="K5" s="69">
        <v>1</v>
      </c>
      <c r="L5" s="70">
        <v>38673</v>
      </c>
      <c r="M5" s="70">
        <v>39675</v>
      </c>
      <c r="N5" s="71">
        <f t="shared" si="0"/>
        <v>2008</v>
      </c>
      <c r="O5" s="72">
        <f>+IFERROR(INDEX([11]PARÁMETROS!$B$11:$B$37,MATCH(N5,[11]PARÁMETROS!$A$11:$A$37,0)),"")</f>
        <v>461500</v>
      </c>
      <c r="P5" s="73">
        <v>2205036734</v>
      </c>
      <c r="Q5" s="74" t="s">
        <v>20</v>
      </c>
      <c r="R5" s="377" t="s">
        <v>54</v>
      </c>
      <c r="S5" s="75" t="s">
        <v>54</v>
      </c>
      <c r="T5" s="76">
        <v>1</v>
      </c>
      <c r="U5" s="72">
        <f t="shared" si="1"/>
        <v>2205036734</v>
      </c>
      <c r="V5" s="60">
        <f t="shared" si="2"/>
        <v>4777.9777551462621</v>
      </c>
      <c r="W5" s="60">
        <f t="shared" si="3"/>
        <v>4777.9777551462621</v>
      </c>
      <c r="X5" s="369" t="str">
        <f>+IF(W5="","",IF(W5&gt;=[11]PARÁMETROS!$J$5,"CUMPLE","NO CUMPLE"))</f>
        <v>CUMPLE</v>
      </c>
      <c r="Y5" s="144"/>
      <c r="Z5" s="112"/>
    </row>
    <row r="6" spans="1:28" s="79" customFormat="1" ht="100.5" thickBot="1" x14ac:dyDescent="0.3">
      <c r="A6" s="654"/>
      <c r="B6" s="145" t="s">
        <v>312</v>
      </c>
      <c r="C6" s="177"/>
      <c r="D6" s="146" t="str">
        <f>+IFERROR(INDEX([11]CONSOLIDADO!$D$4:$D$108,MATCH('EXP ESPEC. 25-32'!B6,[11]CONSOLIDADO!$C$4:$C$108,0)),"")</f>
        <v>JOYCO</v>
      </c>
      <c r="E6" s="147" t="s">
        <v>777</v>
      </c>
      <c r="F6" s="148" t="s">
        <v>838</v>
      </c>
      <c r="G6" s="370" t="s">
        <v>5</v>
      </c>
      <c r="H6" s="370" t="s">
        <v>6</v>
      </c>
      <c r="I6" s="370" t="s">
        <v>5</v>
      </c>
      <c r="J6" s="370" t="s">
        <v>6</v>
      </c>
      <c r="K6" s="150">
        <v>0.5</v>
      </c>
      <c r="L6" s="151">
        <v>39778</v>
      </c>
      <c r="M6" s="151">
        <v>41374</v>
      </c>
      <c r="N6" s="152">
        <f t="shared" si="0"/>
        <v>2013</v>
      </c>
      <c r="O6" s="153">
        <f>+IFERROR(INDEX([11]PARÁMETROS!$B$11:$B$37,MATCH(N6,[11]PARÁMETROS!$A$11:$A$37,0)),"")</f>
        <v>589500</v>
      </c>
      <c r="P6" s="154">
        <v>5413567912</v>
      </c>
      <c r="Q6" s="155" t="s">
        <v>20</v>
      </c>
      <c r="R6" s="145" t="s">
        <v>54</v>
      </c>
      <c r="S6" s="156" t="s">
        <v>54</v>
      </c>
      <c r="T6" s="157">
        <v>1</v>
      </c>
      <c r="U6" s="153">
        <f t="shared" si="1"/>
        <v>5413567912</v>
      </c>
      <c r="V6" s="158">
        <f t="shared" si="2"/>
        <v>9183.321309584393</v>
      </c>
      <c r="W6" s="158">
        <f t="shared" si="3"/>
        <v>4591.6606547921965</v>
      </c>
      <c r="X6" s="370" t="str">
        <f>+IF(W6="","",IF(W6&gt;=[11]PARÁMETROS!$D$5,"CUMPLE","NO CUMPLE"))</f>
        <v>CUMPLE</v>
      </c>
      <c r="Y6" s="178"/>
      <c r="Z6" s="112"/>
    </row>
    <row r="7" spans="1:28" s="79" customFormat="1" ht="47.25" x14ac:dyDescent="0.25">
      <c r="A7" s="683" t="s">
        <v>783</v>
      </c>
      <c r="B7" s="113" t="s">
        <v>314</v>
      </c>
      <c r="C7" s="414">
        <v>11</v>
      </c>
      <c r="D7" s="114" t="str">
        <f>+IFERROR(INDEX([11]CONSOLIDADO!$D$4:$D$108,MATCH('EXP ESPEC. 25-32'!B7,[11]CONSOLIDADO!$C$4:$C$108,0)),"")</f>
        <v>INGEANDINA CONSULTORES DE INGENIERIA S.A.S.</v>
      </c>
      <c r="E7" s="115" t="s">
        <v>784</v>
      </c>
      <c r="F7" s="116" t="s">
        <v>785</v>
      </c>
      <c r="G7" s="376" t="s">
        <v>5</v>
      </c>
      <c r="H7" s="376" t="s">
        <v>6</v>
      </c>
      <c r="I7" s="376" t="s">
        <v>5</v>
      </c>
      <c r="J7" s="376" t="s">
        <v>6</v>
      </c>
      <c r="K7" s="117">
        <v>1</v>
      </c>
      <c r="L7" s="118">
        <v>38049</v>
      </c>
      <c r="M7" s="118">
        <v>40545</v>
      </c>
      <c r="N7" s="168">
        <f t="shared" si="0"/>
        <v>2011</v>
      </c>
      <c r="O7" s="119">
        <f>+IFERROR(INDEX([11]PARÁMETROS!$B$11:$B$37,MATCH(N7,[11]PARÁMETROS!$A$11:$A$37,0)),"")</f>
        <v>535600</v>
      </c>
      <c r="P7" s="120">
        <v>4478229438</v>
      </c>
      <c r="Q7" s="265" t="s">
        <v>640</v>
      </c>
      <c r="R7" s="421">
        <v>2.1168008766057332E-3</v>
      </c>
      <c r="S7" s="422">
        <f>+P7*R7</f>
        <v>9479520</v>
      </c>
      <c r="T7" s="422">
        <v>1913.98</v>
      </c>
      <c r="U7" s="284">
        <f>+S7*T7</f>
        <v>18143611689.599998</v>
      </c>
      <c r="V7" s="123">
        <f t="shared" si="2"/>
        <v>33875.301884988796</v>
      </c>
      <c r="W7" s="123">
        <f t="shared" si="3"/>
        <v>33875.301884988796</v>
      </c>
      <c r="X7" s="374" t="str">
        <f>+IF(W7="","",IF(W7&gt;=[11]PARÁMETROS!$D$5,"CUMPLE","NO CUMPLE"))</f>
        <v>CUMPLE</v>
      </c>
      <c r="Y7" s="175"/>
      <c r="Z7" s="112"/>
    </row>
    <row r="8" spans="1:28" s="79" customFormat="1" ht="47.25" x14ac:dyDescent="0.25">
      <c r="A8" s="653"/>
      <c r="B8" s="113" t="s">
        <v>314</v>
      </c>
      <c r="C8" s="409">
        <v>23</v>
      </c>
      <c r="D8" s="65" t="str">
        <f>+IFERROR(INDEX([11]CONSOLIDADO!$D$4:$D$108,MATCH('EXP ESPEC. 25-32'!B8,[11]CONSOLIDADO!$C$4:$C$108,0)),"")</f>
        <v>INGEANDINA CONSULTORES DE INGENIERIA S.A.S.</v>
      </c>
      <c r="E8" s="66" t="s">
        <v>784</v>
      </c>
      <c r="F8" s="67" t="s">
        <v>787</v>
      </c>
      <c r="G8" s="369" t="s">
        <v>5</v>
      </c>
      <c r="H8" s="369" t="s">
        <v>6</v>
      </c>
      <c r="I8" s="369" t="s">
        <v>5</v>
      </c>
      <c r="J8" s="369" t="s">
        <v>6</v>
      </c>
      <c r="K8" s="69">
        <v>0.25</v>
      </c>
      <c r="L8" s="70">
        <v>36363</v>
      </c>
      <c r="M8" s="70">
        <v>37843</v>
      </c>
      <c r="N8" s="71">
        <f t="shared" si="0"/>
        <v>2003</v>
      </c>
      <c r="O8" s="72">
        <f>+IFERROR(INDEX([11]PARÁMETROS!$B$11:$B$37,MATCH(N8,[11]PARÁMETROS!$A$11:$A$37,0)),"")</f>
        <v>332000</v>
      </c>
      <c r="P8" s="73">
        <v>6541364.1500000004</v>
      </c>
      <c r="Q8" s="265" t="s">
        <v>730</v>
      </c>
      <c r="R8" s="422">
        <v>1</v>
      </c>
      <c r="S8" s="422">
        <f>+P8</f>
        <v>6541364.1500000004</v>
      </c>
      <c r="T8" s="422">
        <v>2875.18</v>
      </c>
      <c r="U8" s="425">
        <f>+S8*T8</f>
        <v>18807599376.797001</v>
      </c>
      <c r="V8" s="60">
        <f t="shared" si="2"/>
        <v>56649.395713243975</v>
      </c>
      <c r="W8" s="60">
        <f t="shared" si="3"/>
        <v>14162.348928310994</v>
      </c>
      <c r="X8" s="369" t="str">
        <f>+IF(W8="","",IF(W8&gt;=[11]PARÁMETROS!$D$5,"CUMPLE","NO CUMPLE"))</f>
        <v>CUMPLE</v>
      </c>
      <c r="Y8" s="143"/>
      <c r="Z8" s="112"/>
    </row>
    <row r="9" spans="1:28" s="79" customFormat="1" ht="57" x14ac:dyDescent="0.25">
      <c r="A9" s="653"/>
      <c r="B9" s="113" t="s">
        <v>314</v>
      </c>
      <c r="C9" s="409">
        <v>31</v>
      </c>
      <c r="D9" s="65" t="str">
        <f>+IFERROR(INDEX([11]CONSOLIDADO!$D$4:$D$108,MATCH('EXP ESPEC. 25-32'!B9,[11]CONSOLIDADO!$C$4:$C$108,0)),"")</f>
        <v>INGEANDINA CONSULTORES DE INGENIERIA S.A.S.</v>
      </c>
      <c r="E9" s="66" t="s">
        <v>19</v>
      </c>
      <c r="F9" s="67" t="s">
        <v>839</v>
      </c>
      <c r="G9" s="369" t="s">
        <v>5</v>
      </c>
      <c r="H9" s="369" t="s">
        <v>5</v>
      </c>
      <c r="I9" s="369" t="s">
        <v>5</v>
      </c>
      <c r="J9" s="369" t="s">
        <v>6</v>
      </c>
      <c r="K9" s="69">
        <v>0.6</v>
      </c>
      <c r="L9" s="70">
        <v>41187</v>
      </c>
      <c r="M9" s="70" t="s">
        <v>678</v>
      </c>
      <c r="N9" s="71">
        <v>2015</v>
      </c>
      <c r="O9" s="72">
        <f>+IFERROR(INDEX([11]PARÁMETROS!$B$11:$B$37,MATCH(N9,[11]PARÁMETROS!$A$11:$A$37,0)),"")</f>
        <v>644350</v>
      </c>
      <c r="P9" s="73">
        <f>4813002463+89102244</f>
        <v>4902104707</v>
      </c>
      <c r="Q9" s="74" t="s">
        <v>20</v>
      </c>
      <c r="R9" s="377" t="s">
        <v>54</v>
      </c>
      <c r="S9" s="75" t="s">
        <v>54</v>
      </c>
      <c r="T9" s="76">
        <v>1</v>
      </c>
      <c r="U9" s="72">
        <f t="shared" si="1"/>
        <v>4902104707</v>
      </c>
      <c r="V9" s="60">
        <f t="shared" si="2"/>
        <v>7607.8291409948006</v>
      </c>
      <c r="W9" s="60">
        <f t="shared" si="3"/>
        <v>4564.6974845968798</v>
      </c>
      <c r="X9" s="369" t="str">
        <f>+IF(W9="","",IF(W9&gt;=[11]PARÁMETROS!$D$5,"CUMPLE","NO CUMPLE"))</f>
        <v>CUMPLE</v>
      </c>
      <c r="Y9" s="143"/>
      <c r="Z9" s="112"/>
    </row>
    <row r="10" spans="1:28" s="79" customFormat="1" ht="63.75" thickBot="1" x14ac:dyDescent="0.3">
      <c r="A10" s="653"/>
      <c r="B10" s="113" t="s">
        <v>315</v>
      </c>
      <c r="C10" s="409">
        <v>36</v>
      </c>
      <c r="D10" s="65" t="str">
        <f>+IFERROR(INDEX([11]CONSOLIDADO!$D$4:$D$108,MATCH('EXP ESPEC. 25-32'!B10,[11]CONSOLIDADO!$C$4:$C$108,0)),"")</f>
        <v>APPLUS NORCONTROL CONSULTORIA E INGENIERIA S.A.S.</v>
      </c>
      <c r="E10" s="66" t="s">
        <v>25</v>
      </c>
      <c r="F10" s="67" t="s">
        <v>789</v>
      </c>
      <c r="G10" s="369" t="s">
        <v>5</v>
      </c>
      <c r="H10" s="369" t="s">
        <v>6</v>
      </c>
      <c r="I10" s="369" t="s">
        <v>5</v>
      </c>
      <c r="J10" s="369" t="s">
        <v>6</v>
      </c>
      <c r="K10" s="69">
        <v>1</v>
      </c>
      <c r="L10" s="70">
        <v>38322</v>
      </c>
      <c r="M10" s="70">
        <v>39233</v>
      </c>
      <c r="N10" s="71">
        <f t="shared" si="0"/>
        <v>2007</v>
      </c>
      <c r="O10" s="72">
        <f>+IFERROR(INDEX([11]PARÁMETROS!$B$11:$B$37,MATCH(N10,[11]PARÁMETROS!$A$11:$A$37,0)),"")</f>
        <v>433700</v>
      </c>
      <c r="P10" s="250">
        <v>911227.35</v>
      </c>
      <c r="Q10" s="155" t="s">
        <v>24</v>
      </c>
      <c r="R10" s="427">
        <v>1.3436600000000001</v>
      </c>
      <c r="S10" s="427">
        <f>+P10*R10</f>
        <v>1224379.741101</v>
      </c>
      <c r="T10" s="428">
        <v>1930.74</v>
      </c>
      <c r="U10" s="425">
        <f>+S10*T10</f>
        <v>2363958941.3333449</v>
      </c>
      <c r="V10" s="60">
        <f t="shared" si="2"/>
        <v>5450.6777526708438</v>
      </c>
      <c r="W10" s="60">
        <f t="shared" si="3"/>
        <v>5450.6777526708438</v>
      </c>
      <c r="X10" s="370" t="str">
        <f>+IF(W10="","",IF(W10&gt;=[11]PARÁMETROS!$D$5,"CUMPLE","NO CUMPLE"))</f>
        <v>CUMPLE</v>
      </c>
      <c r="Y10" s="143"/>
      <c r="Z10" s="112"/>
    </row>
    <row r="11" spans="1:28" s="79" customFormat="1" ht="57" x14ac:dyDescent="0.25">
      <c r="A11" s="652" t="s">
        <v>792</v>
      </c>
      <c r="B11" s="125" t="s">
        <v>316</v>
      </c>
      <c r="C11" s="408">
        <v>4</v>
      </c>
      <c r="D11" s="127" t="str">
        <f>+IFERROR(INDEX([11]CONSOLIDADO!$D$4:$D$108,MATCH('EXP ESPEC. 25-32'!B11,[11]CONSOLIDADO!$C$4:$C$108,0)),"")</f>
        <v>CONSTRUCTORA A &amp; C SOCIEDAD ANONIMA</v>
      </c>
      <c r="E11" s="128" t="s">
        <v>19</v>
      </c>
      <c r="F11" s="129" t="s">
        <v>793</v>
      </c>
      <c r="G11" s="368" t="s">
        <v>6</v>
      </c>
      <c r="H11" s="368" t="s">
        <v>5</v>
      </c>
      <c r="I11" s="368" t="s">
        <v>5</v>
      </c>
      <c r="J11" s="368" t="s">
        <v>6</v>
      </c>
      <c r="K11" s="131">
        <v>0.5</v>
      </c>
      <c r="L11" s="132">
        <v>39595</v>
      </c>
      <c r="M11" s="132" t="s">
        <v>678</v>
      </c>
      <c r="N11" s="133">
        <v>2015</v>
      </c>
      <c r="O11" s="134">
        <f>+IFERROR(INDEX([11]PARÁMETROS!$B$11:$B$37,MATCH(N11,[11]PARÁMETROS!$A$11:$A$37,0)),"")</f>
        <v>644350</v>
      </c>
      <c r="P11" s="135">
        <v>36074618420</v>
      </c>
      <c r="Q11" s="265" t="s">
        <v>20</v>
      </c>
      <c r="R11" s="113" t="s">
        <v>54</v>
      </c>
      <c r="S11" s="121" t="s">
        <v>54</v>
      </c>
      <c r="T11" s="122">
        <v>1</v>
      </c>
      <c r="U11" s="134">
        <f t="shared" si="1"/>
        <v>36074618420</v>
      </c>
      <c r="V11" s="139">
        <f t="shared" si="2"/>
        <v>55986.061022736088</v>
      </c>
      <c r="W11" s="139">
        <f t="shared" si="3"/>
        <v>27993.030511368044</v>
      </c>
      <c r="X11" s="373" t="str">
        <f>+IF(W11="","",IF(W11&gt;=[11]PARÁMETROS!$D$5,"CUMPLE","NO CUMPLE"))</f>
        <v>CUMPLE</v>
      </c>
      <c r="Y11" s="142"/>
      <c r="Z11" s="112"/>
    </row>
    <row r="12" spans="1:28" s="79" customFormat="1" ht="57" x14ac:dyDescent="0.25">
      <c r="A12" s="653"/>
      <c r="B12" s="377" t="s">
        <v>317</v>
      </c>
      <c r="C12" s="409">
        <v>15</v>
      </c>
      <c r="D12" s="65" t="str">
        <f>+IFERROR(INDEX([11]CONSOLIDADO!$D$4:$D$108,MATCH('EXP ESPEC. 25-32'!B12,[11]CONSOLIDADO!$C$4:$C$108,0)),"")</f>
        <v>COPEBA LTDA</v>
      </c>
      <c r="E12" s="66" t="s">
        <v>777</v>
      </c>
      <c r="F12" s="66" t="s">
        <v>795</v>
      </c>
      <c r="G12" s="369" t="s">
        <v>5</v>
      </c>
      <c r="H12" s="369" t="s">
        <v>6</v>
      </c>
      <c r="I12" s="369" t="s">
        <v>5</v>
      </c>
      <c r="J12" s="369" t="s">
        <v>6</v>
      </c>
      <c r="K12" s="80">
        <v>0.75</v>
      </c>
      <c r="L12" s="70">
        <v>38681</v>
      </c>
      <c r="M12" s="70">
        <v>40083</v>
      </c>
      <c r="N12" s="71">
        <f t="shared" si="0"/>
        <v>2009</v>
      </c>
      <c r="O12" s="72">
        <f>+IFERROR(INDEX([11]PARÁMETROS!$B$11:$B$37,MATCH(N12,[11]PARÁMETROS!$A$11:$A$37,0)),"")</f>
        <v>496900</v>
      </c>
      <c r="P12" s="81">
        <v>2040507559</v>
      </c>
      <c r="Q12" s="72" t="s">
        <v>20</v>
      </c>
      <c r="R12" s="377" t="s">
        <v>54</v>
      </c>
      <c r="S12" s="75" t="s">
        <v>54</v>
      </c>
      <c r="T12" s="76">
        <v>1</v>
      </c>
      <c r="U12" s="72">
        <f t="shared" si="1"/>
        <v>2040507559</v>
      </c>
      <c r="V12" s="60">
        <f t="shared" si="2"/>
        <v>4106.4752646407724</v>
      </c>
      <c r="W12" s="60">
        <f t="shared" si="3"/>
        <v>3079.8564484805793</v>
      </c>
      <c r="X12" s="369" t="str">
        <f>+IF(W12="","",IF(W12&gt;=[11]PARÁMETROS!$D$5,"CUMPLE","NO CUMPLE"))</f>
        <v>CUMPLE</v>
      </c>
      <c r="Y12" s="143"/>
      <c r="Z12" s="112"/>
    </row>
    <row r="13" spans="1:28" s="79" customFormat="1" ht="57" x14ac:dyDescent="0.25">
      <c r="A13" s="653"/>
      <c r="B13" s="377" t="s">
        <v>317</v>
      </c>
      <c r="C13" s="409">
        <v>21</v>
      </c>
      <c r="D13" s="65" t="str">
        <f>+IFERROR(INDEX([11]CONSOLIDADO!$D$4:$D$108,MATCH('EXP ESPEC. 25-32'!B13,[11]CONSOLIDADO!$C$4:$C$108,0)),"")</f>
        <v>COPEBA LTDA</v>
      </c>
      <c r="E13" s="66" t="s">
        <v>777</v>
      </c>
      <c r="F13" s="67" t="s">
        <v>796</v>
      </c>
      <c r="G13" s="369" t="s">
        <v>5</v>
      </c>
      <c r="H13" s="369" t="s">
        <v>6</v>
      </c>
      <c r="I13" s="369" t="s">
        <v>5</v>
      </c>
      <c r="J13" s="369" t="s">
        <v>6</v>
      </c>
      <c r="K13" s="69">
        <v>0.9</v>
      </c>
      <c r="L13" s="70">
        <v>39770</v>
      </c>
      <c r="M13" s="70">
        <v>40711</v>
      </c>
      <c r="N13" s="71">
        <f t="shared" si="0"/>
        <v>2011</v>
      </c>
      <c r="O13" s="72">
        <f>+IFERROR(INDEX([11]PARÁMETROS!$B$11:$B$37,MATCH(N13,[11]PARÁMETROS!$A$11:$A$37,0)),"")</f>
        <v>535600</v>
      </c>
      <c r="P13" s="73">
        <v>2159192501</v>
      </c>
      <c r="Q13" s="74" t="s">
        <v>20</v>
      </c>
      <c r="R13" s="377" t="s">
        <v>54</v>
      </c>
      <c r="S13" s="75" t="s">
        <v>54</v>
      </c>
      <c r="T13" s="76">
        <v>1</v>
      </c>
      <c r="U13" s="72">
        <f t="shared" si="1"/>
        <v>2159192501</v>
      </c>
      <c r="V13" s="60">
        <f t="shared" si="2"/>
        <v>4031.3526904406272</v>
      </c>
      <c r="W13" s="60">
        <f t="shared" si="3"/>
        <v>3628.2174213965645</v>
      </c>
      <c r="X13" s="369" t="str">
        <f>+IF(W13="","",IF(W13&gt;=[11]PARÁMETROS!$D$5,"CUMPLE","NO CUMPLE"))</f>
        <v>CUMPLE</v>
      </c>
      <c r="Y13" s="143"/>
      <c r="Z13" s="112"/>
    </row>
    <row r="14" spans="1:28" s="79" customFormat="1" ht="43.5" thickBot="1" x14ac:dyDescent="0.3">
      <c r="A14" s="653"/>
      <c r="B14" s="377" t="s">
        <v>317</v>
      </c>
      <c r="C14" s="409">
        <v>26</v>
      </c>
      <c r="D14" s="65" t="str">
        <f>+IFERROR(INDEX([11]CONSOLIDADO!$D$4:$D$108,MATCH('EXP ESPEC. 25-32'!B14,[11]CONSOLIDADO!$C$4:$C$108,0)),"")</f>
        <v>COPEBA LTDA</v>
      </c>
      <c r="E14" s="66" t="s">
        <v>777</v>
      </c>
      <c r="F14" s="67" t="s">
        <v>797</v>
      </c>
      <c r="G14" s="369" t="s">
        <v>5</v>
      </c>
      <c r="H14" s="369" t="s">
        <v>6</v>
      </c>
      <c r="I14" s="369" t="s">
        <v>5</v>
      </c>
      <c r="J14" s="369" t="s">
        <v>6</v>
      </c>
      <c r="K14" s="69">
        <v>1</v>
      </c>
      <c r="L14" s="70">
        <v>37995</v>
      </c>
      <c r="M14" s="70">
        <v>38883</v>
      </c>
      <c r="N14" s="71">
        <f t="shared" si="0"/>
        <v>2006</v>
      </c>
      <c r="O14" s="72">
        <f>+IFERROR(INDEX([11]PARÁMETROS!$B$11:$B$37,MATCH(N14,[11]PARÁMETROS!$A$11:$A$37,0)),"")</f>
        <v>408000</v>
      </c>
      <c r="P14" s="73">
        <v>1167976336</v>
      </c>
      <c r="Q14" s="155" t="s">
        <v>20</v>
      </c>
      <c r="R14" s="145" t="s">
        <v>54</v>
      </c>
      <c r="S14" s="156" t="s">
        <v>54</v>
      </c>
      <c r="T14" s="157">
        <v>1</v>
      </c>
      <c r="U14" s="153">
        <f t="shared" si="1"/>
        <v>1167976336</v>
      </c>
      <c r="V14" s="60">
        <f t="shared" si="2"/>
        <v>2862.6870980392155</v>
      </c>
      <c r="W14" s="60">
        <f t="shared" si="3"/>
        <v>2862.6870980392155</v>
      </c>
      <c r="X14" s="370" t="str">
        <f>+IF(W14="","",IF(W14&gt;=[11]PARÁMETROS!$D$5,"CUMPLE","NO CUMPLE"))</f>
        <v>CUMPLE</v>
      </c>
      <c r="Y14" s="143"/>
      <c r="Z14" s="112"/>
    </row>
    <row r="15" spans="1:28" s="79" customFormat="1" ht="63" x14ac:dyDescent="0.25">
      <c r="A15" s="652" t="s">
        <v>799</v>
      </c>
      <c r="B15" s="125" t="s">
        <v>319</v>
      </c>
      <c r="C15" s="408">
        <v>2</v>
      </c>
      <c r="D15" s="127" t="str">
        <f>+IFERROR(INDEX([11]CONSOLIDADO!$D$4:$D$108,MATCH('EXP ESPEC. 25-32'!B15,[11]CONSOLIDADO!$C$4:$C$108,0)),"")</f>
        <v>AYESA COLOMBIA INGENIERIA Y ARQUITECTURA S.A.S.</v>
      </c>
      <c r="E15" s="128" t="s">
        <v>25</v>
      </c>
      <c r="F15" s="129" t="s">
        <v>801</v>
      </c>
      <c r="G15" s="368" t="s">
        <v>5</v>
      </c>
      <c r="H15" s="368" t="s">
        <v>6</v>
      </c>
      <c r="I15" s="368" t="s">
        <v>5</v>
      </c>
      <c r="J15" s="368" t="s">
        <v>6</v>
      </c>
      <c r="K15" s="131">
        <v>1</v>
      </c>
      <c r="L15" s="132">
        <v>37591</v>
      </c>
      <c r="M15" s="132">
        <v>40117</v>
      </c>
      <c r="N15" s="133">
        <f t="shared" si="0"/>
        <v>2009</v>
      </c>
      <c r="O15" s="134">
        <f>+IFERROR(INDEX([11]PARÁMETROS!$B$11:$B$37,MATCH(N15,[11]PARÁMETROS!$A$11:$A$37,0)),"")</f>
        <v>496900</v>
      </c>
      <c r="P15" s="135">
        <v>4306126.45</v>
      </c>
      <c r="Q15" s="265" t="s">
        <v>24</v>
      </c>
      <c r="R15" s="429">
        <v>1.48045</v>
      </c>
      <c r="S15" s="422">
        <f>+P15*R15</f>
        <v>6375004.9029025007</v>
      </c>
      <c r="T15" s="422">
        <v>2004.37</v>
      </c>
      <c r="U15" s="284">
        <f>+S15*T15</f>
        <v>12777868577.230684</v>
      </c>
      <c r="V15" s="139">
        <f t="shared" si="2"/>
        <v>25715.171216000574</v>
      </c>
      <c r="W15" s="139">
        <f t="shared" si="3"/>
        <v>25715.171216000574</v>
      </c>
      <c r="X15" s="373" t="str">
        <f>+IF(W15="","",IF(W15&gt;=[11]PARÁMETROS!$D$5,"CUMPLE","NO CUMPLE"))</f>
        <v>CUMPLE</v>
      </c>
      <c r="Y15" s="142"/>
      <c r="Z15" s="112"/>
    </row>
    <row r="16" spans="1:28" s="79" customFormat="1" ht="57" x14ac:dyDescent="0.25">
      <c r="A16" s="653"/>
      <c r="B16" s="377" t="s">
        <v>320</v>
      </c>
      <c r="C16" s="409">
        <v>11</v>
      </c>
      <c r="D16" s="65" t="str">
        <f>+IFERROR(INDEX([11]CONSOLIDADO!$D$4:$D$108,MATCH('EXP ESPEC. 25-32'!B16,[11]CONSOLIDADO!$C$4:$C$108,0)),"")</f>
        <v>INTERSA S.A.</v>
      </c>
      <c r="E16" s="66" t="s">
        <v>19</v>
      </c>
      <c r="F16" s="67" t="s">
        <v>802</v>
      </c>
      <c r="G16" s="369" t="s">
        <v>5</v>
      </c>
      <c r="H16" s="369" t="s">
        <v>5</v>
      </c>
      <c r="I16" s="369" t="s">
        <v>5</v>
      </c>
      <c r="J16" s="369" t="s">
        <v>6</v>
      </c>
      <c r="K16" s="69">
        <v>0.5</v>
      </c>
      <c r="L16" s="70">
        <v>38772</v>
      </c>
      <c r="M16" s="70">
        <v>40656</v>
      </c>
      <c r="N16" s="71">
        <f t="shared" si="0"/>
        <v>2011</v>
      </c>
      <c r="O16" s="72">
        <f>+IFERROR(INDEX([11]PARÁMETROS!$B$11:$B$37,MATCH(N16,[11]PARÁMETROS!$A$11:$A$37,0)),"")</f>
        <v>535600</v>
      </c>
      <c r="P16" s="73">
        <v>4794033856</v>
      </c>
      <c r="Q16" s="74" t="s">
        <v>20</v>
      </c>
      <c r="R16" s="377" t="s">
        <v>54</v>
      </c>
      <c r="S16" s="75" t="s">
        <v>54</v>
      </c>
      <c r="T16" s="76">
        <v>1</v>
      </c>
      <c r="U16" s="72">
        <f t="shared" si="1"/>
        <v>4794033856</v>
      </c>
      <c r="V16" s="60">
        <f t="shared" si="2"/>
        <v>8950.7726960418222</v>
      </c>
      <c r="W16" s="60">
        <f t="shared" si="3"/>
        <v>4475.3863480209111</v>
      </c>
      <c r="X16" s="369" t="str">
        <f>+IF(W16="","",IF(W16&gt;=[11]PARÁMETROS!$D$5,"CUMPLE","NO CUMPLE"))</f>
        <v>CUMPLE</v>
      </c>
      <c r="Y16" s="143"/>
      <c r="Z16" s="112"/>
    </row>
    <row r="17" spans="1:26" s="79" customFormat="1" ht="57" x14ac:dyDescent="0.25">
      <c r="A17" s="653"/>
      <c r="B17" s="377" t="s">
        <v>320</v>
      </c>
      <c r="C17" s="409">
        <v>16</v>
      </c>
      <c r="D17" s="65" t="str">
        <f>+IFERROR(INDEX([11]CONSOLIDADO!$D$4:$D$108,MATCH('EXP ESPEC. 25-32'!B17,[11]CONSOLIDADO!$C$4:$C$108,0)),"")</f>
        <v>INTERSA S.A.</v>
      </c>
      <c r="E17" s="66" t="s">
        <v>777</v>
      </c>
      <c r="F17" s="67" t="s">
        <v>803</v>
      </c>
      <c r="G17" s="369" t="s">
        <v>5</v>
      </c>
      <c r="H17" s="369" t="s">
        <v>6</v>
      </c>
      <c r="I17" s="369" t="s">
        <v>5</v>
      </c>
      <c r="J17" s="369" t="s">
        <v>6</v>
      </c>
      <c r="K17" s="69">
        <v>0.75</v>
      </c>
      <c r="L17" s="70">
        <v>37308</v>
      </c>
      <c r="M17" s="70">
        <v>37986</v>
      </c>
      <c r="N17" s="71">
        <f t="shared" si="0"/>
        <v>2003</v>
      </c>
      <c r="O17" s="72">
        <f>+IFERROR(INDEX([11]PARÁMETROS!$B$11:$B$37,MATCH(N17,[11]PARÁMETROS!$A$11:$A$37,0)),"")</f>
        <v>332000</v>
      </c>
      <c r="P17" s="73">
        <v>1335742560</v>
      </c>
      <c r="Q17" s="74" t="s">
        <v>20</v>
      </c>
      <c r="R17" s="377" t="s">
        <v>54</v>
      </c>
      <c r="S17" s="75" t="s">
        <v>54</v>
      </c>
      <c r="T17" s="76">
        <v>1</v>
      </c>
      <c r="U17" s="72">
        <f t="shared" si="1"/>
        <v>1335742560</v>
      </c>
      <c r="V17" s="60">
        <f t="shared" si="2"/>
        <v>4023.3209638554217</v>
      </c>
      <c r="W17" s="60">
        <f t="shared" si="3"/>
        <v>3017.4907228915663</v>
      </c>
      <c r="X17" s="369" t="str">
        <f>+IF(W17="","",IF(W17&gt;=[11]PARÁMETROS!$D$5,"CUMPLE","NO CUMPLE"))</f>
        <v>CUMPLE</v>
      </c>
      <c r="Y17" s="143"/>
      <c r="Z17" s="112"/>
    </row>
    <row r="18" spans="1:26" s="79" customFormat="1" ht="57.75" thickBot="1" x14ac:dyDescent="0.3">
      <c r="A18" s="653"/>
      <c r="B18" s="377" t="s">
        <v>320</v>
      </c>
      <c r="C18" s="409">
        <v>21</v>
      </c>
      <c r="D18" s="65" t="str">
        <f>+IFERROR(INDEX([11]CONSOLIDADO!$D$4:$D$108,MATCH('EXP ESPEC. 25-32'!B18,[11]CONSOLIDADO!$C$4:$C$108,0)),"")</f>
        <v>INTERSA S.A.</v>
      </c>
      <c r="E18" s="66" t="s">
        <v>777</v>
      </c>
      <c r="F18" s="67" t="s">
        <v>804</v>
      </c>
      <c r="G18" s="369" t="s">
        <v>5</v>
      </c>
      <c r="H18" s="369" t="s">
        <v>6</v>
      </c>
      <c r="I18" s="369" t="s">
        <v>5</v>
      </c>
      <c r="J18" s="369" t="s">
        <v>6</v>
      </c>
      <c r="K18" s="69">
        <v>1</v>
      </c>
      <c r="L18" s="70">
        <v>36992</v>
      </c>
      <c r="M18" s="70">
        <v>37539</v>
      </c>
      <c r="N18" s="71">
        <f t="shared" si="0"/>
        <v>2002</v>
      </c>
      <c r="O18" s="72">
        <f>+IFERROR(INDEX([11]PARÁMETROS!$B$11:$B$37,MATCH(N18,[11]PARÁMETROS!$A$11:$A$37,0)),"")</f>
        <v>309000</v>
      </c>
      <c r="P18" s="73">
        <v>999929000</v>
      </c>
      <c r="Q18" s="74" t="s">
        <v>20</v>
      </c>
      <c r="R18" s="377" t="s">
        <v>54</v>
      </c>
      <c r="S18" s="75" t="s">
        <v>54</v>
      </c>
      <c r="T18" s="76">
        <v>1</v>
      </c>
      <c r="U18" s="72">
        <f t="shared" si="1"/>
        <v>999929000</v>
      </c>
      <c r="V18" s="60">
        <f t="shared" si="2"/>
        <v>3236.0161812297733</v>
      </c>
      <c r="W18" s="60">
        <f t="shared" si="3"/>
        <v>3236.0161812297733</v>
      </c>
      <c r="X18" s="370" t="str">
        <f>+IF(W18="","",IF(W18&gt;=[11]PARÁMETROS!$D$5,"CUMPLE","NO CUMPLE"))</f>
        <v>CUMPLE</v>
      </c>
      <c r="Y18" s="143"/>
      <c r="Z18" s="112"/>
    </row>
    <row r="19" spans="1:26" s="79" customFormat="1" ht="99.75" x14ac:dyDescent="0.25">
      <c r="A19" s="652" t="s">
        <v>806</v>
      </c>
      <c r="B19" s="125" t="s">
        <v>322</v>
      </c>
      <c r="C19" s="408">
        <v>3</v>
      </c>
      <c r="D19" s="127" t="str">
        <f>+IFERROR(INDEX([11]CONSOLIDADO!$D$4:$D$108,MATCH('EXP ESPEC. 25-32'!B19,[11]CONSOLIDADO!$C$4:$C$108,0)),"")</f>
        <v>CAYCO S.A.S.</v>
      </c>
      <c r="E19" s="128" t="s">
        <v>23</v>
      </c>
      <c r="F19" s="129" t="s">
        <v>810</v>
      </c>
      <c r="G19" s="368" t="s">
        <v>5</v>
      </c>
      <c r="H19" s="368" t="s">
        <v>6</v>
      </c>
      <c r="I19" s="368" t="s">
        <v>5</v>
      </c>
      <c r="J19" s="368" t="s">
        <v>6</v>
      </c>
      <c r="K19" s="131">
        <v>0.1</v>
      </c>
      <c r="L19" s="132">
        <v>39615</v>
      </c>
      <c r="M19" s="132">
        <v>41152</v>
      </c>
      <c r="N19" s="133">
        <f t="shared" si="0"/>
        <v>2012</v>
      </c>
      <c r="O19" s="134">
        <f>+IFERROR(INDEX([11]PARÁMETROS!$B$11:$B$37,MATCH(N19,[11]PARÁMETROS!$A$11:$A$37,0)),"")</f>
        <v>566700</v>
      </c>
      <c r="P19" s="135">
        <v>19146251489</v>
      </c>
      <c r="Q19" s="136" t="s">
        <v>20</v>
      </c>
      <c r="R19" s="125" t="s">
        <v>54</v>
      </c>
      <c r="S19" s="137" t="s">
        <v>54</v>
      </c>
      <c r="T19" s="138">
        <v>1</v>
      </c>
      <c r="U19" s="134">
        <f t="shared" si="1"/>
        <v>19146251489</v>
      </c>
      <c r="V19" s="139">
        <f t="shared" si="2"/>
        <v>33785.515244397386</v>
      </c>
      <c r="W19" s="139">
        <f t="shared" si="3"/>
        <v>3378.5515244397388</v>
      </c>
      <c r="X19" s="373" t="str">
        <f>+IF(W19="","",IF(W19&gt;=[11]PARÁMETROS!$D$5,"CUMPLE","NO CUMPLE"))</f>
        <v>CUMPLE</v>
      </c>
      <c r="Y19" s="142"/>
      <c r="Z19" s="112"/>
    </row>
    <row r="20" spans="1:26" s="79" customFormat="1" ht="63" x14ac:dyDescent="0.25">
      <c r="A20" s="653"/>
      <c r="B20" s="377" t="s">
        <v>321</v>
      </c>
      <c r="C20" s="409">
        <v>38</v>
      </c>
      <c r="D20" s="65" t="str">
        <f>+IFERROR(INDEX([11]CONSOLIDADO!$D$4:$D$108,MATCH('EXP ESPEC. 25-32'!B20,[11]CONSOLIDADO!$C$4:$C$108,0)),"")</f>
        <v>PROYECTOS CONSTRUCCIONES CIVILES Y VIALES LIMITADA</v>
      </c>
      <c r="E20" s="66" t="s">
        <v>777</v>
      </c>
      <c r="F20" s="67" t="s">
        <v>807</v>
      </c>
      <c r="G20" s="369" t="s">
        <v>5</v>
      </c>
      <c r="H20" s="369" t="s">
        <v>5</v>
      </c>
      <c r="I20" s="369" t="s">
        <v>5</v>
      </c>
      <c r="J20" s="369" t="s">
        <v>6</v>
      </c>
      <c r="K20" s="69">
        <v>0.5</v>
      </c>
      <c r="L20" s="70">
        <v>35076</v>
      </c>
      <c r="M20" s="70">
        <v>35881</v>
      </c>
      <c r="N20" s="71">
        <f t="shared" si="0"/>
        <v>1998</v>
      </c>
      <c r="O20" s="72">
        <f>+IFERROR(INDEX([11]PARÁMETROS!$B$11:$B$37,MATCH(N20,[11]PARÁMETROS!$A$11:$A$37,0)),"")</f>
        <v>203826</v>
      </c>
      <c r="P20" s="73">
        <v>1603996630</v>
      </c>
      <c r="Q20" s="74" t="s">
        <v>20</v>
      </c>
      <c r="R20" s="377" t="s">
        <v>54</v>
      </c>
      <c r="S20" s="75" t="s">
        <v>54</v>
      </c>
      <c r="T20" s="76">
        <v>1</v>
      </c>
      <c r="U20" s="72">
        <f t="shared" si="1"/>
        <v>1603996630</v>
      </c>
      <c r="V20" s="60">
        <f t="shared" si="2"/>
        <v>7869.4407484815483</v>
      </c>
      <c r="W20" s="60">
        <f t="shared" si="3"/>
        <v>3934.7203742407742</v>
      </c>
      <c r="X20" s="369" t="str">
        <f>+IF(W20="","",IF(W20&gt;=[11]PARÁMETROS!$D$5,"CUMPLE","NO CUMPLE"))</f>
        <v>CUMPLE</v>
      </c>
      <c r="Y20" s="143"/>
      <c r="Z20" s="112"/>
    </row>
    <row r="21" spans="1:26" s="79" customFormat="1" ht="63" x14ac:dyDescent="0.25">
      <c r="A21" s="653"/>
      <c r="B21" s="377" t="s">
        <v>321</v>
      </c>
      <c r="C21" s="409">
        <v>42</v>
      </c>
      <c r="D21" s="65" t="str">
        <f>+IFERROR(INDEX([11]CONSOLIDADO!$D$4:$D$108,MATCH('EXP ESPEC. 25-32'!B21,[11]CONSOLIDADO!$C$4:$C$108,0)),"")</f>
        <v>PROYECTOS CONSTRUCCIONES CIVILES Y VIALES LIMITADA</v>
      </c>
      <c r="E21" s="66" t="s">
        <v>777</v>
      </c>
      <c r="F21" s="67" t="s">
        <v>808</v>
      </c>
      <c r="G21" s="369" t="s">
        <v>5</v>
      </c>
      <c r="H21" s="369" t="s">
        <v>6</v>
      </c>
      <c r="I21" s="369" t="s">
        <v>5</v>
      </c>
      <c r="J21" s="369" t="s">
        <v>6</v>
      </c>
      <c r="K21" s="83">
        <v>0.75</v>
      </c>
      <c r="L21" s="70">
        <v>37411</v>
      </c>
      <c r="M21" s="70">
        <v>38518</v>
      </c>
      <c r="N21" s="71">
        <f t="shared" si="0"/>
        <v>2005</v>
      </c>
      <c r="O21" s="72">
        <f>+IFERROR(INDEX([11]PARÁMETROS!$B$11:$B$37,MATCH(N21,[11]PARÁMETROS!$A$11:$A$37,0)),"")</f>
        <v>381500</v>
      </c>
      <c r="P21" s="73">
        <v>2982660825.3299999</v>
      </c>
      <c r="Q21" s="74" t="s">
        <v>20</v>
      </c>
      <c r="R21" s="377" t="s">
        <v>54</v>
      </c>
      <c r="S21" s="75" t="s">
        <v>54</v>
      </c>
      <c r="T21" s="76">
        <v>1</v>
      </c>
      <c r="U21" s="72">
        <f t="shared" si="1"/>
        <v>2982660825.3299999</v>
      </c>
      <c r="V21" s="60">
        <f t="shared" si="2"/>
        <v>7818.2459379554384</v>
      </c>
      <c r="W21" s="60">
        <f t="shared" si="3"/>
        <v>5863.6844534665788</v>
      </c>
      <c r="X21" s="369" t="str">
        <f>+IF(W21="","",IF(W21&gt;=[11]PARÁMETROS!$D$5,"CUMPLE","NO CUMPLE"))</f>
        <v>CUMPLE</v>
      </c>
      <c r="Y21" s="174"/>
      <c r="Z21" s="112"/>
    </row>
    <row r="22" spans="1:26" s="88" customFormat="1" ht="63.75" thickBot="1" x14ac:dyDescent="0.3">
      <c r="A22" s="653"/>
      <c r="B22" s="377" t="s">
        <v>321</v>
      </c>
      <c r="C22" s="409">
        <v>86</v>
      </c>
      <c r="D22" s="65" t="str">
        <f>+IFERROR(INDEX([11]CONSOLIDADO!$D$4:$D$108,MATCH('EXP ESPEC. 25-32'!B22,[11]CONSOLIDADO!$C$4:$C$108,0)),"")</f>
        <v>PROYECTOS CONSTRUCCIONES CIVILES Y VIALES LIMITADA</v>
      </c>
      <c r="E22" s="66" t="s">
        <v>777</v>
      </c>
      <c r="F22" s="67" t="s">
        <v>809</v>
      </c>
      <c r="G22" s="369" t="s">
        <v>5</v>
      </c>
      <c r="H22" s="369" t="s">
        <v>6</v>
      </c>
      <c r="I22" s="369" t="s">
        <v>5</v>
      </c>
      <c r="J22" s="369" t="s">
        <v>6</v>
      </c>
      <c r="K22" s="84">
        <v>1</v>
      </c>
      <c r="L22" s="85">
        <v>32965</v>
      </c>
      <c r="M22" s="86">
        <v>35064</v>
      </c>
      <c r="N22" s="71">
        <f t="shared" si="0"/>
        <v>1995</v>
      </c>
      <c r="O22" s="72">
        <f>+IFERROR(INDEX([11]PARÁMETROS!$B$11:$B$37,MATCH(N22,[11]PARÁMETROS!$A$11:$A$37,0)),"")</f>
        <v>118933.5</v>
      </c>
      <c r="P22" s="155">
        <v>824463304</v>
      </c>
      <c r="Q22" s="155" t="s">
        <v>20</v>
      </c>
      <c r="R22" s="155" t="s">
        <v>54</v>
      </c>
      <c r="S22" s="155" t="s">
        <v>54</v>
      </c>
      <c r="T22" s="155">
        <v>1</v>
      </c>
      <c r="U22" s="153">
        <f t="shared" si="1"/>
        <v>824463304</v>
      </c>
      <c r="V22" s="158">
        <f t="shared" si="2"/>
        <v>6932.1369000323712</v>
      </c>
      <c r="W22" s="60">
        <f t="shared" si="3"/>
        <v>6932.1369000323712</v>
      </c>
      <c r="X22" s="370" t="str">
        <f>+IF(W22="","",IF(W22&gt;=[11]PARÁMETROS!$D$5,"CUMPLE","NO CUMPLE"))</f>
        <v>CUMPLE</v>
      </c>
      <c r="Y22" s="143"/>
      <c r="Z22" s="166"/>
    </row>
    <row r="23" spans="1:26" s="79" customFormat="1" ht="47.25" x14ac:dyDescent="0.25">
      <c r="A23" s="652" t="s">
        <v>813</v>
      </c>
      <c r="B23" s="125" t="s">
        <v>325</v>
      </c>
      <c r="C23" s="408"/>
      <c r="D23" s="127" t="str">
        <f>+IFERROR(INDEX([11]CONSOLIDADO!$D$4:$D$108,MATCH('EXP ESPEC. 25-32'!B23,[11]CONSOLIDADO!$C$4:$C$108,0)),"")</f>
        <v>INYPSA INFORMES Y PROYECTOS COLOMBIA S.A.S.</v>
      </c>
      <c r="E23" s="128" t="s">
        <v>788</v>
      </c>
      <c r="F23" s="129" t="s">
        <v>821</v>
      </c>
      <c r="G23" s="368" t="s">
        <v>5</v>
      </c>
      <c r="H23" s="368" t="s">
        <v>6</v>
      </c>
      <c r="I23" s="368" t="s">
        <v>5</v>
      </c>
      <c r="J23" s="368" t="s">
        <v>6</v>
      </c>
      <c r="K23" s="131">
        <v>1</v>
      </c>
      <c r="L23" s="132">
        <v>38096</v>
      </c>
      <c r="M23" s="132">
        <v>39325</v>
      </c>
      <c r="N23" s="133">
        <v>2004</v>
      </c>
      <c r="O23" s="134">
        <f>+IFERROR(INDEX([11]PARÁMETROS!$B$11:$B$37,MATCH(N23,[11]PARÁMETROS!$A$11:$A$37,0)),"")</f>
        <v>358000</v>
      </c>
      <c r="P23" s="424">
        <v>1579261.69</v>
      </c>
      <c r="Q23" s="265" t="s">
        <v>24</v>
      </c>
      <c r="R23" s="421">
        <v>1.2013</v>
      </c>
      <c r="S23" s="422">
        <f>+P23*R23</f>
        <v>1897167.0681970001</v>
      </c>
      <c r="T23" s="422">
        <v>2620.19</v>
      </c>
      <c r="U23" s="284">
        <f>+S23*T23</f>
        <v>4970938180.4190979</v>
      </c>
      <c r="V23" s="123"/>
      <c r="W23" s="139">
        <f t="shared" si="3"/>
        <v>0</v>
      </c>
      <c r="X23" s="588" t="s">
        <v>861</v>
      </c>
      <c r="Y23" s="142" t="s">
        <v>882</v>
      </c>
      <c r="Z23" s="112"/>
    </row>
    <row r="24" spans="1:26" s="79" customFormat="1" ht="28.5" x14ac:dyDescent="0.25">
      <c r="A24" s="653"/>
      <c r="B24" s="377" t="s">
        <v>323</v>
      </c>
      <c r="C24" s="409"/>
      <c r="D24" s="65" t="str">
        <f>+IFERROR(INDEX([11]CONSOLIDADO!$D$4:$D$108,MATCH('EXP ESPEC. 25-32'!B24,[11]CONSOLIDADO!$C$4:$C$108,0)),"")</f>
        <v>PROGIN SPA</v>
      </c>
      <c r="E24" s="66" t="s">
        <v>816</v>
      </c>
      <c r="F24" s="67" t="s">
        <v>817</v>
      </c>
      <c r="G24" s="369" t="s">
        <v>6</v>
      </c>
      <c r="H24" s="369" t="s">
        <v>6</v>
      </c>
      <c r="I24" s="369" t="s">
        <v>5</v>
      </c>
      <c r="J24" s="369" t="s">
        <v>6</v>
      </c>
      <c r="K24" s="69">
        <v>0.23</v>
      </c>
      <c r="L24" s="70">
        <v>33527</v>
      </c>
      <c r="M24" s="70">
        <v>36734</v>
      </c>
      <c r="N24" s="71">
        <f t="shared" si="0"/>
        <v>2000</v>
      </c>
      <c r="O24" s="72">
        <f>+IFERROR(INDEX([11]PARÁMETROS!$B$11:$B$37,MATCH(N24,[11]PARÁMETROS!$A$11:$A$37,0)),"")</f>
        <v>260100</v>
      </c>
      <c r="P24" s="250">
        <v>113930818.91</v>
      </c>
      <c r="Q24" s="74" t="s">
        <v>24</v>
      </c>
      <c r="R24" s="432">
        <v>0.94181999999999999</v>
      </c>
      <c r="S24" s="433">
        <f>+P24*R24</f>
        <v>107302323.86581619</v>
      </c>
      <c r="T24" s="422">
        <v>2165.37</v>
      </c>
      <c r="U24" s="425">
        <f>+S24*T24</f>
        <v>232349233029.32239</v>
      </c>
      <c r="V24" s="60">
        <f t="shared" si="2"/>
        <v>893307.31652949785</v>
      </c>
      <c r="W24" s="60">
        <f t="shared" si="3"/>
        <v>205460.68280178451</v>
      </c>
      <c r="X24" s="369" t="str">
        <f>+IF(W24="","",IF(W24&gt;=[11]PARÁMETROS!$D$5,"CUMPLE","NO CUMPLE"))</f>
        <v>CUMPLE</v>
      </c>
      <c r="Y24" s="143"/>
      <c r="Z24" s="112"/>
    </row>
    <row r="25" spans="1:26" s="79" customFormat="1" ht="71.25" x14ac:dyDescent="0.25">
      <c r="A25" s="653"/>
      <c r="B25" s="377" t="s">
        <v>324</v>
      </c>
      <c r="C25" s="409"/>
      <c r="D25" s="65" t="str">
        <f>+IFERROR(INDEX([11]CONSOLIDADO!$D$4:$D$108,MATCH('EXP ESPEC. 25-32'!B25,[11]CONSOLIDADO!$C$4:$C$108,0)),"")</f>
        <v>D &amp; B INGENIEROS CIVILES S.A.S.</v>
      </c>
      <c r="E25" s="66" t="s">
        <v>818</v>
      </c>
      <c r="F25" s="67" t="s">
        <v>819</v>
      </c>
      <c r="G25" s="492" t="s">
        <v>6</v>
      </c>
      <c r="H25" s="369" t="s">
        <v>6</v>
      </c>
      <c r="I25" s="369" t="s">
        <v>5</v>
      </c>
      <c r="J25" s="369" t="s">
        <v>6</v>
      </c>
      <c r="K25" s="69">
        <v>1</v>
      </c>
      <c r="L25" s="70">
        <v>39353</v>
      </c>
      <c r="M25" s="70">
        <v>41273</v>
      </c>
      <c r="N25" s="71">
        <f t="shared" si="0"/>
        <v>2012</v>
      </c>
      <c r="O25" s="72">
        <f>+IFERROR(INDEX([11]PARÁMETROS!$B$11:$B$37,MATCH(N25,[11]PARÁMETROS!$A$11:$A$37,0)),"")</f>
        <v>566700</v>
      </c>
      <c r="P25" s="250">
        <v>25074000000</v>
      </c>
      <c r="Q25" s="74" t="s">
        <v>820</v>
      </c>
      <c r="R25" s="432">
        <v>2.3000000000000001E-4</v>
      </c>
      <c r="S25" s="433">
        <f>+P25*R25</f>
        <v>5767020</v>
      </c>
      <c r="T25" s="422">
        <v>1768.23</v>
      </c>
      <c r="U25" s="425">
        <f>+S25*T25</f>
        <v>10197417774.6</v>
      </c>
      <c r="V25" s="60">
        <f t="shared" si="2"/>
        <v>17994.384638433035</v>
      </c>
      <c r="W25" s="60">
        <f t="shared" si="3"/>
        <v>17994.384638433035</v>
      </c>
      <c r="X25" s="369" t="str">
        <f>+IF(W25="","",IF(W25&gt;=[11]PARÁMETROS!$D$5,"CUMPLE","NO CUMPLE"))</f>
        <v>CUMPLE</v>
      </c>
      <c r="Y25" s="143"/>
      <c r="Z25" s="112"/>
    </row>
    <row r="26" spans="1:26" s="79" customFormat="1" ht="129" thickBot="1" x14ac:dyDescent="0.3">
      <c r="A26" s="653"/>
      <c r="B26" s="377" t="s">
        <v>325</v>
      </c>
      <c r="C26" s="409"/>
      <c r="D26" s="65" t="str">
        <f>+IFERROR(INDEX([11]CONSOLIDADO!$D$4:$D$108,MATCH('EXP ESPEC. 25-32'!B26,[11]CONSOLIDADO!$C$4:$C$108,0)),"")</f>
        <v>INYPSA INFORMES Y PROYECTOS COLOMBIA S.A.S.</v>
      </c>
      <c r="E26" s="66" t="s">
        <v>19</v>
      </c>
      <c r="F26" s="438" t="s">
        <v>840</v>
      </c>
      <c r="G26" s="369" t="s">
        <v>5</v>
      </c>
      <c r="H26" s="369" t="s">
        <v>5</v>
      </c>
      <c r="I26" s="369" t="s">
        <v>5</v>
      </c>
      <c r="J26" s="369" t="s">
        <v>6</v>
      </c>
      <c r="K26" s="69">
        <v>0.35</v>
      </c>
      <c r="L26" s="70">
        <v>41072</v>
      </c>
      <c r="M26" s="70" t="s">
        <v>678</v>
      </c>
      <c r="N26" s="71">
        <v>2015</v>
      </c>
      <c r="O26" s="72">
        <f>+IFERROR(INDEX([11]PARÁMETROS!$B$11:$B$37,MATCH(N26,[11]PARÁMETROS!$A$11:$A$37,0)),"")</f>
        <v>644350</v>
      </c>
      <c r="P26" s="73">
        <v>7229192986</v>
      </c>
      <c r="Q26" s="74" t="s">
        <v>20</v>
      </c>
      <c r="R26" s="377" t="s">
        <v>54</v>
      </c>
      <c r="S26" s="75" t="s">
        <v>54</v>
      </c>
      <c r="T26" s="76">
        <v>1</v>
      </c>
      <c r="U26" s="72">
        <f t="shared" si="1"/>
        <v>7229192986</v>
      </c>
      <c r="V26" s="60">
        <f t="shared" si="2"/>
        <v>11219.357470318926</v>
      </c>
      <c r="W26" s="60">
        <f t="shared" si="3"/>
        <v>3926.7751146116238</v>
      </c>
      <c r="X26" s="370" t="str">
        <f>+IF(W26="","",IF(W26&gt;=[11]PARÁMETROS!$D$5,"CUMPLE","NO CUMPLE"))</f>
        <v>CUMPLE</v>
      </c>
      <c r="Y26" s="143"/>
      <c r="Z26" s="112"/>
    </row>
    <row r="27" spans="1:26" s="79" customFormat="1" ht="47.25" x14ac:dyDescent="0.25">
      <c r="A27" s="652" t="s">
        <v>822</v>
      </c>
      <c r="B27" s="125" t="s">
        <v>328</v>
      </c>
      <c r="C27" s="408">
        <v>3</v>
      </c>
      <c r="D27" s="127" t="str">
        <f>+IFERROR(INDEX([11]CONSOLIDADO!$D$4:$D$108,MATCH('EXP ESPEC. 25-32'!B27,[11]CONSOLIDADO!$C$4:$C$108,0)),"")</f>
        <v>GARPER INGENIERÍA CIA S.A.S.</v>
      </c>
      <c r="E27" s="128" t="s">
        <v>436</v>
      </c>
      <c r="F27" s="129" t="s">
        <v>826</v>
      </c>
      <c r="G27" s="368" t="s">
        <v>5</v>
      </c>
      <c r="H27" s="442" t="s">
        <v>5</v>
      </c>
      <c r="I27" s="368" t="s">
        <v>5</v>
      </c>
      <c r="J27" s="368" t="s">
        <v>6</v>
      </c>
      <c r="K27" s="131">
        <v>0.55000000000000004</v>
      </c>
      <c r="L27" s="132">
        <v>34338</v>
      </c>
      <c r="M27" s="132">
        <v>36305</v>
      </c>
      <c r="N27" s="133">
        <f t="shared" si="0"/>
        <v>1999</v>
      </c>
      <c r="O27" s="134">
        <f>+IFERROR(INDEX([11]PARÁMETROS!$B$11:$B$37,MATCH(N27,[11]PARÁMETROS!$A$11:$A$37,0)),"")</f>
        <v>236460</v>
      </c>
      <c r="P27" s="135">
        <v>4491569047</v>
      </c>
      <c r="Q27" s="136" t="s">
        <v>20</v>
      </c>
      <c r="R27" s="125" t="s">
        <v>54</v>
      </c>
      <c r="S27" s="137" t="s">
        <v>54</v>
      </c>
      <c r="T27" s="138">
        <v>1</v>
      </c>
      <c r="U27" s="134">
        <f t="shared" si="1"/>
        <v>4491569047</v>
      </c>
      <c r="V27" s="139">
        <f t="shared" si="2"/>
        <v>18995.04798697454</v>
      </c>
      <c r="W27" s="139">
        <f t="shared" si="3"/>
        <v>10447.276392835998</v>
      </c>
      <c r="X27" s="373" t="str">
        <f>+IF(W27="","",IF(W27&gt;=[11]PARÁMETROS!$D$5,"CUMPLE","NO CUMPLE"))</f>
        <v>CUMPLE</v>
      </c>
      <c r="Y27" s="142"/>
      <c r="Z27" s="112"/>
    </row>
    <row r="28" spans="1:26" s="79" customFormat="1" ht="42.75" x14ac:dyDescent="0.25">
      <c r="A28" s="653"/>
      <c r="B28" s="377" t="s">
        <v>326</v>
      </c>
      <c r="C28" s="409">
        <v>22</v>
      </c>
      <c r="D28" s="65" t="str">
        <f>+IFERROR(INDEX([11]CONSOLIDADO!$D$4:$D$108,MATCH('EXP ESPEC. 25-32'!B28,[11]CONSOLIDADO!$C$4:$C$108,0)),"")</f>
        <v>EUROCONTROL S.A.</v>
      </c>
      <c r="E28" s="66" t="s">
        <v>788</v>
      </c>
      <c r="F28" s="67" t="s">
        <v>825</v>
      </c>
      <c r="G28" s="369" t="s">
        <v>5</v>
      </c>
      <c r="H28" s="369" t="s">
        <v>6</v>
      </c>
      <c r="I28" s="369" t="s">
        <v>5</v>
      </c>
      <c r="J28" s="369" t="s">
        <v>6</v>
      </c>
      <c r="K28" s="69">
        <v>1</v>
      </c>
      <c r="L28" s="70">
        <v>38296</v>
      </c>
      <c r="M28" s="70">
        <v>39360</v>
      </c>
      <c r="N28" s="71">
        <f t="shared" si="0"/>
        <v>2007</v>
      </c>
      <c r="O28" s="72">
        <f>+IFERROR(INDEX([11]PARÁMETROS!$B$11:$B$37,MATCH(N28,[11]PARÁMETROS!$A$11:$A$37,0)),"")</f>
        <v>433700</v>
      </c>
      <c r="P28" s="250">
        <v>1248500.53</v>
      </c>
      <c r="Q28" s="74" t="s">
        <v>24</v>
      </c>
      <c r="R28" s="377">
        <v>1.4105700000000001</v>
      </c>
      <c r="S28" s="433">
        <f>+P28*R28</f>
        <v>1761097.3926021003</v>
      </c>
      <c r="T28" s="76">
        <v>2018.45</v>
      </c>
      <c r="U28" s="425">
        <f>+S28*T28</f>
        <v>3554687032.0977092</v>
      </c>
      <c r="V28" s="60">
        <f t="shared" si="2"/>
        <v>8196.188683647013</v>
      </c>
      <c r="W28" s="60">
        <f t="shared" si="3"/>
        <v>8196.188683647013</v>
      </c>
      <c r="X28" s="369" t="str">
        <f>+IF(W28="","",IF(W28&gt;=[11]PARÁMETROS!$D$5,"CUMPLE","NO CUMPLE"))</f>
        <v>CUMPLE</v>
      </c>
      <c r="Y28" s="143"/>
      <c r="Z28" s="112"/>
    </row>
    <row r="29" spans="1:26" s="79" customFormat="1" ht="42.75" x14ac:dyDescent="0.25">
      <c r="A29" s="653"/>
      <c r="B29" s="377" t="s">
        <v>326</v>
      </c>
      <c r="C29" s="409">
        <v>33</v>
      </c>
      <c r="D29" s="65" t="str">
        <f>+IFERROR(INDEX([11]CONSOLIDADO!$D$4:$D$108,MATCH('EXP ESPEC. 25-32'!B29,[11]CONSOLIDADO!$C$4:$C$108,0)),"")</f>
        <v>EUROCONTROL S.A.</v>
      </c>
      <c r="E29" s="66" t="s">
        <v>788</v>
      </c>
      <c r="F29" s="67" t="s">
        <v>824</v>
      </c>
      <c r="G29" s="369" t="s">
        <v>5</v>
      </c>
      <c r="H29" s="369" t="s">
        <v>6</v>
      </c>
      <c r="I29" s="369" t="s">
        <v>5</v>
      </c>
      <c r="J29" s="369" t="s">
        <v>6</v>
      </c>
      <c r="K29" s="69">
        <v>1</v>
      </c>
      <c r="L29" s="70">
        <v>38661</v>
      </c>
      <c r="M29" s="70">
        <v>40122</v>
      </c>
      <c r="N29" s="71">
        <f t="shared" si="0"/>
        <v>2009</v>
      </c>
      <c r="O29" s="72">
        <f>+IFERROR(INDEX([11]PARÁMETROS!$B$11:$B$37,MATCH(N29,[11]PARÁMETROS!$A$11:$A$37,0)),"")</f>
        <v>496900</v>
      </c>
      <c r="P29" s="250">
        <v>949157.05</v>
      </c>
      <c r="Q29" s="74" t="s">
        <v>24</v>
      </c>
      <c r="R29" s="377">
        <v>1.47681</v>
      </c>
      <c r="S29" s="433">
        <f>+P29*R29</f>
        <v>1401724.6230105001</v>
      </c>
      <c r="T29" s="76">
        <v>1963.7</v>
      </c>
      <c r="U29" s="425">
        <f>+S29*T29</f>
        <v>2752566642.205719</v>
      </c>
      <c r="V29" s="60">
        <f t="shared" si="2"/>
        <v>5539.4780483109662</v>
      </c>
      <c r="W29" s="60">
        <f t="shared" si="3"/>
        <v>5539.4780483109662</v>
      </c>
      <c r="X29" s="369" t="str">
        <f>+IF(W29="","",IF(W29&gt;=[11]PARÁMETROS!$D$5,"CUMPLE","NO CUMPLE"))</f>
        <v>CUMPLE</v>
      </c>
      <c r="Y29" s="143"/>
      <c r="Z29" s="112"/>
    </row>
    <row r="30" spans="1:26" s="79" customFormat="1" ht="86.25" thickBot="1" x14ac:dyDescent="0.3">
      <c r="A30" s="653"/>
      <c r="B30" s="377" t="s">
        <v>327</v>
      </c>
      <c r="C30" s="409">
        <v>42</v>
      </c>
      <c r="D30" s="65" t="str">
        <f>+IFERROR(INDEX([11]CONSOLIDADO!$D$4:$D$108,MATCH('EXP ESPEC. 25-32'!B30,[11]CONSOLIDADO!$C$4:$C$108,0)),"")</f>
        <v>TOP SUELOS INGENIERIA S.A.S.</v>
      </c>
      <c r="E30" s="89" t="s">
        <v>777</v>
      </c>
      <c r="F30" s="251" t="s">
        <v>827</v>
      </c>
      <c r="G30" s="369" t="s">
        <v>5</v>
      </c>
      <c r="H30" s="369" t="s">
        <v>6</v>
      </c>
      <c r="I30" s="369" t="s">
        <v>5</v>
      </c>
      <c r="J30" s="369" t="s">
        <v>6</v>
      </c>
      <c r="K30" s="90">
        <v>0.6</v>
      </c>
      <c r="L30" s="91">
        <v>40064</v>
      </c>
      <c r="M30" s="91">
        <v>41999</v>
      </c>
      <c r="N30" s="71">
        <f t="shared" si="0"/>
        <v>2014</v>
      </c>
      <c r="O30" s="72">
        <f>+IFERROR(INDEX([11]PARÁMETROS!$B$11:$B$37,MATCH(N30,[11]PARÁMETROS!$A$11:$A$37,0)),"")</f>
        <v>616000</v>
      </c>
      <c r="P30" s="92">
        <v>8501000000</v>
      </c>
      <c r="Q30" s="93" t="s">
        <v>20</v>
      </c>
      <c r="R30" s="377" t="s">
        <v>54</v>
      </c>
      <c r="S30" s="75" t="s">
        <v>54</v>
      </c>
      <c r="T30" s="76">
        <v>1</v>
      </c>
      <c r="U30" s="72">
        <f t="shared" si="1"/>
        <v>8501000000</v>
      </c>
      <c r="V30" s="60">
        <f t="shared" si="2"/>
        <v>13800.324675324675</v>
      </c>
      <c r="W30" s="60">
        <f t="shared" si="3"/>
        <v>8280.1948051948038</v>
      </c>
      <c r="X30" s="370" t="str">
        <f>+IF(W30="","",IF(W30&gt;=[11]PARÁMETROS!$D$5,"CUMPLE","NO CUMPLE"))</f>
        <v>CUMPLE</v>
      </c>
      <c r="Y30" s="144"/>
      <c r="Z30" s="112"/>
    </row>
    <row r="31" spans="1:26" s="79" customFormat="1" ht="85.5" x14ac:dyDescent="0.25">
      <c r="A31" s="652" t="s">
        <v>830</v>
      </c>
      <c r="B31" s="125" t="s">
        <v>329</v>
      </c>
      <c r="C31" s="408">
        <v>3</v>
      </c>
      <c r="D31" s="127" t="str">
        <f>+IFERROR(INDEX([11]CONSOLIDADO!$D$4:$D$108,MATCH('EXP ESPEC. 25-32'!B31,[11]CONSOLIDADO!$C$4:$C$108,0)),"")</f>
        <v>SERVICIOS DE INGENIERIA Y CONSTRUCCION LIMITADA "SERVINC LTDA"</v>
      </c>
      <c r="E31" s="128" t="s">
        <v>831</v>
      </c>
      <c r="F31" s="129" t="s">
        <v>832</v>
      </c>
      <c r="G31" s="368" t="s">
        <v>5</v>
      </c>
      <c r="H31" s="368" t="s">
        <v>5</v>
      </c>
      <c r="I31" s="368" t="s">
        <v>5</v>
      </c>
      <c r="J31" s="368" t="s">
        <v>6</v>
      </c>
      <c r="K31" s="131">
        <v>0.5</v>
      </c>
      <c r="L31" s="132">
        <v>40331</v>
      </c>
      <c r="M31" s="132">
        <v>41215</v>
      </c>
      <c r="N31" s="133">
        <f t="shared" si="0"/>
        <v>2012</v>
      </c>
      <c r="O31" s="134">
        <f>+IFERROR(INDEX([11]PARÁMETROS!$B$11:$B$37,MATCH(N31,[11]PARÁMETROS!$A$11:$A$37,0)),"")</f>
        <v>566700</v>
      </c>
      <c r="P31" s="135">
        <v>4264498383</v>
      </c>
      <c r="Q31" s="136" t="s">
        <v>20</v>
      </c>
      <c r="R31" s="125" t="s">
        <v>54</v>
      </c>
      <c r="S31" s="137" t="s">
        <v>54</v>
      </c>
      <c r="T31" s="138">
        <v>1</v>
      </c>
      <c r="U31" s="134">
        <f t="shared" si="1"/>
        <v>4264498383</v>
      </c>
      <c r="V31" s="139">
        <f t="shared" si="2"/>
        <v>7525.1427263102169</v>
      </c>
      <c r="W31" s="139">
        <f t="shared" si="3"/>
        <v>3762.5713631551084</v>
      </c>
      <c r="X31" s="373" t="str">
        <f>+IF(W31="","",IF(W31&gt;=[11]PARÁMETROS!$D$5,"CUMPLE","NO CUMPLE"))</f>
        <v>CUMPLE</v>
      </c>
      <c r="Y31" s="142"/>
      <c r="Z31" s="112"/>
    </row>
    <row r="32" spans="1:26" s="79" customFormat="1" ht="85.5" x14ac:dyDescent="0.25">
      <c r="A32" s="653"/>
      <c r="B32" s="377" t="s">
        <v>329</v>
      </c>
      <c r="C32" s="409">
        <v>34</v>
      </c>
      <c r="D32" s="65" t="str">
        <f>+IFERROR(INDEX([11]CONSOLIDADO!$D$4:$D$108,MATCH('EXP ESPEC. 25-32'!B32,[11]CONSOLIDADO!$C$4:$C$108,0)),"")</f>
        <v>SERVICIOS DE INGENIERIA Y CONSTRUCCION LIMITADA "SERVINC LTDA"</v>
      </c>
      <c r="E32" s="66" t="s">
        <v>19</v>
      </c>
      <c r="F32" s="67" t="s">
        <v>833</v>
      </c>
      <c r="G32" s="369" t="s">
        <v>5</v>
      </c>
      <c r="H32" s="369" t="s">
        <v>5</v>
      </c>
      <c r="I32" s="369" t="s">
        <v>5</v>
      </c>
      <c r="J32" s="369" t="s">
        <v>6</v>
      </c>
      <c r="K32" s="69">
        <v>0.4</v>
      </c>
      <c r="L32" s="70">
        <v>41075</v>
      </c>
      <c r="M32" s="70" t="s">
        <v>678</v>
      </c>
      <c r="N32" s="71">
        <v>2015</v>
      </c>
      <c r="O32" s="72">
        <f>+IFERROR(INDEX([11]PARÁMETROS!$B$11:$B$37,MATCH(N32,[11]PARÁMETROS!$A$11:$A$37,0)),"")</f>
        <v>644350</v>
      </c>
      <c r="P32" s="73">
        <v>23762347066</v>
      </c>
      <c r="Q32" s="74" t="s">
        <v>20</v>
      </c>
      <c r="R32" s="377" t="s">
        <v>54</v>
      </c>
      <c r="S32" s="75" t="s">
        <v>54</v>
      </c>
      <c r="T32" s="76">
        <v>1</v>
      </c>
      <c r="U32" s="72">
        <f t="shared" si="1"/>
        <v>23762347066</v>
      </c>
      <c r="V32" s="60">
        <f t="shared" si="2"/>
        <v>36878.012052455961</v>
      </c>
      <c r="W32" s="60">
        <f t="shared" si="3"/>
        <v>14751.204820982384</v>
      </c>
      <c r="X32" s="369" t="str">
        <f>+IF(W32="","",IF(W32&gt;=[11]PARÁMETROS!$D$5,"CUMPLE","NO CUMPLE"))</f>
        <v>CUMPLE</v>
      </c>
      <c r="Y32" s="143"/>
      <c r="Z32" s="112"/>
    </row>
    <row r="33" spans="1:26" s="79" customFormat="1" ht="57" x14ac:dyDescent="0.25">
      <c r="A33" s="653"/>
      <c r="B33" s="377" t="s">
        <v>330</v>
      </c>
      <c r="C33" s="409">
        <v>37</v>
      </c>
      <c r="D33" s="65" t="str">
        <f>+IFERROR(INDEX([11]CONSOLIDADO!$D$4:$D$108,MATCH('EXP ESPEC. 25-32'!B33,[11]CONSOLIDADO!$C$4:$C$108,0)),"")</f>
        <v>VQM S.A.S.</v>
      </c>
      <c r="E33" s="66" t="s">
        <v>777</v>
      </c>
      <c r="F33" s="67" t="s">
        <v>836</v>
      </c>
      <c r="G33" s="369" t="s">
        <v>5</v>
      </c>
      <c r="H33" s="369" t="s">
        <v>6</v>
      </c>
      <c r="I33" s="369" t="s">
        <v>5</v>
      </c>
      <c r="J33" s="369" t="s">
        <v>6</v>
      </c>
      <c r="K33" s="69">
        <v>0.75</v>
      </c>
      <c r="L33" s="70">
        <v>38672</v>
      </c>
      <c r="M33" s="70">
        <v>39756</v>
      </c>
      <c r="N33" s="71">
        <f t="shared" si="0"/>
        <v>2008</v>
      </c>
      <c r="O33" s="72">
        <f>+IFERROR(INDEX([11]PARÁMETROS!$B$11:$B$37,MATCH(N33,[11]PARÁMETROS!$A$11:$A$37,0)),"")</f>
        <v>461500</v>
      </c>
      <c r="P33" s="73">
        <v>2323578630</v>
      </c>
      <c r="Q33" s="74" t="s">
        <v>20</v>
      </c>
      <c r="R33" s="377" t="s">
        <v>54</v>
      </c>
      <c r="S33" s="75" t="s">
        <v>54</v>
      </c>
      <c r="T33" s="76">
        <v>1</v>
      </c>
      <c r="U33" s="72">
        <f t="shared" si="1"/>
        <v>2323578630</v>
      </c>
      <c r="V33" s="60">
        <f t="shared" si="2"/>
        <v>5034.839934994583</v>
      </c>
      <c r="W33" s="60">
        <f t="shared" si="3"/>
        <v>3776.1299512459373</v>
      </c>
      <c r="X33" s="369" t="str">
        <f>+IF(W33="","",IF(W33&gt;=[11]PARÁMETROS!$D$5,"CUMPLE","NO CUMPLE"))</f>
        <v>CUMPLE</v>
      </c>
      <c r="Y33" s="143"/>
      <c r="Z33" s="112"/>
    </row>
    <row r="34" spans="1:26" s="79" customFormat="1" ht="57.75" thickBot="1" x14ac:dyDescent="0.3">
      <c r="A34" s="653"/>
      <c r="B34" s="377" t="s">
        <v>330</v>
      </c>
      <c r="C34" s="409">
        <v>59</v>
      </c>
      <c r="D34" s="65" t="str">
        <f>+IFERROR(INDEX([11]CONSOLIDADO!$D$4:$D$108,MATCH('EXP ESPEC. 25-32'!B34,[11]CONSOLIDADO!$C$4:$C$108,0)),"")</f>
        <v>VQM S.A.S.</v>
      </c>
      <c r="E34" s="66" t="s">
        <v>777</v>
      </c>
      <c r="F34" s="67" t="s">
        <v>837</v>
      </c>
      <c r="G34" s="369" t="s">
        <v>5</v>
      </c>
      <c r="H34" s="369" t="s">
        <v>6</v>
      </c>
      <c r="I34" s="369" t="s">
        <v>5</v>
      </c>
      <c r="J34" s="369" t="s">
        <v>6</v>
      </c>
      <c r="K34" s="69">
        <v>0.75</v>
      </c>
      <c r="L34" s="70">
        <v>38673</v>
      </c>
      <c r="M34" s="70">
        <v>39960</v>
      </c>
      <c r="N34" s="71">
        <f t="shared" si="0"/>
        <v>2009</v>
      </c>
      <c r="O34" s="72">
        <f>+IFERROR(INDEX([11]PARÁMETROS!$B$11:$B$37,MATCH(N34,[11]PARÁMETROS!$A$11:$A$37,0)),"")</f>
        <v>496900</v>
      </c>
      <c r="P34" s="73">
        <v>1992021088</v>
      </c>
      <c r="Q34" s="74" t="s">
        <v>20</v>
      </c>
      <c r="R34" s="377" t="s">
        <v>54</v>
      </c>
      <c r="S34" s="75" t="s">
        <v>54</v>
      </c>
      <c r="T34" s="76">
        <v>1</v>
      </c>
      <c r="U34" s="72">
        <f t="shared" si="1"/>
        <v>1992021088</v>
      </c>
      <c r="V34" s="60">
        <f t="shared" si="2"/>
        <v>4008.8973395049306</v>
      </c>
      <c r="W34" s="60">
        <f t="shared" si="3"/>
        <v>3006.673004628698</v>
      </c>
      <c r="X34" s="370" t="str">
        <f>+IF(W34="","",IF(W34&gt;=[11]PARÁMETROS!$D$5,"CUMPLE","NO CUMPLE"))</f>
        <v>CUMPLE</v>
      </c>
      <c r="Y34" s="143"/>
      <c r="Z34" s="112"/>
    </row>
    <row r="35" spans="1:26" s="79" customFormat="1" ht="30" customHeight="1" x14ac:dyDescent="0.25">
      <c r="A35" s="652"/>
      <c r="B35" s="125"/>
      <c r="C35" s="408"/>
      <c r="D35" s="127" t="str">
        <f>+IFERROR(INDEX([11]CONSOLIDADO!$D$4:$D$108,MATCH('EXP ESPEC. 25-32'!B35,[11]CONSOLIDADO!$C$4:$C$108,0)),"")</f>
        <v/>
      </c>
      <c r="E35" s="128"/>
      <c r="F35" s="128"/>
      <c r="G35" s="368"/>
      <c r="H35" s="368"/>
      <c r="I35" s="368"/>
      <c r="J35" s="368"/>
      <c r="K35" s="170"/>
      <c r="L35" s="132"/>
      <c r="M35" s="132"/>
      <c r="N35" s="133" t="str">
        <f t="shared" si="0"/>
        <v/>
      </c>
      <c r="O35" s="134" t="str">
        <f>+IFERROR(INDEX([11]PARÁMETROS!$B$11:$B$37,MATCH(N35,[11]PARÁMETROS!$A$11:$A$37,0)),"")</f>
        <v/>
      </c>
      <c r="P35" s="171"/>
      <c r="Q35" s="134"/>
      <c r="R35" s="125"/>
      <c r="S35" s="137"/>
      <c r="T35" s="138"/>
      <c r="U35" s="134" t="str">
        <f t="shared" si="1"/>
        <v/>
      </c>
      <c r="V35" s="139" t="str">
        <f t="shared" si="2"/>
        <v/>
      </c>
      <c r="W35" s="139" t="str">
        <f t="shared" si="3"/>
        <v/>
      </c>
      <c r="X35" s="373" t="str">
        <f>+IF(W35="","",IF(W35&gt;=[11]PARÁMETROS!$D$5,"CUMPLE","NO CUMPLE"))</f>
        <v/>
      </c>
      <c r="Y35" s="142"/>
      <c r="Z35" s="112"/>
    </row>
    <row r="36" spans="1:26" s="79" customFormat="1" ht="30" customHeight="1" x14ac:dyDescent="0.25">
      <c r="A36" s="653"/>
      <c r="B36" s="377"/>
      <c r="C36" s="409"/>
      <c r="D36" s="65" t="str">
        <f>+IFERROR(INDEX([11]CONSOLIDADO!$D$4:$D$108,MATCH('EXP ESPEC. 25-32'!B36,[11]CONSOLIDADO!$C$4:$C$108,0)),"")</f>
        <v/>
      </c>
      <c r="E36" s="66"/>
      <c r="F36" s="66"/>
      <c r="G36" s="369"/>
      <c r="H36" s="369"/>
      <c r="I36" s="369"/>
      <c r="J36" s="369"/>
      <c r="K36" s="80"/>
      <c r="L36" s="70"/>
      <c r="M36" s="70"/>
      <c r="N36" s="71" t="str">
        <f t="shared" si="0"/>
        <v/>
      </c>
      <c r="O36" s="72" t="str">
        <f>+IFERROR(INDEX([11]PARÁMETROS!$B$11:$B$37,MATCH(N36,[11]PARÁMETROS!$A$11:$A$37,0)),"")</f>
        <v/>
      </c>
      <c r="P36" s="81"/>
      <c r="Q36" s="72"/>
      <c r="R36" s="377"/>
      <c r="S36" s="75"/>
      <c r="T36" s="76"/>
      <c r="U36" s="72" t="str">
        <f t="shared" si="1"/>
        <v/>
      </c>
      <c r="V36" s="60" t="str">
        <f t="shared" si="2"/>
        <v/>
      </c>
      <c r="W36" s="60" t="str">
        <f t="shared" si="3"/>
        <v/>
      </c>
      <c r="X36" s="369" t="str">
        <f>+IF(W36="","",IF(W36&gt;=[11]PARÁMETROS!$D$5,"CUMPLE","NO CUMPLE"))</f>
        <v/>
      </c>
      <c r="Y36" s="143"/>
      <c r="Z36" s="112"/>
    </row>
    <row r="37" spans="1:26" s="79" customFormat="1" ht="30" customHeight="1" x14ac:dyDescent="0.25">
      <c r="A37" s="653"/>
      <c r="B37" s="377"/>
      <c r="C37" s="409"/>
      <c r="D37" s="65" t="str">
        <f>+IFERROR(INDEX([11]CONSOLIDADO!$D$4:$D$108,MATCH('EXP ESPEC. 25-32'!B37,[11]CONSOLIDADO!$C$4:$C$108,0)),"")</f>
        <v/>
      </c>
      <c r="E37" s="66"/>
      <c r="F37" s="66"/>
      <c r="G37" s="369"/>
      <c r="H37" s="369"/>
      <c r="I37" s="369"/>
      <c r="J37" s="369"/>
      <c r="K37" s="80"/>
      <c r="L37" s="70"/>
      <c r="M37" s="70"/>
      <c r="N37" s="71" t="str">
        <f t="shared" si="0"/>
        <v/>
      </c>
      <c r="O37" s="72" t="str">
        <f>+IFERROR(INDEX([11]PARÁMETROS!$B$11:$B$37,MATCH(N37,[11]PARÁMETROS!$A$11:$A$37,0)),"")</f>
        <v/>
      </c>
      <c r="P37" s="81"/>
      <c r="Q37" s="72"/>
      <c r="R37" s="377"/>
      <c r="S37" s="75"/>
      <c r="T37" s="76"/>
      <c r="U37" s="72" t="str">
        <f t="shared" si="1"/>
        <v/>
      </c>
      <c r="V37" s="60" t="str">
        <f t="shared" si="2"/>
        <v/>
      </c>
      <c r="W37" s="60" t="str">
        <f t="shared" si="3"/>
        <v/>
      </c>
      <c r="X37" s="369" t="str">
        <f>+IF(W37="","",IF(W37&gt;=[11]PARÁMETROS!$D$5,"CUMPLE","NO CUMPLE"))</f>
        <v/>
      </c>
      <c r="Y37" s="143"/>
      <c r="Z37" s="112"/>
    </row>
    <row r="38" spans="1:26" s="79" customFormat="1" ht="30" customHeight="1" thickBot="1" x14ac:dyDescent="0.3">
      <c r="A38" s="653"/>
      <c r="B38" s="377"/>
      <c r="C38" s="409"/>
      <c r="D38" s="65" t="str">
        <f>+IFERROR(INDEX([11]CONSOLIDADO!$D$4:$D$108,MATCH('EXP ESPEC. 25-32'!B38,[11]CONSOLIDADO!$C$4:$C$108,0)),"")</f>
        <v/>
      </c>
      <c r="E38" s="66"/>
      <c r="F38" s="66"/>
      <c r="G38" s="369"/>
      <c r="H38" s="369"/>
      <c r="I38" s="369"/>
      <c r="J38" s="369"/>
      <c r="K38" s="80"/>
      <c r="L38" s="70"/>
      <c r="M38" s="70"/>
      <c r="N38" s="71" t="str">
        <f t="shared" si="0"/>
        <v/>
      </c>
      <c r="O38" s="72" t="str">
        <f>+IFERROR(INDEX([11]PARÁMETROS!$B$11:$B$37,MATCH(N38,[11]PARÁMETROS!$A$11:$A$37,0)),"")</f>
        <v/>
      </c>
      <c r="P38" s="81"/>
      <c r="Q38" s="72"/>
      <c r="R38" s="377"/>
      <c r="S38" s="75"/>
      <c r="T38" s="76"/>
      <c r="U38" s="72" t="str">
        <f t="shared" si="1"/>
        <v/>
      </c>
      <c r="V38" s="60" t="str">
        <f t="shared" si="2"/>
        <v/>
      </c>
      <c r="W38" s="60" t="str">
        <f t="shared" si="3"/>
        <v/>
      </c>
      <c r="X38" s="370" t="str">
        <f>+IF(W38="","",IF(W38&gt;=[11]PARÁMETROS!$D$5,"CUMPLE","NO CUMPLE"))</f>
        <v/>
      </c>
      <c r="Y38" s="143"/>
      <c r="Z38" s="112"/>
    </row>
    <row r="39" spans="1:26" s="79" customFormat="1" ht="30" customHeight="1" x14ac:dyDescent="0.25">
      <c r="A39" s="652"/>
      <c r="B39" s="125"/>
      <c r="C39" s="408"/>
      <c r="D39" s="127" t="str">
        <f>+IFERROR(INDEX([11]CONSOLIDADO!$D$4:$D$108,MATCH('EXP ESPEC. 25-32'!B39,[11]CONSOLIDADO!$C$4:$C$108,0)),"")</f>
        <v/>
      </c>
      <c r="E39" s="128"/>
      <c r="F39" s="128"/>
      <c r="G39" s="368"/>
      <c r="H39" s="368"/>
      <c r="I39" s="368"/>
      <c r="J39" s="368"/>
      <c r="K39" s="170"/>
      <c r="L39" s="132"/>
      <c r="M39" s="132"/>
      <c r="N39" s="133" t="str">
        <f t="shared" si="0"/>
        <v/>
      </c>
      <c r="O39" s="134" t="str">
        <f>+IFERROR(INDEX([11]PARÁMETROS!$B$11:$B$37,MATCH(N39,[11]PARÁMETROS!$A$11:$A$37,0)),"")</f>
        <v/>
      </c>
      <c r="P39" s="171"/>
      <c r="Q39" s="134"/>
      <c r="R39" s="125"/>
      <c r="S39" s="137"/>
      <c r="T39" s="138"/>
      <c r="U39" s="134" t="str">
        <f t="shared" si="1"/>
        <v/>
      </c>
      <c r="V39" s="139" t="str">
        <f t="shared" si="2"/>
        <v/>
      </c>
      <c r="W39" s="139" t="str">
        <f t="shared" si="3"/>
        <v/>
      </c>
      <c r="X39" s="373" t="str">
        <f>+IF(W39="","",IF(W39&gt;=[11]PARÁMETROS!$D$5,"CUMPLE","NO CUMPLE"))</f>
        <v/>
      </c>
      <c r="Y39" s="142"/>
      <c r="Z39" s="112"/>
    </row>
    <row r="40" spans="1:26" s="79" customFormat="1" ht="30" customHeight="1" x14ac:dyDescent="0.25">
      <c r="A40" s="653"/>
      <c r="B40" s="377"/>
      <c r="C40" s="409"/>
      <c r="D40" s="65" t="str">
        <f>+IFERROR(INDEX([11]CONSOLIDADO!$D$4:$D$108,MATCH('EXP ESPEC. 25-32'!B40,[11]CONSOLIDADO!$C$4:$C$108,0)),"")</f>
        <v/>
      </c>
      <c r="E40" s="66"/>
      <c r="F40" s="66"/>
      <c r="G40" s="369"/>
      <c r="H40" s="369"/>
      <c r="I40" s="369"/>
      <c r="J40" s="369"/>
      <c r="K40" s="80"/>
      <c r="L40" s="70"/>
      <c r="M40" s="70"/>
      <c r="N40" s="71" t="str">
        <f t="shared" si="0"/>
        <v/>
      </c>
      <c r="O40" s="72" t="str">
        <f>+IFERROR(INDEX([11]PARÁMETROS!$B$11:$B$37,MATCH(N40,[11]PARÁMETROS!$A$11:$A$37,0)),"")</f>
        <v/>
      </c>
      <c r="P40" s="81"/>
      <c r="Q40" s="72"/>
      <c r="R40" s="377"/>
      <c r="S40" s="75"/>
      <c r="T40" s="76"/>
      <c r="U40" s="72" t="str">
        <f t="shared" si="1"/>
        <v/>
      </c>
      <c r="V40" s="60" t="str">
        <f t="shared" si="2"/>
        <v/>
      </c>
      <c r="W40" s="60" t="str">
        <f t="shared" si="3"/>
        <v/>
      </c>
      <c r="X40" s="369" t="str">
        <f>+IF(W40="","",IF(W40&gt;=[11]PARÁMETROS!$D$5,"CUMPLE","NO CUMPLE"))</f>
        <v/>
      </c>
      <c r="Y40" s="143"/>
      <c r="Z40" s="112"/>
    </row>
    <row r="41" spans="1:26" s="79" customFormat="1" ht="30" customHeight="1" x14ac:dyDescent="0.25">
      <c r="A41" s="653"/>
      <c r="B41" s="377"/>
      <c r="C41" s="409"/>
      <c r="D41" s="65" t="str">
        <f>+IFERROR(INDEX([11]CONSOLIDADO!$D$4:$D$108,MATCH('EXP ESPEC. 25-32'!B41,[11]CONSOLIDADO!$C$4:$C$108,0)),"")</f>
        <v/>
      </c>
      <c r="E41" s="66"/>
      <c r="F41" s="66"/>
      <c r="G41" s="369"/>
      <c r="H41" s="369"/>
      <c r="I41" s="369"/>
      <c r="J41" s="369"/>
      <c r="K41" s="80"/>
      <c r="L41" s="70"/>
      <c r="M41" s="70"/>
      <c r="N41" s="71" t="str">
        <f t="shared" si="0"/>
        <v/>
      </c>
      <c r="O41" s="72" t="str">
        <f>+IFERROR(INDEX([11]PARÁMETROS!$B$11:$B$37,MATCH(N41,[11]PARÁMETROS!$A$11:$A$37,0)),"")</f>
        <v/>
      </c>
      <c r="P41" s="81"/>
      <c r="Q41" s="72"/>
      <c r="R41" s="377"/>
      <c r="S41" s="75"/>
      <c r="T41" s="76"/>
      <c r="U41" s="72" t="str">
        <f t="shared" si="1"/>
        <v/>
      </c>
      <c r="V41" s="60" t="str">
        <f t="shared" si="2"/>
        <v/>
      </c>
      <c r="W41" s="60" t="str">
        <f t="shared" si="3"/>
        <v/>
      </c>
      <c r="X41" s="369" t="str">
        <f>+IF(W41="","",IF(W41&gt;=[11]PARÁMETROS!$D$5,"CUMPLE","NO CUMPLE"))</f>
        <v/>
      </c>
      <c r="Y41" s="143"/>
      <c r="Z41" s="112"/>
    </row>
    <row r="42" spans="1:26" s="79" customFormat="1" ht="30" customHeight="1" thickBot="1" x14ac:dyDescent="0.3">
      <c r="A42" s="653"/>
      <c r="B42" s="377"/>
      <c r="C42" s="409"/>
      <c r="D42" s="65" t="str">
        <f>+IFERROR(INDEX([11]CONSOLIDADO!$D$4:$D$108,MATCH('EXP ESPEC. 25-32'!B42,[11]CONSOLIDADO!$C$4:$C$108,0)),"")</f>
        <v/>
      </c>
      <c r="E42" s="66"/>
      <c r="F42" s="66"/>
      <c r="G42" s="369"/>
      <c r="H42" s="369"/>
      <c r="I42" s="369"/>
      <c r="J42" s="369"/>
      <c r="K42" s="80"/>
      <c r="L42" s="70"/>
      <c r="M42" s="70"/>
      <c r="N42" s="71" t="str">
        <f t="shared" si="0"/>
        <v/>
      </c>
      <c r="O42" s="72" t="str">
        <f>+IFERROR(INDEX([11]PARÁMETROS!$B$11:$B$37,MATCH(N42,[11]PARÁMETROS!$A$11:$A$37,0)),"")</f>
        <v/>
      </c>
      <c r="P42" s="81"/>
      <c r="Q42" s="72"/>
      <c r="R42" s="377"/>
      <c r="S42" s="75"/>
      <c r="T42" s="76"/>
      <c r="U42" s="72" t="str">
        <f t="shared" si="1"/>
        <v/>
      </c>
      <c r="V42" s="60" t="str">
        <f t="shared" si="2"/>
        <v/>
      </c>
      <c r="W42" s="60" t="str">
        <f t="shared" si="3"/>
        <v/>
      </c>
      <c r="X42" s="370" t="str">
        <f>+IF(W42="","",IF(W42&gt;=[11]PARÁMETROS!$D$5,"CUMPLE","NO CUMPLE"))</f>
        <v/>
      </c>
      <c r="Y42" s="143"/>
      <c r="Z42" s="112"/>
    </row>
    <row r="43" spans="1:26" s="79" customFormat="1" ht="30" customHeight="1" x14ac:dyDescent="0.25">
      <c r="A43" s="652"/>
      <c r="B43" s="125"/>
      <c r="C43" s="408"/>
      <c r="D43" s="127" t="str">
        <f>+IFERROR(INDEX([11]CONSOLIDADO!$D$4:$D$108,MATCH('EXP ESPEC. 25-32'!B43,[11]CONSOLIDADO!$C$4:$C$108,0)),"")</f>
        <v/>
      </c>
      <c r="E43" s="128"/>
      <c r="F43" s="128"/>
      <c r="G43" s="368"/>
      <c r="H43" s="368"/>
      <c r="I43" s="368"/>
      <c r="J43" s="368"/>
      <c r="K43" s="170"/>
      <c r="L43" s="132"/>
      <c r="M43" s="132"/>
      <c r="N43" s="133" t="str">
        <f t="shared" si="0"/>
        <v/>
      </c>
      <c r="O43" s="134" t="str">
        <f>+IFERROR(INDEX([11]PARÁMETROS!$B$11:$B$37,MATCH(N43,[11]PARÁMETROS!$A$11:$A$37,0)),"")</f>
        <v/>
      </c>
      <c r="P43" s="171"/>
      <c r="Q43" s="134"/>
      <c r="R43" s="125"/>
      <c r="S43" s="137"/>
      <c r="T43" s="138"/>
      <c r="U43" s="134" t="str">
        <f t="shared" si="1"/>
        <v/>
      </c>
      <c r="V43" s="139" t="str">
        <f t="shared" si="2"/>
        <v/>
      </c>
      <c r="W43" s="139" t="str">
        <f t="shared" si="3"/>
        <v/>
      </c>
      <c r="X43" s="373" t="str">
        <f>+IF(W43="","",IF(W43&gt;=[11]PARÁMETROS!$D$5,"CUMPLE","NO CUMPLE"))</f>
        <v/>
      </c>
      <c r="Y43" s="142"/>
      <c r="Z43" s="112"/>
    </row>
    <row r="44" spans="1:26" s="79" customFormat="1" ht="30" customHeight="1" x14ac:dyDescent="0.25">
      <c r="A44" s="653"/>
      <c r="B44" s="377"/>
      <c r="C44" s="409"/>
      <c r="D44" s="65" t="str">
        <f>+IFERROR(INDEX([11]CONSOLIDADO!$D$4:$D$108,MATCH('EXP ESPEC. 25-32'!B44,[11]CONSOLIDADO!$C$4:$C$108,0)),"")</f>
        <v/>
      </c>
      <c r="E44" s="66"/>
      <c r="F44" s="66"/>
      <c r="G44" s="369"/>
      <c r="H44" s="369"/>
      <c r="I44" s="369"/>
      <c r="J44" s="369"/>
      <c r="K44" s="80"/>
      <c r="L44" s="70"/>
      <c r="M44" s="70"/>
      <c r="N44" s="71" t="str">
        <f t="shared" si="0"/>
        <v/>
      </c>
      <c r="O44" s="72" t="str">
        <f>+IFERROR(INDEX([11]PARÁMETROS!$B$11:$B$37,MATCH(N44,[11]PARÁMETROS!$A$11:$A$37,0)),"")</f>
        <v/>
      </c>
      <c r="P44" s="81"/>
      <c r="Q44" s="72"/>
      <c r="R44" s="377"/>
      <c r="S44" s="75"/>
      <c r="T44" s="76"/>
      <c r="U44" s="72" t="str">
        <f t="shared" si="1"/>
        <v/>
      </c>
      <c r="V44" s="60" t="str">
        <f t="shared" si="2"/>
        <v/>
      </c>
      <c r="W44" s="60" t="str">
        <f t="shared" si="3"/>
        <v/>
      </c>
      <c r="X44" s="369" t="str">
        <f>+IF(W44="","",IF(W44&gt;=[11]PARÁMETROS!$D$5,"CUMPLE","NO CUMPLE"))</f>
        <v/>
      </c>
      <c r="Y44" s="143"/>
      <c r="Z44" s="112"/>
    </row>
    <row r="45" spans="1:26" s="79" customFormat="1" ht="30" customHeight="1" x14ac:dyDescent="0.25">
      <c r="A45" s="653"/>
      <c r="B45" s="377"/>
      <c r="C45" s="409"/>
      <c r="D45" s="65" t="str">
        <f>+IFERROR(INDEX([11]CONSOLIDADO!$D$4:$D$108,MATCH('EXP ESPEC. 25-32'!B45,[11]CONSOLIDADO!$C$4:$C$108,0)),"")</f>
        <v/>
      </c>
      <c r="E45" s="66"/>
      <c r="F45" s="66"/>
      <c r="G45" s="369"/>
      <c r="H45" s="369"/>
      <c r="I45" s="369"/>
      <c r="J45" s="369"/>
      <c r="K45" s="80"/>
      <c r="L45" s="70"/>
      <c r="M45" s="70"/>
      <c r="N45" s="71" t="str">
        <f t="shared" si="0"/>
        <v/>
      </c>
      <c r="O45" s="72" t="str">
        <f>+IFERROR(INDEX([11]PARÁMETROS!$B$11:$B$37,MATCH(N45,[11]PARÁMETROS!$A$11:$A$37,0)),"")</f>
        <v/>
      </c>
      <c r="P45" s="81"/>
      <c r="Q45" s="72"/>
      <c r="R45" s="377"/>
      <c r="S45" s="75"/>
      <c r="T45" s="76"/>
      <c r="U45" s="72" t="str">
        <f t="shared" si="1"/>
        <v/>
      </c>
      <c r="V45" s="60" t="str">
        <f t="shared" si="2"/>
        <v/>
      </c>
      <c r="W45" s="60" t="str">
        <f t="shared" si="3"/>
        <v/>
      </c>
      <c r="X45" s="369" t="str">
        <f>+IF(W45="","",IF(W45&gt;=[11]PARÁMETROS!$D$5,"CUMPLE","NO CUMPLE"))</f>
        <v/>
      </c>
      <c r="Y45" s="143"/>
      <c r="Z45" s="112"/>
    </row>
    <row r="46" spans="1:26" s="79" customFormat="1" ht="30" customHeight="1" thickBot="1" x14ac:dyDescent="0.3">
      <c r="A46" s="653"/>
      <c r="B46" s="377"/>
      <c r="C46" s="409"/>
      <c r="D46" s="65" t="str">
        <f>+IFERROR(INDEX([11]CONSOLIDADO!$D$4:$D$108,MATCH('EXP ESPEC. 25-32'!B46,[11]CONSOLIDADO!$C$4:$C$108,0)),"")</f>
        <v/>
      </c>
      <c r="E46" s="66"/>
      <c r="F46" s="66"/>
      <c r="G46" s="369"/>
      <c r="H46" s="369"/>
      <c r="I46" s="369"/>
      <c r="J46" s="369"/>
      <c r="K46" s="80"/>
      <c r="L46" s="70"/>
      <c r="M46" s="70"/>
      <c r="N46" s="71" t="str">
        <f t="shared" si="0"/>
        <v/>
      </c>
      <c r="O46" s="72" t="str">
        <f>+IFERROR(INDEX([11]PARÁMETROS!$B$11:$B$37,MATCH(N46,[11]PARÁMETROS!$A$11:$A$37,0)),"")</f>
        <v/>
      </c>
      <c r="P46" s="81"/>
      <c r="Q46" s="72"/>
      <c r="R46" s="377"/>
      <c r="S46" s="75"/>
      <c r="T46" s="76"/>
      <c r="U46" s="72" t="str">
        <f t="shared" si="1"/>
        <v/>
      </c>
      <c r="V46" s="60" t="str">
        <f t="shared" si="2"/>
        <v/>
      </c>
      <c r="W46" s="60" t="str">
        <f t="shared" si="3"/>
        <v/>
      </c>
      <c r="X46" s="370" t="str">
        <f>+IF(W46="","",IF(W46&gt;=[11]PARÁMETROS!$D$5,"CUMPLE","NO CUMPLE"))</f>
        <v/>
      </c>
      <c r="Y46" s="143"/>
      <c r="Z46" s="112"/>
    </row>
    <row r="47" spans="1:26" s="79" customFormat="1" ht="30" customHeight="1" x14ac:dyDescent="0.25">
      <c r="A47" s="652"/>
      <c r="B47" s="125"/>
      <c r="C47" s="408"/>
      <c r="D47" s="127" t="str">
        <f>+IFERROR(INDEX([11]CONSOLIDADO!$D$4:$D$108,MATCH('EXP ESPEC. 25-32'!B47,[11]CONSOLIDADO!$C$4:$C$108,0)),"")</f>
        <v/>
      </c>
      <c r="E47" s="128"/>
      <c r="F47" s="128"/>
      <c r="G47" s="368"/>
      <c r="H47" s="368"/>
      <c r="I47" s="368"/>
      <c r="J47" s="368"/>
      <c r="K47" s="170"/>
      <c r="L47" s="132"/>
      <c r="M47" s="132"/>
      <c r="N47" s="133" t="str">
        <f t="shared" si="0"/>
        <v/>
      </c>
      <c r="O47" s="134" t="str">
        <f>+IFERROR(INDEX([11]PARÁMETROS!$B$11:$B$37,MATCH(N47,[11]PARÁMETROS!$A$11:$A$37,0)),"")</f>
        <v/>
      </c>
      <c r="P47" s="171"/>
      <c r="Q47" s="134"/>
      <c r="R47" s="125"/>
      <c r="S47" s="137"/>
      <c r="T47" s="138"/>
      <c r="U47" s="134" t="str">
        <f t="shared" si="1"/>
        <v/>
      </c>
      <c r="V47" s="139" t="str">
        <f t="shared" si="2"/>
        <v/>
      </c>
      <c r="W47" s="139" t="str">
        <f t="shared" si="3"/>
        <v/>
      </c>
      <c r="X47" s="373" t="str">
        <f>+IF(W47="","",IF(W47&gt;=[11]PARÁMETROS!$D$5,"CUMPLE","NO CUMPLE"))</f>
        <v/>
      </c>
      <c r="Y47" s="142"/>
      <c r="Z47" s="112"/>
    </row>
    <row r="48" spans="1:26" s="79" customFormat="1" ht="30" customHeight="1" x14ac:dyDescent="0.25">
      <c r="A48" s="653"/>
      <c r="B48" s="377"/>
      <c r="C48" s="409"/>
      <c r="D48" s="65" t="str">
        <f>+IFERROR(INDEX([11]CONSOLIDADO!$D$4:$D$108,MATCH('EXP ESPEC. 25-32'!B48,[11]CONSOLIDADO!$C$4:$C$108,0)),"")</f>
        <v/>
      </c>
      <c r="E48" s="66"/>
      <c r="F48" s="66"/>
      <c r="G48" s="369"/>
      <c r="H48" s="369"/>
      <c r="I48" s="369"/>
      <c r="J48" s="369"/>
      <c r="K48" s="80"/>
      <c r="L48" s="70"/>
      <c r="M48" s="70"/>
      <c r="N48" s="71" t="str">
        <f t="shared" si="0"/>
        <v/>
      </c>
      <c r="O48" s="72" t="str">
        <f>+IFERROR(INDEX([11]PARÁMETROS!$B$11:$B$37,MATCH(N48,[11]PARÁMETROS!$A$11:$A$37,0)),"")</f>
        <v/>
      </c>
      <c r="P48" s="81"/>
      <c r="Q48" s="72"/>
      <c r="R48" s="377"/>
      <c r="S48" s="75"/>
      <c r="T48" s="76"/>
      <c r="U48" s="72" t="str">
        <f t="shared" si="1"/>
        <v/>
      </c>
      <c r="V48" s="60" t="str">
        <f t="shared" si="2"/>
        <v/>
      </c>
      <c r="W48" s="60" t="str">
        <f t="shared" si="3"/>
        <v/>
      </c>
      <c r="X48" s="369" t="str">
        <f>+IF(W48="","",IF(W48&gt;=[11]PARÁMETROS!$D$5,"CUMPLE","NO CUMPLE"))</f>
        <v/>
      </c>
      <c r="Y48" s="143"/>
      <c r="Z48" s="112"/>
    </row>
    <row r="49" spans="1:26" s="79" customFormat="1" ht="30" customHeight="1" x14ac:dyDescent="0.25">
      <c r="A49" s="653"/>
      <c r="B49" s="377"/>
      <c r="C49" s="409"/>
      <c r="D49" s="65" t="str">
        <f>+IFERROR(INDEX([11]CONSOLIDADO!$D$4:$D$108,MATCH('EXP ESPEC. 25-32'!B49,[11]CONSOLIDADO!$C$4:$C$108,0)),"")</f>
        <v/>
      </c>
      <c r="E49" s="66"/>
      <c r="F49" s="66"/>
      <c r="G49" s="369"/>
      <c r="H49" s="369"/>
      <c r="I49" s="369"/>
      <c r="J49" s="369"/>
      <c r="K49" s="80"/>
      <c r="L49" s="70"/>
      <c r="M49" s="70"/>
      <c r="N49" s="71" t="str">
        <f t="shared" si="0"/>
        <v/>
      </c>
      <c r="O49" s="72" t="str">
        <f>+IFERROR(INDEX([11]PARÁMETROS!$B$11:$B$37,MATCH(N49,[11]PARÁMETROS!$A$11:$A$37,0)),"")</f>
        <v/>
      </c>
      <c r="P49" s="81"/>
      <c r="Q49" s="72"/>
      <c r="R49" s="377"/>
      <c r="S49" s="75"/>
      <c r="T49" s="76"/>
      <c r="U49" s="72" t="str">
        <f t="shared" si="1"/>
        <v/>
      </c>
      <c r="V49" s="60" t="str">
        <f t="shared" si="2"/>
        <v/>
      </c>
      <c r="W49" s="60" t="str">
        <f t="shared" si="3"/>
        <v/>
      </c>
      <c r="X49" s="369" t="str">
        <f>+IF(W49="","",IF(W49&gt;=[11]PARÁMETROS!$D$5,"CUMPLE","NO CUMPLE"))</f>
        <v/>
      </c>
      <c r="Y49" s="143"/>
      <c r="Z49" s="112"/>
    </row>
    <row r="50" spans="1:26" s="79" customFormat="1" ht="30" customHeight="1" thickBot="1" x14ac:dyDescent="0.3">
      <c r="A50" s="653"/>
      <c r="B50" s="377"/>
      <c r="C50" s="409"/>
      <c r="D50" s="65" t="str">
        <f>+IFERROR(INDEX([11]CONSOLIDADO!$D$4:$D$108,MATCH('EXP ESPEC. 25-32'!B50,[11]CONSOLIDADO!$C$4:$C$108,0)),"")</f>
        <v/>
      </c>
      <c r="E50" s="66"/>
      <c r="F50" s="66"/>
      <c r="G50" s="369"/>
      <c r="H50" s="369"/>
      <c r="I50" s="369"/>
      <c r="J50" s="369"/>
      <c r="K50" s="80"/>
      <c r="L50" s="70"/>
      <c r="M50" s="70"/>
      <c r="N50" s="71" t="str">
        <f t="shared" si="0"/>
        <v/>
      </c>
      <c r="O50" s="72" t="str">
        <f>+IFERROR(INDEX([11]PARÁMETROS!$B$11:$B$37,MATCH(N50,[11]PARÁMETROS!$A$11:$A$37,0)),"")</f>
        <v/>
      </c>
      <c r="P50" s="81"/>
      <c r="Q50" s="72"/>
      <c r="R50" s="377"/>
      <c r="S50" s="75"/>
      <c r="T50" s="76"/>
      <c r="U50" s="72" t="str">
        <f t="shared" si="1"/>
        <v/>
      </c>
      <c r="V50" s="60" t="str">
        <f t="shared" si="2"/>
        <v/>
      </c>
      <c r="W50" s="60" t="str">
        <f t="shared" si="3"/>
        <v/>
      </c>
      <c r="X50" s="370" t="str">
        <f>+IF(W50="","",IF(W50&gt;=[11]PARÁMETROS!$D$5,"CUMPLE","NO CUMPLE"))</f>
        <v/>
      </c>
      <c r="Y50" s="143"/>
      <c r="Z50" s="112"/>
    </row>
    <row r="51" spans="1:26" s="79" customFormat="1" ht="30" customHeight="1" x14ac:dyDescent="0.25">
      <c r="A51" s="652"/>
      <c r="B51" s="125"/>
      <c r="C51" s="408"/>
      <c r="D51" s="127" t="str">
        <f>+IFERROR(INDEX([11]CONSOLIDADO!$D$4:$D$108,MATCH('EXP ESPEC. 25-32'!B51,[11]CONSOLIDADO!$C$4:$C$108,0)),"")</f>
        <v/>
      </c>
      <c r="E51" s="128"/>
      <c r="F51" s="128"/>
      <c r="G51" s="368"/>
      <c r="H51" s="368"/>
      <c r="I51" s="368"/>
      <c r="J51" s="368"/>
      <c r="K51" s="170"/>
      <c r="L51" s="132"/>
      <c r="M51" s="132"/>
      <c r="N51" s="133" t="str">
        <f t="shared" si="0"/>
        <v/>
      </c>
      <c r="O51" s="134" t="str">
        <f>+IFERROR(INDEX([11]PARÁMETROS!$B$11:$B$37,MATCH(N51,[11]PARÁMETROS!$A$11:$A$37,0)),"")</f>
        <v/>
      </c>
      <c r="P51" s="171"/>
      <c r="Q51" s="134"/>
      <c r="R51" s="125"/>
      <c r="S51" s="137"/>
      <c r="T51" s="138"/>
      <c r="U51" s="134" t="str">
        <f t="shared" si="1"/>
        <v/>
      </c>
      <c r="V51" s="139" t="str">
        <f t="shared" si="2"/>
        <v/>
      </c>
      <c r="W51" s="139" t="str">
        <f t="shared" si="3"/>
        <v/>
      </c>
      <c r="X51" s="373" t="str">
        <f>+IF(W51="","",IF(W51&gt;=[11]PARÁMETROS!$D$5,"CUMPLE","NO CUMPLE"))</f>
        <v/>
      </c>
      <c r="Y51" s="142"/>
      <c r="Z51" s="112"/>
    </row>
    <row r="52" spans="1:26" s="79" customFormat="1" ht="30" customHeight="1" x14ac:dyDescent="0.25">
      <c r="A52" s="653"/>
      <c r="B52" s="377"/>
      <c r="C52" s="409"/>
      <c r="D52" s="65" t="str">
        <f>+IFERROR(INDEX([11]CONSOLIDADO!$D$4:$D$108,MATCH('EXP ESPEC. 25-32'!B52,[11]CONSOLIDADO!$C$4:$C$108,0)),"")</f>
        <v/>
      </c>
      <c r="E52" s="66"/>
      <c r="F52" s="66"/>
      <c r="G52" s="369"/>
      <c r="H52" s="369"/>
      <c r="I52" s="369"/>
      <c r="J52" s="369"/>
      <c r="K52" s="80"/>
      <c r="L52" s="70"/>
      <c r="M52" s="70"/>
      <c r="N52" s="71" t="str">
        <f t="shared" si="0"/>
        <v/>
      </c>
      <c r="O52" s="72" t="str">
        <f>+IFERROR(INDEX([11]PARÁMETROS!$B$11:$B$37,MATCH(N52,[11]PARÁMETROS!$A$11:$A$37,0)),"")</f>
        <v/>
      </c>
      <c r="P52" s="81"/>
      <c r="Q52" s="72"/>
      <c r="R52" s="377"/>
      <c r="S52" s="75"/>
      <c r="T52" s="76"/>
      <c r="U52" s="72" t="str">
        <f t="shared" si="1"/>
        <v/>
      </c>
      <c r="V52" s="60" t="str">
        <f t="shared" si="2"/>
        <v/>
      </c>
      <c r="W52" s="60" t="str">
        <f t="shared" si="3"/>
        <v/>
      </c>
      <c r="X52" s="369" t="str">
        <f>+IF(W52="","",IF(W52&gt;=[11]PARÁMETROS!$D$5,"CUMPLE","NO CUMPLE"))</f>
        <v/>
      </c>
      <c r="Y52" s="143"/>
      <c r="Z52" s="112"/>
    </row>
    <row r="53" spans="1:26" s="79" customFormat="1" ht="30" customHeight="1" x14ac:dyDescent="0.25">
      <c r="A53" s="653"/>
      <c r="B53" s="377"/>
      <c r="C53" s="409"/>
      <c r="D53" s="65" t="str">
        <f>+IFERROR(INDEX([11]CONSOLIDADO!$D$4:$D$108,MATCH('EXP ESPEC. 25-32'!B53,[11]CONSOLIDADO!$C$4:$C$108,0)),"")</f>
        <v/>
      </c>
      <c r="E53" s="66"/>
      <c r="F53" s="66"/>
      <c r="G53" s="369"/>
      <c r="H53" s="369"/>
      <c r="I53" s="369"/>
      <c r="J53" s="369"/>
      <c r="K53" s="80"/>
      <c r="L53" s="70"/>
      <c r="M53" s="70"/>
      <c r="N53" s="71" t="str">
        <f t="shared" si="0"/>
        <v/>
      </c>
      <c r="O53" s="72" t="str">
        <f>+IFERROR(INDEX([11]PARÁMETROS!$B$11:$B$37,MATCH(N53,[11]PARÁMETROS!$A$11:$A$37,0)),"")</f>
        <v/>
      </c>
      <c r="P53" s="81"/>
      <c r="Q53" s="72"/>
      <c r="R53" s="377"/>
      <c r="S53" s="75"/>
      <c r="T53" s="76"/>
      <c r="U53" s="72" t="str">
        <f t="shared" si="1"/>
        <v/>
      </c>
      <c r="V53" s="60" t="str">
        <f t="shared" si="2"/>
        <v/>
      </c>
      <c r="W53" s="60" t="str">
        <f t="shared" si="3"/>
        <v/>
      </c>
      <c r="X53" s="369" t="str">
        <f>+IF(W53="","",IF(W53&gt;=[11]PARÁMETROS!$D$5,"CUMPLE","NO CUMPLE"))</f>
        <v/>
      </c>
      <c r="Y53" s="143"/>
      <c r="Z53" s="112"/>
    </row>
    <row r="54" spans="1:26" s="79" customFormat="1" ht="30" customHeight="1" thickBot="1" x14ac:dyDescent="0.3">
      <c r="A54" s="654"/>
      <c r="B54" s="145"/>
      <c r="C54" s="411"/>
      <c r="D54" s="146" t="str">
        <f>+IFERROR(INDEX([11]CONSOLIDADO!$D$4:$D$108,MATCH('EXP ESPEC. 25-32'!B54,[11]CONSOLIDADO!$C$4:$C$108,0)),"")</f>
        <v/>
      </c>
      <c r="E54" s="147"/>
      <c r="F54" s="147"/>
      <c r="G54" s="370"/>
      <c r="H54" s="370"/>
      <c r="I54" s="370"/>
      <c r="J54" s="370"/>
      <c r="K54" s="172"/>
      <c r="L54" s="151"/>
      <c r="M54" s="151"/>
      <c r="N54" s="152" t="str">
        <f t="shared" si="0"/>
        <v/>
      </c>
      <c r="O54" s="153" t="str">
        <f>+IFERROR(INDEX([11]PARÁMETROS!$B$11:$B$37,MATCH(N54,[11]PARÁMETROS!$A$11:$A$37,0)),"")</f>
        <v/>
      </c>
      <c r="P54" s="173"/>
      <c r="Q54" s="153"/>
      <c r="R54" s="145"/>
      <c r="S54" s="156"/>
      <c r="T54" s="157"/>
      <c r="U54" s="153" t="str">
        <f t="shared" si="1"/>
        <v/>
      </c>
      <c r="V54" s="158" t="str">
        <f t="shared" si="2"/>
        <v/>
      </c>
      <c r="W54" s="158" t="str">
        <f t="shared" si="3"/>
        <v/>
      </c>
      <c r="X54" s="370" t="str">
        <f>+IF(W54="","",IF(W54&gt;=[11]PARÁMETROS!$D$5,"CUMPLE","NO CUMPLE"))</f>
        <v/>
      </c>
      <c r="Y54" s="160"/>
      <c r="Z54" s="112"/>
    </row>
    <row r="55" spans="1:26" s="79" customFormat="1" ht="30" customHeight="1" x14ac:dyDescent="0.25">
      <c r="A55" s="113"/>
      <c r="B55" s="113"/>
      <c r="C55" s="414"/>
      <c r="D55" s="114"/>
      <c r="E55" s="115"/>
      <c r="F55" s="115"/>
      <c r="G55" s="115"/>
      <c r="H55" s="115"/>
      <c r="I55" s="115"/>
      <c r="J55" s="115"/>
      <c r="K55" s="167"/>
      <c r="L55" s="118"/>
      <c r="M55" s="118"/>
      <c r="N55" s="168"/>
      <c r="O55" s="119"/>
      <c r="P55" s="169"/>
      <c r="Q55" s="119"/>
      <c r="R55" s="113"/>
      <c r="S55" s="121"/>
      <c r="T55" s="122"/>
      <c r="U55" s="119"/>
      <c r="V55" s="123"/>
      <c r="W55" s="123"/>
      <c r="X55" s="376"/>
      <c r="Y55" s="115"/>
    </row>
    <row r="56" spans="1:26" s="79" customFormat="1" ht="30" customHeight="1" x14ac:dyDescent="0.25">
      <c r="A56" s="377"/>
      <c r="B56" s="377"/>
      <c r="C56" s="409"/>
      <c r="D56" s="65"/>
      <c r="E56" s="66"/>
      <c r="F56" s="66"/>
      <c r="G56" s="66"/>
      <c r="H56" s="66"/>
      <c r="I56" s="66"/>
      <c r="J56" s="66"/>
      <c r="K56" s="80"/>
      <c r="L56" s="70"/>
      <c r="M56" s="70"/>
      <c r="N56" s="71"/>
      <c r="O56" s="72"/>
      <c r="P56" s="81"/>
      <c r="Q56" s="72"/>
      <c r="R56" s="377"/>
      <c r="S56" s="75"/>
      <c r="T56" s="76"/>
      <c r="U56" s="72"/>
      <c r="V56" s="60"/>
      <c r="W56" s="60"/>
      <c r="X56" s="369"/>
      <c r="Y56" s="66"/>
    </row>
    <row r="57" spans="1:26" s="79" customFormat="1" ht="30" customHeight="1" x14ac:dyDescent="0.25">
      <c r="A57" s="377"/>
      <c r="B57" s="377"/>
      <c r="C57" s="409"/>
      <c r="D57" s="65"/>
      <c r="E57" s="66"/>
      <c r="F57" s="66"/>
      <c r="G57" s="66"/>
      <c r="H57" s="66"/>
      <c r="I57" s="66"/>
      <c r="J57" s="66"/>
      <c r="K57" s="80"/>
      <c r="L57" s="70"/>
      <c r="M57" s="70"/>
      <c r="N57" s="71"/>
      <c r="O57" s="72"/>
      <c r="P57" s="81"/>
      <c r="Q57" s="72"/>
      <c r="R57" s="377"/>
      <c r="S57" s="75"/>
      <c r="T57" s="76"/>
      <c r="U57" s="72"/>
      <c r="V57" s="60"/>
      <c r="W57" s="60"/>
      <c r="X57" s="369"/>
      <c r="Y57" s="66"/>
    </row>
    <row r="58" spans="1:26" s="79" customFormat="1" ht="30" customHeight="1" x14ac:dyDescent="0.25">
      <c r="A58" s="377"/>
      <c r="B58" s="377"/>
      <c r="C58" s="409"/>
      <c r="D58" s="65"/>
      <c r="E58" s="66"/>
      <c r="F58" s="66"/>
      <c r="G58" s="66"/>
      <c r="H58" s="66"/>
      <c r="I58" s="66"/>
      <c r="J58" s="66"/>
      <c r="K58" s="80"/>
      <c r="L58" s="70"/>
      <c r="M58" s="70"/>
      <c r="N58" s="71"/>
      <c r="O58" s="72"/>
      <c r="P58" s="81"/>
      <c r="Q58" s="72"/>
      <c r="R58" s="377"/>
      <c r="S58" s="75"/>
      <c r="T58" s="76"/>
      <c r="U58" s="72"/>
      <c r="V58" s="60"/>
      <c r="W58" s="60"/>
      <c r="X58" s="369"/>
      <c r="Y58" s="66"/>
    </row>
    <row r="59" spans="1:26" s="79" customFormat="1" ht="30" customHeight="1" x14ac:dyDescent="0.25">
      <c r="A59" s="377"/>
      <c r="B59" s="377"/>
      <c r="C59" s="409"/>
      <c r="D59" s="65"/>
      <c r="E59" s="66"/>
      <c r="F59" s="66"/>
      <c r="G59" s="66"/>
      <c r="H59" s="66"/>
      <c r="I59" s="66"/>
      <c r="J59" s="66"/>
      <c r="K59" s="80"/>
      <c r="L59" s="70"/>
      <c r="M59" s="70"/>
      <c r="N59" s="71"/>
      <c r="O59" s="72"/>
      <c r="P59" s="81"/>
      <c r="Q59" s="72"/>
      <c r="R59" s="377"/>
      <c r="S59" s="75"/>
      <c r="T59" s="76"/>
      <c r="U59" s="72"/>
      <c r="V59" s="60"/>
      <c r="W59" s="60"/>
      <c r="X59" s="369"/>
      <c r="Y59" s="66"/>
    </row>
    <row r="60" spans="1:26" s="79" customFormat="1" ht="30" customHeight="1" x14ac:dyDescent="0.25">
      <c r="A60" s="377"/>
      <c r="B60" s="377"/>
      <c r="C60" s="409"/>
      <c r="D60" s="65"/>
      <c r="E60" s="66"/>
      <c r="F60" s="66"/>
      <c r="G60" s="66"/>
      <c r="H60" s="66"/>
      <c r="I60" s="66"/>
      <c r="J60" s="66"/>
      <c r="K60" s="80"/>
      <c r="L60" s="70"/>
      <c r="M60" s="70"/>
      <c r="N60" s="71"/>
      <c r="O60" s="72"/>
      <c r="P60" s="81"/>
      <c r="Q60" s="72"/>
      <c r="R60" s="377"/>
      <c r="S60" s="75"/>
      <c r="T60" s="76"/>
      <c r="U60" s="72"/>
      <c r="V60" s="60"/>
      <c r="W60" s="60"/>
      <c r="X60" s="369"/>
      <c r="Y60" s="66"/>
    </row>
    <row r="61" spans="1:26" s="79" customFormat="1" ht="30" customHeight="1" x14ac:dyDescent="0.25">
      <c r="A61" s="377"/>
      <c r="B61" s="377"/>
      <c r="C61" s="409"/>
      <c r="D61" s="65"/>
      <c r="E61" s="66"/>
      <c r="F61" s="66"/>
      <c r="G61" s="66"/>
      <c r="H61" s="66"/>
      <c r="I61" s="66"/>
      <c r="J61" s="66"/>
      <c r="K61" s="80"/>
      <c r="L61" s="70"/>
      <c r="M61" s="70"/>
      <c r="N61" s="71"/>
      <c r="O61" s="72"/>
      <c r="P61" s="81"/>
      <c r="Q61" s="72"/>
      <c r="R61" s="377"/>
      <c r="S61" s="75"/>
      <c r="T61" s="76"/>
      <c r="U61" s="72"/>
      <c r="V61" s="60"/>
      <c r="W61" s="60"/>
      <c r="X61" s="369"/>
      <c r="Y61" s="66"/>
    </row>
    <row r="62" spans="1:26" s="79" customFormat="1" ht="30" customHeight="1" x14ac:dyDescent="0.25">
      <c r="A62" s="377"/>
      <c r="B62" s="377"/>
      <c r="C62" s="409"/>
      <c r="D62" s="65"/>
      <c r="E62" s="66"/>
      <c r="F62" s="66"/>
      <c r="G62" s="66"/>
      <c r="H62" s="66"/>
      <c r="I62" s="66"/>
      <c r="J62" s="66"/>
      <c r="K62" s="80"/>
      <c r="L62" s="70"/>
      <c r="M62" s="70"/>
      <c r="N62" s="71"/>
      <c r="O62" s="72"/>
      <c r="P62" s="81"/>
      <c r="Q62" s="72"/>
      <c r="R62" s="377"/>
      <c r="S62" s="75"/>
      <c r="T62" s="76"/>
      <c r="U62" s="72"/>
      <c r="V62" s="60"/>
      <c r="W62" s="60"/>
      <c r="X62" s="369"/>
      <c r="Y62" s="66"/>
    </row>
    <row r="63" spans="1:26" s="79" customFormat="1" ht="30" customHeight="1" x14ac:dyDescent="0.25">
      <c r="A63" s="377"/>
      <c r="B63" s="377"/>
      <c r="C63" s="409"/>
      <c r="D63" s="65"/>
      <c r="E63" s="66"/>
      <c r="F63" s="66"/>
      <c r="G63" s="66"/>
      <c r="H63" s="66"/>
      <c r="I63" s="66"/>
      <c r="J63" s="66"/>
      <c r="K63" s="80"/>
      <c r="L63" s="70"/>
      <c r="M63" s="70"/>
      <c r="N63" s="71"/>
      <c r="O63" s="72"/>
      <c r="P63" s="81"/>
      <c r="Q63" s="72"/>
      <c r="R63" s="377"/>
      <c r="S63" s="75"/>
      <c r="T63" s="76"/>
      <c r="U63" s="72"/>
      <c r="V63" s="60"/>
      <c r="W63" s="60"/>
      <c r="X63" s="369"/>
      <c r="Y63" s="66"/>
    </row>
    <row r="64" spans="1:26" s="79" customFormat="1" ht="30" customHeight="1" x14ac:dyDescent="0.25">
      <c r="A64" s="377"/>
      <c r="B64" s="377"/>
      <c r="C64" s="409"/>
      <c r="D64" s="65"/>
      <c r="E64" s="66"/>
      <c r="F64" s="66"/>
      <c r="G64" s="66"/>
      <c r="H64" s="66"/>
      <c r="I64" s="66"/>
      <c r="J64" s="66"/>
      <c r="K64" s="80"/>
      <c r="L64" s="70"/>
      <c r="M64" s="70"/>
      <c r="N64" s="71"/>
      <c r="O64" s="72"/>
      <c r="P64" s="81"/>
      <c r="Q64" s="72"/>
      <c r="R64" s="377"/>
      <c r="S64" s="75"/>
      <c r="T64" s="76"/>
      <c r="U64" s="72"/>
      <c r="V64" s="60"/>
      <c r="W64" s="60"/>
      <c r="X64" s="369"/>
      <c r="Y64" s="66"/>
    </row>
    <row r="65" spans="1:25" s="79" customFormat="1" ht="30" customHeight="1" x14ac:dyDescent="0.25">
      <c r="A65" s="377"/>
      <c r="B65" s="377"/>
      <c r="C65" s="409"/>
      <c r="D65" s="65"/>
      <c r="E65" s="66"/>
      <c r="F65" s="66"/>
      <c r="G65" s="66"/>
      <c r="H65" s="66"/>
      <c r="I65" s="66"/>
      <c r="J65" s="66"/>
      <c r="K65" s="80"/>
      <c r="L65" s="70"/>
      <c r="M65" s="70"/>
      <c r="N65" s="71"/>
      <c r="O65" s="72"/>
      <c r="P65" s="81"/>
      <c r="Q65" s="72"/>
      <c r="R65" s="377"/>
      <c r="S65" s="75"/>
      <c r="T65" s="76"/>
      <c r="U65" s="72"/>
      <c r="V65" s="60"/>
      <c r="W65" s="60"/>
      <c r="X65" s="369"/>
      <c r="Y65" s="66"/>
    </row>
    <row r="66" spans="1:25" s="79" customFormat="1" ht="30" customHeight="1" x14ac:dyDescent="0.25">
      <c r="A66" s="377"/>
      <c r="B66" s="377"/>
      <c r="C66" s="409"/>
      <c r="D66" s="65"/>
      <c r="E66" s="66"/>
      <c r="F66" s="66"/>
      <c r="G66" s="66"/>
      <c r="H66" s="66"/>
      <c r="I66" s="66"/>
      <c r="J66" s="66"/>
      <c r="K66" s="80"/>
      <c r="L66" s="70"/>
      <c r="M66" s="70"/>
      <c r="N66" s="71"/>
      <c r="O66" s="72"/>
      <c r="P66" s="81"/>
      <c r="Q66" s="72"/>
      <c r="R66" s="377"/>
      <c r="S66" s="75"/>
      <c r="T66" s="76"/>
      <c r="U66" s="72"/>
      <c r="V66" s="60"/>
      <c r="W66" s="60"/>
      <c r="X66" s="369"/>
      <c r="Y66" s="66"/>
    </row>
    <row r="67" spans="1:25" s="103" customFormat="1" ht="30" customHeight="1" x14ac:dyDescent="0.25">
      <c r="A67" s="94"/>
      <c r="B67" s="94"/>
      <c r="C67" s="413"/>
      <c r="D67" s="95"/>
      <c r="E67" s="96"/>
      <c r="F67" s="96"/>
      <c r="G67" s="96"/>
      <c r="H67" s="96"/>
      <c r="I67" s="96"/>
      <c r="J67" s="96"/>
      <c r="K67" s="97"/>
      <c r="L67" s="98"/>
      <c r="M67" s="98"/>
      <c r="N67" s="99"/>
      <c r="O67" s="72"/>
      <c r="P67" s="100"/>
      <c r="Q67" s="101"/>
      <c r="R67" s="377"/>
      <c r="S67" s="75"/>
      <c r="T67" s="76"/>
      <c r="U67" s="72"/>
      <c r="V67" s="60"/>
      <c r="W67" s="60"/>
      <c r="X67" s="369"/>
      <c r="Y67" s="96"/>
    </row>
    <row r="68" spans="1:25" s="103" customFormat="1" ht="30" customHeight="1" x14ac:dyDescent="0.25">
      <c r="A68" s="94"/>
      <c r="B68" s="94"/>
      <c r="C68" s="413"/>
      <c r="D68" s="95"/>
      <c r="E68" s="96"/>
      <c r="F68" s="96"/>
      <c r="G68" s="96"/>
      <c r="H68" s="96"/>
      <c r="I68" s="96"/>
      <c r="J68" s="96"/>
      <c r="K68" s="97"/>
      <c r="L68" s="98"/>
      <c r="M68" s="98"/>
      <c r="N68" s="99"/>
      <c r="O68" s="72"/>
      <c r="P68" s="100"/>
      <c r="Q68" s="101"/>
      <c r="R68" s="377"/>
      <c r="S68" s="75"/>
      <c r="T68" s="76"/>
      <c r="U68" s="72"/>
      <c r="V68" s="60"/>
      <c r="W68" s="60"/>
      <c r="X68" s="369"/>
      <c r="Y68" s="96"/>
    </row>
    <row r="69" spans="1:25" s="103" customFormat="1" ht="30" customHeight="1" x14ac:dyDescent="0.25">
      <c r="A69" s="94"/>
      <c r="B69" s="94"/>
      <c r="C69" s="413"/>
      <c r="D69" s="95"/>
      <c r="E69" s="96"/>
      <c r="F69" s="96"/>
      <c r="G69" s="96"/>
      <c r="H69" s="96"/>
      <c r="I69" s="96"/>
      <c r="J69" s="96"/>
      <c r="K69" s="97"/>
      <c r="L69" s="98"/>
      <c r="M69" s="98"/>
      <c r="N69" s="99"/>
      <c r="O69" s="72"/>
      <c r="P69" s="100"/>
      <c r="Q69" s="101"/>
      <c r="R69" s="377"/>
      <c r="S69" s="75"/>
      <c r="T69" s="76"/>
      <c r="U69" s="72"/>
      <c r="V69" s="60"/>
      <c r="W69" s="60"/>
      <c r="X69" s="369"/>
      <c r="Y69" s="96"/>
    </row>
    <row r="70" spans="1:25" s="103" customFormat="1" ht="30" customHeight="1" x14ac:dyDescent="0.25">
      <c r="A70" s="94"/>
      <c r="B70" s="94"/>
      <c r="C70" s="413"/>
      <c r="D70" s="95"/>
      <c r="E70" s="96"/>
      <c r="F70" s="96"/>
      <c r="G70" s="96"/>
      <c r="H70" s="96"/>
      <c r="I70" s="96"/>
      <c r="J70" s="96"/>
      <c r="K70" s="97"/>
      <c r="L70" s="98"/>
      <c r="M70" s="98"/>
      <c r="N70" s="99"/>
      <c r="O70" s="72"/>
      <c r="P70" s="100"/>
      <c r="Q70" s="101"/>
      <c r="R70" s="377"/>
      <c r="S70" s="75"/>
      <c r="T70" s="76"/>
      <c r="U70" s="72"/>
      <c r="V70" s="60"/>
      <c r="W70" s="60"/>
      <c r="X70" s="369"/>
      <c r="Y70" s="96"/>
    </row>
    <row r="71" spans="1:25" s="103" customFormat="1" ht="30" customHeight="1" x14ac:dyDescent="0.25">
      <c r="A71" s="94"/>
      <c r="B71" s="94"/>
      <c r="C71" s="413"/>
      <c r="D71" s="95"/>
      <c r="E71" s="96"/>
      <c r="F71" s="96"/>
      <c r="G71" s="96"/>
      <c r="H71" s="96"/>
      <c r="I71" s="96"/>
      <c r="J71" s="96"/>
      <c r="K71" s="97"/>
      <c r="L71" s="98"/>
      <c r="M71" s="98"/>
      <c r="N71" s="99"/>
      <c r="O71" s="72"/>
      <c r="P71" s="100"/>
      <c r="Q71" s="101"/>
      <c r="R71" s="377"/>
      <c r="S71" s="75"/>
      <c r="T71" s="76"/>
      <c r="U71" s="72"/>
      <c r="V71" s="60"/>
      <c r="W71" s="60"/>
      <c r="X71" s="369"/>
      <c r="Y71" s="96"/>
    </row>
    <row r="72" spans="1:25" s="103" customFormat="1" ht="30" customHeight="1" x14ac:dyDescent="0.25">
      <c r="A72" s="94"/>
      <c r="B72" s="94"/>
      <c r="C72" s="413"/>
      <c r="D72" s="95"/>
      <c r="E72" s="96"/>
      <c r="F72" s="96"/>
      <c r="G72" s="96"/>
      <c r="H72" s="96"/>
      <c r="I72" s="96"/>
      <c r="J72" s="96"/>
      <c r="K72" s="97"/>
      <c r="L72" s="98"/>
      <c r="M72" s="98"/>
      <c r="N72" s="99"/>
      <c r="O72" s="72"/>
      <c r="P72" s="100"/>
      <c r="Q72" s="101"/>
      <c r="R72" s="377"/>
      <c r="S72" s="75"/>
      <c r="T72" s="76"/>
      <c r="U72" s="72"/>
      <c r="V72" s="60"/>
      <c r="W72" s="60"/>
      <c r="X72" s="369"/>
      <c r="Y72" s="96"/>
    </row>
    <row r="73" spans="1:25" s="103" customFormat="1" ht="30" customHeight="1" x14ac:dyDescent="0.25">
      <c r="A73" s="94"/>
      <c r="B73" s="94"/>
      <c r="C73" s="413"/>
      <c r="D73" s="95"/>
      <c r="E73" s="96"/>
      <c r="F73" s="96"/>
      <c r="G73" s="96"/>
      <c r="H73" s="96"/>
      <c r="I73" s="96"/>
      <c r="J73" s="96"/>
      <c r="K73" s="97"/>
      <c r="L73" s="98"/>
      <c r="M73" s="98"/>
      <c r="N73" s="99"/>
      <c r="O73" s="72"/>
      <c r="P73" s="100"/>
      <c r="Q73" s="101"/>
      <c r="R73" s="377"/>
      <c r="S73" s="75"/>
      <c r="T73" s="76"/>
      <c r="U73" s="72"/>
      <c r="V73" s="60"/>
      <c r="W73" s="60"/>
      <c r="X73" s="369"/>
      <c r="Y73" s="96"/>
    </row>
    <row r="74" spans="1:25" s="103" customFormat="1" ht="30" customHeight="1" x14ac:dyDescent="0.25">
      <c r="A74" s="94"/>
      <c r="B74" s="94"/>
      <c r="C74" s="413"/>
      <c r="D74" s="95"/>
      <c r="E74" s="96"/>
      <c r="F74" s="96"/>
      <c r="G74" s="96"/>
      <c r="H74" s="96"/>
      <c r="I74" s="96"/>
      <c r="J74" s="96"/>
      <c r="K74" s="97"/>
      <c r="L74" s="98"/>
      <c r="M74" s="98"/>
      <c r="N74" s="99"/>
      <c r="O74" s="72"/>
      <c r="P74" s="100"/>
      <c r="Q74" s="101"/>
      <c r="R74" s="377"/>
      <c r="S74" s="75"/>
      <c r="T74" s="76"/>
      <c r="U74" s="72"/>
      <c r="V74" s="60"/>
      <c r="W74" s="60"/>
      <c r="X74" s="369"/>
      <c r="Y74" s="96"/>
    </row>
    <row r="75" spans="1:25" s="103" customFormat="1" ht="30" customHeight="1" x14ac:dyDescent="0.25">
      <c r="A75" s="94"/>
      <c r="B75" s="94"/>
      <c r="C75" s="413"/>
      <c r="D75" s="95"/>
      <c r="E75" s="96"/>
      <c r="F75" s="96"/>
      <c r="G75" s="96"/>
      <c r="H75" s="96"/>
      <c r="I75" s="96"/>
      <c r="J75" s="96"/>
      <c r="K75" s="97"/>
      <c r="L75" s="98"/>
      <c r="M75" s="98"/>
      <c r="N75" s="99"/>
      <c r="O75" s="72"/>
      <c r="P75" s="100"/>
      <c r="Q75" s="101"/>
      <c r="R75" s="377"/>
      <c r="S75" s="75"/>
      <c r="T75" s="76"/>
      <c r="U75" s="72"/>
      <c r="V75" s="60"/>
      <c r="W75" s="60"/>
      <c r="X75" s="369"/>
      <c r="Y75" s="96"/>
    </row>
    <row r="76" spans="1:25" s="103" customFormat="1" ht="30" customHeight="1" x14ac:dyDescent="0.25">
      <c r="A76" s="94"/>
      <c r="B76" s="94"/>
      <c r="C76" s="413"/>
      <c r="D76" s="95"/>
      <c r="E76" s="96"/>
      <c r="F76" s="96"/>
      <c r="G76" s="96"/>
      <c r="H76" s="96"/>
      <c r="I76" s="96"/>
      <c r="J76" s="96"/>
      <c r="K76" s="97"/>
      <c r="L76" s="98"/>
      <c r="M76" s="98"/>
      <c r="N76" s="99"/>
      <c r="O76" s="72"/>
      <c r="P76" s="100"/>
      <c r="Q76" s="101"/>
      <c r="R76" s="377"/>
      <c r="S76" s="75"/>
      <c r="T76" s="76"/>
      <c r="U76" s="72"/>
      <c r="V76" s="60"/>
      <c r="W76" s="60"/>
      <c r="X76" s="369"/>
      <c r="Y76" s="96"/>
    </row>
    <row r="77" spans="1:25" s="103" customFormat="1" ht="30" customHeight="1" x14ac:dyDescent="0.25">
      <c r="A77" s="94"/>
      <c r="B77" s="94"/>
      <c r="C77" s="413"/>
      <c r="D77" s="95"/>
      <c r="E77" s="96"/>
      <c r="F77" s="96"/>
      <c r="G77" s="96"/>
      <c r="H77" s="96"/>
      <c r="I77" s="96"/>
      <c r="J77" s="96"/>
      <c r="K77" s="97"/>
      <c r="L77" s="98"/>
      <c r="M77" s="98"/>
      <c r="N77" s="99"/>
      <c r="O77" s="72"/>
      <c r="P77" s="100"/>
      <c r="Q77" s="101"/>
      <c r="R77" s="377"/>
      <c r="S77" s="75"/>
      <c r="T77" s="76"/>
      <c r="U77" s="72"/>
      <c r="V77" s="60"/>
      <c r="W77" s="60"/>
      <c r="X77" s="369"/>
      <c r="Y77" s="96"/>
    </row>
    <row r="78" spans="1:25" s="103" customFormat="1" ht="30" customHeight="1" x14ac:dyDescent="0.25">
      <c r="A78" s="94"/>
      <c r="B78" s="94"/>
      <c r="C78" s="413"/>
      <c r="D78" s="95"/>
      <c r="E78" s="96"/>
      <c r="F78" s="96"/>
      <c r="G78" s="96"/>
      <c r="H78" s="96"/>
      <c r="I78" s="96"/>
      <c r="J78" s="96"/>
      <c r="K78" s="97"/>
      <c r="L78" s="98"/>
      <c r="M78" s="98"/>
      <c r="N78" s="99"/>
      <c r="O78" s="72"/>
      <c r="P78" s="100"/>
      <c r="Q78" s="101"/>
      <c r="R78" s="377"/>
      <c r="S78" s="75"/>
      <c r="T78" s="76"/>
      <c r="U78" s="72"/>
      <c r="V78" s="60"/>
      <c r="W78" s="60"/>
      <c r="X78" s="369"/>
      <c r="Y78" s="96"/>
    </row>
    <row r="79" spans="1:25" s="103" customFormat="1" ht="30" customHeight="1" x14ac:dyDescent="0.25">
      <c r="A79" s="94"/>
      <c r="B79" s="94"/>
      <c r="C79" s="413"/>
      <c r="D79" s="95"/>
      <c r="E79" s="96"/>
      <c r="F79" s="96"/>
      <c r="G79" s="96"/>
      <c r="H79" s="96"/>
      <c r="I79" s="96"/>
      <c r="J79" s="96"/>
      <c r="K79" s="97"/>
      <c r="L79" s="98"/>
      <c r="M79" s="98"/>
      <c r="N79" s="99"/>
      <c r="O79" s="72"/>
      <c r="P79" s="100"/>
      <c r="Q79" s="101"/>
      <c r="R79" s="377"/>
      <c r="S79" s="75"/>
      <c r="T79" s="76"/>
      <c r="U79" s="72"/>
      <c r="V79" s="60"/>
      <c r="W79" s="60"/>
      <c r="X79" s="369"/>
      <c r="Y79" s="96"/>
    </row>
    <row r="80" spans="1:25" s="103" customFormat="1" ht="30" customHeight="1" x14ac:dyDescent="0.25">
      <c r="A80" s="94"/>
      <c r="B80" s="94"/>
      <c r="C80" s="413"/>
      <c r="D80" s="95"/>
      <c r="E80" s="96"/>
      <c r="F80" s="96"/>
      <c r="G80" s="96"/>
      <c r="H80" s="96"/>
      <c r="I80" s="96"/>
      <c r="J80" s="96"/>
      <c r="K80" s="97"/>
      <c r="L80" s="98"/>
      <c r="M80" s="98"/>
      <c r="N80" s="99"/>
      <c r="O80" s="72"/>
      <c r="P80" s="100"/>
      <c r="Q80" s="101"/>
      <c r="R80" s="377"/>
      <c r="S80" s="75"/>
      <c r="T80" s="76"/>
      <c r="U80" s="72"/>
      <c r="V80" s="60"/>
      <c r="W80" s="60"/>
      <c r="X80" s="369"/>
      <c r="Y80" s="96"/>
    </row>
    <row r="81" spans="1:25" s="103" customFormat="1" ht="30" customHeight="1" x14ac:dyDescent="0.25">
      <c r="A81" s="94"/>
      <c r="B81" s="94"/>
      <c r="C81" s="413"/>
      <c r="D81" s="95"/>
      <c r="E81" s="96"/>
      <c r="F81" s="96"/>
      <c r="G81" s="96"/>
      <c r="H81" s="96"/>
      <c r="I81" s="96"/>
      <c r="J81" s="96"/>
      <c r="K81" s="97"/>
      <c r="L81" s="98"/>
      <c r="M81" s="98"/>
      <c r="N81" s="99"/>
      <c r="O81" s="72"/>
      <c r="P81" s="100"/>
      <c r="Q81" s="101"/>
      <c r="R81" s="377"/>
      <c r="S81" s="75"/>
      <c r="T81" s="76"/>
      <c r="U81" s="72"/>
      <c r="V81" s="60"/>
      <c r="W81" s="60"/>
      <c r="X81" s="369"/>
      <c r="Y81" s="96"/>
    </row>
    <row r="82" spans="1:25" s="103" customFormat="1" ht="30" customHeight="1" x14ac:dyDescent="0.25">
      <c r="A82" s="94"/>
      <c r="B82" s="94"/>
      <c r="C82" s="413"/>
      <c r="D82" s="95"/>
      <c r="E82" s="96"/>
      <c r="F82" s="96"/>
      <c r="G82" s="96"/>
      <c r="H82" s="96"/>
      <c r="I82" s="96"/>
      <c r="J82" s="96"/>
      <c r="K82" s="97"/>
      <c r="L82" s="98"/>
      <c r="M82" s="98"/>
      <c r="N82" s="99"/>
      <c r="O82" s="72"/>
      <c r="P82" s="100"/>
      <c r="Q82" s="101"/>
      <c r="R82" s="377"/>
      <c r="S82" s="75"/>
      <c r="T82" s="76"/>
      <c r="U82" s="72"/>
      <c r="V82" s="60"/>
      <c r="W82" s="60"/>
      <c r="X82" s="369"/>
      <c r="Y82" s="96"/>
    </row>
    <row r="83" spans="1:25" s="103" customFormat="1" ht="30" customHeight="1" x14ac:dyDescent="0.25">
      <c r="A83" s="94"/>
      <c r="B83" s="94"/>
      <c r="C83" s="413"/>
      <c r="D83" s="95"/>
      <c r="E83" s="96"/>
      <c r="F83" s="96"/>
      <c r="G83" s="96"/>
      <c r="H83" s="96"/>
      <c r="I83" s="96"/>
      <c r="J83" s="96"/>
      <c r="K83" s="97"/>
      <c r="L83" s="98"/>
      <c r="M83" s="98"/>
      <c r="N83" s="99"/>
      <c r="O83" s="72"/>
      <c r="P83" s="100"/>
      <c r="Q83" s="101"/>
      <c r="R83" s="377"/>
      <c r="S83" s="75"/>
      <c r="T83" s="76"/>
      <c r="U83" s="72"/>
      <c r="V83" s="60"/>
      <c r="W83" s="60"/>
      <c r="X83" s="369"/>
      <c r="Y83" s="96"/>
    </row>
    <row r="84" spans="1:25" s="103" customFormat="1" ht="30" customHeight="1" x14ac:dyDescent="0.25">
      <c r="A84" s="94"/>
      <c r="B84" s="94"/>
      <c r="C84" s="413"/>
      <c r="D84" s="95"/>
      <c r="E84" s="96"/>
      <c r="F84" s="96"/>
      <c r="G84" s="96"/>
      <c r="H84" s="96"/>
      <c r="I84" s="96"/>
      <c r="J84" s="96"/>
      <c r="K84" s="97"/>
      <c r="L84" s="98"/>
      <c r="M84" s="98"/>
      <c r="N84" s="99"/>
      <c r="O84" s="72"/>
      <c r="P84" s="100"/>
      <c r="Q84" s="101"/>
      <c r="R84" s="377"/>
      <c r="S84" s="75"/>
      <c r="T84" s="76"/>
      <c r="U84" s="72"/>
      <c r="V84" s="60"/>
      <c r="W84" s="60"/>
      <c r="X84" s="369"/>
      <c r="Y84" s="96"/>
    </row>
    <row r="85" spans="1:25" s="103" customFormat="1" ht="30" customHeight="1" x14ac:dyDescent="0.25">
      <c r="A85" s="94"/>
      <c r="B85" s="94"/>
      <c r="C85" s="413"/>
      <c r="D85" s="95"/>
      <c r="E85" s="96"/>
      <c r="F85" s="96"/>
      <c r="G85" s="96"/>
      <c r="H85" s="96"/>
      <c r="I85" s="96"/>
      <c r="J85" s="96"/>
      <c r="K85" s="97"/>
      <c r="L85" s="98"/>
      <c r="M85" s="98"/>
      <c r="N85" s="99"/>
      <c r="O85" s="72"/>
      <c r="P85" s="100"/>
      <c r="Q85" s="101"/>
      <c r="R85" s="377"/>
      <c r="S85" s="75"/>
      <c r="T85" s="76"/>
      <c r="U85" s="72"/>
      <c r="V85" s="60"/>
      <c r="W85" s="60"/>
      <c r="X85" s="369"/>
      <c r="Y85" s="96"/>
    </row>
    <row r="86" spans="1:25" s="103" customFormat="1" ht="30" customHeight="1" x14ac:dyDescent="0.25">
      <c r="A86" s="94"/>
      <c r="B86" s="94"/>
      <c r="C86" s="413"/>
      <c r="D86" s="95"/>
      <c r="E86" s="96"/>
      <c r="F86" s="96"/>
      <c r="G86" s="96"/>
      <c r="H86" s="96"/>
      <c r="I86" s="96"/>
      <c r="J86" s="96"/>
      <c r="K86" s="97"/>
      <c r="L86" s="98"/>
      <c r="M86" s="98"/>
      <c r="N86" s="99"/>
      <c r="O86" s="72"/>
      <c r="P86" s="100"/>
      <c r="Q86" s="101"/>
      <c r="R86" s="377"/>
      <c r="S86" s="75"/>
      <c r="T86" s="76"/>
      <c r="U86" s="72"/>
      <c r="V86" s="60"/>
      <c r="W86" s="60"/>
      <c r="X86" s="369"/>
      <c r="Y86" s="96"/>
    </row>
    <row r="87" spans="1:25" s="103" customFormat="1" ht="30" customHeight="1" x14ac:dyDescent="0.25">
      <c r="A87" s="94"/>
      <c r="B87" s="94"/>
      <c r="C87" s="413"/>
      <c r="D87" s="95"/>
      <c r="E87" s="96"/>
      <c r="F87" s="96"/>
      <c r="G87" s="96"/>
      <c r="H87" s="96"/>
      <c r="I87" s="96"/>
      <c r="J87" s="96"/>
      <c r="K87" s="97"/>
      <c r="L87" s="98"/>
      <c r="M87" s="98"/>
      <c r="N87" s="99"/>
      <c r="O87" s="72"/>
      <c r="P87" s="100"/>
      <c r="Q87" s="101"/>
      <c r="R87" s="377"/>
      <c r="S87" s="75"/>
      <c r="T87" s="76"/>
      <c r="U87" s="72"/>
      <c r="V87" s="60"/>
      <c r="W87" s="60"/>
      <c r="X87" s="369"/>
      <c r="Y87" s="96"/>
    </row>
    <row r="88" spans="1:25" s="103" customFormat="1" ht="30" customHeight="1" x14ac:dyDescent="0.25">
      <c r="A88" s="94"/>
      <c r="B88" s="94"/>
      <c r="C88" s="413"/>
      <c r="D88" s="95"/>
      <c r="E88" s="96"/>
      <c r="F88" s="96"/>
      <c r="G88" s="96"/>
      <c r="H88" s="96"/>
      <c r="I88" s="96"/>
      <c r="J88" s="96"/>
      <c r="K88" s="97"/>
      <c r="L88" s="98"/>
      <c r="M88" s="98"/>
      <c r="N88" s="99"/>
      <c r="O88" s="72"/>
      <c r="P88" s="100"/>
      <c r="Q88" s="101"/>
      <c r="R88" s="377"/>
      <c r="S88" s="75"/>
      <c r="T88" s="76"/>
      <c r="U88" s="72"/>
      <c r="V88" s="60"/>
      <c r="W88" s="60"/>
      <c r="X88" s="369"/>
      <c r="Y88" s="96"/>
    </row>
    <row r="89" spans="1:25" s="103" customFormat="1" ht="30" customHeight="1" x14ac:dyDescent="0.25">
      <c r="A89" s="94"/>
      <c r="B89" s="94"/>
      <c r="C89" s="413"/>
      <c r="D89" s="95"/>
      <c r="E89" s="96"/>
      <c r="F89" s="96"/>
      <c r="G89" s="96"/>
      <c r="H89" s="96"/>
      <c r="I89" s="96"/>
      <c r="J89" s="96"/>
      <c r="K89" s="97"/>
      <c r="L89" s="98"/>
      <c r="M89" s="98"/>
      <c r="N89" s="99"/>
      <c r="O89" s="72"/>
      <c r="P89" s="100"/>
      <c r="Q89" s="101"/>
      <c r="R89" s="377"/>
      <c r="S89" s="75"/>
      <c r="T89" s="76"/>
      <c r="U89" s="72"/>
      <c r="V89" s="60"/>
      <c r="W89" s="60"/>
      <c r="X89" s="369"/>
      <c r="Y89" s="96"/>
    </row>
    <row r="90" spans="1:25" s="103" customFormat="1" ht="30" customHeight="1" x14ac:dyDescent="0.25">
      <c r="A90" s="94"/>
      <c r="B90" s="94"/>
      <c r="C90" s="413"/>
      <c r="D90" s="95"/>
      <c r="E90" s="96"/>
      <c r="F90" s="96"/>
      <c r="G90" s="96"/>
      <c r="H90" s="96"/>
      <c r="I90" s="96"/>
      <c r="J90" s="96"/>
      <c r="K90" s="97"/>
      <c r="L90" s="98"/>
      <c r="M90" s="98"/>
      <c r="N90" s="99"/>
      <c r="O90" s="72"/>
      <c r="P90" s="100"/>
      <c r="Q90" s="101"/>
      <c r="R90" s="377"/>
      <c r="S90" s="75"/>
      <c r="T90" s="76"/>
      <c r="U90" s="72"/>
      <c r="V90" s="60"/>
      <c r="W90" s="60"/>
      <c r="X90" s="369"/>
      <c r="Y90" s="96"/>
    </row>
    <row r="91" spans="1:25" s="103" customFormat="1" ht="30" customHeight="1" x14ac:dyDescent="0.25">
      <c r="A91" s="94"/>
      <c r="B91" s="94"/>
      <c r="C91" s="413"/>
      <c r="D91" s="95"/>
      <c r="E91" s="96"/>
      <c r="F91" s="96"/>
      <c r="G91" s="96"/>
      <c r="H91" s="96"/>
      <c r="I91" s="96"/>
      <c r="J91" s="96"/>
      <c r="K91" s="97"/>
      <c r="L91" s="98"/>
      <c r="M91" s="98"/>
      <c r="N91" s="99"/>
      <c r="O91" s="72"/>
      <c r="P91" s="100"/>
      <c r="Q91" s="101"/>
      <c r="R91" s="377"/>
      <c r="S91" s="75"/>
      <c r="T91" s="76"/>
      <c r="U91" s="72"/>
      <c r="V91" s="60"/>
      <c r="W91" s="60"/>
      <c r="X91" s="369"/>
      <c r="Y91" s="96"/>
    </row>
    <row r="92" spans="1:25" s="103" customFormat="1" ht="30" customHeight="1" x14ac:dyDescent="0.25">
      <c r="A92" s="94"/>
      <c r="B92" s="94"/>
      <c r="C92" s="413"/>
      <c r="D92" s="95"/>
      <c r="E92" s="96"/>
      <c r="F92" s="96"/>
      <c r="G92" s="96"/>
      <c r="H92" s="96"/>
      <c r="I92" s="96"/>
      <c r="J92" s="96"/>
      <c r="K92" s="97"/>
      <c r="L92" s="98"/>
      <c r="M92" s="98"/>
      <c r="N92" s="99"/>
      <c r="O92" s="72"/>
      <c r="P92" s="100"/>
      <c r="Q92" s="101"/>
      <c r="R92" s="377"/>
      <c r="S92" s="75"/>
      <c r="T92" s="76"/>
      <c r="U92" s="72"/>
      <c r="V92" s="60"/>
      <c r="W92" s="60"/>
      <c r="X92" s="369"/>
      <c r="Y92" s="96"/>
    </row>
    <row r="93" spans="1:25" s="103" customFormat="1" ht="30" customHeight="1" x14ac:dyDescent="0.25">
      <c r="A93" s="94"/>
      <c r="B93" s="94"/>
      <c r="C93" s="413"/>
      <c r="D93" s="95"/>
      <c r="E93" s="96"/>
      <c r="F93" s="96"/>
      <c r="G93" s="96"/>
      <c r="H93" s="96"/>
      <c r="I93" s="96"/>
      <c r="J93" s="96"/>
      <c r="K93" s="97"/>
      <c r="L93" s="98"/>
      <c r="M93" s="98"/>
      <c r="N93" s="99"/>
      <c r="O93" s="72"/>
      <c r="P93" s="100"/>
      <c r="Q93" s="101"/>
      <c r="R93" s="377"/>
      <c r="S93" s="75"/>
      <c r="T93" s="76"/>
      <c r="U93" s="72"/>
      <c r="V93" s="60"/>
      <c r="W93" s="60"/>
      <c r="X93" s="369"/>
      <c r="Y93" s="96"/>
    </row>
    <row r="94" spans="1:25" s="103" customFormat="1" ht="30" customHeight="1" x14ac:dyDescent="0.25">
      <c r="A94" s="94"/>
      <c r="B94" s="94"/>
      <c r="C94" s="413"/>
      <c r="D94" s="95"/>
      <c r="E94" s="96"/>
      <c r="F94" s="96"/>
      <c r="G94" s="96"/>
      <c r="H94" s="96"/>
      <c r="I94" s="96"/>
      <c r="J94" s="96"/>
      <c r="K94" s="97"/>
      <c r="L94" s="98"/>
      <c r="M94" s="98"/>
      <c r="N94" s="99"/>
      <c r="O94" s="72"/>
      <c r="P94" s="100"/>
      <c r="Q94" s="101"/>
      <c r="R94" s="377"/>
      <c r="S94" s="75"/>
      <c r="T94" s="76"/>
      <c r="U94" s="72"/>
      <c r="V94" s="60"/>
      <c r="W94" s="60"/>
      <c r="X94" s="369"/>
      <c r="Y94" s="96"/>
    </row>
    <row r="95" spans="1:25" s="103" customFormat="1" ht="30" customHeight="1" x14ac:dyDescent="0.25">
      <c r="A95" s="94"/>
      <c r="B95" s="94"/>
      <c r="C95" s="413"/>
      <c r="D95" s="95"/>
      <c r="E95" s="96"/>
      <c r="F95" s="96"/>
      <c r="G95" s="96"/>
      <c r="H95" s="96"/>
      <c r="I95" s="96"/>
      <c r="J95" s="96"/>
      <c r="K95" s="97"/>
      <c r="L95" s="98"/>
      <c r="M95" s="98"/>
      <c r="N95" s="99"/>
      <c r="O95" s="72"/>
      <c r="P95" s="100"/>
      <c r="Q95" s="101"/>
      <c r="R95" s="377"/>
      <c r="S95" s="75"/>
      <c r="T95" s="76"/>
      <c r="U95" s="72"/>
      <c r="V95" s="60"/>
      <c r="W95" s="60"/>
      <c r="X95" s="369"/>
      <c r="Y95" s="96"/>
    </row>
    <row r="96" spans="1:25" s="103" customFormat="1" ht="30" customHeight="1" x14ac:dyDescent="0.25">
      <c r="A96" s="94"/>
      <c r="B96" s="94"/>
      <c r="C96" s="413"/>
      <c r="D96" s="95"/>
      <c r="E96" s="96"/>
      <c r="F96" s="96"/>
      <c r="G96" s="96"/>
      <c r="H96" s="96"/>
      <c r="I96" s="96"/>
      <c r="J96" s="96"/>
      <c r="K96" s="97"/>
      <c r="L96" s="98"/>
      <c r="M96" s="98"/>
      <c r="N96" s="99"/>
      <c r="O96" s="72"/>
      <c r="P96" s="100"/>
      <c r="Q96" s="101"/>
      <c r="R96" s="377"/>
      <c r="S96" s="75"/>
      <c r="T96" s="76"/>
      <c r="U96" s="72"/>
      <c r="V96" s="60"/>
      <c r="W96" s="60"/>
      <c r="X96" s="369"/>
      <c r="Y96" s="96"/>
    </row>
    <row r="97" spans="1:25" s="103" customFormat="1" ht="30" customHeight="1" x14ac:dyDescent="0.25">
      <c r="A97" s="94"/>
      <c r="B97" s="94"/>
      <c r="C97" s="413"/>
      <c r="D97" s="95"/>
      <c r="E97" s="96"/>
      <c r="F97" s="96"/>
      <c r="G97" s="96"/>
      <c r="H97" s="96"/>
      <c r="I97" s="96"/>
      <c r="J97" s="96"/>
      <c r="K97" s="97"/>
      <c r="L97" s="98"/>
      <c r="M97" s="98"/>
      <c r="N97" s="99"/>
      <c r="O97" s="72"/>
      <c r="P97" s="100"/>
      <c r="Q97" s="101"/>
      <c r="R97" s="377"/>
      <c r="S97" s="75"/>
      <c r="T97" s="76"/>
      <c r="U97" s="72"/>
      <c r="V97" s="60"/>
      <c r="W97" s="60"/>
      <c r="X97" s="369"/>
      <c r="Y97" s="96"/>
    </row>
    <row r="98" spans="1:25" s="103" customFormat="1" ht="30" customHeight="1" x14ac:dyDescent="0.25">
      <c r="A98" s="94"/>
      <c r="B98" s="94"/>
      <c r="C98" s="413"/>
      <c r="D98" s="95"/>
      <c r="E98" s="96"/>
      <c r="F98" s="96"/>
      <c r="G98" s="96"/>
      <c r="H98" s="96"/>
      <c r="I98" s="96"/>
      <c r="J98" s="96"/>
      <c r="K98" s="97"/>
      <c r="L98" s="98"/>
      <c r="M98" s="98"/>
      <c r="N98" s="99"/>
      <c r="O98" s="72"/>
      <c r="P98" s="100"/>
      <c r="Q98" s="101"/>
      <c r="R98" s="377"/>
      <c r="S98" s="75"/>
      <c r="T98" s="76"/>
      <c r="U98" s="72"/>
      <c r="V98" s="60"/>
      <c r="W98" s="60"/>
      <c r="X98" s="369"/>
      <c r="Y98" s="96"/>
    </row>
    <row r="99" spans="1:25" s="103" customFormat="1" ht="30" customHeight="1" x14ac:dyDescent="0.25">
      <c r="A99" s="94"/>
      <c r="B99" s="94"/>
      <c r="C99" s="413"/>
      <c r="D99" s="95"/>
      <c r="E99" s="96"/>
      <c r="F99" s="96"/>
      <c r="G99" s="96"/>
      <c r="H99" s="96"/>
      <c r="I99" s="96"/>
      <c r="J99" s="96"/>
      <c r="K99" s="97"/>
      <c r="L99" s="98"/>
      <c r="M99" s="98"/>
      <c r="N99" s="99"/>
      <c r="O99" s="72"/>
      <c r="P99" s="100"/>
      <c r="Q99" s="101"/>
      <c r="R99" s="377"/>
      <c r="S99" s="75"/>
      <c r="T99" s="76"/>
      <c r="U99" s="72"/>
      <c r="V99" s="60"/>
      <c r="W99" s="60"/>
      <c r="X99" s="369"/>
      <c r="Y99" s="96"/>
    </row>
    <row r="100" spans="1:25" s="103" customFormat="1" ht="30" customHeight="1" x14ac:dyDescent="0.25">
      <c r="A100" s="94"/>
      <c r="B100" s="94"/>
      <c r="C100" s="413"/>
      <c r="D100" s="95"/>
      <c r="E100" s="96"/>
      <c r="F100" s="96"/>
      <c r="G100" s="96"/>
      <c r="H100" s="96"/>
      <c r="I100" s="96"/>
      <c r="J100" s="96"/>
      <c r="K100" s="97"/>
      <c r="L100" s="98"/>
      <c r="M100" s="98"/>
      <c r="N100" s="99"/>
      <c r="O100" s="72"/>
      <c r="P100" s="100"/>
      <c r="Q100" s="101"/>
      <c r="R100" s="377"/>
      <c r="S100" s="75"/>
      <c r="T100" s="76"/>
      <c r="U100" s="72"/>
      <c r="V100" s="60"/>
      <c r="W100" s="60"/>
      <c r="X100" s="369"/>
      <c r="Y100" s="96"/>
    </row>
    <row r="101" spans="1:25" s="103" customFormat="1" ht="30" customHeight="1" x14ac:dyDescent="0.25">
      <c r="A101" s="94"/>
      <c r="B101" s="94"/>
      <c r="C101" s="413"/>
      <c r="D101" s="95"/>
      <c r="E101" s="96"/>
      <c r="F101" s="96"/>
      <c r="G101" s="96"/>
      <c r="H101" s="96"/>
      <c r="I101" s="96"/>
      <c r="J101" s="96"/>
      <c r="K101" s="97"/>
      <c r="L101" s="98"/>
      <c r="M101" s="98"/>
      <c r="N101" s="99"/>
      <c r="O101" s="72"/>
      <c r="P101" s="100"/>
      <c r="Q101" s="101"/>
      <c r="R101" s="377"/>
      <c r="S101" s="75"/>
      <c r="T101" s="76"/>
      <c r="U101" s="72"/>
      <c r="V101" s="60"/>
      <c r="W101" s="60"/>
      <c r="X101" s="369"/>
      <c r="Y101" s="96"/>
    </row>
    <row r="102" spans="1:25" s="103" customFormat="1" ht="30" customHeight="1" x14ac:dyDescent="0.25">
      <c r="A102" s="94"/>
      <c r="B102" s="94"/>
      <c r="C102" s="413"/>
      <c r="D102" s="95"/>
      <c r="E102" s="96"/>
      <c r="F102" s="96"/>
      <c r="G102" s="96"/>
      <c r="H102" s="96"/>
      <c r="I102" s="96"/>
      <c r="J102" s="96"/>
      <c r="K102" s="97"/>
      <c r="L102" s="98"/>
      <c r="M102" s="98"/>
      <c r="N102" s="99"/>
      <c r="O102" s="72"/>
      <c r="P102" s="100"/>
      <c r="Q102" s="101"/>
      <c r="R102" s="377"/>
      <c r="S102" s="75"/>
      <c r="T102" s="76"/>
      <c r="U102" s="72"/>
      <c r="V102" s="60"/>
      <c r="W102" s="60"/>
      <c r="X102" s="369"/>
      <c r="Y102" s="96"/>
    </row>
    <row r="103" spans="1:25" s="103" customFormat="1" ht="30" customHeight="1" x14ac:dyDescent="0.25">
      <c r="A103" s="94"/>
      <c r="B103" s="94"/>
      <c r="C103" s="413"/>
      <c r="D103" s="95"/>
      <c r="E103" s="96"/>
      <c r="F103" s="96"/>
      <c r="G103" s="96"/>
      <c r="H103" s="96"/>
      <c r="I103" s="96"/>
      <c r="J103" s="96"/>
      <c r="K103" s="97"/>
      <c r="L103" s="98"/>
      <c r="M103" s="98"/>
      <c r="N103" s="99"/>
      <c r="O103" s="72"/>
      <c r="P103" s="100"/>
      <c r="Q103" s="101"/>
      <c r="R103" s="377"/>
      <c r="S103" s="75"/>
      <c r="T103" s="76"/>
      <c r="U103" s="72"/>
      <c r="V103" s="60"/>
      <c r="W103" s="60"/>
      <c r="X103" s="369"/>
      <c r="Y103" s="96"/>
    </row>
    <row r="104" spans="1:25" s="103" customFormat="1" ht="30" customHeight="1" x14ac:dyDescent="0.25">
      <c r="A104" s="94"/>
      <c r="B104" s="94"/>
      <c r="C104" s="413"/>
      <c r="D104" s="95"/>
      <c r="E104" s="96"/>
      <c r="F104" s="96"/>
      <c r="G104" s="96"/>
      <c r="H104" s="96"/>
      <c r="I104" s="96"/>
      <c r="J104" s="96"/>
      <c r="K104" s="97"/>
      <c r="L104" s="98"/>
      <c r="M104" s="98"/>
      <c r="N104" s="99"/>
      <c r="O104" s="72"/>
      <c r="P104" s="100"/>
      <c r="Q104" s="101"/>
      <c r="R104" s="377"/>
      <c r="S104" s="75"/>
      <c r="T104" s="76"/>
      <c r="U104" s="72"/>
      <c r="V104" s="60"/>
      <c r="W104" s="60"/>
      <c r="X104" s="369"/>
      <c r="Y104" s="96"/>
    </row>
    <row r="105" spans="1:25" s="103" customFormat="1" ht="30" customHeight="1" x14ac:dyDescent="0.25">
      <c r="A105" s="94"/>
      <c r="B105" s="94"/>
      <c r="C105" s="413"/>
      <c r="D105" s="95"/>
      <c r="E105" s="96"/>
      <c r="F105" s="96"/>
      <c r="G105" s="96"/>
      <c r="H105" s="96"/>
      <c r="I105" s="96"/>
      <c r="J105" s="96"/>
      <c r="K105" s="97"/>
      <c r="L105" s="98"/>
      <c r="M105" s="98"/>
      <c r="N105" s="99"/>
      <c r="O105" s="72"/>
      <c r="P105" s="100"/>
      <c r="Q105" s="101"/>
      <c r="R105" s="377"/>
      <c r="S105" s="75"/>
      <c r="T105" s="76"/>
      <c r="U105" s="72"/>
      <c r="V105" s="60"/>
      <c r="W105" s="60"/>
      <c r="X105" s="369"/>
      <c r="Y105" s="96"/>
    </row>
    <row r="106" spans="1:25" s="103" customFormat="1" ht="30" customHeight="1" x14ac:dyDescent="0.25">
      <c r="A106" s="94"/>
      <c r="B106" s="94"/>
      <c r="C106" s="413"/>
      <c r="D106" s="95"/>
      <c r="E106" s="96"/>
      <c r="F106" s="96"/>
      <c r="G106" s="96"/>
      <c r="H106" s="96"/>
      <c r="I106" s="96"/>
      <c r="J106" s="96"/>
      <c r="K106" s="97"/>
      <c r="L106" s="98"/>
      <c r="M106" s="98"/>
      <c r="N106" s="99"/>
      <c r="O106" s="72"/>
      <c r="P106" s="100"/>
      <c r="Q106" s="101"/>
      <c r="R106" s="377"/>
      <c r="S106" s="75"/>
      <c r="T106" s="76"/>
      <c r="U106" s="72"/>
      <c r="V106" s="60"/>
      <c r="W106" s="60"/>
      <c r="X106" s="369"/>
      <c r="Y106" s="96"/>
    </row>
    <row r="107" spans="1:25" s="103" customFormat="1" ht="30" customHeight="1" x14ac:dyDescent="0.25">
      <c r="A107" s="94"/>
      <c r="B107" s="94"/>
      <c r="C107" s="413"/>
      <c r="D107" s="95"/>
      <c r="E107" s="96"/>
      <c r="F107" s="96"/>
      <c r="G107" s="96"/>
      <c r="H107" s="96"/>
      <c r="I107" s="96"/>
      <c r="J107" s="96"/>
      <c r="K107" s="97"/>
      <c r="L107" s="98"/>
      <c r="M107" s="98"/>
      <c r="N107" s="99"/>
      <c r="O107" s="72"/>
      <c r="P107" s="100"/>
      <c r="Q107" s="101"/>
      <c r="R107" s="377"/>
      <c r="S107" s="75"/>
      <c r="T107" s="76"/>
      <c r="U107" s="72"/>
      <c r="V107" s="60"/>
      <c r="W107" s="60"/>
      <c r="X107" s="369"/>
      <c r="Y107" s="96"/>
    </row>
    <row r="108" spans="1:25" s="103" customFormat="1" ht="30" customHeight="1" x14ac:dyDescent="0.25">
      <c r="A108" s="94"/>
      <c r="B108" s="94"/>
      <c r="C108" s="413"/>
      <c r="D108" s="95"/>
      <c r="E108" s="96"/>
      <c r="F108" s="96"/>
      <c r="G108" s="96"/>
      <c r="H108" s="96"/>
      <c r="I108" s="96"/>
      <c r="J108" s="96"/>
      <c r="K108" s="97"/>
      <c r="L108" s="98"/>
      <c r="M108" s="98"/>
      <c r="N108" s="99"/>
      <c r="O108" s="72"/>
      <c r="P108" s="100"/>
      <c r="Q108" s="101"/>
      <c r="R108" s="377"/>
      <c r="S108" s="75"/>
      <c r="T108" s="76"/>
      <c r="U108" s="72"/>
      <c r="V108" s="60"/>
      <c r="W108" s="60"/>
      <c r="X108" s="369"/>
      <c r="Y108" s="96"/>
    </row>
    <row r="109" spans="1:25" s="103" customFormat="1" ht="30" customHeight="1" x14ac:dyDescent="0.25">
      <c r="A109" s="94"/>
      <c r="B109" s="94"/>
      <c r="C109" s="413"/>
      <c r="D109" s="95"/>
      <c r="E109" s="96"/>
      <c r="F109" s="96"/>
      <c r="G109" s="96"/>
      <c r="H109" s="96"/>
      <c r="I109" s="96"/>
      <c r="J109" s="96"/>
      <c r="K109" s="97"/>
      <c r="L109" s="98"/>
      <c r="M109" s="98"/>
      <c r="N109" s="99"/>
      <c r="O109" s="72"/>
      <c r="P109" s="100"/>
      <c r="Q109" s="101"/>
      <c r="R109" s="377"/>
      <c r="S109" s="75"/>
      <c r="T109" s="76"/>
      <c r="U109" s="72"/>
      <c r="V109" s="60"/>
      <c r="W109" s="60"/>
      <c r="X109" s="369"/>
      <c r="Y109" s="96"/>
    </row>
    <row r="110" spans="1:25" s="103" customFormat="1" ht="65.099999999999994" customHeight="1" x14ac:dyDescent="0.25">
      <c r="A110" s="94"/>
      <c r="B110" s="94"/>
      <c r="C110" s="413"/>
      <c r="D110" s="95"/>
      <c r="E110" s="96"/>
      <c r="F110" s="96"/>
      <c r="G110" s="96"/>
      <c r="H110" s="96"/>
      <c r="I110" s="96"/>
      <c r="J110" s="96"/>
      <c r="K110" s="97"/>
      <c r="L110" s="98"/>
      <c r="M110" s="98"/>
      <c r="N110" s="99"/>
      <c r="O110" s="72"/>
      <c r="P110" s="100"/>
      <c r="Q110" s="101"/>
      <c r="R110" s="377"/>
      <c r="S110" s="75"/>
      <c r="T110" s="76"/>
      <c r="U110" s="72"/>
      <c r="V110" s="60"/>
      <c r="W110" s="60"/>
      <c r="X110" s="369"/>
      <c r="Y110" s="96"/>
    </row>
    <row r="111" spans="1:25" s="103" customFormat="1" ht="65.099999999999994" customHeight="1" x14ac:dyDescent="0.25">
      <c r="A111" s="94"/>
      <c r="B111" s="94"/>
      <c r="C111" s="413"/>
      <c r="D111" s="95"/>
      <c r="E111" s="96"/>
      <c r="F111" s="96"/>
      <c r="G111" s="96"/>
      <c r="H111" s="96"/>
      <c r="I111" s="96"/>
      <c r="J111" s="96"/>
      <c r="K111" s="97"/>
      <c r="L111" s="98"/>
      <c r="M111" s="98"/>
      <c r="N111" s="99"/>
      <c r="O111" s="72"/>
      <c r="P111" s="100"/>
      <c r="Q111" s="101"/>
      <c r="R111" s="377"/>
      <c r="S111" s="75"/>
      <c r="T111" s="76"/>
      <c r="U111" s="72"/>
      <c r="V111" s="60"/>
      <c r="W111" s="60"/>
      <c r="X111" s="369"/>
      <c r="Y111" s="96"/>
    </row>
    <row r="112" spans="1:25" s="103" customFormat="1" ht="65.099999999999994" customHeight="1" x14ac:dyDescent="0.25">
      <c r="A112" s="94"/>
      <c r="B112" s="94"/>
      <c r="C112" s="413"/>
      <c r="D112" s="95"/>
      <c r="E112" s="96"/>
      <c r="F112" s="96"/>
      <c r="G112" s="96"/>
      <c r="H112" s="96"/>
      <c r="I112" s="96"/>
      <c r="J112" s="96"/>
      <c r="K112" s="97"/>
      <c r="L112" s="98"/>
      <c r="M112" s="98"/>
      <c r="N112" s="99"/>
      <c r="O112" s="72"/>
      <c r="P112" s="100"/>
      <c r="Q112" s="101"/>
      <c r="R112" s="377"/>
      <c r="S112" s="75"/>
      <c r="T112" s="76"/>
      <c r="U112" s="72"/>
      <c r="V112" s="60"/>
      <c r="W112" s="60"/>
      <c r="X112" s="369"/>
      <c r="Y112" s="96"/>
    </row>
    <row r="113" spans="1:25" s="103" customFormat="1" ht="65.099999999999994" customHeight="1" x14ac:dyDescent="0.25">
      <c r="A113" s="94"/>
      <c r="B113" s="94"/>
      <c r="C113" s="413"/>
      <c r="D113" s="95"/>
      <c r="E113" s="96"/>
      <c r="F113" s="96"/>
      <c r="G113" s="96"/>
      <c r="H113" s="96"/>
      <c r="I113" s="96"/>
      <c r="J113" s="96"/>
      <c r="K113" s="97"/>
      <c r="L113" s="98"/>
      <c r="M113" s="98"/>
      <c r="N113" s="99"/>
      <c r="O113" s="72"/>
      <c r="P113" s="100"/>
      <c r="Q113" s="101"/>
      <c r="R113" s="377"/>
      <c r="S113" s="75"/>
      <c r="T113" s="76"/>
      <c r="U113" s="72"/>
      <c r="V113" s="60"/>
      <c r="W113" s="60"/>
      <c r="X113" s="369"/>
      <c r="Y113" s="96"/>
    </row>
    <row r="114" spans="1:25" s="103" customFormat="1" ht="65.099999999999994" customHeight="1" x14ac:dyDescent="0.25">
      <c r="A114" s="94"/>
      <c r="B114" s="94"/>
      <c r="C114" s="413"/>
      <c r="D114" s="95"/>
      <c r="E114" s="96"/>
      <c r="F114" s="96"/>
      <c r="G114" s="96"/>
      <c r="H114" s="96"/>
      <c r="I114" s="96"/>
      <c r="J114" s="96"/>
      <c r="K114" s="97"/>
      <c r="L114" s="98"/>
      <c r="M114" s="98"/>
      <c r="N114" s="99"/>
      <c r="O114" s="72"/>
      <c r="P114" s="100"/>
      <c r="Q114" s="101"/>
      <c r="R114" s="377"/>
      <c r="S114" s="75"/>
      <c r="T114" s="76"/>
      <c r="U114" s="72"/>
      <c r="V114" s="60"/>
      <c r="W114" s="60"/>
      <c r="X114" s="369"/>
      <c r="Y114" s="96"/>
    </row>
    <row r="115" spans="1:25" s="103" customFormat="1" ht="65.099999999999994" customHeight="1" x14ac:dyDescent="0.25">
      <c r="A115" s="94"/>
      <c r="B115" s="94"/>
      <c r="C115" s="413"/>
      <c r="D115" s="95"/>
      <c r="E115" s="96"/>
      <c r="F115" s="96"/>
      <c r="G115" s="96"/>
      <c r="H115" s="96"/>
      <c r="I115" s="96"/>
      <c r="J115" s="96"/>
      <c r="K115" s="97"/>
      <c r="L115" s="98"/>
      <c r="M115" s="98"/>
      <c r="N115" s="99"/>
      <c r="O115" s="72"/>
      <c r="P115" s="100"/>
      <c r="Q115" s="101"/>
      <c r="R115" s="377"/>
      <c r="S115" s="75"/>
      <c r="T115" s="76"/>
      <c r="U115" s="72"/>
      <c r="V115" s="60"/>
      <c r="W115" s="60"/>
      <c r="X115" s="369"/>
      <c r="Y115" s="96"/>
    </row>
    <row r="116" spans="1:25" s="103" customFormat="1" ht="65.099999999999994" customHeight="1" x14ac:dyDescent="0.25">
      <c r="A116" s="94"/>
      <c r="B116" s="94"/>
      <c r="C116" s="413"/>
      <c r="D116" s="95"/>
      <c r="E116" s="96"/>
      <c r="F116" s="96"/>
      <c r="G116" s="96"/>
      <c r="H116" s="96"/>
      <c r="I116" s="96"/>
      <c r="J116" s="96"/>
      <c r="K116" s="97"/>
      <c r="L116" s="98"/>
      <c r="M116" s="98"/>
      <c r="N116" s="99"/>
      <c r="O116" s="72"/>
      <c r="P116" s="100"/>
      <c r="Q116" s="101"/>
      <c r="R116" s="377"/>
      <c r="S116" s="75"/>
      <c r="T116" s="76"/>
      <c r="U116" s="72"/>
      <c r="V116" s="60"/>
      <c r="W116" s="60"/>
      <c r="X116" s="369"/>
      <c r="Y116" s="96"/>
    </row>
    <row r="117" spans="1:25" s="103" customFormat="1" ht="65.099999999999994" customHeight="1" x14ac:dyDescent="0.25">
      <c r="A117" s="94"/>
      <c r="B117" s="94"/>
      <c r="C117" s="413"/>
      <c r="D117" s="95"/>
      <c r="E117" s="96"/>
      <c r="F117" s="96"/>
      <c r="G117" s="96"/>
      <c r="H117" s="96"/>
      <c r="I117" s="96"/>
      <c r="J117" s="96"/>
      <c r="K117" s="97"/>
      <c r="L117" s="98"/>
      <c r="M117" s="98"/>
      <c r="N117" s="99"/>
      <c r="O117" s="72"/>
      <c r="P117" s="100"/>
      <c r="Q117" s="101"/>
      <c r="R117" s="377"/>
      <c r="S117" s="75"/>
      <c r="T117" s="76"/>
      <c r="U117" s="72"/>
      <c r="V117" s="60"/>
      <c r="W117" s="60"/>
      <c r="X117" s="369"/>
      <c r="Y117" s="96"/>
    </row>
    <row r="118" spans="1:25" s="103" customFormat="1" ht="65.099999999999994" customHeight="1" x14ac:dyDescent="0.25">
      <c r="A118" s="94"/>
      <c r="B118" s="94"/>
      <c r="C118" s="413"/>
      <c r="D118" s="95"/>
      <c r="E118" s="96"/>
      <c r="F118" s="96"/>
      <c r="G118" s="96"/>
      <c r="H118" s="96"/>
      <c r="I118" s="96"/>
      <c r="J118" s="96"/>
      <c r="K118" s="97"/>
      <c r="L118" s="98"/>
      <c r="M118" s="98"/>
      <c r="N118" s="99"/>
      <c r="O118" s="72"/>
      <c r="P118" s="100"/>
      <c r="Q118" s="101"/>
      <c r="R118" s="377"/>
      <c r="S118" s="75"/>
      <c r="T118" s="76"/>
      <c r="U118" s="72"/>
      <c r="V118" s="60"/>
      <c r="W118" s="60"/>
      <c r="X118" s="369"/>
      <c r="Y118" s="96"/>
    </row>
    <row r="119" spans="1:25" s="103" customFormat="1" ht="65.099999999999994" customHeight="1" x14ac:dyDescent="0.25">
      <c r="A119" s="94"/>
      <c r="B119" s="94"/>
      <c r="C119" s="413"/>
      <c r="D119" s="95"/>
      <c r="E119" s="96"/>
      <c r="F119" s="96"/>
      <c r="G119" s="96"/>
      <c r="H119" s="96"/>
      <c r="I119" s="96"/>
      <c r="J119" s="96"/>
      <c r="K119" s="97"/>
      <c r="L119" s="98"/>
      <c r="M119" s="98"/>
      <c r="N119" s="99"/>
      <c r="O119" s="72"/>
      <c r="P119" s="100"/>
      <c r="Q119" s="101"/>
      <c r="R119" s="377"/>
      <c r="S119" s="75"/>
      <c r="T119" s="76"/>
      <c r="U119" s="72"/>
      <c r="V119" s="60"/>
      <c r="W119" s="60"/>
      <c r="X119" s="369"/>
      <c r="Y119" s="96"/>
    </row>
    <row r="120" spans="1:25" s="103" customFormat="1" ht="65.099999999999994" customHeight="1" x14ac:dyDescent="0.25">
      <c r="A120" s="94"/>
      <c r="B120" s="94"/>
      <c r="C120" s="413"/>
      <c r="D120" s="95"/>
      <c r="E120" s="96"/>
      <c r="F120" s="96"/>
      <c r="G120" s="96"/>
      <c r="H120" s="96"/>
      <c r="I120" s="96"/>
      <c r="J120" s="96"/>
      <c r="K120" s="97"/>
      <c r="L120" s="98"/>
      <c r="M120" s="98"/>
      <c r="N120" s="99"/>
      <c r="O120" s="72"/>
      <c r="P120" s="100"/>
      <c r="Q120" s="101"/>
      <c r="R120" s="377"/>
      <c r="S120" s="75"/>
      <c r="T120" s="76"/>
      <c r="U120" s="72"/>
      <c r="V120" s="60"/>
      <c r="W120" s="60"/>
      <c r="X120" s="369"/>
      <c r="Y120" s="96"/>
    </row>
    <row r="121" spans="1:25" s="103" customFormat="1" ht="65.099999999999994" customHeight="1" x14ac:dyDescent="0.25">
      <c r="A121" s="94"/>
      <c r="B121" s="94"/>
      <c r="C121" s="413"/>
      <c r="D121" s="95"/>
      <c r="E121" s="96"/>
      <c r="F121" s="96"/>
      <c r="G121" s="96"/>
      <c r="H121" s="96"/>
      <c r="I121" s="96"/>
      <c r="J121" s="96"/>
      <c r="K121" s="97"/>
      <c r="L121" s="98"/>
      <c r="M121" s="98"/>
      <c r="N121" s="99"/>
      <c r="O121" s="72"/>
      <c r="P121" s="100"/>
      <c r="Q121" s="101"/>
      <c r="R121" s="377"/>
      <c r="S121" s="75"/>
      <c r="T121" s="76"/>
      <c r="U121" s="72"/>
      <c r="V121" s="60"/>
      <c r="W121" s="60"/>
      <c r="X121" s="369"/>
      <c r="Y121" s="96"/>
    </row>
    <row r="122" spans="1:25" s="103" customFormat="1" ht="65.099999999999994" customHeight="1" x14ac:dyDescent="0.25">
      <c r="A122" s="94"/>
      <c r="B122" s="94"/>
      <c r="C122" s="413"/>
      <c r="D122" s="95"/>
      <c r="E122" s="96"/>
      <c r="F122" s="96"/>
      <c r="G122" s="96"/>
      <c r="H122" s="96"/>
      <c r="I122" s="96"/>
      <c r="J122" s="96"/>
      <c r="K122" s="97"/>
      <c r="L122" s="98"/>
      <c r="M122" s="98"/>
      <c r="N122" s="99"/>
      <c r="O122" s="72"/>
      <c r="P122" s="100"/>
      <c r="Q122" s="101"/>
      <c r="R122" s="377"/>
      <c r="S122" s="75"/>
      <c r="T122" s="76"/>
      <c r="U122" s="72"/>
      <c r="V122" s="60"/>
      <c r="W122" s="60"/>
      <c r="X122" s="369"/>
      <c r="Y122" s="96"/>
    </row>
    <row r="123" spans="1:25" s="103" customFormat="1" ht="65.099999999999994" customHeight="1" x14ac:dyDescent="0.25">
      <c r="A123" s="94"/>
      <c r="B123" s="94"/>
      <c r="C123" s="413"/>
      <c r="D123" s="95"/>
      <c r="E123" s="96"/>
      <c r="F123" s="96"/>
      <c r="G123" s="96"/>
      <c r="H123" s="96"/>
      <c r="I123" s="96"/>
      <c r="J123" s="96"/>
      <c r="K123" s="97"/>
      <c r="L123" s="98"/>
      <c r="M123" s="98"/>
      <c r="N123" s="99"/>
      <c r="O123" s="72"/>
      <c r="P123" s="100"/>
      <c r="Q123" s="101"/>
      <c r="R123" s="377"/>
      <c r="S123" s="75"/>
      <c r="T123" s="76"/>
      <c r="U123" s="72"/>
      <c r="V123" s="60"/>
      <c r="W123" s="60"/>
      <c r="X123" s="369"/>
      <c r="Y123" s="96"/>
    </row>
    <row r="124" spans="1:25" s="103" customFormat="1" ht="65.099999999999994" customHeight="1" x14ac:dyDescent="0.25">
      <c r="A124" s="94"/>
      <c r="B124" s="94"/>
      <c r="C124" s="413"/>
      <c r="D124" s="95"/>
      <c r="E124" s="96"/>
      <c r="F124" s="96"/>
      <c r="G124" s="96"/>
      <c r="H124" s="96"/>
      <c r="I124" s="96"/>
      <c r="J124" s="96"/>
      <c r="K124" s="97"/>
      <c r="L124" s="98"/>
      <c r="M124" s="98"/>
      <c r="N124" s="99"/>
      <c r="O124" s="72"/>
      <c r="P124" s="100"/>
      <c r="Q124" s="101"/>
      <c r="R124" s="377"/>
      <c r="S124" s="75"/>
      <c r="T124" s="76"/>
      <c r="U124" s="72"/>
      <c r="V124" s="60"/>
      <c r="W124" s="60"/>
      <c r="X124" s="369"/>
      <c r="Y124" s="96"/>
    </row>
    <row r="125" spans="1:25" s="103" customFormat="1" ht="65.099999999999994" customHeight="1" x14ac:dyDescent="0.25">
      <c r="A125" s="94"/>
      <c r="B125" s="94"/>
      <c r="C125" s="413"/>
      <c r="D125" s="95"/>
      <c r="E125" s="96"/>
      <c r="F125" s="96"/>
      <c r="G125" s="96"/>
      <c r="H125" s="96"/>
      <c r="I125" s="96"/>
      <c r="J125" s="96"/>
      <c r="K125" s="97"/>
      <c r="L125" s="98"/>
      <c r="M125" s="98"/>
      <c r="N125" s="99"/>
      <c r="O125" s="72"/>
      <c r="P125" s="100"/>
      <c r="Q125" s="101"/>
      <c r="R125" s="377"/>
      <c r="S125" s="75"/>
      <c r="T125" s="76"/>
      <c r="U125" s="72"/>
      <c r="V125" s="60"/>
      <c r="W125" s="60"/>
      <c r="X125" s="369"/>
      <c r="Y125" s="96"/>
    </row>
    <row r="126" spans="1:25" s="103" customFormat="1" ht="65.099999999999994" customHeight="1" x14ac:dyDescent="0.25">
      <c r="A126" s="94"/>
      <c r="B126" s="94"/>
      <c r="C126" s="413"/>
      <c r="D126" s="95"/>
      <c r="E126" s="96"/>
      <c r="F126" s="96"/>
      <c r="G126" s="96"/>
      <c r="H126" s="96"/>
      <c r="I126" s="96"/>
      <c r="J126" s="96"/>
      <c r="K126" s="97"/>
      <c r="L126" s="98"/>
      <c r="M126" s="98"/>
      <c r="N126" s="99"/>
      <c r="O126" s="72"/>
      <c r="P126" s="100"/>
      <c r="Q126" s="101"/>
      <c r="R126" s="377"/>
      <c r="S126" s="75"/>
      <c r="T126" s="76"/>
      <c r="U126" s="72"/>
      <c r="V126" s="60"/>
      <c r="W126" s="60"/>
      <c r="X126" s="369"/>
      <c r="Y126" s="96"/>
    </row>
    <row r="127" spans="1:25" s="103" customFormat="1" ht="65.099999999999994" customHeight="1" x14ac:dyDescent="0.25">
      <c r="A127" s="94"/>
      <c r="B127" s="94"/>
      <c r="C127" s="413"/>
      <c r="D127" s="95"/>
      <c r="E127" s="96"/>
      <c r="F127" s="96"/>
      <c r="G127" s="96"/>
      <c r="H127" s="96"/>
      <c r="I127" s="96"/>
      <c r="J127" s="96"/>
      <c r="K127" s="97"/>
      <c r="L127" s="98"/>
      <c r="M127" s="98"/>
      <c r="N127" s="99"/>
      <c r="O127" s="72"/>
      <c r="P127" s="100"/>
      <c r="Q127" s="101"/>
      <c r="R127" s="377"/>
      <c r="S127" s="75"/>
      <c r="T127" s="76"/>
      <c r="U127" s="72"/>
      <c r="V127" s="60"/>
      <c r="W127" s="60"/>
      <c r="X127" s="369"/>
      <c r="Y127" s="96"/>
    </row>
    <row r="128" spans="1:25" s="103" customFormat="1" ht="65.099999999999994" customHeight="1" x14ac:dyDescent="0.25">
      <c r="A128" s="94"/>
      <c r="B128" s="94"/>
      <c r="C128" s="413"/>
      <c r="D128" s="95"/>
      <c r="E128" s="96"/>
      <c r="F128" s="96"/>
      <c r="G128" s="96"/>
      <c r="H128" s="96"/>
      <c r="I128" s="96"/>
      <c r="J128" s="96"/>
      <c r="K128" s="97"/>
      <c r="L128" s="98"/>
      <c r="M128" s="98"/>
      <c r="N128" s="99"/>
      <c r="O128" s="72"/>
      <c r="P128" s="100"/>
      <c r="Q128" s="101"/>
      <c r="R128" s="377"/>
      <c r="S128" s="75"/>
      <c r="T128" s="76"/>
      <c r="U128" s="72"/>
      <c r="V128" s="60"/>
      <c r="W128" s="60"/>
      <c r="X128" s="369"/>
      <c r="Y128" s="96"/>
    </row>
    <row r="129" spans="1:25" s="103" customFormat="1" ht="65.099999999999994" customHeight="1" x14ac:dyDescent="0.25">
      <c r="A129" s="94"/>
      <c r="B129" s="94"/>
      <c r="C129" s="413"/>
      <c r="D129" s="95"/>
      <c r="E129" s="96"/>
      <c r="F129" s="96"/>
      <c r="G129" s="96"/>
      <c r="H129" s="96"/>
      <c r="I129" s="96"/>
      <c r="J129" s="96"/>
      <c r="K129" s="97"/>
      <c r="L129" s="98"/>
      <c r="M129" s="98"/>
      <c r="N129" s="99"/>
      <c r="O129" s="72"/>
      <c r="P129" s="100"/>
      <c r="Q129" s="101"/>
      <c r="R129" s="377"/>
      <c r="S129" s="75"/>
      <c r="T129" s="76"/>
      <c r="U129" s="72"/>
      <c r="V129" s="60"/>
      <c r="W129" s="60"/>
      <c r="X129" s="369"/>
      <c r="Y129" s="96"/>
    </row>
    <row r="130" spans="1:25" s="103" customFormat="1" ht="65.099999999999994" customHeight="1" x14ac:dyDescent="0.25">
      <c r="A130" s="94"/>
      <c r="B130" s="94"/>
      <c r="C130" s="413"/>
      <c r="D130" s="95"/>
      <c r="E130" s="96"/>
      <c r="F130" s="96"/>
      <c r="G130" s="96"/>
      <c r="H130" s="96"/>
      <c r="I130" s="96"/>
      <c r="J130" s="96"/>
      <c r="K130" s="97"/>
      <c r="L130" s="98"/>
      <c r="M130" s="98"/>
      <c r="N130" s="99"/>
      <c r="O130" s="72"/>
      <c r="P130" s="100"/>
      <c r="Q130" s="101"/>
      <c r="R130" s="377"/>
      <c r="S130" s="75"/>
      <c r="T130" s="76"/>
      <c r="U130" s="72"/>
      <c r="V130" s="60"/>
      <c r="W130" s="60"/>
      <c r="X130" s="369"/>
      <c r="Y130" s="96"/>
    </row>
    <row r="131" spans="1:25" s="103" customFormat="1" ht="65.099999999999994" customHeight="1" x14ac:dyDescent="0.25">
      <c r="A131" s="94"/>
      <c r="B131" s="94"/>
      <c r="C131" s="413"/>
      <c r="D131" s="95"/>
      <c r="E131" s="96"/>
      <c r="F131" s="96"/>
      <c r="G131" s="96"/>
      <c r="H131" s="96"/>
      <c r="I131" s="96"/>
      <c r="J131" s="96"/>
      <c r="K131" s="97"/>
      <c r="L131" s="98"/>
      <c r="M131" s="98"/>
      <c r="N131" s="99"/>
      <c r="O131" s="72"/>
      <c r="P131" s="100"/>
      <c r="Q131" s="101"/>
      <c r="R131" s="377"/>
      <c r="S131" s="75"/>
      <c r="T131" s="76"/>
      <c r="U131" s="72"/>
      <c r="V131" s="60"/>
      <c r="W131" s="60"/>
      <c r="X131" s="369"/>
      <c r="Y131" s="96"/>
    </row>
    <row r="132" spans="1:25" s="103" customFormat="1" ht="65.099999999999994" customHeight="1" x14ac:dyDescent="0.25">
      <c r="A132" s="94"/>
      <c r="B132" s="94"/>
      <c r="C132" s="413"/>
      <c r="D132" s="95"/>
      <c r="E132" s="96"/>
      <c r="F132" s="96"/>
      <c r="G132" s="96"/>
      <c r="H132" s="96"/>
      <c r="I132" s="96"/>
      <c r="J132" s="96"/>
      <c r="K132" s="97"/>
      <c r="L132" s="98"/>
      <c r="M132" s="98"/>
      <c r="N132" s="99"/>
      <c r="O132" s="72"/>
      <c r="P132" s="100"/>
      <c r="Q132" s="101"/>
      <c r="R132" s="377"/>
      <c r="S132" s="75"/>
      <c r="T132" s="76"/>
      <c r="U132" s="72"/>
      <c r="V132" s="60"/>
      <c r="W132" s="60"/>
      <c r="X132" s="369"/>
      <c r="Y132" s="96"/>
    </row>
    <row r="133" spans="1:25" s="103" customFormat="1" ht="65.099999999999994" customHeight="1" x14ac:dyDescent="0.25">
      <c r="A133" s="94"/>
      <c r="B133" s="94"/>
      <c r="C133" s="413"/>
      <c r="D133" s="95"/>
      <c r="E133" s="96"/>
      <c r="F133" s="96"/>
      <c r="G133" s="96"/>
      <c r="H133" s="96"/>
      <c r="I133" s="96"/>
      <c r="J133" s="96"/>
      <c r="K133" s="97"/>
      <c r="L133" s="98"/>
      <c r="M133" s="98"/>
      <c r="N133" s="99"/>
      <c r="O133" s="72"/>
      <c r="P133" s="100"/>
      <c r="Q133" s="101"/>
      <c r="R133" s="377"/>
      <c r="S133" s="75"/>
      <c r="T133" s="76"/>
      <c r="U133" s="72"/>
      <c r="V133" s="60"/>
      <c r="W133" s="60"/>
      <c r="X133" s="369"/>
      <c r="Y133" s="96"/>
    </row>
    <row r="134" spans="1:25" s="103" customFormat="1" ht="65.099999999999994" customHeight="1" x14ac:dyDescent="0.25">
      <c r="A134" s="94"/>
      <c r="B134" s="94"/>
      <c r="C134" s="413"/>
      <c r="D134" s="95"/>
      <c r="E134" s="96"/>
      <c r="F134" s="96"/>
      <c r="G134" s="96"/>
      <c r="H134" s="96"/>
      <c r="I134" s="96"/>
      <c r="J134" s="96"/>
      <c r="K134" s="97"/>
      <c r="L134" s="98"/>
      <c r="M134" s="98"/>
      <c r="N134" s="99"/>
      <c r="O134" s="72"/>
      <c r="P134" s="100"/>
      <c r="Q134" s="101"/>
      <c r="R134" s="377"/>
      <c r="S134" s="75"/>
      <c r="T134" s="76"/>
      <c r="U134" s="72"/>
      <c r="V134" s="60"/>
      <c r="W134" s="60"/>
      <c r="X134" s="369"/>
      <c r="Y134" s="96"/>
    </row>
    <row r="135" spans="1:25" s="103" customFormat="1" ht="65.099999999999994" customHeight="1" x14ac:dyDescent="0.25">
      <c r="A135" s="94"/>
      <c r="B135" s="94"/>
      <c r="C135" s="413"/>
      <c r="D135" s="95"/>
      <c r="E135" s="96"/>
      <c r="F135" s="96"/>
      <c r="G135" s="96"/>
      <c r="H135" s="96"/>
      <c r="I135" s="96"/>
      <c r="J135" s="96"/>
      <c r="K135" s="97"/>
      <c r="L135" s="98"/>
      <c r="M135" s="98"/>
      <c r="N135" s="99"/>
      <c r="O135" s="72"/>
      <c r="P135" s="100"/>
      <c r="Q135" s="101"/>
      <c r="R135" s="377"/>
      <c r="S135" s="75"/>
      <c r="T135" s="76"/>
      <c r="U135" s="72"/>
      <c r="V135" s="60"/>
      <c r="W135" s="60"/>
      <c r="X135" s="369"/>
      <c r="Y135" s="96"/>
    </row>
    <row r="136" spans="1:25" s="103" customFormat="1" ht="65.099999999999994" customHeight="1" x14ac:dyDescent="0.25">
      <c r="A136" s="94"/>
      <c r="B136" s="94"/>
      <c r="C136" s="413"/>
      <c r="D136" s="95"/>
      <c r="E136" s="96"/>
      <c r="F136" s="96"/>
      <c r="G136" s="96"/>
      <c r="H136" s="96"/>
      <c r="I136" s="96"/>
      <c r="J136" s="96"/>
      <c r="K136" s="97"/>
      <c r="L136" s="98"/>
      <c r="M136" s="98"/>
      <c r="N136" s="99"/>
      <c r="O136" s="72"/>
      <c r="P136" s="100"/>
      <c r="Q136" s="101"/>
      <c r="R136" s="377"/>
      <c r="S136" s="75"/>
      <c r="T136" s="76"/>
      <c r="U136" s="72"/>
      <c r="V136" s="60"/>
      <c r="W136" s="60"/>
      <c r="X136" s="369"/>
      <c r="Y136" s="96"/>
    </row>
    <row r="137" spans="1:25" s="103" customFormat="1" ht="65.099999999999994" customHeight="1" x14ac:dyDescent="0.25">
      <c r="A137" s="94"/>
      <c r="B137" s="94"/>
      <c r="C137" s="413"/>
      <c r="D137" s="95"/>
      <c r="E137" s="96"/>
      <c r="F137" s="96"/>
      <c r="G137" s="96"/>
      <c r="H137" s="96"/>
      <c r="I137" s="96"/>
      <c r="J137" s="96"/>
      <c r="K137" s="97"/>
      <c r="L137" s="98"/>
      <c r="M137" s="98"/>
      <c r="N137" s="99"/>
      <c r="O137" s="72"/>
      <c r="P137" s="100"/>
      <c r="Q137" s="101"/>
      <c r="R137" s="377"/>
      <c r="S137" s="75"/>
      <c r="T137" s="76"/>
      <c r="U137" s="72"/>
      <c r="V137" s="60"/>
      <c r="W137" s="60"/>
      <c r="X137" s="369"/>
      <c r="Y137" s="96"/>
    </row>
    <row r="138" spans="1:25" s="103" customFormat="1" ht="65.099999999999994" customHeight="1" x14ac:dyDescent="0.25">
      <c r="A138" s="94"/>
      <c r="B138" s="94"/>
      <c r="C138" s="413"/>
      <c r="D138" s="95"/>
      <c r="E138" s="96"/>
      <c r="F138" s="96"/>
      <c r="G138" s="96"/>
      <c r="H138" s="96"/>
      <c r="I138" s="96"/>
      <c r="J138" s="96"/>
      <c r="K138" s="97"/>
      <c r="L138" s="98"/>
      <c r="M138" s="98"/>
      <c r="N138" s="99"/>
      <c r="O138" s="72"/>
      <c r="P138" s="100"/>
      <c r="Q138" s="101"/>
      <c r="R138" s="377"/>
      <c r="S138" s="75"/>
      <c r="T138" s="76"/>
      <c r="U138" s="72"/>
      <c r="V138" s="60"/>
      <c r="W138" s="60"/>
      <c r="X138" s="369"/>
      <c r="Y138" s="96"/>
    </row>
    <row r="139" spans="1:25" s="103" customFormat="1" ht="65.099999999999994" customHeight="1" x14ac:dyDescent="0.25">
      <c r="A139" s="94"/>
      <c r="B139" s="94"/>
      <c r="C139" s="413"/>
      <c r="D139" s="95"/>
      <c r="E139" s="96"/>
      <c r="F139" s="96"/>
      <c r="G139" s="96"/>
      <c r="H139" s="96"/>
      <c r="I139" s="96"/>
      <c r="J139" s="96"/>
      <c r="K139" s="97"/>
      <c r="L139" s="98"/>
      <c r="M139" s="98"/>
      <c r="N139" s="99"/>
      <c r="O139" s="72"/>
      <c r="P139" s="100"/>
      <c r="Q139" s="101"/>
      <c r="R139" s="377"/>
      <c r="S139" s="75"/>
      <c r="T139" s="76"/>
      <c r="U139" s="72"/>
      <c r="V139" s="60"/>
      <c r="W139" s="60"/>
      <c r="X139" s="369"/>
      <c r="Y139" s="96"/>
    </row>
    <row r="140" spans="1:25" s="103" customFormat="1" ht="65.099999999999994" customHeight="1" x14ac:dyDescent="0.25">
      <c r="A140" s="94"/>
      <c r="B140" s="94"/>
      <c r="C140" s="413"/>
      <c r="D140" s="95"/>
      <c r="E140" s="96"/>
      <c r="F140" s="96"/>
      <c r="G140" s="96"/>
      <c r="H140" s="96"/>
      <c r="I140" s="96"/>
      <c r="J140" s="96"/>
      <c r="K140" s="97"/>
      <c r="L140" s="98"/>
      <c r="M140" s="98"/>
      <c r="N140" s="99"/>
      <c r="O140" s="72"/>
      <c r="P140" s="100"/>
      <c r="Q140" s="101"/>
      <c r="R140" s="377"/>
      <c r="S140" s="75"/>
      <c r="T140" s="76"/>
      <c r="U140" s="72"/>
      <c r="V140" s="60"/>
      <c r="W140" s="60"/>
      <c r="X140" s="369"/>
      <c r="Y140" s="96"/>
    </row>
    <row r="141" spans="1:25" s="103" customFormat="1" ht="65.099999999999994" customHeight="1" x14ac:dyDescent="0.25">
      <c r="A141" s="94"/>
      <c r="B141" s="94"/>
      <c r="C141" s="413"/>
      <c r="D141" s="95"/>
      <c r="E141" s="96"/>
      <c r="F141" s="96"/>
      <c r="G141" s="96"/>
      <c r="H141" s="96"/>
      <c r="I141" s="96"/>
      <c r="J141" s="96"/>
      <c r="K141" s="97"/>
      <c r="L141" s="98"/>
      <c r="M141" s="98"/>
      <c r="N141" s="99"/>
      <c r="O141" s="72"/>
      <c r="P141" s="100"/>
      <c r="Q141" s="101"/>
      <c r="R141" s="377"/>
      <c r="S141" s="75"/>
      <c r="T141" s="76"/>
      <c r="U141" s="72"/>
      <c r="V141" s="60"/>
      <c r="W141" s="60"/>
      <c r="X141" s="369"/>
      <c r="Y141" s="96"/>
    </row>
    <row r="142" spans="1:25" s="103" customFormat="1" ht="65.099999999999994" customHeight="1" x14ac:dyDescent="0.25">
      <c r="A142" s="94"/>
      <c r="B142" s="94"/>
      <c r="C142" s="413"/>
      <c r="D142" s="95"/>
      <c r="E142" s="96"/>
      <c r="F142" s="96"/>
      <c r="G142" s="96"/>
      <c r="H142" s="96"/>
      <c r="I142" s="96"/>
      <c r="J142" s="96"/>
      <c r="K142" s="97"/>
      <c r="L142" s="98"/>
      <c r="M142" s="98"/>
      <c r="N142" s="99"/>
      <c r="O142" s="72"/>
      <c r="P142" s="100"/>
      <c r="Q142" s="101"/>
      <c r="R142" s="377"/>
      <c r="S142" s="75"/>
      <c r="T142" s="76"/>
      <c r="U142" s="72"/>
      <c r="V142" s="60"/>
      <c r="W142" s="60"/>
      <c r="X142" s="369"/>
      <c r="Y142" s="96"/>
    </row>
    <row r="143" spans="1:25" s="103" customFormat="1" ht="65.099999999999994" customHeight="1" x14ac:dyDescent="0.25">
      <c r="A143" s="94"/>
      <c r="B143" s="94"/>
      <c r="C143" s="413"/>
      <c r="D143" s="95"/>
      <c r="E143" s="96"/>
      <c r="F143" s="96"/>
      <c r="G143" s="96"/>
      <c r="H143" s="96"/>
      <c r="I143" s="96"/>
      <c r="J143" s="96"/>
      <c r="K143" s="97"/>
      <c r="L143" s="98"/>
      <c r="M143" s="98"/>
      <c r="N143" s="99"/>
      <c r="O143" s="72"/>
      <c r="P143" s="100"/>
      <c r="Q143" s="101"/>
      <c r="R143" s="377"/>
      <c r="S143" s="75"/>
      <c r="T143" s="76"/>
      <c r="U143" s="72"/>
      <c r="V143" s="60"/>
      <c r="W143" s="60"/>
      <c r="X143" s="369"/>
      <c r="Y143" s="96"/>
    </row>
    <row r="144" spans="1:25" s="103" customFormat="1" ht="65.099999999999994" customHeight="1" x14ac:dyDescent="0.25">
      <c r="A144" s="94"/>
      <c r="B144" s="94"/>
      <c r="C144" s="413"/>
      <c r="D144" s="95"/>
      <c r="E144" s="96"/>
      <c r="F144" s="96"/>
      <c r="G144" s="96"/>
      <c r="H144" s="96"/>
      <c r="I144" s="96"/>
      <c r="J144" s="96"/>
      <c r="K144" s="97"/>
      <c r="L144" s="98"/>
      <c r="M144" s="98"/>
      <c r="N144" s="99"/>
      <c r="O144" s="72"/>
      <c r="P144" s="100"/>
      <c r="Q144" s="101"/>
      <c r="R144" s="377"/>
      <c r="S144" s="75"/>
      <c r="T144" s="76"/>
      <c r="U144" s="72"/>
      <c r="V144" s="60"/>
      <c r="W144" s="60"/>
      <c r="X144" s="369"/>
      <c r="Y144" s="96"/>
    </row>
    <row r="145" spans="1:25" s="103" customFormat="1" ht="65.099999999999994" customHeight="1" x14ac:dyDescent="0.25">
      <c r="A145" s="94"/>
      <c r="B145" s="94"/>
      <c r="C145" s="413"/>
      <c r="D145" s="95"/>
      <c r="E145" s="96"/>
      <c r="F145" s="96"/>
      <c r="G145" s="96"/>
      <c r="H145" s="96"/>
      <c r="I145" s="96"/>
      <c r="J145" s="96"/>
      <c r="K145" s="97"/>
      <c r="L145" s="98"/>
      <c r="M145" s="98"/>
      <c r="N145" s="99"/>
      <c r="O145" s="72"/>
      <c r="P145" s="100"/>
      <c r="Q145" s="101"/>
      <c r="R145" s="377"/>
      <c r="S145" s="75"/>
      <c r="T145" s="76"/>
      <c r="U145" s="72"/>
      <c r="V145" s="60"/>
      <c r="W145" s="60"/>
      <c r="X145" s="369"/>
      <c r="Y145" s="96"/>
    </row>
    <row r="146" spans="1:25" s="103" customFormat="1" ht="65.099999999999994" customHeight="1" x14ac:dyDescent="0.25">
      <c r="A146" s="94"/>
      <c r="B146" s="94"/>
      <c r="C146" s="413"/>
      <c r="D146" s="95"/>
      <c r="E146" s="96"/>
      <c r="F146" s="96"/>
      <c r="G146" s="96"/>
      <c r="H146" s="96"/>
      <c r="I146" s="96"/>
      <c r="J146" s="96"/>
      <c r="K146" s="97"/>
      <c r="L146" s="98"/>
      <c r="M146" s="98"/>
      <c r="N146" s="99"/>
      <c r="O146" s="72"/>
      <c r="P146" s="100"/>
      <c r="Q146" s="101"/>
      <c r="R146" s="377"/>
      <c r="S146" s="75"/>
      <c r="T146" s="76"/>
      <c r="U146" s="72"/>
      <c r="V146" s="60"/>
      <c r="W146" s="60"/>
      <c r="X146" s="369"/>
      <c r="Y146" s="96"/>
    </row>
    <row r="147" spans="1:25" s="103" customFormat="1" ht="65.099999999999994" customHeight="1" x14ac:dyDescent="0.25">
      <c r="A147" s="94"/>
      <c r="B147" s="94"/>
      <c r="C147" s="413"/>
      <c r="D147" s="95"/>
      <c r="E147" s="96"/>
      <c r="F147" s="96"/>
      <c r="G147" s="96"/>
      <c r="H147" s="96"/>
      <c r="I147" s="96"/>
      <c r="J147" s="96"/>
      <c r="K147" s="97"/>
      <c r="L147" s="98"/>
      <c r="M147" s="98"/>
      <c r="N147" s="99"/>
      <c r="O147" s="72"/>
      <c r="P147" s="100"/>
      <c r="Q147" s="101"/>
      <c r="R147" s="377"/>
      <c r="S147" s="75"/>
      <c r="T147" s="76"/>
      <c r="U147" s="72"/>
      <c r="V147" s="60"/>
      <c r="W147" s="60"/>
      <c r="X147" s="369"/>
      <c r="Y147" s="96"/>
    </row>
    <row r="148" spans="1:25" s="103" customFormat="1" ht="65.099999999999994" customHeight="1" x14ac:dyDescent="0.25">
      <c r="A148" s="94"/>
      <c r="B148" s="94"/>
      <c r="C148" s="413"/>
      <c r="D148" s="95"/>
      <c r="E148" s="96"/>
      <c r="F148" s="96"/>
      <c r="G148" s="96"/>
      <c r="H148" s="96"/>
      <c r="I148" s="96"/>
      <c r="J148" s="96"/>
      <c r="K148" s="97"/>
      <c r="L148" s="98"/>
      <c r="M148" s="98"/>
      <c r="N148" s="99"/>
      <c r="O148" s="72"/>
      <c r="P148" s="100"/>
      <c r="Q148" s="101"/>
      <c r="R148" s="377"/>
      <c r="S148" s="75"/>
      <c r="T148" s="76"/>
      <c r="U148" s="72"/>
      <c r="V148" s="60"/>
      <c r="W148" s="60"/>
      <c r="X148" s="369"/>
      <c r="Y148" s="96"/>
    </row>
    <row r="149" spans="1:25" s="103" customFormat="1" ht="65.099999999999994" customHeight="1" x14ac:dyDescent="0.25">
      <c r="A149" s="94"/>
      <c r="B149" s="94"/>
      <c r="C149" s="413"/>
      <c r="D149" s="95"/>
      <c r="E149" s="96"/>
      <c r="F149" s="96"/>
      <c r="G149" s="96"/>
      <c r="H149" s="96"/>
      <c r="I149" s="96"/>
      <c r="J149" s="96"/>
      <c r="K149" s="97"/>
      <c r="L149" s="98"/>
      <c r="M149" s="98"/>
      <c r="N149" s="99"/>
      <c r="O149" s="72"/>
      <c r="P149" s="100"/>
      <c r="Q149" s="101"/>
      <c r="R149" s="377"/>
      <c r="S149" s="75"/>
      <c r="T149" s="76"/>
      <c r="U149" s="72"/>
      <c r="V149" s="60"/>
      <c r="W149" s="60"/>
      <c r="X149" s="369"/>
      <c r="Y149" s="96"/>
    </row>
    <row r="150" spans="1:25" s="103" customFormat="1" ht="65.099999999999994" customHeight="1" x14ac:dyDescent="0.25">
      <c r="A150" s="94"/>
      <c r="B150" s="94"/>
      <c r="C150" s="413"/>
      <c r="D150" s="95"/>
      <c r="E150" s="96"/>
      <c r="F150" s="96"/>
      <c r="G150" s="96"/>
      <c r="H150" s="96"/>
      <c r="I150" s="96"/>
      <c r="J150" s="96"/>
      <c r="K150" s="97"/>
      <c r="L150" s="98"/>
      <c r="M150" s="98"/>
      <c r="N150" s="99"/>
      <c r="O150" s="72"/>
      <c r="P150" s="100"/>
      <c r="Q150" s="101"/>
      <c r="R150" s="377"/>
      <c r="S150" s="75"/>
      <c r="T150" s="76"/>
      <c r="U150" s="72"/>
      <c r="V150" s="60"/>
      <c r="W150" s="60"/>
      <c r="X150" s="369"/>
      <c r="Y150" s="96"/>
    </row>
    <row r="151" spans="1:25" s="103" customFormat="1" ht="65.099999999999994" customHeight="1" x14ac:dyDescent="0.25">
      <c r="A151" s="94"/>
      <c r="B151" s="94"/>
      <c r="C151" s="413"/>
      <c r="D151" s="95"/>
      <c r="E151" s="96"/>
      <c r="F151" s="96"/>
      <c r="G151" s="96"/>
      <c r="H151" s="96"/>
      <c r="I151" s="96"/>
      <c r="J151" s="96"/>
      <c r="K151" s="97"/>
      <c r="L151" s="98"/>
      <c r="M151" s="98"/>
      <c r="N151" s="99"/>
      <c r="O151" s="72"/>
      <c r="P151" s="100"/>
      <c r="Q151" s="101"/>
      <c r="R151" s="377"/>
      <c r="S151" s="75"/>
      <c r="T151" s="76"/>
      <c r="U151" s="72"/>
      <c r="V151" s="60"/>
      <c r="W151" s="60"/>
      <c r="X151" s="369"/>
      <c r="Y151" s="96"/>
    </row>
    <row r="152" spans="1:25" s="103" customFormat="1" ht="65.099999999999994" customHeight="1" x14ac:dyDescent="0.25">
      <c r="A152" s="94"/>
      <c r="B152" s="94"/>
      <c r="C152" s="413"/>
      <c r="D152" s="95"/>
      <c r="E152" s="96"/>
      <c r="F152" s="96"/>
      <c r="G152" s="96"/>
      <c r="H152" s="96"/>
      <c r="I152" s="96"/>
      <c r="J152" s="96"/>
      <c r="K152" s="97"/>
      <c r="L152" s="98"/>
      <c r="M152" s="98"/>
      <c r="N152" s="99"/>
      <c r="O152" s="72"/>
      <c r="P152" s="100"/>
      <c r="Q152" s="101"/>
      <c r="R152" s="377"/>
      <c r="S152" s="75"/>
      <c r="T152" s="76"/>
      <c r="U152" s="72"/>
      <c r="V152" s="60"/>
      <c r="W152" s="60"/>
      <c r="X152" s="369"/>
      <c r="Y152" s="96"/>
    </row>
    <row r="153" spans="1:25" s="103" customFormat="1" ht="65.099999999999994" customHeight="1" x14ac:dyDescent="0.25">
      <c r="A153" s="94"/>
      <c r="B153" s="94"/>
      <c r="C153" s="413"/>
      <c r="D153" s="95"/>
      <c r="E153" s="96"/>
      <c r="F153" s="96"/>
      <c r="G153" s="96"/>
      <c r="H153" s="96"/>
      <c r="I153" s="96"/>
      <c r="J153" s="96"/>
      <c r="K153" s="97"/>
      <c r="L153" s="98"/>
      <c r="M153" s="98"/>
      <c r="N153" s="99"/>
      <c r="O153" s="72"/>
      <c r="P153" s="100"/>
      <c r="Q153" s="101"/>
      <c r="R153" s="377"/>
      <c r="S153" s="75"/>
      <c r="T153" s="76"/>
      <c r="U153" s="72"/>
      <c r="V153" s="60"/>
      <c r="W153" s="60"/>
      <c r="X153" s="369"/>
      <c r="Y153" s="96"/>
    </row>
    <row r="154" spans="1:25" s="103" customFormat="1" ht="65.099999999999994" customHeight="1" x14ac:dyDescent="0.25">
      <c r="A154" s="94"/>
      <c r="B154" s="94"/>
      <c r="C154" s="413"/>
      <c r="D154" s="95"/>
      <c r="E154" s="96"/>
      <c r="F154" s="96"/>
      <c r="G154" s="96"/>
      <c r="H154" s="96"/>
      <c r="I154" s="96"/>
      <c r="J154" s="96"/>
      <c r="K154" s="97"/>
      <c r="L154" s="98"/>
      <c r="M154" s="98"/>
      <c r="N154" s="99"/>
      <c r="O154" s="72"/>
      <c r="P154" s="100"/>
      <c r="Q154" s="101"/>
      <c r="R154" s="377"/>
      <c r="S154" s="75"/>
      <c r="T154" s="76"/>
      <c r="U154" s="72"/>
      <c r="V154" s="60"/>
      <c r="W154" s="60"/>
      <c r="X154" s="369"/>
      <c r="Y154" s="96"/>
    </row>
    <row r="155" spans="1:25" s="103" customFormat="1" ht="65.099999999999994" customHeight="1" x14ac:dyDescent="0.25">
      <c r="A155" s="94"/>
      <c r="B155" s="94"/>
      <c r="C155" s="413"/>
      <c r="D155" s="95"/>
      <c r="E155" s="96"/>
      <c r="F155" s="96"/>
      <c r="G155" s="96"/>
      <c r="H155" s="96"/>
      <c r="I155" s="96"/>
      <c r="J155" s="96"/>
      <c r="K155" s="97"/>
      <c r="L155" s="98"/>
      <c r="M155" s="98"/>
      <c r="N155" s="99"/>
      <c r="O155" s="72"/>
      <c r="P155" s="100"/>
      <c r="Q155" s="101"/>
      <c r="R155" s="377"/>
      <c r="S155" s="75"/>
      <c r="T155" s="76"/>
      <c r="U155" s="72"/>
      <c r="V155" s="60"/>
      <c r="W155" s="60"/>
      <c r="X155" s="369"/>
      <c r="Y155" s="96"/>
    </row>
    <row r="156" spans="1:25" s="103" customFormat="1" ht="65.099999999999994" customHeight="1" x14ac:dyDescent="0.25">
      <c r="A156" s="94"/>
      <c r="B156" s="94"/>
      <c r="C156" s="413"/>
      <c r="D156" s="95"/>
      <c r="E156" s="96"/>
      <c r="F156" s="96"/>
      <c r="G156" s="96"/>
      <c r="H156" s="96"/>
      <c r="I156" s="96"/>
      <c r="J156" s="96"/>
      <c r="K156" s="97"/>
      <c r="L156" s="98"/>
      <c r="M156" s="98"/>
      <c r="N156" s="99"/>
      <c r="O156" s="72"/>
      <c r="P156" s="100"/>
      <c r="Q156" s="101"/>
      <c r="R156" s="377"/>
      <c r="S156" s="75"/>
      <c r="T156" s="76"/>
      <c r="U156" s="72"/>
      <c r="V156" s="60"/>
      <c r="W156" s="60"/>
      <c r="X156" s="369"/>
      <c r="Y156" s="96"/>
    </row>
    <row r="157" spans="1:25" s="103" customFormat="1" ht="65.099999999999994" customHeight="1" x14ac:dyDescent="0.25">
      <c r="A157" s="94"/>
      <c r="B157" s="94"/>
      <c r="C157" s="413"/>
      <c r="D157" s="95"/>
      <c r="E157" s="96"/>
      <c r="F157" s="96"/>
      <c r="G157" s="96"/>
      <c r="H157" s="96"/>
      <c r="I157" s="96"/>
      <c r="J157" s="96"/>
      <c r="K157" s="97"/>
      <c r="L157" s="98"/>
      <c r="M157" s="98"/>
      <c r="N157" s="99"/>
      <c r="O157" s="72"/>
      <c r="P157" s="100"/>
      <c r="Q157" s="101"/>
      <c r="R157" s="377"/>
      <c r="S157" s="75"/>
      <c r="T157" s="76"/>
      <c r="U157" s="72"/>
      <c r="V157" s="60"/>
      <c r="W157" s="60"/>
      <c r="X157" s="369"/>
      <c r="Y157" s="96"/>
    </row>
    <row r="158" spans="1:25" s="103" customFormat="1" ht="65.099999999999994" customHeight="1" x14ac:dyDescent="0.25">
      <c r="A158" s="94"/>
      <c r="B158" s="94"/>
      <c r="C158" s="413"/>
      <c r="D158" s="95"/>
      <c r="E158" s="96"/>
      <c r="F158" s="96"/>
      <c r="G158" s="96"/>
      <c r="H158" s="96"/>
      <c r="I158" s="96"/>
      <c r="J158" s="96"/>
      <c r="K158" s="97"/>
      <c r="L158" s="98"/>
      <c r="M158" s="98"/>
      <c r="N158" s="99"/>
      <c r="O158" s="72"/>
      <c r="P158" s="100"/>
      <c r="Q158" s="101"/>
      <c r="R158" s="377"/>
      <c r="S158" s="75"/>
      <c r="T158" s="76"/>
      <c r="U158" s="72"/>
      <c r="V158" s="60"/>
      <c r="W158" s="60"/>
      <c r="X158" s="369"/>
      <c r="Y158" s="96"/>
    </row>
    <row r="159" spans="1:25" s="103" customFormat="1" ht="65.099999999999994" customHeight="1" x14ac:dyDescent="0.25">
      <c r="A159" s="94"/>
      <c r="B159" s="94"/>
      <c r="C159" s="413"/>
      <c r="D159" s="95"/>
      <c r="E159" s="96"/>
      <c r="F159" s="96"/>
      <c r="G159" s="96"/>
      <c r="H159" s="96"/>
      <c r="I159" s="96"/>
      <c r="J159" s="96"/>
      <c r="K159" s="97"/>
      <c r="L159" s="98"/>
      <c r="M159" s="98"/>
      <c r="N159" s="99"/>
      <c r="O159" s="72"/>
      <c r="P159" s="100"/>
      <c r="Q159" s="101"/>
      <c r="R159" s="377"/>
      <c r="S159" s="75"/>
      <c r="T159" s="76"/>
      <c r="U159" s="72"/>
      <c r="V159" s="60"/>
      <c r="W159" s="60"/>
      <c r="X159" s="369"/>
      <c r="Y159" s="96"/>
    </row>
    <row r="160" spans="1:25" s="103" customFormat="1" ht="65.099999999999994" customHeight="1" x14ac:dyDescent="0.25">
      <c r="A160" s="94"/>
      <c r="B160" s="94"/>
      <c r="C160" s="413"/>
      <c r="D160" s="95"/>
      <c r="E160" s="96"/>
      <c r="F160" s="96"/>
      <c r="G160" s="96"/>
      <c r="H160" s="96"/>
      <c r="I160" s="96"/>
      <c r="J160" s="96"/>
      <c r="K160" s="97"/>
      <c r="L160" s="98"/>
      <c r="M160" s="98"/>
      <c r="N160" s="99"/>
      <c r="O160" s="72"/>
      <c r="P160" s="100"/>
      <c r="Q160" s="101"/>
      <c r="R160" s="377"/>
      <c r="S160" s="75"/>
      <c r="T160" s="76"/>
      <c r="U160" s="72"/>
      <c r="V160" s="60"/>
      <c r="W160" s="60"/>
      <c r="X160" s="369"/>
      <c r="Y160" s="96"/>
    </row>
    <row r="161" spans="1:25" s="103" customFormat="1" ht="65.099999999999994" customHeight="1" x14ac:dyDescent="0.25">
      <c r="A161" s="94"/>
      <c r="B161" s="94"/>
      <c r="C161" s="413"/>
      <c r="D161" s="95"/>
      <c r="E161" s="96"/>
      <c r="F161" s="96"/>
      <c r="G161" s="96"/>
      <c r="H161" s="96"/>
      <c r="I161" s="96"/>
      <c r="J161" s="96"/>
      <c r="K161" s="97"/>
      <c r="L161" s="98"/>
      <c r="M161" s="98"/>
      <c r="N161" s="99"/>
      <c r="O161" s="72"/>
      <c r="P161" s="100"/>
      <c r="Q161" s="101"/>
      <c r="R161" s="377"/>
      <c r="S161" s="75"/>
      <c r="T161" s="76"/>
      <c r="U161" s="72"/>
      <c r="V161" s="60"/>
      <c r="W161" s="60"/>
      <c r="X161" s="369"/>
      <c r="Y161" s="96"/>
    </row>
    <row r="162" spans="1:25" s="103" customFormat="1" ht="65.099999999999994" customHeight="1" x14ac:dyDescent="0.25">
      <c r="A162" s="94"/>
      <c r="B162" s="94"/>
      <c r="C162" s="413"/>
      <c r="D162" s="95"/>
      <c r="E162" s="96"/>
      <c r="F162" s="96"/>
      <c r="G162" s="96"/>
      <c r="H162" s="96"/>
      <c r="I162" s="96"/>
      <c r="J162" s="96"/>
      <c r="K162" s="97"/>
      <c r="L162" s="98"/>
      <c r="M162" s="98"/>
      <c r="N162" s="99"/>
      <c r="O162" s="72"/>
      <c r="P162" s="100"/>
      <c r="Q162" s="101"/>
      <c r="R162" s="377"/>
      <c r="S162" s="75"/>
      <c r="T162" s="76"/>
      <c r="U162" s="72"/>
      <c r="V162" s="60"/>
      <c r="W162" s="60"/>
      <c r="X162" s="369"/>
      <c r="Y162" s="96"/>
    </row>
    <row r="163" spans="1:25" s="103" customFormat="1" ht="65.099999999999994" customHeight="1" x14ac:dyDescent="0.25">
      <c r="A163" s="94"/>
      <c r="B163" s="94"/>
      <c r="C163" s="413"/>
      <c r="D163" s="95"/>
      <c r="E163" s="96"/>
      <c r="F163" s="96"/>
      <c r="G163" s="96"/>
      <c r="H163" s="96"/>
      <c r="I163" s="96"/>
      <c r="J163" s="96"/>
      <c r="K163" s="97"/>
      <c r="L163" s="98"/>
      <c r="M163" s="98"/>
      <c r="N163" s="99"/>
      <c r="O163" s="72"/>
      <c r="P163" s="100"/>
      <c r="Q163" s="101"/>
      <c r="R163" s="377"/>
      <c r="S163" s="75"/>
      <c r="T163" s="76"/>
      <c r="U163" s="72"/>
      <c r="V163" s="60"/>
      <c r="W163" s="60"/>
      <c r="X163" s="369"/>
      <c r="Y163" s="96"/>
    </row>
    <row r="164" spans="1:25" s="103" customFormat="1" ht="65.099999999999994" customHeight="1" x14ac:dyDescent="0.25">
      <c r="A164" s="94"/>
      <c r="B164" s="94"/>
      <c r="C164" s="413"/>
      <c r="D164" s="95"/>
      <c r="E164" s="96"/>
      <c r="F164" s="96"/>
      <c r="G164" s="96"/>
      <c r="H164" s="96"/>
      <c r="I164" s="96"/>
      <c r="J164" s="96"/>
      <c r="K164" s="97"/>
      <c r="L164" s="98"/>
      <c r="M164" s="98"/>
      <c r="N164" s="99"/>
      <c r="O164" s="72"/>
      <c r="P164" s="100"/>
      <c r="Q164" s="101"/>
      <c r="R164" s="377"/>
      <c r="S164" s="75"/>
      <c r="T164" s="76"/>
      <c r="U164" s="72"/>
      <c r="V164" s="60"/>
      <c r="W164" s="60"/>
      <c r="X164" s="369"/>
      <c r="Y164" s="96"/>
    </row>
    <row r="165" spans="1:25" s="103" customFormat="1" ht="65.099999999999994" customHeight="1" x14ac:dyDescent="0.25">
      <c r="A165" s="94"/>
      <c r="B165" s="94"/>
      <c r="C165" s="413"/>
      <c r="D165" s="95"/>
      <c r="E165" s="96"/>
      <c r="F165" s="96"/>
      <c r="G165" s="96"/>
      <c r="H165" s="96"/>
      <c r="I165" s="96"/>
      <c r="J165" s="96"/>
      <c r="K165" s="97"/>
      <c r="L165" s="98"/>
      <c r="M165" s="98"/>
      <c r="N165" s="99"/>
      <c r="O165" s="72"/>
      <c r="P165" s="100"/>
      <c r="Q165" s="101"/>
      <c r="R165" s="377"/>
      <c r="S165" s="75"/>
      <c r="T165" s="76"/>
      <c r="U165" s="72"/>
      <c r="V165" s="60"/>
      <c r="W165" s="60"/>
      <c r="X165" s="369"/>
      <c r="Y165" s="96"/>
    </row>
    <row r="166" spans="1:25" s="103" customFormat="1" ht="65.099999999999994" customHeight="1" x14ac:dyDescent="0.25">
      <c r="A166" s="94"/>
      <c r="B166" s="94"/>
      <c r="C166" s="413"/>
      <c r="D166" s="95"/>
      <c r="E166" s="96"/>
      <c r="F166" s="96"/>
      <c r="G166" s="96"/>
      <c r="H166" s="96"/>
      <c r="I166" s="96"/>
      <c r="J166" s="96"/>
      <c r="K166" s="97"/>
      <c r="L166" s="98"/>
      <c r="M166" s="98"/>
      <c r="N166" s="99"/>
      <c r="O166" s="72"/>
      <c r="P166" s="100"/>
      <c r="Q166" s="101"/>
      <c r="R166" s="377"/>
      <c r="S166" s="75"/>
      <c r="T166" s="76"/>
      <c r="U166" s="72"/>
      <c r="V166" s="60"/>
      <c r="W166" s="60"/>
      <c r="X166" s="369"/>
      <c r="Y166" s="96"/>
    </row>
    <row r="167" spans="1:25" s="103" customFormat="1" ht="65.099999999999994" customHeight="1" x14ac:dyDescent="0.25">
      <c r="A167" s="94"/>
      <c r="B167" s="94"/>
      <c r="C167" s="413"/>
      <c r="D167" s="95"/>
      <c r="E167" s="96"/>
      <c r="F167" s="96"/>
      <c r="G167" s="96"/>
      <c r="H167" s="96"/>
      <c r="I167" s="96"/>
      <c r="J167" s="96"/>
      <c r="K167" s="97"/>
      <c r="L167" s="98"/>
      <c r="M167" s="98"/>
      <c r="N167" s="99"/>
      <c r="O167" s="72"/>
      <c r="P167" s="100"/>
      <c r="Q167" s="101"/>
      <c r="R167" s="377"/>
      <c r="S167" s="75"/>
      <c r="T167" s="76"/>
      <c r="U167" s="72"/>
      <c r="V167" s="60"/>
      <c r="W167" s="60"/>
      <c r="X167" s="369"/>
      <c r="Y167" s="96"/>
    </row>
    <row r="168" spans="1:25" s="103" customFormat="1" ht="65.099999999999994" customHeight="1" x14ac:dyDescent="0.25">
      <c r="A168" s="94"/>
      <c r="B168" s="94"/>
      <c r="C168" s="413"/>
      <c r="D168" s="95"/>
      <c r="E168" s="96"/>
      <c r="F168" s="96"/>
      <c r="G168" s="96"/>
      <c r="H168" s="96"/>
      <c r="I168" s="96"/>
      <c r="J168" s="96"/>
      <c r="K168" s="97"/>
      <c r="L168" s="98"/>
      <c r="M168" s="98"/>
      <c r="N168" s="99"/>
      <c r="O168" s="72"/>
      <c r="P168" s="100"/>
      <c r="Q168" s="101"/>
      <c r="R168" s="377"/>
      <c r="S168" s="75"/>
      <c r="T168" s="76"/>
      <c r="U168" s="72"/>
      <c r="V168" s="60"/>
      <c r="W168" s="60"/>
      <c r="X168" s="369"/>
      <c r="Y168" s="96"/>
    </row>
    <row r="169" spans="1:25" s="103" customFormat="1" ht="65.099999999999994" customHeight="1" x14ac:dyDescent="0.25">
      <c r="A169" s="94"/>
      <c r="B169" s="94"/>
      <c r="C169" s="413"/>
      <c r="D169" s="95"/>
      <c r="E169" s="96"/>
      <c r="F169" s="96"/>
      <c r="G169" s="96"/>
      <c r="H169" s="96"/>
      <c r="I169" s="96"/>
      <c r="J169" s="96"/>
      <c r="K169" s="97"/>
      <c r="L169" s="98"/>
      <c r="M169" s="98"/>
      <c r="N169" s="99"/>
      <c r="O169" s="72"/>
      <c r="P169" s="100"/>
      <c r="Q169" s="101"/>
      <c r="R169" s="377"/>
      <c r="S169" s="75"/>
      <c r="T169" s="76"/>
      <c r="U169" s="72"/>
      <c r="V169" s="60"/>
      <c r="W169" s="60"/>
      <c r="X169" s="369"/>
      <c r="Y169" s="96"/>
    </row>
    <row r="170" spans="1:25" s="103" customFormat="1" ht="65.099999999999994" customHeight="1" x14ac:dyDescent="0.25">
      <c r="A170" s="94"/>
      <c r="B170" s="94"/>
      <c r="C170" s="413"/>
      <c r="D170" s="95"/>
      <c r="E170" s="96"/>
      <c r="F170" s="96"/>
      <c r="G170" s="96"/>
      <c r="H170" s="96"/>
      <c r="I170" s="96"/>
      <c r="J170" s="96"/>
      <c r="K170" s="97"/>
      <c r="L170" s="98"/>
      <c r="M170" s="98"/>
      <c r="N170" s="99"/>
      <c r="O170" s="72"/>
      <c r="P170" s="100"/>
      <c r="Q170" s="101"/>
      <c r="R170" s="377"/>
      <c r="S170" s="75"/>
      <c r="T170" s="76"/>
      <c r="U170" s="72"/>
      <c r="V170" s="60"/>
      <c r="W170" s="60"/>
      <c r="X170" s="369"/>
      <c r="Y170" s="96"/>
    </row>
    <row r="171" spans="1:25" s="103" customFormat="1" ht="65.099999999999994" customHeight="1" x14ac:dyDescent="0.25">
      <c r="A171" s="94"/>
      <c r="B171" s="94"/>
      <c r="C171" s="413"/>
      <c r="D171" s="95"/>
      <c r="E171" s="96"/>
      <c r="F171" s="96"/>
      <c r="G171" s="96"/>
      <c r="H171" s="96"/>
      <c r="I171" s="96"/>
      <c r="J171" s="96"/>
      <c r="K171" s="97"/>
      <c r="L171" s="98"/>
      <c r="M171" s="98"/>
      <c r="N171" s="99"/>
      <c r="O171" s="72"/>
      <c r="P171" s="100"/>
      <c r="Q171" s="101"/>
      <c r="R171" s="377"/>
      <c r="S171" s="75"/>
      <c r="T171" s="76"/>
      <c r="U171" s="72"/>
      <c r="V171" s="60"/>
      <c r="W171" s="60"/>
      <c r="X171" s="369"/>
      <c r="Y171" s="96"/>
    </row>
    <row r="172" spans="1:25" s="103" customFormat="1" ht="65.099999999999994" customHeight="1" x14ac:dyDescent="0.25">
      <c r="A172" s="94"/>
      <c r="B172" s="94"/>
      <c r="C172" s="413"/>
      <c r="D172" s="95"/>
      <c r="E172" s="96"/>
      <c r="F172" s="96"/>
      <c r="G172" s="96"/>
      <c r="H172" s="96"/>
      <c r="I172" s="96"/>
      <c r="J172" s="96"/>
      <c r="K172" s="97"/>
      <c r="L172" s="98"/>
      <c r="M172" s="98"/>
      <c r="N172" s="99"/>
      <c r="O172" s="72"/>
      <c r="P172" s="100"/>
      <c r="Q172" s="101"/>
      <c r="R172" s="377"/>
      <c r="S172" s="75"/>
      <c r="T172" s="76"/>
      <c r="U172" s="72"/>
      <c r="V172" s="60"/>
      <c r="W172" s="60"/>
      <c r="X172" s="369"/>
      <c r="Y172" s="96"/>
    </row>
    <row r="173" spans="1:25" s="103" customFormat="1" ht="65.099999999999994" customHeight="1" x14ac:dyDescent="0.25">
      <c r="A173" s="94"/>
      <c r="B173" s="94"/>
      <c r="C173" s="413"/>
      <c r="D173" s="95"/>
      <c r="E173" s="96"/>
      <c r="F173" s="96"/>
      <c r="G173" s="96"/>
      <c r="H173" s="96"/>
      <c r="I173" s="96"/>
      <c r="J173" s="96"/>
      <c r="K173" s="97"/>
      <c r="L173" s="98"/>
      <c r="M173" s="98"/>
      <c r="N173" s="99"/>
      <c r="O173" s="72"/>
      <c r="P173" s="100"/>
      <c r="Q173" s="101"/>
      <c r="R173" s="377"/>
      <c r="S173" s="75"/>
      <c r="T173" s="76"/>
      <c r="U173" s="72"/>
      <c r="V173" s="60"/>
      <c r="W173" s="60"/>
      <c r="X173" s="369"/>
      <c r="Y173" s="96"/>
    </row>
    <row r="174" spans="1:25" s="103" customFormat="1" ht="65.099999999999994" customHeight="1" x14ac:dyDescent="0.25">
      <c r="A174" s="94"/>
      <c r="B174" s="94"/>
      <c r="C174" s="413"/>
      <c r="D174" s="95"/>
      <c r="E174" s="96"/>
      <c r="F174" s="96"/>
      <c r="G174" s="96"/>
      <c r="H174" s="96"/>
      <c r="I174" s="96"/>
      <c r="J174" s="96"/>
      <c r="K174" s="97"/>
      <c r="L174" s="98"/>
      <c r="M174" s="98"/>
      <c r="N174" s="99"/>
      <c r="O174" s="72"/>
      <c r="P174" s="100"/>
      <c r="Q174" s="101"/>
      <c r="R174" s="377"/>
      <c r="S174" s="75"/>
      <c r="T174" s="76"/>
      <c r="U174" s="72"/>
      <c r="V174" s="60"/>
      <c r="W174" s="60"/>
      <c r="X174" s="369"/>
      <c r="Y174" s="96"/>
    </row>
    <row r="175" spans="1:25" s="103" customFormat="1" ht="65.099999999999994" customHeight="1" x14ac:dyDescent="0.25">
      <c r="A175" s="94"/>
      <c r="B175" s="94"/>
      <c r="C175" s="413"/>
      <c r="D175" s="95"/>
      <c r="E175" s="96"/>
      <c r="F175" s="96"/>
      <c r="G175" s="96"/>
      <c r="H175" s="96"/>
      <c r="I175" s="96"/>
      <c r="J175" s="96"/>
      <c r="K175" s="97"/>
      <c r="L175" s="98"/>
      <c r="M175" s="98"/>
      <c r="N175" s="99"/>
      <c r="O175" s="72"/>
      <c r="P175" s="100"/>
      <c r="Q175" s="101"/>
      <c r="R175" s="377"/>
      <c r="S175" s="75"/>
      <c r="T175" s="76"/>
      <c r="U175" s="72"/>
      <c r="V175" s="60"/>
      <c r="W175" s="60"/>
      <c r="X175" s="369"/>
      <c r="Y175" s="96"/>
    </row>
    <row r="176" spans="1:25" s="103" customFormat="1" ht="65.099999999999994" customHeight="1" x14ac:dyDescent="0.25">
      <c r="A176" s="94"/>
      <c r="B176" s="94"/>
      <c r="C176" s="413"/>
      <c r="D176" s="95"/>
      <c r="E176" s="96"/>
      <c r="F176" s="96"/>
      <c r="G176" s="96"/>
      <c r="H176" s="96"/>
      <c r="I176" s="96"/>
      <c r="J176" s="96"/>
      <c r="K176" s="97"/>
      <c r="L176" s="98"/>
      <c r="M176" s="98"/>
      <c r="N176" s="99"/>
      <c r="O176" s="72"/>
      <c r="P176" s="100"/>
      <c r="Q176" s="101"/>
      <c r="R176" s="377"/>
      <c r="S176" s="75"/>
      <c r="T176" s="76"/>
      <c r="U176" s="72"/>
      <c r="V176" s="60"/>
      <c r="W176" s="60"/>
      <c r="X176" s="369"/>
      <c r="Y176" s="96"/>
    </row>
    <row r="177" spans="1:25" s="103" customFormat="1" ht="65.099999999999994" customHeight="1" x14ac:dyDescent="0.25">
      <c r="A177" s="94"/>
      <c r="B177" s="94"/>
      <c r="C177" s="413"/>
      <c r="D177" s="95"/>
      <c r="E177" s="96"/>
      <c r="F177" s="96"/>
      <c r="G177" s="96"/>
      <c r="H177" s="96"/>
      <c r="I177" s="96"/>
      <c r="J177" s="96"/>
      <c r="K177" s="97"/>
      <c r="L177" s="98"/>
      <c r="M177" s="98"/>
      <c r="N177" s="99"/>
      <c r="O177" s="72"/>
      <c r="P177" s="100"/>
      <c r="Q177" s="101"/>
      <c r="R177" s="377"/>
      <c r="S177" s="75"/>
      <c r="T177" s="76"/>
      <c r="U177" s="72"/>
      <c r="V177" s="60"/>
      <c r="W177" s="60"/>
      <c r="X177" s="369"/>
      <c r="Y177" s="96"/>
    </row>
    <row r="178" spans="1:25" s="103" customFormat="1" ht="65.099999999999994" customHeight="1" x14ac:dyDescent="0.25">
      <c r="A178" s="94"/>
      <c r="B178" s="94"/>
      <c r="C178" s="413"/>
      <c r="D178" s="95"/>
      <c r="E178" s="96"/>
      <c r="F178" s="96"/>
      <c r="G178" s="96"/>
      <c r="H178" s="96"/>
      <c r="I178" s="96"/>
      <c r="J178" s="96"/>
      <c r="K178" s="97"/>
      <c r="L178" s="98"/>
      <c r="M178" s="98"/>
      <c r="N178" s="99"/>
      <c r="O178" s="72"/>
      <c r="P178" s="100"/>
      <c r="Q178" s="101"/>
      <c r="R178" s="377"/>
      <c r="S178" s="75"/>
      <c r="T178" s="76"/>
      <c r="U178" s="72"/>
      <c r="V178" s="60"/>
      <c r="W178" s="60"/>
      <c r="X178" s="369"/>
      <c r="Y178" s="96"/>
    </row>
    <row r="179" spans="1:25" s="103" customFormat="1" ht="65.099999999999994" customHeight="1" x14ac:dyDescent="0.25">
      <c r="A179" s="94"/>
      <c r="B179" s="94"/>
      <c r="C179" s="413"/>
      <c r="D179" s="95"/>
      <c r="E179" s="96"/>
      <c r="F179" s="96"/>
      <c r="G179" s="96"/>
      <c r="H179" s="96"/>
      <c r="I179" s="96"/>
      <c r="J179" s="96"/>
      <c r="K179" s="97"/>
      <c r="L179" s="98"/>
      <c r="M179" s="98"/>
      <c r="N179" s="99"/>
      <c r="O179" s="72"/>
      <c r="P179" s="100"/>
      <c r="Q179" s="101"/>
      <c r="R179" s="377"/>
      <c r="S179" s="75"/>
      <c r="T179" s="76"/>
      <c r="U179" s="72"/>
      <c r="V179" s="60"/>
      <c r="W179" s="60"/>
      <c r="X179" s="369"/>
      <c r="Y179" s="96"/>
    </row>
    <row r="180" spans="1:25" s="103" customFormat="1" ht="65.099999999999994" customHeight="1" x14ac:dyDescent="0.25">
      <c r="A180" s="94"/>
      <c r="B180" s="94"/>
      <c r="C180" s="413"/>
      <c r="D180" s="95"/>
      <c r="E180" s="96"/>
      <c r="F180" s="96"/>
      <c r="G180" s="96"/>
      <c r="H180" s="96"/>
      <c r="I180" s="96"/>
      <c r="J180" s="96"/>
      <c r="K180" s="97"/>
      <c r="L180" s="98"/>
      <c r="M180" s="98"/>
      <c r="N180" s="99"/>
      <c r="O180" s="72"/>
      <c r="P180" s="100"/>
      <c r="Q180" s="101"/>
      <c r="R180" s="377"/>
      <c r="S180" s="75"/>
      <c r="T180" s="76"/>
      <c r="U180" s="72"/>
      <c r="V180" s="60"/>
      <c r="W180" s="60"/>
      <c r="X180" s="369"/>
      <c r="Y180" s="96"/>
    </row>
    <row r="181" spans="1:25" s="103" customFormat="1" ht="65.099999999999994" customHeight="1" x14ac:dyDescent="0.25">
      <c r="A181" s="94"/>
      <c r="B181" s="94"/>
      <c r="C181" s="413"/>
      <c r="D181" s="95"/>
      <c r="E181" s="96"/>
      <c r="F181" s="96"/>
      <c r="G181" s="96"/>
      <c r="H181" s="96"/>
      <c r="I181" s="96"/>
      <c r="J181" s="96"/>
      <c r="K181" s="97"/>
      <c r="L181" s="98"/>
      <c r="M181" s="98"/>
      <c r="N181" s="99"/>
      <c r="O181" s="72"/>
      <c r="P181" s="100"/>
      <c r="Q181" s="101"/>
      <c r="R181" s="377"/>
      <c r="S181" s="75"/>
      <c r="T181" s="76"/>
      <c r="U181" s="72"/>
      <c r="V181" s="60"/>
      <c r="W181" s="60"/>
      <c r="X181" s="369"/>
      <c r="Y181" s="96"/>
    </row>
    <row r="182" spans="1:25" s="103" customFormat="1" ht="65.099999999999994" customHeight="1" x14ac:dyDescent="0.25">
      <c r="A182" s="94"/>
      <c r="B182" s="94"/>
      <c r="C182" s="413"/>
      <c r="D182" s="95"/>
      <c r="E182" s="96"/>
      <c r="F182" s="96"/>
      <c r="G182" s="96"/>
      <c r="H182" s="96"/>
      <c r="I182" s="96"/>
      <c r="J182" s="96"/>
      <c r="K182" s="97"/>
      <c r="L182" s="98"/>
      <c r="M182" s="98"/>
      <c r="N182" s="99"/>
      <c r="O182" s="72"/>
      <c r="P182" s="100"/>
      <c r="Q182" s="101"/>
      <c r="R182" s="377"/>
      <c r="S182" s="75"/>
      <c r="T182" s="76"/>
      <c r="U182" s="72"/>
      <c r="V182" s="60"/>
      <c r="W182" s="60"/>
      <c r="X182" s="369"/>
      <c r="Y182" s="96"/>
    </row>
    <row r="183" spans="1:25" s="103" customFormat="1" ht="65.099999999999994" customHeight="1" x14ac:dyDescent="0.25">
      <c r="A183" s="94"/>
      <c r="B183" s="94"/>
      <c r="C183" s="413"/>
      <c r="D183" s="95"/>
      <c r="E183" s="96"/>
      <c r="F183" s="96"/>
      <c r="G183" s="96"/>
      <c r="H183" s="96"/>
      <c r="I183" s="96"/>
      <c r="J183" s="96"/>
      <c r="K183" s="97"/>
      <c r="L183" s="98"/>
      <c r="M183" s="98"/>
      <c r="N183" s="99"/>
      <c r="O183" s="72"/>
      <c r="P183" s="100"/>
      <c r="Q183" s="101"/>
      <c r="R183" s="377"/>
      <c r="S183" s="75"/>
      <c r="T183" s="76"/>
      <c r="U183" s="72"/>
      <c r="V183" s="60"/>
      <c r="W183" s="60"/>
      <c r="X183" s="369"/>
      <c r="Y183" s="96"/>
    </row>
    <row r="184" spans="1:25" s="103" customFormat="1" ht="65.099999999999994" customHeight="1" x14ac:dyDescent="0.25">
      <c r="A184" s="94"/>
      <c r="B184" s="94"/>
      <c r="C184" s="413"/>
      <c r="D184" s="95"/>
      <c r="E184" s="96"/>
      <c r="F184" s="96"/>
      <c r="G184" s="96"/>
      <c r="H184" s="96"/>
      <c r="I184" s="96"/>
      <c r="J184" s="96"/>
      <c r="K184" s="97"/>
      <c r="L184" s="98"/>
      <c r="M184" s="98"/>
      <c r="N184" s="99"/>
      <c r="O184" s="72"/>
      <c r="P184" s="100"/>
      <c r="Q184" s="101"/>
      <c r="R184" s="377"/>
      <c r="S184" s="75"/>
      <c r="T184" s="76"/>
      <c r="U184" s="72"/>
      <c r="V184" s="60"/>
      <c r="W184" s="60"/>
      <c r="X184" s="369"/>
      <c r="Y184" s="96"/>
    </row>
    <row r="185" spans="1:25" s="103" customFormat="1" ht="65.099999999999994" customHeight="1" x14ac:dyDescent="0.25">
      <c r="A185" s="94"/>
      <c r="B185" s="94"/>
      <c r="C185" s="413"/>
      <c r="D185" s="95"/>
      <c r="E185" s="96"/>
      <c r="F185" s="96"/>
      <c r="G185" s="96"/>
      <c r="H185" s="96"/>
      <c r="I185" s="96"/>
      <c r="J185" s="96"/>
      <c r="K185" s="97"/>
      <c r="L185" s="98"/>
      <c r="M185" s="98"/>
      <c r="N185" s="99"/>
      <c r="O185" s="72"/>
      <c r="P185" s="100"/>
      <c r="Q185" s="101"/>
      <c r="R185" s="377"/>
      <c r="S185" s="75"/>
      <c r="T185" s="76"/>
      <c r="U185" s="72"/>
      <c r="V185" s="60"/>
      <c r="W185" s="60"/>
      <c r="X185" s="369"/>
      <c r="Y185" s="96"/>
    </row>
    <row r="186" spans="1:25" s="103" customFormat="1" ht="65.099999999999994" customHeight="1" x14ac:dyDescent="0.25">
      <c r="A186" s="94"/>
      <c r="B186" s="94"/>
      <c r="C186" s="413"/>
      <c r="D186" s="95"/>
      <c r="E186" s="96"/>
      <c r="F186" s="96"/>
      <c r="G186" s="96"/>
      <c r="H186" s="96"/>
      <c r="I186" s="96"/>
      <c r="J186" s="96"/>
      <c r="K186" s="97"/>
      <c r="L186" s="98"/>
      <c r="M186" s="98"/>
      <c r="N186" s="99"/>
      <c r="O186" s="72"/>
      <c r="P186" s="100"/>
      <c r="Q186" s="101"/>
      <c r="R186" s="377"/>
      <c r="S186" s="75"/>
      <c r="T186" s="76"/>
      <c r="U186" s="72"/>
      <c r="V186" s="60"/>
      <c r="W186" s="60"/>
      <c r="X186" s="369"/>
      <c r="Y186" s="96"/>
    </row>
    <row r="187" spans="1:25" s="103" customFormat="1" ht="65.099999999999994" customHeight="1" x14ac:dyDescent="0.25">
      <c r="A187" s="94"/>
      <c r="B187" s="94"/>
      <c r="C187" s="413"/>
      <c r="D187" s="95"/>
      <c r="E187" s="96"/>
      <c r="F187" s="96"/>
      <c r="G187" s="96"/>
      <c r="H187" s="96"/>
      <c r="I187" s="96"/>
      <c r="J187" s="96"/>
      <c r="K187" s="97"/>
      <c r="L187" s="98"/>
      <c r="M187" s="98"/>
      <c r="N187" s="99"/>
      <c r="O187" s="72"/>
      <c r="P187" s="100"/>
      <c r="Q187" s="101"/>
      <c r="R187" s="377"/>
      <c r="S187" s="75"/>
      <c r="T187" s="76"/>
      <c r="U187" s="72"/>
      <c r="V187" s="60"/>
      <c r="W187" s="60"/>
      <c r="X187" s="369"/>
      <c r="Y187" s="96"/>
    </row>
    <row r="188" spans="1:25" s="103" customFormat="1" ht="65.099999999999994" customHeight="1" x14ac:dyDescent="0.25">
      <c r="A188" s="94"/>
      <c r="B188" s="94"/>
      <c r="C188" s="413"/>
      <c r="D188" s="95"/>
      <c r="E188" s="96"/>
      <c r="F188" s="96"/>
      <c r="G188" s="96"/>
      <c r="H188" s="96"/>
      <c r="I188" s="96"/>
      <c r="J188" s="96"/>
      <c r="K188" s="97"/>
      <c r="L188" s="98"/>
      <c r="M188" s="98"/>
      <c r="N188" s="99"/>
      <c r="O188" s="72"/>
      <c r="P188" s="100"/>
      <c r="Q188" s="101"/>
      <c r="R188" s="377"/>
      <c r="S188" s="75"/>
      <c r="T188" s="76"/>
      <c r="U188" s="72"/>
      <c r="V188" s="60"/>
      <c r="W188" s="60"/>
      <c r="X188" s="369"/>
      <c r="Y188" s="96"/>
    </row>
    <row r="189" spans="1:25" s="103" customFormat="1" ht="65.099999999999994" customHeight="1" x14ac:dyDescent="0.25">
      <c r="A189" s="94"/>
      <c r="B189" s="94"/>
      <c r="C189" s="413"/>
      <c r="D189" s="95"/>
      <c r="E189" s="96"/>
      <c r="F189" s="96"/>
      <c r="G189" s="96"/>
      <c r="H189" s="96"/>
      <c r="I189" s="96"/>
      <c r="J189" s="96"/>
      <c r="K189" s="97"/>
      <c r="L189" s="98"/>
      <c r="M189" s="98"/>
      <c r="N189" s="99"/>
      <c r="O189" s="72"/>
      <c r="P189" s="100"/>
      <c r="Q189" s="101"/>
      <c r="R189" s="377"/>
      <c r="S189" s="75"/>
      <c r="T189" s="76"/>
      <c r="U189" s="72"/>
      <c r="V189" s="60"/>
      <c r="W189" s="60"/>
      <c r="X189" s="369"/>
      <c r="Y189" s="96"/>
    </row>
    <row r="190" spans="1:25" s="103" customFormat="1" ht="65.099999999999994" customHeight="1" x14ac:dyDescent="0.25">
      <c r="A190" s="94"/>
      <c r="B190" s="94"/>
      <c r="C190" s="413"/>
      <c r="D190" s="95"/>
      <c r="E190" s="96"/>
      <c r="F190" s="96"/>
      <c r="G190" s="96"/>
      <c r="H190" s="96"/>
      <c r="I190" s="96"/>
      <c r="J190" s="96"/>
      <c r="K190" s="97"/>
      <c r="L190" s="98"/>
      <c r="M190" s="98"/>
      <c r="N190" s="99"/>
      <c r="O190" s="72"/>
      <c r="P190" s="100"/>
      <c r="Q190" s="101"/>
      <c r="R190" s="377"/>
      <c r="S190" s="75"/>
      <c r="T190" s="76"/>
      <c r="U190" s="72"/>
      <c r="V190" s="60"/>
      <c r="W190" s="60"/>
      <c r="X190" s="369"/>
      <c r="Y190" s="96"/>
    </row>
    <row r="191" spans="1:25" s="103" customFormat="1" ht="65.099999999999994" customHeight="1" x14ac:dyDescent="0.25">
      <c r="A191" s="94"/>
      <c r="B191" s="94"/>
      <c r="C191" s="413"/>
      <c r="D191" s="95"/>
      <c r="E191" s="96"/>
      <c r="F191" s="96"/>
      <c r="G191" s="96"/>
      <c r="H191" s="96"/>
      <c r="I191" s="96"/>
      <c r="J191" s="96"/>
      <c r="K191" s="97"/>
      <c r="L191" s="98"/>
      <c r="M191" s="98"/>
      <c r="N191" s="99"/>
      <c r="O191" s="72"/>
      <c r="P191" s="100"/>
      <c r="Q191" s="101"/>
      <c r="R191" s="377"/>
      <c r="S191" s="75"/>
      <c r="T191" s="76"/>
      <c r="U191" s="72"/>
      <c r="V191" s="60"/>
      <c r="W191" s="60"/>
      <c r="X191" s="369"/>
      <c r="Y191" s="96"/>
    </row>
    <row r="192" spans="1:25" s="103" customFormat="1" ht="65.099999999999994" customHeight="1" x14ac:dyDescent="0.25">
      <c r="A192" s="94"/>
      <c r="B192" s="94"/>
      <c r="C192" s="413"/>
      <c r="D192" s="95"/>
      <c r="E192" s="96"/>
      <c r="F192" s="96"/>
      <c r="G192" s="96"/>
      <c r="H192" s="96"/>
      <c r="I192" s="96"/>
      <c r="J192" s="96"/>
      <c r="K192" s="97"/>
      <c r="L192" s="98"/>
      <c r="M192" s="98"/>
      <c r="N192" s="99"/>
      <c r="O192" s="72"/>
      <c r="P192" s="100"/>
      <c r="Q192" s="101"/>
      <c r="R192" s="377"/>
      <c r="S192" s="75"/>
      <c r="T192" s="76"/>
      <c r="U192" s="72"/>
      <c r="V192" s="60"/>
      <c r="W192" s="60"/>
      <c r="X192" s="369"/>
      <c r="Y192" s="96"/>
    </row>
    <row r="193" spans="1:25" s="103" customFormat="1" ht="65.099999999999994" customHeight="1" x14ac:dyDescent="0.25">
      <c r="A193" s="94"/>
      <c r="B193" s="94"/>
      <c r="C193" s="413"/>
      <c r="D193" s="95"/>
      <c r="E193" s="96"/>
      <c r="F193" s="96"/>
      <c r="G193" s="96"/>
      <c r="H193" s="96"/>
      <c r="I193" s="96"/>
      <c r="J193" s="96"/>
      <c r="K193" s="97"/>
      <c r="L193" s="98"/>
      <c r="M193" s="98"/>
      <c r="N193" s="99"/>
      <c r="O193" s="72"/>
      <c r="P193" s="100"/>
      <c r="Q193" s="101"/>
      <c r="R193" s="377"/>
      <c r="S193" s="75"/>
      <c r="T193" s="76"/>
      <c r="U193" s="72"/>
      <c r="V193" s="60"/>
      <c r="W193" s="60"/>
      <c r="X193" s="369"/>
      <c r="Y193" s="96"/>
    </row>
    <row r="194" spans="1:25" s="103" customFormat="1" ht="65.099999999999994" customHeight="1" x14ac:dyDescent="0.25">
      <c r="A194" s="94"/>
      <c r="B194" s="94"/>
      <c r="C194" s="413"/>
      <c r="D194" s="95"/>
      <c r="E194" s="96"/>
      <c r="F194" s="96"/>
      <c r="G194" s="96"/>
      <c r="H194" s="96"/>
      <c r="I194" s="96"/>
      <c r="J194" s="96"/>
      <c r="K194" s="97"/>
      <c r="L194" s="98"/>
      <c r="M194" s="98"/>
      <c r="N194" s="99"/>
      <c r="O194" s="72"/>
      <c r="P194" s="100"/>
      <c r="Q194" s="101"/>
      <c r="R194" s="377"/>
      <c r="S194" s="75"/>
      <c r="T194" s="76"/>
      <c r="U194" s="72"/>
      <c r="V194" s="60"/>
      <c r="W194" s="60"/>
      <c r="X194" s="369"/>
      <c r="Y194" s="96"/>
    </row>
    <row r="195" spans="1:25" s="103" customFormat="1" ht="65.099999999999994" customHeight="1" x14ac:dyDescent="0.25">
      <c r="A195" s="94"/>
      <c r="B195" s="94"/>
      <c r="C195" s="413"/>
      <c r="D195" s="95"/>
      <c r="E195" s="96"/>
      <c r="F195" s="96"/>
      <c r="G195" s="96"/>
      <c r="H195" s="96"/>
      <c r="I195" s="96"/>
      <c r="J195" s="96"/>
      <c r="K195" s="97"/>
      <c r="L195" s="98"/>
      <c r="M195" s="98"/>
      <c r="N195" s="99"/>
      <c r="O195" s="72"/>
      <c r="P195" s="100"/>
      <c r="Q195" s="101"/>
      <c r="R195" s="377"/>
      <c r="S195" s="75"/>
      <c r="T195" s="76"/>
      <c r="U195" s="72"/>
      <c r="V195" s="60"/>
      <c r="W195" s="60"/>
      <c r="X195" s="369"/>
      <c r="Y195" s="96"/>
    </row>
    <row r="196" spans="1:25" s="103" customFormat="1" ht="65.099999999999994" customHeight="1" x14ac:dyDescent="0.25">
      <c r="A196" s="94"/>
      <c r="B196" s="94"/>
      <c r="C196" s="413"/>
      <c r="D196" s="95"/>
      <c r="E196" s="96"/>
      <c r="F196" s="96"/>
      <c r="G196" s="96"/>
      <c r="H196" s="96"/>
      <c r="I196" s="96"/>
      <c r="J196" s="96"/>
      <c r="K196" s="97"/>
      <c r="L196" s="98"/>
      <c r="M196" s="98"/>
      <c r="N196" s="99"/>
      <c r="O196" s="72"/>
      <c r="P196" s="100"/>
      <c r="Q196" s="101"/>
      <c r="R196" s="377"/>
      <c r="S196" s="75"/>
      <c r="T196" s="76"/>
      <c r="U196" s="72"/>
      <c r="V196" s="60"/>
      <c r="W196" s="60"/>
      <c r="X196" s="369"/>
      <c r="Y196" s="96"/>
    </row>
    <row r="197" spans="1:25" s="103" customFormat="1" ht="65.099999999999994" customHeight="1" x14ac:dyDescent="0.25">
      <c r="A197" s="94"/>
      <c r="B197" s="94"/>
      <c r="C197" s="413"/>
      <c r="D197" s="95"/>
      <c r="E197" s="96"/>
      <c r="F197" s="96"/>
      <c r="G197" s="96"/>
      <c r="H197" s="96"/>
      <c r="I197" s="96"/>
      <c r="J197" s="96"/>
      <c r="K197" s="97"/>
      <c r="L197" s="98"/>
      <c r="M197" s="98"/>
      <c r="N197" s="99"/>
      <c r="O197" s="72"/>
      <c r="P197" s="100"/>
      <c r="Q197" s="101"/>
      <c r="R197" s="377"/>
      <c r="S197" s="75"/>
      <c r="T197" s="76"/>
      <c r="U197" s="72"/>
      <c r="V197" s="60"/>
      <c r="W197" s="60"/>
      <c r="X197" s="369"/>
      <c r="Y197" s="96"/>
    </row>
    <row r="198" spans="1:25" s="103" customFormat="1" ht="65.099999999999994" customHeight="1" x14ac:dyDescent="0.25">
      <c r="A198" s="94"/>
      <c r="B198" s="94"/>
      <c r="C198" s="413"/>
      <c r="D198" s="95"/>
      <c r="E198" s="96"/>
      <c r="F198" s="96"/>
      <c r="G198" s="96"/>
      <c r="H198" s="96"/>
      <c r="I198" s="96"/>
      <c r="J198" s="96"/>
      <c r="K198" s="97"/>
      <c r="L198" s="98"/>
      <c r="M198" s="98"/>
      <c r="N198" s="99"/>
      <c r="O198" s="72"/>
      <c r="P198" s="100"/>
      <c r="Q198" s="101"/>
      <c r="R198" s="377"/>
      <c r="S198" s="75"/>
      <c r="T198" s="76"/>
      <c r="U198" s="72"/>
      <c r="V198" s="60"/>
      <c r="W198" s="60"/>
      <c r="X198" s="369"/>
      <c r="Y198" s="96"/>
    </row>
  </sheetData>
  <autoFilter ref="A1:Y17"/>
  <mergeCells count="38">
    <mergeCell ref="A19:A22"/>
    <mergeCell ref="S1:S2"/>
    <mergeCell ref="T1:T2"/>
    <mergeCell ref="U1:U2"/>
    <mergeCell ref="V1:V2"/>
    <mergeCell ref="M1:M2"/>
    <mergeCell ref="N1:N2"/>
    <mergeCell ref="O1:O2"/>
    <mergeCell ref="P1:P2"/>
    <mergeCell ref="Q1:Q2"/>
    <mergeCell ref="R1:R2"/>
    <mergeCell ref="G1:G2"/>
    <mergeCell ref="H1:H2"/>
    <mergeCell ref="I1:I2"/>
    <mergeCell ref="J1:J2"/>
    <mergeCell ref="K1:K2"/>
    <mergeCell ref="Y1:Y2"/>
    <mergeCell ref="A3:A6"/>
    <mergeCell ref="A7:A10"/>
    <mergeCell ref="A11:A14"/>
    <mergeCell ref="A15:A18"/>
    <mergeCell ref="W1:W2"/>
    <mergeCell ref="X1:X2"/>
    <mergeCell ref="L1:L2"/>
    <mergeCell ref="A1:A2"/>
    <mergeCell ref="B1:B2"/>
    <mergeCell ref="C1:C2"/>
    <mergeCell ref="D1:D2"/>
    <mergeCell ref="E1:E2"/>
    <mergeCell ref="F1:F2"/>
    <mergeCell ref="A47:A50"/>
    <mergeCell ref="A51:A54"/>
    <mergeCell ref="A23:A26"/>
    <mergeCell ref="A27:A30"/>
    <mergeCell ref="A31:A34"/>
    <mergeCell ref="A35:A38"/>
    <mergeCell ref="A39:A42"/>
    <mergeCell ref="A43:A46"/>
  </mergeCells>
  <conditionalFormatting sqref="X3">
    <cfRule type="containsText" dxfId="42" priority="7" operator="containsText" text="NO CUMPLE">
      <formula>NOT(ISERROR(SEARCH("NO CUMPLE",X3)))</formula>
    </cfRule>
  </conditionalFormatting>
  <conditionalFormatting sqref="X4">
    <cfRule type="containsText" dxfId="41" priority="6" operator="containsText" text="NO CUMPLE">
      <formula>NOT(ISERROR(SEARCH("NO CUMPLE",X4)))</formula>
    </cfRule>
  </conditionalFormatting>
  <conditionalFormatting sqref="X5">
    <cfRule type="containsText" dxfId="40" priority="5" operator="containsText" text="NO CUMPLE">
      <formula>NOT(ISERROR(SEARCH("NO CUMPLE",X5)))</formula>
    </cfRule>
  </conditionalFormatting>
  <conditionalFormatting sqref="X6">
    <cfRule type="containsText" dxfId="39" priority="4" operator="containsText" text="NO CUMPLE">
      <formula>NOT(ISERROR(SEARCH("NO CUMPLE",X6)))</formula>
    </cfRule>
  </conditionalFormatting>
  <conditionalFormatting sqref="X10 X14 X18 X22 X26 X30 X34 X38 X42 X46 X50 X54">
    <cfRule type="containsText" dxfId="38" priority="3" operator="containsText" text="NO CUMPLE">
      <formula>NOT(ISERROR(SEARCH("NO CUMPLE",X10)))</formula>
    </cfRule>
  </conditionalFormatting>
  <conditionalFormatting sqref="X8:X9 X12:X13 X16:X17 X20:X21 X24:X25 X28:X29 X32:X33 X36:X37 X40:X41 X44:X45 X48:X49 X52:X53">
    <cfRule type="containsText" dxfId="37" priority="2" operator="containsText" text="NO CUMPLE">
      <formula>NOT(ISERROR(SEARCH("NO CUMPLE",X8)))</formula>
    </cfRule>
  </conditionalFormatting>
  <conditionalFormatting sqref="X7 X11 X15 X19 X23 X27 X31 X35 X39 X43 X47 X51">
    <cfRule type="containsText" dxfId="36" priority="1" operator="containsText" text="NO CUMPLE">
      <formula>NOT(ISERROR(SEARCH("NO CUMPLE",X7)))</formula>
    </cfRule>
  </conditionalFormatting>
  <dataValidations count="1">
    <dataValidation type="list" allowBlank="1" showInputMessage="1" showErrorMessage="1" sqref="G3:J54">
      <formula1>$AA$1:$AB$1</formula1>
    </dataValidation>
  </dataValidations>
  <pageMargins left="0.75" right="0.75" top="1" bottom="1" header="0.5" footer="0.5"/>
  <pageSetup orientation="portrait" horizontalDpi="4294967292"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217"/>
  <sheetViews>
    <sheetView zoomScale="93" zoomScaleNormal="93" zoomScalePageLayoutView="75" workbookViewId="0">
      <pane xSplit="1" ySplit="2" topLeftCell="Y15" activePane="bottomRight" state="frozen"/>
      <selection pane="topRight" activeCell="B1" sqref="B1"/>
      <selection pane="bottomLeft" activeCell="A3" sqref="A3"/>
      <selection pane="bottomRight" activeCell="AH3" sqref="AH3:AH8"/>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12.5" style="104" customWidth="1"/>
    <col min="9" max="9" width="13.625" style="105" customWidth="1"/>
    <col min="10" max="10" width="10.625" style="106" customWidth="1"/>
    <col min="11" max="11" width="22.125" style="107" customWidth="1"/>
    <col min="12" max="12" width="11" style="108" customWidth="1"/>
    <col min="13" max="13" width="11" style="74" customWidth="1"/>
    <col min="14" max="14" width="18.5" style="109" customWidth="1"/>
    <col min="15" max="15" width="8.75" style="109" customWidth="1"/>
    <col min="16" max="16" width="9.5" style="74" bestFit="1" customWidth="1"/>
    <col min="17" max="17" width="12.5" style="74" customWidth="1"/>
    <col min="18" max="18" width="9.625" style="74" bestFit="1" customWidth="1"/>
    <col min="19" max="20" width="15.5" style="74" customWidth="1"/>
    <col min="21" max="21" width="18.375" style="87" customWidth="1"/>
    <col min="22" max="22" width="16.5" style="87" customWidth="1"/>
    <col min="23" max="23" width="10" style="94" customWidth="1"/>
    <col min="24" max="24" width="7.875" style="110" customWidth="1"/>
    <col min="25" max="25" width="8.875" style="110" customWidth="1"/>
    <col min="26" max="26" width="10" style="94" customWidth="1"/>
    <col min="27" max="27" width="7.875" style="110" customWidth="1"/>
    <col min="28" max="28" width="8.875" style="110" customWidth="1"/>
    <col min="29" max="29" width="10" style="110" bestFit="1" customWidth="1"/>
    <col min="30" max="30" width="7.375" style="110" bestFit="1" customWidth="1"/>
    <col min="31" max="31" width="6.375" style="110" customWidth="1"/>
    <col min="32" max="35" width="19.5" style="63" customWidth="1"/>
    <col min="36" max="36" width="59.125" style="96" customWidth="1"/>
    <col min="37" max="39" width="10.875" style="111"/>
    <col min="40" max="41" width="15.125" style="111" bestFit="1" customWidth="1"/>
    <col min="42" max="16384" width="10.875" style="111"/>
  </cols>
  <sheetData>
    <row r="1" spans="1:39" s="61" customFormat="1" ht="15" customHeight="1" x14ac:dyDescent="0.25">
      <c r="A1" s="661" t="s">
        <v>2</v>
      </c>
      <c r="B1" s="661" t="s">
        <v>1</v>
      </c>
      <c r="C1" s="676" t="s">
        <v>369</v>
      </c>
      <c r="D1" s="661" t="s">
        <v>7</v>
      </c>
      <c r="E1" s="661" t="s">
        <v>8</v>
      </c>
      <c r="F1" s="661" t="s">
        <v>9</v>
      </c>
      <c r="G1" s="662" t="s">
        <v>57</v>
      </c>
      <c r="H1" s="662" t="s">
        <v>383</v>
      </c>
      <c r="I1" s="670" t="s">
        <v>56</v>
      </c>
      <c r="J1" s="672" t="s">
        <v>10</v>
      </c>
      <c r="K1" s="672" t="s">
        <v>443</v>
      </c>
      <c r="L1" s="674" t="s">
        <v>65</v>
      </c>
      <c r="M1" s="661" t="s">
        <v>64</v>
      </c>
      <c r="N1" s="661" t="s">
        <v>11</v>
      </c>
      <c r="O1" s="661" t="s">
        <v>12</v>
      </c>
      <c r="P1" s="662" t="s">
        <v>13</v>
      </c>
      <c r="Q1" s="662" t="s">
        <v>14</v>
      </c>
      <c r="R1" s="662" t="s">
        <v>15</v>
      </c>
      <c r="S1" s="662" t="s">
        <v>16</v>
      </c>
      <c r="T1" s="661" t="s">
        <v>17</v>
      </c>
      <c r="U1" s="662" t="s">
        <v>385</v>
      </c>
      <c r="V1" s="668" t="s">
        <v>55</v>
      </c>
      <c r="W1" s="661" t="s">
        <v>27</v>
      </c>
      <c r="X1" s="661"/>
      <c r="Y1" s="661"/>
      <c r="Z1" s="661" t="s">
        <v>28</v>
      </c>
      <c r="AA1" s="661"/>
      <c r="AB1" s="661"/>
      <c r="AC1" s="661" t="s">
        <v>29</v>
      </c>
      <c r="AD1" s="661"/>
      <c r="AE1" s="661"/>
      <c r="AF1" s="662" t="s">
        <v>30</v>
      </c>
      <c r="AG1" s="664" t="s">
        <v>374</v>
      </c>
      <c r="AH1" s="665" t="s">
        <v>618</v>
      </c>
      <c r="AI1" s="664" t="s">
        <v>619</v>
      </c>
      <c r="AJ1" s="659" t="s">
        <v>0</v>
      </c>
      <c r="AL1" s="62" t="s">
        <v>5</v>
      </c>
      <c r="AM1" s="62" t="s">
        <v>6</v>
      </c>
    </row>
    <row r="2" spans="1:39" s="61" customFormat="1" ht="62.25" customHeight="1" thickBot="1" x14ac:dyDescent="0.3">
      <c r="A2" s="667"/>
      <c r="B2" s="667"/>
      <c r="C2" s="677"/>
      <c r="D2" s="667"/>
      <c r="E2" s="667"/>
      <c r="F2" s="667"/>
      <c r="G2" s="663"/>
      <c r="H2" s="663"/>
      <c r="I2" s="671"/>
      <c r="J2" s="673"/>
      <c r="K2" s="673"/>
      <c r="L2" s="675"/>
      <c r="M2" s="667"/>
      <c r="N2" s="667"/>
      <c r="O2" s="667"/>
      <c r="P2" s="663"/>
      <c r="Q2" s="663"/>
      <c r="R2" s="663"/>
      <c r="S2" s="663"/>
      <c r="T2" s="667"/>
      <c r="U2" s="663"/>
      <c r="V2" s="669"/>
      <c r="W2" s="59" t="s">
        <v>31</v>
      </c>
      <c r="X2" s="59" t="s">
        <v>32</v>
      </c>
      <c r="Y2" s="59" t="s">
        <v>33</v>
      </c>
      <c r="Z2" s="59" t="s">
        <v>34</v>
      </c>
      <c r="AA2" s="59" t="s">
        <v>32</v>
      </c>
      <c r="AB2" s="59" t="s">
        <v>35</v>
      </c>
      <c r="AC2" s="59" t="s">
        <v>34</v>
      </c>
      <c r="AD2" s="59" t="s">
        <v>32</v>
      </c>
      <c r="AE2" s="59" t="s">
        <v>36</v>
      </c>
      <c r="AF2" s="663"/>
      <c r="AG2" s="701"/>
      <c r="AH2" s="666"/>
      <c r="AI2" s="701"/>
      <c r="AJ2" s="660"/>
    </row>
    <row r="3" spans="1:39" s="79" customFormat="1" ht="156" customHeight="1" x14ac:dyDescent="0.25">
      <c r="A3" s="652" t="s">
        <v>384</v>
      </c>
      <c r="B3" s="125" t="s">
        <v>331</v>
      </c>
      <c r="C3" s="126">
        <v>191</v>
      </c>
      <c r="D3" s="127" t="str">
        <f>+IFERROR(INDEX(PROPONENTES!$D$4:$D$109,MATCH('EXP GEN. 33-40'!B3,PROPONENTES!$C$4:$C$109,0)),"")</f>
        <v>GIC GERENCIA INTERVENTORIA Y CONSULTORIA S.A.S.</v>
      </c>
      <c r="E3" s="128" t="s">
        <v>389</v>
      </c>
      <c r="F3" s="129" t="s">
        <v>390</v>
      </c>
      <c r="G3" s="130" t="s">
        <v>5</v>
      </c>
      <c r="H3" s="130" t="s">
        <v>5</v>
      </c>
      <c r="I3" s="131">
        <v>1</v>
      </c>
      <c r="J3" s="132">
        <v>38733</v>
      </c>
      <c r="K3" s="132">
        <v>39254</v>
      </c>
      <c r="L3" s="133">
        <f>IF(K3="","",YEAR(K3))</f>
        <v>2007</v>
      </c>
      <c r="M3" s="134">
        <f>+IFERROR(INDEX(PARÁMETROS!$B$11:$B$37,MATCH(L3,PARÁMETROS!$A$11:$A$37,0)),"")</f>
        <v>433700</v>
      </c>
      <c r="N3" s="135">
        <v>465430.5</v>
      </c>
      <c r="O3" s="136" t="s">
        <v>24</v>
      </c>
      <c r="P3" s="125">
        <v>1.3425</v>
      </c>
      <c r="Q3" s="186">
        <f>+P3*N3</f>
        <v>624840.44625000004</v>
      </c>
      <c r="R3" s="138">
        <v>1905.13</v>
      </c>
      <c r="S3" s="188">
        <f>IF(R3&lt;&gt;"",Q3*R3,"")</f>
        <v>1190402279.3642626</v>
      </c>
      <c r="T3" s="139">
        <f>+IFERROR(S3/M3,"")</f>
        <v>2744.7596941763031</v>
      </c>
      <c r="U3" s="139">
        <f>IFERROR(T3*I3,"")</f>
        <v>2744.7596941763031</v>
      </c>
      <c r="V3" s="189" t="s">
        <v>396</v>
      </c>
      <c r="W3" s="649"/>
      <c r="X3" s="649"/>
      <c r="Y3" s="649"/>
      <c r="Z3" s="649"/>
      <c r="AA3" s="649"/>
      <c r="AB3" s="649"/>
      <c r="AC3" s="649"/>
      <c r="AD3" s="649"/>
      <c r="AE3" s="649"/>
      <c r="AF3" s="181"/>
      <c r="AG3" s="702" t="str">
        <f>IF(U3="","",IF(SUM(U3:U8)&gt;=PARÁMETROS!$H$5,"CUMPLE","NO CUMPLE"))</f>
        <v>CUMPLE</v>
      </c>
      <c r="AH3" s="702" t="str">
        <f>IF(U3="","",IF(U3+U4+U5+U6&gt;=PARÁMETROS!$F$5,"CUMPLE","NO CUMPLE"))</f>
        <v>CUMPLE</v>
      </c>
      <c r="AI3" s="590" t="str">
        <f>+IF(U3="","",IF(U3&gt;=PARÁMETROS!$D$5,"CUMPLE","NO CUMPLE"))</f>
        <v>CUMPLE</v>
      </c>
      <c r="AJ3" s="142"/>
      <c r="AK3" s="112"/>
    </row>
    <row r="4" spans="1:39" s="79" customFormat="1" ht="72.75" customHeight="1" x14ac:dyDescent="0.25">
      <c r="A4" s="653"/>
      <c r="B4" s="63" t="s">
        <v>331</v>
      </c>
      <c r="C4" s="64">
        <v>200</v>
      </c>
      <c r="D4" s="65" t="str">
        <f>+IFERROR(INDEX(PROPONENTES!$D$4:$D$109,MATCH('EXP GEN. 33-40'!B4,PROPONENTES!$C$4:$C$109,0)),"")</f>
        <v>GIC GERENCIA INTERVENTORIA Y CONSULTORIA S.A.S.</v>
      </c>
      <c r="E4" s="66" t="s">
        <v>389</v>
      </c>
      <c r="F4" s="66" t="s">
        <v>391</v>
      </c>
      <c r="G4" s="68" t="s">
        <v>5</v>
      </c>
      <c r="H4" s="68" t="s">
        <v>5</v>
      </c>
      <c r="I4" s="80">
        <v>1</v>
      </c>
      <c r="J4" s="70">
        <v>39839</v>
      </c>
      <c r="K4" s="70">
        <v>40339</v>
      </c>
      <c r="L4" s="71">
        <f t="shared" ref="L4:L60" si="0">IF(K4="","",YEAR(K4))</f>
        <v>2010</v>
      </c>
      <c r="M4" s="72">
        <f>+IFERROR(INDEX(PARÁMETROS!$B$11:$B$37,MATCH(L4,PARÁMETROS!$A$11:$A$37,0)),"")</f>
        <v>515000</v>
      </c>
      <c r="N4" s="81">
        <v>864969.84</v>
      </c>
      <c r="O4" s="72" t="s">
        <v>24</v>
      </c>
      <c r="P4" s="63">
        <v>1.1988799999999999</v>
      </c>
      <c r="Q4" s="75">
        <f>+P4*N4</f>
        <v>1036995.0417792</v>
      </c>
      <c r="R4" s="76">
        <v>1943</v>
      </c>
      <c r="S4" s="72">
        <f>IF(R4&lt;&gt;"",Q4*R4,"")</f>
        <v>2014881366.1769855</v>
      </c>
      <c r="T4" s="60">
        <f t="shared" ref="T4:T60" si="1">+IFERROR(S4/M4,"")</f>
        <v>3912.3910022854088</v>
      </c>
      <c r="U4" s="60">
        <f t="shared" ref="U4:U60" si="2">IFERROR(T4*I4,"")</f>
        <v>3912.3910022854088</v>
      </c>
      <c r="V4" s="77" t="s">
        <v>396</v>
      </c>
      <c r="W4" s="650"/>
      <c r="X4" s="650"/>
      <c r="Y4" s="650"/>
      <c r="Z4" s="650"/>
      <c r="AA4" s="650"/>
      <c r="AB4" s="650"/>
      <c r="AC4" s="650"/>
      <c r="AD4" s="650"/>
      <c r="AE4" s="650"/>
      <c r="AF4" s="179"/>
      <c r="AG4" s="703"/>
      <c r="AH4" s="703"/>
      <c r="AI4" s="78" t="str">
        <f>+IF(U4="","",IF(U4&gt;=PARÁMETROS!$D$5,"CUMPLE","NO CUMPLE"))</f>
        <v>CUMPLE</v>
      </c>
      <c r="AJ4" s="143"/>
      <c r="AK4" s="112"/>
    </row>
    <row r="5" spans="1:39" s="79" customFormat="1" ht="65.099999999999994" customHeight="1" x14ac:dyDescent="0.25">
      <c r="A5" s="653"/>
      <c r="B5" s="63" t="s">
        <v>331</v>
      </c>
      <c r="C5" s="64">
        <v>209</v>
      </c>
      <c r="D5" s="65" t="str">
        <f>+IFERROR(INDEX(PROPONENTES!$D$4:$D$109,MATCH('EXP GEN. 33-40'!B5,PROPONENTES!$C$4:$C$109,0)),"")</f>
        <v>GIC GERENCIA INTERVENTORIA Y CONSULTORIA S.A.S.</v>
      </c>
      <c r="E5" s="66" t="s">
        <v>389</v>
      </c>
      <c r="F5" s="67" t="s">
        <v>392</v>
      </c>
      <c r="G5" s="68" t="s">
        <v>5</v>
      </c>
      <c r="H5" s="68" t="s">
        <v>5</v>
      </c>
      <c r="I5" s="69">
        <v>1</v>
      </c>
      <c r="J5" s="70">
        <v>40400</v>
      </c>
      <c r="K5" s="70">
        <v>40753</v>
      </c>
      <c r="L5" s="71">
        <f t="shared" si="0"/>
        <v>2011</v>
      </c>
      <c r="M5" s="72">
        <f>+IFERROR(INDEX(PARÁMETROS!$B$11:$B$37,MATCH(L5,PARÁMETROS!$A$11:$A$37,0)),"")</f>
        <v>535600</v>
      </c>
      <c r="N5" s="73">
        <v>655152.30000000005</v>
      </c>
      <c r="O5" s="72" t="s">
        <v>24</v>
      </c>
      <c r="P5" s="63">
        <v>1.43323</v>
      </c>
      <c r="Q5" s="75">
        <f>+P5*N5</f>
        <v>938983.93092900002</v>
      </c>
      <c r="R5" s="76">
        <v>1771.15</v>
      </c>
      <c r="S5" s="72">
        <f>IF(R5&lt;&gt;"",Q5*R5,"")</f>
        <v>1663081389.2648985</v>
      </c>
      <c r="T5" s="60">
        <f t="shared" si="1"/>
        <v>3105.0810105767337</v>
      </c>
      <c r="U5" s="60">
        <f t="shared" si="2"/>
        <v>3105.0810105767337</v>
      </c>
      <c r="V5" s="77" t="s">
        <v>396</v>
      </c>
      <c r="W5" s="650"/>
      <c r="X5" s="650"/>
      <c r="Y5" s="650"/>
      <c r="Z5" s="650"/>
      <c r="AA5" s="650"/>
      <c r="AB5" s="650"/>
      <c r="AC5" s="650"/>
      <c r="AD5" s="650"/>
      <c r="AE5" s="650"/>
      <c r="AF5" s="179"/>
      <c r="AG5" s="703"/>
      <c r="AH5" s="703"/>
      <c r="AI5" s="78" t="str">
        <f>+IF(U5="","",IF(U5&gt;=PARÁMETROS!$D$5,"CUMPLE","NO CUMPLE"))</f>
        <v>CUMPLE</v>
      </c>
      <c r="AJ5" s="144"/>
      <c r="AK5" s="112"/>
    </row>
    <row r="6" spans="1:39" s="79" customFormat="1" ht="108" customHeight="1" x14ac:dyDescent="0.25">
      <c r="A6" s="653"/>
      <c r="B6" s="63" t="s">
        <v>331</v>
      </c>
      <c r="C6" s="64">
        <v>218</v>
      </c>
      <c r="D6" s="65" t="str">
        <f>+IFERROR(INDEX(PROPONENTES!$D$4:$D$109,MATCH('EXP GEN. 33-40'!B6,PROPONENTES!$C$4:$C$109,0)),"")</f>
        <v>GIC GERENCIA INTERVENTORIA Y CONSULTORIA S.A.S.</v>
      </c>
      <c r="E6" s="66" t="s">
        <v>389</v>
      </c>
      <c r="F6" s="67" t="s">
        <v>393</v>
      </c>
      <c r="G6" s="165" t="s">
        <v>5</v>
      </c>
      <c r="H6" s="165" t="s">
        <v>5</v>
      </c>
      <c r="I6" s="69">
        <v>1</v>
      </c>
      <c r="J6" s="70">
        <v>37572</v>
      </c>
      <c r="K6" s="70">
        <v>38330</v>
      </c>
      <c r="L6" s="71">
        <f t="shared" si="0"/>
        <v>2004</v>
      </c>
      <c r="M6" s="72">
        <f>+IFERROR(INDEX(PARÁMETROS!$B$11:$B$37,MATCH(L6,PARÁMETROS!$A$11:$A$37,0)),"")</f>
        <v>358000</v>
      </c>
      <c r="N6" s="73">
        <v>610050.4</v>
      </c>
      <c r="O6" s="72" t="s">
        <v>24</v>
      </c>
      <c r="P6" s="63">
        <v>1.3329</v>
      </c>
      <c r="Q6" s="75">
        <f>+P6*N6</f>
        <v>813136.17816000001</v>
      </c>
      <c r="R6" s="76">
        <v>2455.12</v>
      </c>
      <c r="S6" s="72">
        <f>IF(R6&lt;&gt;"",Q6*R6,"")</f>
        <v>1996346893.724179</v>
      </c>
      <c r="T6" s="60">
        <f t="shared" si="1"/>
        <v>5576.3879712965891</v>
      </c>
      <c r="U6" s="60">
        <f t="shared" si="2"/>
        <v>5576.3879712965891</v>
      </c>
      <c r="V6" s="77" t="s">
        <v>396</v>
      </c>
      <c r="W6" s="689"/>
      <c r="X6" s="690"/>
      <c r="Y6" s="691"/>
      <c r="Z6" s="689"/>
      <c r="AA6" s="690"/>
      <c r="AB6" s="691"/>
      <c r="AC6" s="689"/>
      <c r="AD6" s="690"/>
      <c r="AE6" s="691"/>
      <c r="AF6" s="179"/>
      <c r="AG6" s="703"/>
      <c r="AH6" s="703"/>
      <c r="AI6" s="78" t="str">
        <f>+IF(U6="","",IF(U6&gt;=PARÁMETROS!$D$5,"CUMPLE","NO CUMPLE"))</f>
        <v>CUMPLE</v>
      </c>
      <c r="AJ6" s="144"/>
      <c r="AK6" s="112"/>
    </row>
    <row r="7" spans="1:39" s="79" customFormat="1" ht="71.25" x14ac:dyDescent="0.25">
      <c r="A7" s="653"/>
      <c r="B7" s="63" t="s">
        <v>332</v>
      </c>
      <c r="C7" s="64">
        <v>224</v>
      </c>
      <c r="D7" s="65" t="str">
        <f>+IFERROR(INDEX(PROPONENTES!$D$4:$D$109,MATCH('EXP GEN. 33-40'!B7,PROPONENTES!$C$4:$C$109,0)),"")</f>
        <v>CONSULTORES UNIDOS S.A.</v>
      </c>
      <c r="E7" s="66" t="s">
        <v>19</v>
      </c>
      <c r="F7" s="67" t="s">
        <v>394</v>
      </c>
      <c r="G7" s="165" t="s">
        <v>5</v>
      </c>
      <c r="H7" s="161" t="s">
        <v>5</v>
      </c>
      <c r="I7" s="69">
        <v>0.6</v>
      </c>
      <c r="J7" s="70">
        <v>41649</v>
      </c>
      <c r="K7" s="70">
        <v>42151</v>
      </c>
      <c r="L7" s="71">
        <f t="shared" si="0"/>
        <v>2015</v>
      </c>
      <c r="M7" s="72">
        <f>+IFERROR(INDEX(PARÁMETROS!$B$11:$B$37,MATCH(L7,PARÁMETROS!$A$11:$A$37,0)),"")</f>
        <v>644350</v>
      </c>
      <c r="N7" s="73">
        <v>4710651972</v>
      </c>
      <c r="O7" s="72" t="s">
        <v>20</v>
      </c>
      <c r="P7" s="63" t="s">
        <v>54</v>
      </c>
      <c r="Q7" s="75" t="s">
        <v>54</v>
      </c>
      <c r="R7" s="76">
        <v>1</v>
      </c>
      <c r="S7" s="72">
        <f t="shared" ref="S7:S60" si="3">IF(R7&lt;&gt;"",N7*R7,"")</f>
        <v>4710651972</v>
      </c>
      <c r="T7" s="60">
        <f t="shared" si="1"/>
        <v>7310.7037665864827</v>
      </c>
      <c r="U7" s="60">
        <f t="shared" si="2"/>
        <v>4386.4222599518898</v>
      </c>
      <c r="V7" s="77" t="s">
        <v>397</v>
      </c>
      <c r="W7" s="689"/>
      <c r="X7" s="690"/>
      <c r="Y7" s="691"/>
      <c r="Z7" s="689"/>
      <c r="AA7" s="690"/>
      <c r="AB7" s="691"/>
      <c r="AC7" s="689"/>
      <c r="AD7" s="690"/>
      <c r="AE7" s="691"/>
      <c r="AF7" s="179"/>
      <c r="AG7" s="703"/>
      <c r="AH7" s="703"/>
      <c r="AI7" s="78" t="str">
        <f>+IF(U7="","",IF(U7&gt;=PARÁMETROS!$D$5,"CUMPLE","NO CUMPLE"))</f>
        <v>CUMPLE</v>
      </c>
      <c r="AJ7" s="144"/>
      <c r="AK7" s="112"/>
    </row>
    <row r="8" spans="1:39" s="79" customFormat="1" ht="65.099999999999994" customHeight="1" thickBot="1" x14ac:dyDescent="0.3">
      <c r="A8" s="654"/>
      <c r="B8" s="145" t="s">
        <v>332</v>
      </c>
      <c r="C8" s="411">
        <v>227</v>
      </c>
      <c r="D8" s="146" t="str">
        <f>+IFERROR(INDEX(PROPONENTES!$D$4:$D$109,MATCH('EXP GEN. 33-40'!B8,PROPONENTES!$C$4:$C$109,0)),"")</f>
        <v>CONSULTORES UNIDOS S.A.</v>
      </c>
      <c r="E8" s="147" t="s">
        <v>23</v>
      </c>
      <c r="F8" s="148" t="s">
        <v>395</v>
      </c>
      <c r="G8" s="162" t="s">
        <v>5</v>
      </c>
      <c r="H8" s="162" t="s">
        <v>5</v>
      </c>
      <c r="I8" s="150">
        <v>0.55000000000000004</v>
      </c>
      <c r="J8" s="151">
        <v>39860</v>
      </c>
      <c r="K8" s="151">
        <v>41213</v>
      </c>
      <c r="L8" s="152">
        <f t="shared" si="0"/>
        <v>2012</v>
      </c>
      <c r="M8" s="153">
        <f>+IFERROR(INDEX(PARÁMETROS!$B$11:$B$37,MATCH(L8,PARÁMETROS!$A$11:$A$37,0)),"")</f>
        <v>566700</v>
      </c>
      <c r="N8" s="154">
        <v>8291206645</v>
      </c>
      <c r="O8" s="155" t="s">
        <v>20</v>
      </c>
      <c r="P8" s="145" t="s">
        <v>54</v>
      </c>
      <c r="Q8" s="156" t="s">
        <v>54</v>
      </c>
      <c r="R8" s="157">
        <v>1</v>
      </c>
      <c r="S8" s="153">
        <f t="shared" si="3"/>
        <v>8291206645</v>
      </c>
      <c r="T8" s="158">
        <f t="shared" si="1"/>
        <v>14630.680509970001</v>
      </c>
      <c r="U8" s="158">
        <f t="shared" si="2"/>
        <v>8046.874280483501</v>
      </c>
      <c r="V8" s="190">
        <v>59</v>
      </c>
      <c r="W8" s="698" t="s">
        <v>5</v>
      </c>
      <c r="X8" s="699"/>
      <c r="Y8" s="700"/>
      <c r="Z8" s="698" t="s">
        <v>6</v>
      </c>
      <c r="AA8" s="699"/>
      <c r="AB8" s="700"/>
      <c r="AC8" s="698" t="s">
        <v>6</v>
      </c>
      <c r="AD8" s="699"/>
      <c r="AE8" s="700"/>
      <c r="AF8" s="162" t="s">
        <v>5</v>
      </c>
      <c r="AG8" s="704"/>
      <c r="AH8" s="704"/>
      <c r="AI8" s="159" t="str">
        <f>+IF(U8="","",IF(U8&gt;=PARÁMETROS!$D$5,"CUMPLE","NO CUMPLE"))</f>
        <v>CUMPLE</v>
      </c>
      <c r="AJ8" s="160"/>
      <c r="AK8" s="112"/>
    </row>
    <row r="9" spans="1:39" s="79" customFormat="1" ht="156.75" x14ac:dyDescent="0.25">
      <c r="A9" s="652" t="s">
        <v>368</v>
      </c>
      <c r="B9" s="125" t="s">
        <v>333</v>
      </c>
      <c r="C9" s="126">
        <v>79</v>
      </c>
      <c r="D9" s="127" t="str">
        <f>+IFERROR(INDEX(PROPONENTES!$D$4:$D$109,MATCH('EXP GEN. 33-40'!B9,PROPONENTES!$C$4:$C$109,0)),"")</f>
        <v>MAB INGENIERIA DE VALOR S.A.</v>
      </c>
      <c r="E9" s="128" t="s">
        <v>23</v>
      </c>
      <c r="F9" s="116" t="s">
        <v>370</v>
      </c>
      <c r="G9" s="164" t="s">
        <v>5</v>
      </c>
      <c r="H9" s="164" t="s">
        <v>5</v>
      </c>
      <c r="I9" s="131">
        <v>0.7</v>
      </c>
      <c r="J9" s="132">
        <v>39615</v>
      </c>
      <c r="K9" s="132">
        <v>41502</v>
      </c>
      <c r="L9" s="133">
        <f>IF(K9="","",YEAR(K9))</f>
        <v>2013</v>
      </c>
      <c r="M9" s="134">
        <f>+IFERROR(INDEX(PARÁMETROS!$B$11:$B$37,MATCH(L9,PARÁMETROS!$A$11:$A$37,0)),"")</f>
        <v>589500</v>
      </c>
      <c r="N9" s="135">
        <v>29607256941</v>
      </c>
      <c r="O9" s="136" t="s">
        <v>20</v>
      </c>
      <c r="P9" s="125" t="s">
        <v>54</v>
      </c>
      <c r="Q9" s="137" t="s">
        <v>54</v>
      </c>
      <c r="R9" s="138">
        <v>1</v>
      </c>
      <c r="S9" s="134">
        <f>IF(R9&lt;&gt;"",N9*R9,"")</f>
        <v>29607256941</v>
      </c>
      <c r="T9" s="139">
        <f>+IFERROR(S9/M9,"")</f>
        <v>50224.354437659036</v>
      </c>
      <c r="U9" s="139">
        <f>IFERROR(T9*I9,"")</f>
        <v>35157.048106361326</v>
      </c>
      <c r="V9" s="140">
        <v>35</v>
      </c>
      <c r="W9" s="649" t="s">
        <v>5</v>
      </c>
      <c r="X9" s="649"/>
      <c r="Y9" s="649"/>
      <c r="Z9" s="649" t="s">
        <v>5</v>
      </c>
      <c r="AA9" s="649"/>
      <c r="AB9" s="649"/>
      <c r="AC9" s="649" t="s">
        <v>5</v>
      </c>
      <c r="AD9" s="649"/>
      <c r="AE9" s="649"/>
      <c r="AF9" s="164" t="s">
        <v>5</v>
      </c>
      <c r="AG9" s="705" t="str">
        <f>IF(U9="","",IF(SUM(U9:U11)&gt;=PARÁMETROS!$H$5,"CUMPLE","NO CUMPLE"))</f>
        <v>CUMPLE</v>
      </c>
      <c r="AH9" s="705" t="str">
        <f>IF(U9="","",IF(U9&gt;=PARÁMETROS!$F$5,"CUMPLE","NO CUMPLE"))</f>
        <v>CUMPLE</v>
      </c>
      <c r="AI9" s="124" t="str">
        <f>+IF(U9="","",IF(U9&gt;=PARÁMETROS!$D$5,"CUMPLE","NO CUMPLE"))</f>
        <v>CUMPLE</v>
      </c>
      <c r="AJ9" s="175"/>
      <c r="AK9" s="112"/>
    </row>
    <row r="10" spans="1:39" s="79" customFormat="1" ht="71.25" x14ac:dyDescent="0.25">
      <c r="A10" s="653"/>
      <c r="B10" s="63" t="s">
        <v>334</v>
      </c>
      <c r="C10" s="64">
        <v>106</v>
      </c>
      <c r="D10" s="65" t="str">
        <f>+IFERROR(INDEX(PROPONENTES!$D$4:$D$109,MATCH('EXP GEN. 33-40'!B10,PROPONENTES!$C$4:$C$109,0)),"")</f>
        <v>MAB SERVICIOS S.A.S.</v>
      </c>
      <c r="E10" s="66" t="s">
        <v>373</v>
      </c>
      <c r="F10" s="66" t="s">
        <v>371</v>
      </c>
      <c r="G10" s="165" t="s">
        <v>5</v>
      </c>
      <c r="H10" s="165" t="s">
        <v>5</v>
      </c>
      <c r="I10" s="80">
        <v>0.45</v>
      </c>
      <c r="J10" s="70">
        <v>40339</v>
      </c>
      <c r="K10" s="70">
        <v>41182</v>
      </c>
      <c r="L10" s="71">
        <f>IF(K10="","",YEAR(K10))</f>
        <v>2012</v>
      </c>
      <c r="M10" s="72">
        <f>+IFERROR(INDEX(PARÁMETROS!$B$11:$B$37,MATCH(L10,PARÁMETROS!$A$11:$A$37,0)),"")</f>
        <v>566700</v>
      </c>
      <c r="N10" s="81">
        <v>3960376808</v>
      </c>
      <c r="O10" s="72" t="s">
        <v>20</v>
      </c>
      <c r="P10" s="63" t="s">
        <v>54</v>
      </c>
      <c r="Q10" s="75" t="s">
        <v>54</v>
      </c>
      <c r="R10" s="76">
        <v>1</v>
      </c>
      <c r="S10" s="72">
        <v>3404850468</v>
      </c>
      <c r="T10" s="60">
        <f>+IFERROR(S10/M10,"")</f>
        <v>6008.2062255161463</v>
      </c>
      <c r="U10" s="60">
        <f>IFERROR(T10*I10,"")</f>
        <v>2703.6928014822661</v>
      </c>
      <c r="V10" s="77">
        <v>18</v>
      </c>
      <c r="W10" s="650" t="s">
        <v>5</v>
      </c>
      <c r="X10" s="650"/>
      <c r="Y10" s="650"/>
      <c r="Z10" s="650" t="s">
        <v>5</v>
      </c>
      <c r="AA10" s="650"/>
      <c r="AB10" s="650"/>
      <c r="AC10" s="650" t="s">
        <v>5</v>
      </c>
      <c r="AD10" s="650"/>
      <c r="AE10" s="650"/>
      <c r="AF10" s="165" t="s">
        <v>5</v>
      </c>
      <c r="AG10" s="703"/>
      <c r="AH10" s="703"/>
      <c r="AI10" s="78" t="str">
        <f>+IF(U10="","",IF(U10&gt;=PARÁMETROS!$D$5,"CUMPLE","NO CUMPLE"))</f>
        <v>CUMPLE</v>
      </c>
      <c r="AJ10" s="143"/>
      <c r="AK10" s="112"/>
    </row>
    <row r="11" spans="1:39" s="79" customFormat="1" ht="43.5" thickBot="1" x14ac:dyDescent="0.3">
      <c r="A11" s="653"/>
      <c r="B11" s="63" t="s">
        <v>334</v>
      </c>
      <c r="C11" s="64">
        <v>115</v>
      </c>
      <c r="D11" s="65" t="str">
        <f>+IFERROR(INDEX(PROPONENTES!$D$4:$D$109,MATCH('EXP GEN. 33-40'!B11,PROPONENTES!$C$4:$C$109,0)),"")</f>
        <v>MAB SERVICIOS S.A.S.</v>
      </c>
      <c r="E11" s="66" t="s">
        <v>21</v>
      </c>
      <c r="F11" s="67" t="s">
        <v>372</v>
      </c>
      <c r="G11" s="165" t="s">
        <v>5</v>
      </c>
      <c r="H11" s="165" t="s">
        <v>5</v>
      </c>
      <c r="I11" s="69">
        <v>0.55000000000000004</v>
      </c>
      <c r="J11" s="70">
        <v>39856</v>
      </c>
      <c r="K11" s="70">
        <v>40979</v>
      </c>
      <c r="L11" s="71">
        <f>IF(K11="","",YEAR(K11))</f>
        <v>2012</v>
      </c>
      <c r="M11" s="72">
        <f>+IFERROR(INDEX(PARÁMETROS!$B$11:$B$37,MATCH(L11,PARÁMETROS!$A$11:$A$37,0)),"")</f>
        <v>566700</v>
      </c>
      <c r="N11" s="73">
        <v>3720919329</v>
      </c>
      <c r="O11" s="74" t="s">
        <v>20</v>
      </c>
      <c r="P11" s="63" t="s">
        <v>54</v>
      </c>
      <c r="Q11" s="75" t="s">
        <v>54</v>
      </c>
      <c r="R11" s="76">
        <v>1</v>
      </c>
      <c r="S11" s="72">
        <f>IF(R11&lt;&gt;"",N11*R11,"")</f>
        <v>3720919329</v>
      </c>
      <c r="T11" s="60">
        <f>+IFERROR(S11/M11,"")</f>
        <v>6565.9419957649552</v>
      </c>
      <c r="U11" s="60">
        <f>IFERROR(T11*I11,"")</f>
        <v>3611.2680976707256</v>
      </c>
      <c r="V11" s="77">
        <v>17</v>
      </c>
      <c r="W11" s="650" t="s">
        <v>5</v>
      </c>
      <c r="X11" s="650"/>
      <c r="Y11" s="650"/>
      <c r="Z11" s="650" t="s">
        <v>5</v>
      </c>
      <c r="AA11" s="650"/>
      <c r="AB11" s="650"/>
      <c r="AC11" s="650" t="s">
        <v>5</v>
      </c>
      <c r="AD11" s="650"/>
      <c r="AE11" s="650"/>
      <c r="AF11" s="165" t="s">
        <v>5</v>
      </c>
      <c r="AG11" s="703"/>
      <c r="AH11" s="703"/>
      <c r="AI11" s="78" t="str">
        <f>+IF(U11="","",IF(U11&gt;=PARÁMETROS!$D$5,"CUMPLE","NO CUMPLE"))</f>
        <v>CUMPLE</v>
      </c>
      <c r="AJ11" s="144"/>
      <c r="AK11" s="112"/>
    </row>
    <row r="12" spans="1:39" s="79" customFormat="1" ht="128.25" x14ac:dyDescent="0.25">
      <c r="A12" s="652" t="s">
        <v>376</v>
      </c>
      <c r="B12" s="125" t="s">
        <v>335</v>
      </c>
      <c r="C12" s="408">
        <v>290</v>
      </c>
      <c r="D12" s="127" t="str">
        <f>+IFERROR(INDEX(PROPONENTES!$D$4:$D$109,MATCH('EXP GEN. 33-40'!B12,PROPONENTES!$C$4:$C$109,0)),"")</f>
        <v>PABLO EMILIO BRAVO CONSULTORES S.A.S</v>
      </c>
      <c r="E12" s="128" t="s">
        <v>19</v>
      </c>
      <c r="F12" s="129" t="s">
        <v>399</v>
      </c>
      <c r="G12" s="163" t="s">
        <v>5</v>
      </c>
      <c r="H12" s="163" t="s">
        <v>5</v>
      </c>
      <c r="I12" s="192">
        <v>0.33329999999999999</v>
      </c>
      <c r="J12" s="132">
        <v>41011</v>
      </c>
      <c r="K12" s="132">
        <v>42131</v>
      </c>
      <c r="L12" s="133">
        <f t="shared" si="0"/>
        <v>2015</v>
      </c>
      <c r="M12" s="134">
        <f>+IFERROR(INDEX(PARÁMETROS!$B$11:$B$37,MATCH(L12,PARÁMETROS!$A$11:$A$37,0)),"")</f>
        <v>644350</v>
      </c>
      <c r="N12" s="135">
        <v>27508341464</v>
      </c>
      <c r="O12" s="136" t="s">
        <v>20</v>
      </c>
      <c r="P12" s="125" t="s">
        <v>54</v>
      </c>
      <c r="Q12" s="137" t="s">
        <v>54</v>
      </c>
      <c r="R12" s="138">
        <v>1</v>
      </c>
      <c r="S12" s="134">
        <f t="shared" si="3"/>
        <v>27508341464</v>
      </c>
      <c r="T12" s="139">
        <f t="shared" si="1"/>
        <v>42691.613973772015</v>
      </c>
      <c r="U12" s="139">
        <f t="shared" si="2"/>
        <v>14229.114937458213</v>
      </c>
      <c r="V12" s="504" t="s">
        <v>397</v>
      </c>
      <c r="W12" s="649"/>
      <c r="X12" s="649"/>
      <c r="Y12" s="649"/>
      <c r="Z12" s="649"/>
      <c r="AA12" s="649"/>
      <c r="AB12" s="649"/>
      <c r="AC12" s="649"/>
      <c r="AD12" s="649"/>
      <c r="AE12" s="649"/>
      <c r="AF12" s="130"/>
      <c r="AG12" s="702" t="str">
        <f>IF(U12="","",IF(SUM(U12:U17)&gt;=PARÁMETROS!$H$5,"CUMPLE","NO CUMPLE"))</f>
        <v>CUMPLE</v>
      </c>
      <c r="AH12" s="702" t="str">
        <f>IF(U12="","",IF(U12+U13+U14&gt;=PARÁMETROS!$F$5,"CUMPLE","NO CUMPLE"))</f>
        <v>CUMPLE</v>
      </c>
      <c r="AI12" s="141" t="str">
        <f>+IF(U12="","",IF(U12&gt;=PARÁMETROS!$D$5,"CUMPLE","NO CUMPLE"))</f>
        <v>CUMPLE</v>
      </c>
      <c r="AJ12" s="142"/>
      <c r="AK12" s="112"/>
    </row>
    <row r="13" spans="1:39" s="79" customFormat="1" ht="63" x14ac:dyDescent="0.25">
      <c r="A13" s="653"/>
      <c r="B13" s="63" t="s">
        <v>335</v>
      </c>
      <c r="C13" s="409">
        <v>341</v>
      </c>
      <c r="D13" s="65" t="str">
        <f>+IFERROR(INDEX(PROPONENTES!$D$4:$D$109,MATCH('EXP GEN. 33-40'!B13,PROPONENTES!$C$4:$C$109,0)),"")</f>
        <v>PABLO EMILIO BRAVO CONSULTORES S.A.S</v>
      </c>
      <c r="E13" s="66" t="s">
        <v>21</v>
      </c>
      <c r="F13" s="66" t="s">
        <v>400</v>
      </c>
      <c r="G13" s="161" t="s">
        <v>5</v>
      </c>
      <c r="H13" s="161" t="s">
        <v>5</v>
      </c>
      <c r="I13" s="80">
        <v>0.5</v>
      </c>
      <c r="J13" s="70">
        <v>36312</v>
      </c>
      <c r="K13" s="70">
        <v>37833</v>
      </c>
      <c r="L13" s="71">
        <f t="shared" si="0"/>
        <v>2003</v>
      </c>
      <c r="M13" s="72">
        <f>+IFERROR(INDEX(PARÁMETROS!$B$11:$B$37,MATCH(L13,PARÁMETROS!$A$11:$A$37,0)),"")</f>
        <v>332000</v>
      </c>
      <c r="N13" s="81">
        <v>5331439397</v>
      </c>
      <c r="O13" s="72" t="s">
        <v>20</v>
      </c>
      <c r="P13" s="63" t="s">
        <v>54</v>
      </c>
      <c r="Q13" s="75" t="s">
        <v>54</v>
      </c>
      <c r="R13" s="76">
        <v>1</v>
      </c>
      <c r="S13" s="72">
        <f t="shared" si="3"/>
        <v>5331439397</v>
      </c>
      <c r="T13" s="60">
        <f t="shared" si="1"/>
        <v>16058.55240060241</v>
      </c>
      <c r="U13" s="60">
        <f t="shared" si="2"/>
        <v>8029.2762003012049</v>
      </c>
      <c r="V13" s="60" t="s">
        <v>397</v>
      </c>
      <c r="W13" s="650"/>
      <c r="X13" s="650"/>
      <c r="Y13" s="650"/>
      <c r="Z13" s="650"/>
      <c r="AA13" s="650"/>
      <c r="AB13" s="650"/>
      <c r="AC13" s="650"/>
      <c r="AD13" s="650"/>
      <c r="AE13" s="650"/>
      <c r="AF13" s="68"/>
      <c r="AG13" s="703"/>
      <c r="AH13" s="703"/>
      <c r="AI13" s="78" t="str">
        <f>+IF(U13="","",IF(U13&gt;=PARÁMETROS!$D$5,"CUMPLE","NO CUMPLE"))</f>
        <v>CUMPLE</v>
      </c>
      <c r="AJ13" s="143"/>
      <c r="AK13" s="112"/>
    </row>
    <row r="14" spans="1:39" s="79" customFormat="1" ht="63" x14ac:dyDescent="0.25">
      <c r="A14" s="653"/>
      <c r="B14" s="63" t="s">
        <v>335</v>
      </c>
      <c r="C14" s="409">
        <v>356</v>
      </c>
      <c r="D14" s="65" t="str">
        <f>+IFERROR(INDEX(PROPONENTES!$D$4:$D$109,MATCH('EXP GEN. 33-40'!B14,PROPONENTES!$C$4:$C$109,0)),"")</f>
        <v>PABLO EMILIO BRAVO CONSULTORES S.A.S</v>
      </c>
      <c r="E14" s="66" t="s">
        <v>398</v>
      </c>
      <c r="F14" s="67" t="s">
        <v>401</v>
      </c>
      <c r="G14" s="161" t="s">
        <v>5</v>
      </c>
      <c r="H14" s="161" t="s">
        <v>5</v>
      </c>
      <c r="I14" s="69">
        <v>0.75</v>
      </c>
      <c r="J14" s="70">
        <v>39534</v>
      </c>
      <c r="K14" s="70">
        <v>40628</v>
      </c>
      <c r="L14" s="71">
        <f t="shared" si="0"/>
        <v>2011</v>
      </c>
      <c r="M14" s="72">
        <f>+IFERROR(INDEX(PARÁMETROS!$B$11:$B$37,MATCH(L14,PARÁMETROS!$A$11:$A$37,0)),"")</f>
        <v>535600</v>
      </c>
      <c r="N14" s="73">
        <v>3753633746</v>
      </c>
      <c r="O14" s="74" t="s">
        <v>20</v>
      </c>
      <c r="P14" s="63" t="s">
        <v>54</v>
      </c>
      <c r="Q14" s="75" t="s">
        <v>54</v>
      </c>
      <c r="R14" s="76">
        <v>1</v>
      </c>
      <c r="S14" s="72">
        <f t="shared" si="3"/>
        <v>3753633746</v>
      </c>
      <c r="T14" s="60">
        <f t="shared" si="1"/>
        <v>7008.2780918595963</v>
      </c>
      <c r="U14" s="60">
        <f t="shared" si="2"/>
        <v>5256.2085688946972</v>
      </c>
      <c r="V14" s="123" t="s">
        <v>397</v>
      </c>
      <c r="W14" s="650"/>
      <c r="X14" s="650"/>
      <c r="Y14" s="650"/>
      <c r="Z14" s="650"/>
      <c r="AA14" s="650"/>
      <c r="AB14" s="650"/>
      <c r="AC14" s="650"/>
      <c r="AD14" s="650"/>
      <c r="AE14" s="650"/>
      <c r="AF14" s="68"/>
      <c r="AG14" s="703"/>
      <c r="AH14" s="703"/>
      <c r="AI14" s="78" t="str">
        <f>+IF(U14="","",IF(U14&gt;=PARÁMETROS!$D$5,"CUMPLE","NO CUMPLE"))</f>
        <v>CUMPLE</v>
      </c>
      <c r="AJ14" s="143"/>
      <c r="AK14" s="112"/>
    </row>
    <row r="15" spans="1:39" s="79" customFormat="1" ht="42.75" x14ac:dyDescent="0.25">
      <c r="A15" s="653"/>
      <c r="B15" s="63" t="s">
        <v>336</v>
      </c>
      <c r="C15" s="409">
        <v>377</v>
      </c>
      <c r="D15" s="65" t="str">
        <f>+IFERROR(INDEX(PROPONENTES!$D$4:$D$109,MATCH('EXP GEN. 33-40'!B15,PROPONENTES!$C$4:$C$109,0)),"")</f>
        <v>ESTUDIOS TECNICOS S.A.S.</v>
      </c>
      <c r="E15" s="66" t="s">
        <v>23</v>
      </c>
      <c r="F15" s="67" t="s">
        <v>402</v>
      </c>
      <c r="G15" s="161" t="s">
        <v>5</v>
      </c>
      <c r="H15" s="161" t="s">
        <v>5</v>
      </c>
      <c r="I15" s="69">
        <v>1</v>
      </c>
      <c r="J15" s="70">
        <v>39168</v>
      </c>
      <c r="K15" s="70">
        <v>39809</v>
      </c>
      <c r="L15" s="71">
        <f t="shared" si="0"/>
        <v>2008</v>
      </c>
      <c r="M15" s="72">
        <f>+IFERROR(INDEX(PARÁMETROS!$B$11:$B$37,MATCH(L15,PARÁMETROS!$A$11:$A$37,0)),"")</f>
        <v>461500</v>
      </c>
      <c r="N15" s="73">
        <v>1240225021</v>
      </c>
      <c r="O15" s="74" t="s">
        <v>20</v>
      </c>
      <c r="P15" s="63" t="s">
        <v>54</v>
      </c>
      <c r="Q15" s="75" t="s">
        <v>54</v>
      </c>
      <c r="R15" s="76">
        <v>1</v>
      </c>
      <c r="S15" s="72">
        <f t="shared" si="3"/>
        <v>1240225021</v>
      </c>
      <c r="T15" s="60">
        <f t="shared" si="1"/>
        <v>2687.3781603466955</v>
      </c>
      <c r="U15" s="60">
        <f t="shared" si="2"/>
        <v>2687.3781603466955</v>
      </c>
      <c r="V15" s="60">
        <v>37</v>
      </c>
      <c r="W15" s="650" t="s">
        <v>6</v>
      </c>
      <c r="X15" s="650"/>
      <c r="Y15" s="650"/>
      <c r="Z15" s="650" t="s">
        <v>5</v>
      </c>
      <c r="AA15" s="650"/>
      <c r="AB15" s="650"/>
      <c r="AC15" s="650" t="s">
        <v>5</v>
      </c>
      <c r="AD15" s="650"/>
      <c r="AE15" s="650"/>
      <c r="AF15" s="161" t="s">
        <v>5</v>
      </c>
      <c r="AG15" s="703"/>
      <c r="AH15" s="703"/>
      <c r="AI15" s="78" t="str">
        <f>+IF(U15="","",IF(U15&gt;=PARÁMETROS!$D$5,"CUMPLE","NO CUMPLE"))</f>
        <v>CUMPLE</v>
      </c>
      <c r="AJ15" s="143"/>
      <c r="AK15" s="112"/>
    </row>
    <row r="16" spans="1:39" s="79" customFormat="1" ht="71.25" x14ac:dyDescent="0.25">
      <c r="A16" s="653"/>
      <c r="B16" s="63" t="s">
        <v>336</v>
      </c>
      <c r="C16" s="409">
        <v>384</v>
      </c>
      <c r="D16" s="65" t="str">
        <f>+IFERROR(INDEX(PROPONENTES!$D$4:$D$109,MATCH('EXP GEN. 33-40'!B16,PROPONENTES!$C$4:$C$109,0)),"")</f>
        <v>ESTUDIOS TECNICOS S.A.S.</v>
      </c>
      <c r="E16" s="66" t="s">
        <v>405</v>
      </c>
      <c r="F16" s="67" t="s">
        <v>403</v>
      </c>
      <c r="G16" s="161" t="s">
        <v>5</v>
      </c>
      <c r="H16" s="161" t="s">
        <v>5</v>
      </c>
      <c r="I16" s="69">
        <v>0.65</v>
      </c>
      <c r="J16" s="70">
        <v>38061</v>
      </c>
      <c r="K16" s="70">
        <v>38670</v>
      </c>
      <c r="L16" s="71">
        <f t="shared" si="0"/>
        <v>2005</v>
      </c>
      <c r="M16" s="72">
        <f>+IFERROR(INDEX(PARÁMETROS!$B$11:$B$37,MATCH(L16,PARÁMETROS!$A$11:$A$37,0)),"")</f>
        <v>381500</v>
      </c>
      <c r="N16" s="73">
        <v>1603720563.3199999</v>
      </c>
      <c r="O16" s="74" t="s">
        <v>20</v>
      </c>
      <c r="P16" s="63" t="s">
        <v>54</v>
      </c>
      <c r="Q16" s="75" t="s">
        <v>54</v>
      </c>
      <c r="R16" s="76">
        <v>1</v>
      </c>
      <c r="S16" s="72">
        <f t="shared" si="3"/>
        <v>1603720563.3199999</v>
      </c>
      <c r="T16" s="60">
        <f t="shared" si="1"/>
        <v>4203.7236260026211</v>
      </c>
      <c r="U16" s="60">
        <f t="shared" si="2"/>
        <v>2732.4203569017041</v>
      </c>
      <c r="V16" s="60">
        <v>53</v>
      </c>
      <c r="W16" s="650" t="s">
        <v>6</v>
      </c>
      <c r="X16" s="650"/>
      <c r="Y16" s="650"/>
      <c r="Z16" s="650" t="s">
        <v>5</v>
      </c>
      <c r="AA16" s="650"/>
      <c r="AB16" s="650"/>
      <c r="AC16" s="650" t="s">
        <v>5</v>
      </c>
      <c r="AD16" s="650"/>
      <c r="AE16" s="650"/>
      <c r="AF16" s="161" t="s">
        <v>5</v>
      </c>
      <c r="AG16" s="703"/>
      <c r="AH16" s="703"/>
      <c r="AI16" s="78" t="str">
        <f>+IF(U16="","",IF(U16&gt;=PARÁMETROS!$D$5,"CUMPLE","NO CUMPLE"))</f>
        <v>CUMPLE</v>
      </c>
      <c r="AJ16" s="143"/>
      <c r="AK16" s="112"/>
    </row>
    <row r="17" spans="1:37" s="79" customFormat="1" ht="79.5" thickBot="1" x14ac:dyDescent="0.3">
      <c r="A17" s="654"/>
      <c r="B17" s="145" t="s">
        <v>337</v>
      </c>
      <c r="C17" s="411">
        <v>395</v>
      </c>
      <c r="D17" s="146" t="str">
        <f>+IFERROR(INDEX(PROPONENTES!$D$4:$D$109,MATCH('EXP GEN. 33-40'!B17,PROPONENTES!$C$4:$C$109,0)),"")</f>
        <v>SIGA INGENIERIA Y CONSULTORIA S.A. SUCURSAL COLOMBIA</v>
      </c>
      <c r="E17" s="147" t="s">
        <v>19</v>
      </c>
      <c r="F17" s="148" t="s">
        <v>404</v>
      </c>
      <c r="G17" s="162" t="s">
        <v>5</v>
      </c>
      <c r="H17" s="162" t="s">
        <v>5</v>
      </c>
      <c r="I17" s="150">
        <v>0.5</v>
      </c>
      <c r="J17" s="151">
        <v>41059</v>
      </c>
      <c r="K17" s="151">
        <v>42263</v>
      </c>
      <c r="L17" s="152">
        <f t="shared" si="0"/>
        <v>2015</v>
      </c>
      <c r="M17" s="153"/>
      <c r="N17" s="154">
        <v>7208358320</v>
      </c>
      <c r="O17" s="155" t="s">
        <v>20</v>
      </c>
      <c r="P17" s="145" t="s">
        <v>54</v>
      </c>
      <c r="Q17" s="156" t="s">
        <v>54</v>
      </c>
      <c r="R17" s="157">
        <v>1</v>
      </c>
      <c r="S17" s="153">
        <f t="shared" si="3"/>
        <v>7208358320</v>
      </c>
      <c r="T17" s="158">
        <f>+IFERROR(S17/PARÁMETROS!B32,"")</f>
        <v>13458.473338312173</v>
      </c>
      <c r="U17" s="158">
        <f t="shared" si="2"/>
        <v>6729.2366691560865</v>
      </c>
      <c r="V17" s="158" t="s">
        <v>397</v>
      </c>
      <c r="W17" s="651"/>
      <c r="X17" s="651"/>
      <c r="Y17" s="651"/>
      <c r="Z17" s="651"/>
      <c r="AA17" s="651"/>
      <c r="AB17" s="651"/>
      <c r="AC17" s="651"/>
      <c r="AD17" s="651"/>
      <c r="AE17" s="651"/>
      <c r="AF17" s="149"/>
      <c r="AG17" s="704"/>
      <c r="AH17" s="704"/>
      <c r="AI17" s="159" t="str">
        <f>+IF(U17="","",IF(U17&gt;=PARÁMETROS!$D$5,"CUMPLE","NO CUMPLE"))</f>
        <v>CUMPLE</v>
      </c>
      <c r="AJ17" s="160"/>
      <c r="AK17" s="112"/>
    </row>
    <row r="18" spans="1:37" s="79" customFormat="1" ht="63" x14ac:dyDescent="0.25">
      <c r="A18" s="652" t="s">
        <v>377</v>
      </c>
      <c r="B18" s="125" t="s">
        <v>338</v>
      </c>
      <c r="C18" s="408">
        <v>276</v>
      </c>
      <c r="D18" s="127" t="str">
        <f>+IFERROR(INDEX(PROPONENTES!$D$4:$D$109,MATCH('EXP GEN. 33-40'!B18,PROPONENTES!$C$4:$C$109,0)),"")</f>
        <v>CONSULTORES DE INGENIERIA UG 21 SL SUCURSAL</v>
      </c>
      <c r="E18" s="193" t="s">
        <v>409</v>
      </c>
      <c r="F18" s="194" t="s">
        <v>410</v>
      </c>
      <c r="G18" s="163" t="s">
        <v>5</v>
      </c>
      <c r="H18" s="163" t="s">
        <v>5</v>
      </c>
      <c r="I18" s="196">
        <v>1</v>
      </c>
      <c r="J18" s="197">
        <v>38338</v>
      </c>
      <c r="K18" s="198">
        <v>39082</v>
      </c>
      <c r="L18" s="133">
        <f t="shared" si="0"/>
        <v>2006</v>
      </c>
      <c r="M18" s="134">
        <f>+IFERROR(INDEX(PARÁMETROS!$B$11:$B$37,MATCH(L18,PARÁMETROS!$A$11:$A$37,0)),"")</f>
        <v>408000</v>
      </c>
      <c r="N18" s="135">
        <v>449899.22</v>
      </c>
      <c r="O18" s="136" t="s">
        <v>24</v>
      </c>
      <c r="P18" s="125">
        <v>1.3192999999999999</v>
      </c>
      <c r="Q18" s="137">
        <f>+P18*N18</f>
        <v>593552.04094599991</v>
      </c>
      <c r="R18" s="138">
        <v>2238.79</v>
      </c>
      <c r="S18" s="134">
        <f>IF(R18&lt;&gt;"",Q18*R18,"")</f>
        <v>1328838373.749495</v>
      </c>
      <c r="T18" s="139">
        <f t="shared" si="1"/>
        <v>3256.9567984056252</v>
      </c>
      <c r="U18" s="139">
        <f t="shared" si="2"/>
        <v>3256.9567984056252</v>
      </c>
      <c r="V18" s="200">
        <v>53</v>
      </c>
      <c r="W18" s="649" t="s">
        <v>6</v>
      </c>
      <c r="X18" s="649"/>
      <c r="Y18" s="649"/>
      <c r="Z18" s="649" t="s">
        <v>6</v>
      </c>
      <c r="AA18" s="649"/>
      <c r="AB18" s="649"/>
      <c r="AC18" s="649" t="s">
        <v>5</v>
      </c>
      <c r="AD18" s="649"/>
      <c r="AE18" s="649"/>
      <c r="AF18" s="163" t="s">
        <v>5</v>
      </c>
      <c r="AG18" s="702" t="str">
        <f>IF(U18="","",IF(SUM(U18:U22)&gt;=PARÁMETROS!$H$5,"CUMPLE","NO CUMPLE"))</f>
        <v>CUMPLE</v>
      </c>
      <c r="AH18" s="702" t="str">
        <f>IF(U18="","",IF(U18+U19&gt;=PARÁMETROS!$F$5,"CUMPLE","NO CUMPLE"))</f>
        <v>CUMPLE</v>
      </c>
      <c r="AI18" s="141" t="str">
        <f>+IF(U18="","",IF(U18&gt;=PARÁMETROS!$D$5,"CUMPLE","NO CUMPLE"))</f>
        <v>CUMPLE</v>
      </c>
      <c r="AJ18" s="142"/>
      <c r="AK18" s="112"/>
    </row>
    <row r="19" spans="1:37" s="79" customFormat="1" ht="63" x14ac:dyDescent="0.25">
      <c r="A19" s="653"/>
      <c r="B19" s="63" t="s">
        <v>338</v>
      </c>
      <c r="C19" s="409">
        <v>279</v>
      </c>
      <c r="D19" s="65" t="str">
        <f>+IFERROR(INDEX(PROPONENTES!$D$4:$D$109,MATCH('EXP GEN. 33-40'!B19,PROPONENTES!$C$4:$C$109,0)),"")</f>
        <v>CONSULTORES DE INGENIERIA UG 21 SL SUCURSAL</v>
      </c>
      <c r="E19" s="193" t="s">
        <v>37</v>
      </c>
      <c r="F19" s="194" t="s">
        <v>411</v>
      </c>
      <c r="G19" s="161" t="s">
        <v>5</v>
      </c>
      <c r="H19" s="161" t="s">
        <v>5</v>
      </c>
      <c r="I19" s="196">
        <v>0.4</v>
      </c>
      <c r="J19" s="197">
        <v>41282</v>
      </c>
      <c r="K19" s="198">
        <v>42247</v>
      </c>
      <c r="L19" s="71">
        <f t="shared" si="0"/>
        <v>2015</v>
      </c>
      <c r="M19" s="72">
        <f>+IFERROR(INDEX(PARÁMETROS!$B$11:$B$37,MATCH(L19,PARÁMETROS!$A$11:$A$37,0)),"")</f>
        <v>644350</v>
      </c>
      <c r="N19" s="73">
        <v>13726499698</v>
      </c>
      <c r="O19" s="74" t="s">
        <v>20</v>
      </c>
      <c r="P19" s="63" t="s">
        <v>54</v>
      </c>
      <c r="Q19" s="75" t="s">
        <v>54</v>
      </c>
      <c r="R19" s="76">
        <v>1</v>
      </c>
      <c r="S19" s="72">
        <f t="shared" si="3"/>
        <v>13726499698</v>
      </c>
      <c r="T19" s="60">
        <f t="shared" si="1"/>
        <v>21302.862881974081</v>
      </c>
      <c r="U19" s="60">
        <f t="shared" si="2"/>
        <v>8521.1451527896334</v>
      </c>
      <c r="V19" s="201" t="s">
        <v>397</v>
      </c>
      <c r="W19" s="650"/>
      <c r="X19" s="650"/>
      <c r="Y19" s="650"/>
      <c r="Z19" s="650"/>
      <c r="AA19" s="650"/>
      <c r="AB19" s="650"/>
      <c r="AC19" s="650"/>
      <c r="AD19" s="650"/>
      <c r="AE19" s="650"/>
      <c r="AF19" s="68" t="s">
        <v>5</v>
      </c>
      <c r="AG19" s="703"/>
      <c r="AH19" s="703"/>
      <c r="AI19" s="78" t="str">
        <f>+IF(U19="","",IF(U19&gt;=PARÁMETROS!$D$5,"CUMPLE","NO CUMPLE"))</f>
        <v>CUMPLE</v>
      </c>
      <c r="AJ19" s="143"/>
      <c r="AK19" s="112"/>
    </row>
    <row r="20" spans="1:37" s="79" customFormat="1" ht="47.25" x14ac:dyDescent="0.25">
      <c r="A20" s="653"/>
      <c r="B20" s="63" t="s">
        <v>339</v>
      </c>
      <c r="C20" s="409">
        <v>283</v>
      </c>
      <c r="D20" s="65" t="str">
        <f>+IFERROR(INDEX(PROPONENTES!$D$4:$D$109,MATCH('EXP GEN. 33-40'!B20,PROPONENTES!$C$4:$C$109,0)),"")</f>
        <v>ARDANUY COLOMBIA S.A.S.</v>
      </c>
      <c r="E20" s="193" t="s">
        <v>407</v>
      </c>
      <c r="F20" s="194" t="s">
        <v>412</v>
      </c>
      <c r="G20" s="161" t="s">
        <v>5</v>
      </c>
      <c r="H20" s="161" t="s">
        <v>5</v>
      </c>
      <c r="I20" s="196">
        <v>0.5</v>
      </c>
      <c r="J20" s="197">
        <v>37834</v>
      </c>
      <c r="K20" s="198">
        <v>39447</v>
      </c>
      <c r="L20" s="71">
        <f t="shared" si="0"/>
        <v>2007</v>
      </c>
      <c r="M20" s="72">
        <f>+IFERROR(INDEX(PARÁMETROS!$B$11:$B$37,MATCH(L20,PARÁMETROS!$A$11:$A$37,0)),"")</f>
        <v>433700</v>
      </c>
      <c r="N20" s="73">
        <v>2365518.39</v>
      </c>
      <c r="O20" s="74" t="s">
        <v>24</v>
      </c>
      <c r="P20" s="63">
        <v>1.4718500000000001</v>
      </c>
      <c r="Q20" s="75">
        <f>+P20*N20</f>
        <v>3481688.2423215006</v>
      </c>
      <c r="R20" s="76">
        <v>2014.76</v>
      </c>
      <c r="S20" s="72">
        <f>IF(R20&lt;&gt;"",Q20*R20,"")</f>
        <v>7014766203.0996666</v>
      </c>
      <c r="T20" s="60">
        <f t="shared" si="1"/>
        <v>16174.236115055723</v>
      </c>
      <c r="U20" s="60">
        <f t="shared" si="2"/>
        <v>8087.1180575278613</v>
      </c>
      <c r="V20" s="201">
        <v>89</v>
      </c>
      <c r="W20" s="650" t="s">
        <v>5</v>
      </c>
      <c r="X20" s="650"/>
      <c r="Y20" s="650"/>
      <c r="Z20" s="650" t="s">
        <v>5</v>
      </c>
      <c r="AA20" s="650"/>
      <c r="AB20" s="650"/>
      <c r="AC20" s="650" t="s">
        <v>5</v>
      </c>
      <c r="AD20" s="650"/>
      <c r="AE20" s="650"/>
      <c r="AF20" s="161" t="s">
        <v>5</v>
      </c>
      <c r="AG20" s="703"/>
      <c r="AH20" s="703"/>
      <c r="AI20" s="78" t="str">
        <f>+IF(U20="","",IF(U20&gt;=PARÁMETROS!$D$5,"CUMPLE","NO CUMPLE"))</f>
        <v>CUMPLE</v>
      </c>
      <c r="AJ20" s="143"/>
      <c r="AK20" s="112"/>
    </row>
    <row r="21" spans="1:37" s="79" customFormat="1" ht="60" x14ac:dyDescent="0.25">
      <c r="A21" s="653"/>
      <c r="B21" s="63" t="s">
        <v>339</v>
      </c>
      <c r="C21" s="409">
        <v>288</v>
      </c>
      <c r="D21" s="65" t="str">
        <f>+IFERROR(INDEX(PROPONENTES!$D$4:$D$109,MATCH('EXP GEN. 33-40'!B21,PROPONENTES!$C$4:$C$109,0)),"")</f>
        <v>ARDANUY COLOMBIA S.A.S.</v>
      </c>
      <c r="E21" s="193" t="s">
        <v>408</v>
      </c>
      <c r="F21" s="194" t="s">
        <v>413</v>
      </c>
      <c r="G21" s="161" t="s">
        <v>5</v>
      </c>
      <c r="H21" s="161" t="s">
        <v>5</v>
      </c>
      <c r="I21" s="196">
        <v>0.4</v>
      </c>
      <c r="J21" s="197">
        <v>40086</v>
      </c>
      <c r="K21" s="198">
        <v>41274</v>
      </c>
      <c r="L21" s="71">
        <f t="shared" si="0"/>
        <v>2012</v>
      </c>
      <c r="M21" s="72">
        <f>+IFERROR(INDEX(PARÁMETROS!$B$11:$B$37,MATCH(L21,PARÁMETROS!$A$11:$A$37,0)),"")</f>
        <v>566700</v>
      </c>
      <c r="N21" s="73">
        <v>3543533.87</v>
      </c>
      <c r="O21" s="74" t="s">
        <v>24</v>
      </c>
      <c r="P21" s="63">
        <v>1.32148</v>
      </c>
      <c r="Q21" s="75">
        <f>+P21*N21</f>
        <v>4682709.1385276001</v>
      </c>
      <c r="R21" s="76">
        <v>1768.23</v>
      </c>
      <c r="S21" s="72">
        <f>IF(R21&lt;&gt;"",Q21*R21,"")</f>
        <v>8280106780.0186586</v>
      </c>
      <c r="T21" s="60">
        <f t="shared" si="1"/>
        <v>14611.09366511145</v>
      </c>
      <c r="U21" s="60">
        <f t="shared" si="2"/>
        <v>5844.4374660445801</v>
      </c>
      <c r="V21" s="201">
        <v>102</v>
      </c>
      <c r="W21" s="650" t="s">
        <v>5</v>
      </c>
      <c r="X21" s="650"/>
      <c r="Y21" s="650"/>
      <c r="Z21" s="650" t="s">
        <v>5</v>
      </c>
      <c r="AA21" s="650"/>
      <c r="AB21" s="650"/>
      <c r="AC21" s="650" t="s">
        <v>5</v>
      </c>
      <c r="AD21" s="650"/>
      <c r="AE21" s="650"/>
      <c r="AF21" s="161" t="s">
        <v>5</v>
      </c>
      <c r="AG21" s="703"/>
      <c r="AH21" s="703"/>
      <c r="AI21" s="78" t="str">
        <f>+IF(U21="","",IF(U21&gt;=PARÁMETROS!$D$5,"CUMPLE","NO CUMPLE"))</f>
        <v>CUMPLE</v>
      </c>
      <c r="AJ21" s="143"/>
      <c r="AK21" s="112"/>
    </row>
    <row r="22" spans="1:37" s="79" customFormat="1" ht="75.75" thickBot="1" x14ac:dyDescent="0.3">
      <c r="A22" s="653"/>
      <c r="B22" s="63" t="s">
        <v>340</v>
      </c>
      <c r="C22" s="409">
        <v>293</v>
      </c>
      <c r="D22" s="65" t="str">
        <f>+IFERROR(INDEX(PROPONENTES!$D$4:$D$109,MATCH('EXP GEN. 33-40'!B22,PROPONENTES!$C$4:$C$109,0)),"")</f>
        <v>GNC INGENIERIA S.A.S.</v>
      </c>
      <c r="E22" s="193" t="s">
        <v>23</v>
      </c>
      <c r="F22" s="195" t="s">
        <v>414</v>
      </c>
      <c r="G22" s="161" t="s">
        <v>5</v>
      </c>
      <c r="H22" s="161" t="s">
        <v>5</v>
      </c>
      <c r="I22" s="196">
        <v>1</v>
      </c>
      <c r="J22" s="198">
        <v>41686</v>
      </c>
      <c r="K22" s="198">
        <v>42160</v>
      </c>
      <c r="L22" s="71">
        <f t="shared" si="0"/>
        <v>2015</v>
      </c>
      <c r="M22" s="72">
        <f>+IFERROR(INDEX(PARÁMETROS!$B$11:$B$37,MATCH(L22,PARÁMETROS!$A$11:$A$37,0)),"")</f>
        <v>644350</v>
      </c>
      <c r="N22" s="73">
        <v>1686799414</v>
      </c>
      <c r="O22" s="74" t="s">
        <v>20</v>
      </c>
      <c r="P22" s="63" t="s">
        <v>54</v>
      </c>
      <c r="Q22" s="75" t="s">
        <v>54</v>
      </c>
      <c r="R22" s="76">
        <v>1</v>
      </c>
      <c r="S22" s="72">
        <f t="shared" si="3"/>
        <v>1686799414</v>
      </c>
      <c r="T22" s="60">
        <f t="shared" si="1"/>
        <v>2617.831014200357</v>
      </c>
      <c r="U22" s="60">
        <f t="shared" si="2"/>
        <v>2617.831014200357</v>
      </c>
      <c r="V22" s="201">
        <v>229</v>
      </c>
      <c r="W22" s="650" t="s">
        <v>5</v>
      </c>
      <c r="X22" s="650"/>
      <c r="Y22" s="650"/>
      <c r="Z22" s="650" t="s">
        <v>5</v>
      </c>
      <c r="AA22" s="650"/>
      <c r="AB22" s="650"/>
      <c r="AC22" s="650" t="s">
        <v>5</v>
      </c>
      <c r="AD22" s="650"/>
      <c r="AE22" s="650"/>
      <c r="AF22" s="161" t="s">
        <v>5</v>
      </c>
      <c r="AG22" s="703"/>
      <c r="AH22" s="703"/>
      <c r="AI22" s="78" t="str">
        <f>+IF(U22="","",IF(U22&gt;=PARÁMETROS!$D$5,"CUMPLE","NO CUMPLE"))</f>
        <v>CUMPLE</v>
      </c>
      <c r="AJ22" s="143"/>
      <c r="AK22" s="112"/>
    </row>
    <row r="23" spans="1:37" s="79" customFormat="1" ht="114" x14ac:dyDescent="0.25">
      <c r="A23" s="652" t="s">
        <v>378</v>
      </c>
      <c r="B23" s="125" t="s">
        <v>341</v>
      </c>
      <c r="C23" s="408">
        <v>236</v>
      </c>
      <c r="D23" s="127" t="str">
        <f>+IFERROR(INDEX(PROPONENTES!$D$4:$D$109,MATCH('EXP GEN. 33-40'!B23,PROPONENTES!$C$4:$C$109,0)),"")</f>
        <v>ETA S.A.</v>
      </c>
      <c r="E23" s="128" t="s">
        <v>418</v>
      </c>
      <c r="F23" s="129" t="s">
        <v>420</v>
      </c>
      <c r="G23" s="163" t="s">
        <v>5</v>
      </c>
      <c r="H23" s="163" t="s">
        <v>5</v>
      </c>
      <c r="I23" s="131">
        <v>0.5</v>
      </c>
      <c r="J23" s="132">
        <v>39004</v>
      </c>
      <c r="K23" s="132">
        <v>39667</v>
      </c>
      <c r="L23" s="133">
        <f t="shared" si="0"/>
        <v>2008</v>
      </c>
      <c r="M23" s="134">
        <f>+IFERROR(INDEX(PARÁMETROS!$B$11:$B$37,MATCH(L23,PARÁMETROS!$A$11:$A$37,0)),"")</f>
        <v>461500</v>
      </c>
      <c r="N23" s="135">
        <v>3848051306</v>
      </c>
      <c r="O23" s="136" t="s">
        <v>20</v>
      </c>
      <c r="P23" s="125" t="s">
        <v>54</v>
      </c>
      <c r="Q23" s="137" t="s">
        <v>54</v>
      </c>
      <c r="R23" s="138">
        <v>1</v>
      </c>
      <c r="S23" s="134">
        <f t="shared" si="3"/>
        <v>3848051306</v>
      </c>
      <c r="T23" s="139">
        <f t="shared" si="1"/>
        <v>8338.13934127844</v>
      </c>
      <c r="U23" s="139">
        <f t="shared" si="2"/>
        <v>4169.06967063922</v>
      </c>
      <c r="V23" s="139">
        <v>32</v>
      </c>
      <c r="W23" s="649" t="s">
        <v>6</v>
      </c>
      <c r="X23" s="649"/>
      <c r="Y23" s="649"/>
      <c r="Z23" s="649" t="s">
        <v>5</v>
      </c>
      <c r="AA23" s="649"/>
      <c r="AB23" s="649"/>
      <c r="AC23" s="649" t="s">
        <v>5</v>
      </c>
      <c r="AD23" s="649"/>
      <c r="AE23" s="649"/>
      <c r="AF23" s="163" t="s">
        <v>5</v>
      </c>
      <c r="AG23" s="702" t="str">
        <f>IF(U23="","",IF(SUM(U23:U28)&gt;=PARÁMETROS!$H$5,"CUMPLE","NO CUMPLE"))</f>
        <v>CUMPLE</v>
      </c>
      <c r="AH23" s="702" t="str">
        <f>IF(U23="","",IF(U23+U24+U25+U26&gt;=PARÁMETROS!$F$5,"CUMPLE","NO CUMPLE"))</f>
        <v>CUMPLE</v>
      </c>
      <c r="AI23" s="141" t="str">
        <f>+IF(U23="","",IF(U23&gt;=PARÁMETROS!$D$5,"CUMPLE","NO CUMPLE"))</f>
        <v>CUMPLE</v>
      </c>
      <c r="AJ23" s="142"/>
      <c r="AK23" s="112"/>
    </row>
    <row r="24" spans="1:37" s="79" customFormat="1" ht="42.75" x14ac:dyDescent="0.25">
      <c r="A24" s="653"/>
      <c r="B24" s="63" t="s">
        <v>341</v>
      </c>
      <c r="C24" s="409">
        <v>247</v>
      </c>
      <c r="D24" s="65" t="str">
        <f>+IFERROR(INDEX(PROPONENTES!$D$4:$D$109,MATCH('EXP GEN. 33-40'!B24,PROPONENTES!$C$4:$C$109,0)),"")</f>
        <v>ETA S.A.</v>
      </c>
      <c r="E24" s="66" t="s">
        <v>419</v>
      </c>
      <c r="F24" s="67" t="s">
        <v>421</v>
      </c>
      <c r="G24" s="457" t="s">
        <v>5</v>
      </c>
      <c r="H24" s="161" t="s">
        <v>5</v>
      </c>
      <c r="I24" s="69">
        <v>0.33</v>
      </c>
      <c r="J24" s="70">
        <v>40368</v>
      </c>
      <c r="K24" s="70">
        <v>42094</v>
      </c>
      <c r="L24" s="71">
        <f t="shared" si="0"/>
        <v>2015</v>
      </c>
      <c r="M24" s="72">
        <f>+IFERROR(INDEX(PARÁMETROS!$B$11:$B$37,MATCH(L24,PARÁMETROS!$A$11:$A$37,0)),"")</f>
        <v>644350</v>
      </c>
      <c r="N24" s="73">
        <v>10689723675</v>
      </c>
      <c r="O24" s="74" t="s">
        <v>20</v>
      </c>
      <c r="P24" s="63" t="s">
        <v>54</v>
      </c>
      <c r="Q24" s="75" t="s">
        <v>54</v>
      </c>
      <c r="R24" s="76">
        <v>1</v>
      </c>
      <c r="S24" s="72">
        <f t="shared" si="3"/>
        <v>10689723675</v>
      </c>
      <c r="T24" s="60">
        <f t="shared" si="1"/>
        <v>16589.933537673624</v>
      </c>
      <c r="U24" s="60">
        <f t="shared" si="2"/>
        <v>5474.6780674322963</v>
      </c>
      <c r="V24" s="60">
        <v>123</v>
      </c>
      <c r="W24" s="650" t="s">
        <v>6</v>
      </c>
      <c r="X24" s="650"/>
      <c r="Y24" s="650"/>
      <c r="Z24" s="650" t="s">
        <v>5</v>
      </c>
      <c r="AA24" s="650"/>
      <c r="AB24" s="650"/>
      <c r="AC24" s="650" t="s">
        <v>5</v>
      </c>
      <c r="AD24" s="650"/>
      <c r="AE24" s="650"/>
      <c r="AF24" s="161" t="s">
        <v>5</v>
      </c>
      <c r="AG24" s="703"/>
      <c r="AH24" s="703"/>
      <c r="AI24" s="78" t="str">
        <f>+IF(U24="","",IF(U24&gt;=PARÁMETROS!$D$5,"CUMPLE","NO CUMPLE"))</f>
        <v>CUMPLE</v>
      </c>
      <c r="AJ24" s="143"/>
      <c r="AK24" s="112"/>
    </row>
    <row r="25" spans="1:37" s="79" customFormat="1" ht="85.5" x14ac:dyDescent="0.25">
      <c r="A25" s="653"/>
      <c r="B25" s="63" t="s">
        <v>341</v>
      </c>
      <c r="C25" s="409">
        <v>254</v>
      </c>
      <c r="D25" s="65" t="str">
        <f>+IFERROR(INDEX(PROPONENTES!$D$4:$D$109,MATCH('EXP GEN. 33-40'!B25,PROPONENTES!$C$4:$C$109,0)),"")</f>
        <v>ETA S.A.</v>
      </c>
      <c r="E25" s="82" t="s">
        <v>418</v>
      </c>
      <c r="F25" s="67" t="s">
        <v>422</v>
      </c>
      <c r="G25" s="161" t="s">
        <v>5</v>
      </c>
      <c r="H25" s="161" t="s">
        <v>5</v>
      </c>
      <c r="I25" s="83">
        <v>0.5</v>
      </c>
      <c r="J25" s="70">
        <v>38754</v>
      </c>
      <c r="K25" s="70">
        <v>39682</v>
      </c>
      <c r="L25" s="71">
        <f t="shared" si="0"/>
        <v>2008</v>
      </c>
      <c r="M25" s="72">
        <f>+IFERROR(INDEX(PARÁMETROS!$B$11:$B$37,MATCH(L25,PARÁMETROS!$A$11:$A$37,0)),"")</f>
        <v>461500</v>
      </c>
      <c r="N25" s="73">
        <v>3406916680</v>
      </c>
      <c r="O25" s="74" t="s">
        <v>20</v>
      </c>
      <c r="P25" s="63" t="s">
        <v>54</v>
      </c>
      <c r="Q25" s="75" t="s">
        <v>54</v>
      </c>
      <c r="R25" s="76">
        <v>1</v>
      </c>
      <c r="S25" s="72">
        <f t="shared" si="3"/>
        <v>3406916680</v>
      </c>
      <c r="T25" s="60">
        <f t="shared" si="1"/>
        <v>7382.267995666306</v>
      </c>
      <c r="U25" s="60">
        <f t="shared" si="2"/>
        <v>3691.133997833153</v>
      </c>
      <c r="V25" s="60">
        <v>76</v>
      </c>
      <c r="W25" s="650" t="s">
        <v>5</v>
      </c>
      <c r="X25" s="650"/>
      <c r="Y25" s="650"/>
      <c r="Z25" s="650" t="s">
        <v>5</v>
      </c>
      <c r="AA25" s="650"/>
      <c r="AB25" s="650"/>
      <c r="AC25" s="650" t="s">
        <v>5</v>
      </c>
      <c r="AD25" s="650"/>
      <c r="AE25" s="650"/>
      <c r="AF25" s="161" t="s">
        <v>5</v>
      </c>
      <c r="AG25" s="703"/>
      <c r="AH25" s="703"/>
      <c r="AI25" s="78" t="str">
        <f>+IF(U25="","",IF(U25&gt;=PARÁMETROS!$D$5,"CUMPLE","NO CUMPLE"))</f>
        <v>CUMPLE</v>
      </c>
      <c r="AJ25" s="174"/>
      <c r="AK25" s="112"/>
    </row>
    <row r="26" spans="1:37" s="88" customFormat="1" ht="57" x14ac:dyDescent="0.25">
      <c r="A26" s="653"/>
      <c r="B26" s="63" t="s">
        <v>341</v>
      </c>
      <c r="C26" s="409">
        <v>264</v>
      </c>
      <c r="D26" s="65" t="str">
        <f>+IFERROR(INDEX(PROPONENTES!$D$4:$D$109,MATCH('EXP GEN. 33-40'!B26,PROPONENTES!$C$4:$C$109,0)),"")</f>
        <v>ETA S.A.</v>
      </c>
      <c r="E26" s="66" t="s">
        <v>23</v>
      </c>
      <c r="F26" s="67" t="s">
        <v>423</v>
      </c>
      <c r="G26" s="161" t="s">
        <v>5</v>
      </c>
      <c r="H26" s="161" t="s">
        <v>5</v>
      </c>
      <c r="I26" s="84">
        <v>1</v>
      </c>
      <c r="J26" s="85">
        <v>39211</v>
      </c>
      <c r="K26" s="86">
        <v>40227</v>
      </c>
      <c r="L26" s="71">
        <f t="shared" si="0"/>
        <v>2010</v>
      </c>
      <c r="M26" s="202">
        <f>+IFERROR(INDEX(PARÁMETROS!$B$11:$B$37,MATCH(L26,PARÁMETROS!$A$11:$A$37,0)),"")</f>
        <v>515000</v>
      </c>
      <c r="N26" s="203">
        <v>4313621278</v>
      </c>
      <c r="O26" s="203" t="s">
        <v>20</v>
      </c>
      <c r="P26" s="203" t="s">
        <v>54</v>
      </c>
      <c r="Q26" s="203" t="s">
        <v>54</v>
      </c>
      <c r="R26" s="76">
        <v>1</v>
      </c>
      <c r="S26" s="202">
        <f t="shared" si="3"/>
        <v>4313621278</v>
      </c>
      <c r="T26" s="204">
        <f t="shared" si="1"/>
        <v>8375.9636466019419</v>
      </c>
      <c r="U26" s="204">
        <f t="shared" si="2"/>
        <v>8375.9636466019419</v>
      </c>
      <c r="V26" s="87">
        <v>32</v>
      </c>
      <c r="W26" s="650" t="s">
        <v>6</v>
      </c>
      <c r="X26" s="650"/>
      <c r="Y26" s="650"/>
      <c r="Z26" s="650" t="s">
        <v>5</v>
      </c>
      <c r="AA26" s="650"/>
      <c r="AB26" s="650"/>
      <c r="AC26" s="650" t="s">
        <v>5</v>
      </c>
      <c r="AD26" s="650"/>
      <c r="AE26" s="650"/>
      <c r="AF26" s="161" t="s">
        <v>5</v>
      </c>
      <c r="AG26" s="703"/>
      <c r="AH26" s="703"/>
      <c r="AI26" s="78" t="str">
        <f>+IF(U26="","",IF(U26&gt;=PARÁMETROS!$D$5,"CUMPLE","NO CUMPLE"))</f>
        <v>CUMPLE</v>
      </c>
      <c r="AJ26" s="143"/>
      <c r="AK26" s="166"/>
    </row>
    <row r="27" spans="1:37" s="79" customFormat="1" ht="114" x14ac:dyDescent="0.25">
      <c r="A27" s="653"/>
      <c r="B27" s="63" t="s">
        <v>342</v>
      </c>
      <c r="C27" s="409">
        <v>236</v>
      </c>
      <c r="D27" s="65" t="str">
        <f>+IFERROR(INDEX(PROPONENTES!$D$4:$D$109,MATCH('EXP GEN. 33-40'!B27,PROPONENTES!$C$4:$C$109,0)),"")</f>
        <v>INTERPRO S.A.S.</v>
      </c>
      <c r="E27" s="66" t="s">
        <v>418</v>
      </c>
      <c r="F27" s="116" t="s">
        <v>420</v>
      </c>
      <c r="G27" s="161" t="s">
        <v>5</v>
      </c>
      <c r="H27" s="161" t="s">
        <v>5</v>
      </c>
      <c r="I27" s="69">
        <v>0.5</v>
      </c>
      <c r="J27" s="70">
        <v>39004</v>
      </c>
      <c r="K27" s="70">
        <v>39667</v>
      </c>
      <c r="L27" s="71">
        <f t="shared" si="0"/>
        <v>2008</v>
      </c>
      <c r="M27" s="72">
        <f>+IFERROR(INDEX(PARÁMETROS!$B$11:$B$37,MATCH(L27,PARÁMETROS!$A$11:$A$37,0)),"")</f>
        <v>461500</v>
      </c>
      <c r="N27" s="73">
        <v>3848051306</v>
      </c>
      <c r="O27" s="74" t="s">
        <v>20</v>
      </c>
      <c r="P27" s="63" t="s">
        <v>54</v>
      </c>
      <c r="Q27" s="75" t="s">
        <v>54</v>
      </c>
      <c r="R27" s="76">
        <v>1</v>
      </c>
      <c r="S27" s="72">
        <f>IF(R27&lt;&gt;"",N27*R27,"")</f>
        <v>3848051306</v>
      </c>
      <c r="T27" s="60">
        <f>+IFERROR(S27/M27,"")</f>
        <v>8338.13934127844</v>
      </c>
      <c r="U27" s="60">
        <f>IFERROR(T27*I27,"")</f>
        <v>4169.06967063922</v>
      </c>
      <c r="V27" s="60">
        <v>161</v>
      </c>
      <c r="W27" s="650" t="s">
        <v>6</v>
      </c>
      <c r="X27" s="650"/>
      <c r="Y27" s="650"/>
      <c r="Z27" s="650" t="s">
        <v>5</v>
      </c>
      <c r="AA27" s="650"/>
      <c r="AB27" s="650"/>
      <c r="AC27" s="650" t="s">
        <v>5</v>
      </c>
      <c r="AD27" s="650"/>
      <c r="AE27" s="650"/>
      <c r="AF27" s="161" t="s">
        <v>5</v>
      </c>
      <c r="AG27" s="703"/>
      <c r="AH27" s="703"/>
      <c r="AI27" s="78" t="str">
        <f>+IF(U27="","",IF(U27&gt;=PARÁMETROS!$D$5,"CUMPLE","NO CUMPLE"))</f>
        <v>CUMPLE</v>
      </c>
      <c r="AJ27" s="143"/>
      <c r="AK27" s="112"/>
    </row>
    <row r="28" spans="1:37" s="79" customFormat="1" ht="43.5" thickBot="1" x14ac:dyDescent="0.3">
      <c r="A28" s="654"/>
      <c r="B28" s="145" t="s">
        <v>342</v>
      </c>
      <c r="C28" s="411">
        <v>247</v>
      </c>
      <c r="D28" s="146" t="str">
        <f>+IFERROR(INDEX(PROPONENTES!$D$4:$D$109,MATCH('EXP GEN. 33-40'!B28,PROPONENTES!$C$4:$C$109,0)),"")</f>
        <v>INTERPRO S.A.S.</v>
      </c>
      <c r="E28" s="147" t="s">
        <v>419</v>
      </c>
      <c r="F28" s="67" t="s">
        <v>421</v>
      </c>
      <c r="G28" s="454" t="s">
        <v>5</v>
      </c>
      <c r="H28" s="162" t="s">
        <v>5</v>
      </c>
      <c r="I28" s="69">
        <v>0.33</v>
      </c>
      <c r="J28" s="70">
        <v>40368</v>
      </c>
      <c r="K28" s="70">
        <v>42094</v>
      </c>
      <c r="L28" s="71">
        <f>IF(K28="","",YEAR(K28))</f>
        <v>2015</v>
      </c>
      <c r="M28" s="72">
        <f>+IFERROR(INDEX(PARÁMETROS!$B$11:$B$37,MATCH(L28,PARÁMETROS!$A$11:$A$37,0)),"")</f>
        <v>644350</v>
      </c>
      <c r="N28" s="73">
        <v>10689723675</v>
      </c>
      <c r="O28" s="74" t="s">
        <v>20</v>
      </c>
      <c r="P28" s="63" t="s">
        <v>54</v>
      </c>
      <c r="Q28" s="75" t="s">
        <v>54</v>
      </c>
      <c r="R28" s="76">
        <v>1</v>
      </c>
      <c r="S28" s="72">
        <f>IF(R28&lt;&gt;"",N28*R28,"")</f>
        <v>10689723675</v>
      </c>
      <c r="T28" s="60">
        <f>+IFERROR(S28/M28,"")</f>
        <v>16589.933537673624</v>
      </c>
      <c r="U28" s="60">
        <f>IFERROR(T28*I28,"")</f>
        <v>5474.6780674322963</v>
      </c>
      <c r="V28" s="158">
        <v>189</v>
      </c>
      <c r="W28" s="651" t="s">
        <v>6</v>
      </c>
      <c r="X28" s="651"/>
      <c r="Y28" s="651"/>
      <c r="Z28" s="651" t="s">
        <v>5</v>
      </c>
      <c r="AA28" s="651"/>
      <c r="AB28" s="651"/>
      <c r="AC28" s="651" t="s">
        <v>5</v>
      </c>
      <c r="AD28" s="651"/>
      <c r="AE28" s="651"/>
      <c r="AF28" s="162" t="s">
        <v>5</v>
      </c>
      <c r="AG28" s="704"/>
      <c r="AH28" s="704"/>
      <c r="AI28" s="159" t="str">
        <f>+IF(U28="","",IF(U28&gt;=PARÁMETROS!$D$5,"CUMPLE","NO CUMPLE"))</f>
        <v>CUMPLE</v>
      </c>
      <c r="AJ28" s="160"/>
      <c r="AK28" s="112"/>
    </row>
    <row r="29" spans="1:37" s="79" customFormat="1" ht="57" x14ac:dyDescent="0.25">
      <c r="A29" s="652" t="s">
        <v>379</v>
      </c>
      <c r="B29" s="125" t="s">
        <v>345</v>
      </c>
      <c r="C29" s="408">
        <v>148</v>
      </c>
      <c r="D29" s="127" t="str">
        <f>+IFERROR(INDEX(PROPONENTES!$D$4:$D$109,MATCH('EXP GEN. 33-40'!B29,PROPONENTES!$C$4:$C$109,0)),"")</f>
        <v>DICONSULTORIA S.A.</v>
      </c>
      <c r="E29" s="128" t="s">
        <v>425</v>
      </c>
      <c r="F29" s="129" t="s">
        <v>427</v>
      </c>
      <c r="G29" s="130" t="s">
        <v>5</v>
      </c>
      <c r="H29" s="163" t="s">
        <v>5</v>
      </c>
      <c r="I29" s="131">
        <v>1</v>
      </c>
      <c r="J29" s="132">
        <v>38762</v>
      </c>
      <c r="K29" s="132">
        <v>39710</v>
      </c>
      <c r="L29" s="133">
        <f t="shared" si="0"/>
        <v>2008</v>
      </c>
      <c r="M29" s="134">
        <f>+IFERROR(INDEX(PARÁMETROS!$B$11:$B$37,MATCH(L29,PARÁMETROS!$A$11:$A$37,0)),"")</f>
        <v>461500</v>
      </c>
      <c r="N29" s="135">
        <v>3635481658</v>
      </c>
      <c r="O29" s="136" t="s">
        <v>20</v>
      </c>
      <c r="P29" s="125" t="s">
        <v>54</v>
      </c>
      <c r="Q29" s="137" t="s">
        <v>54</v>
      </c>
      <c r="R29" s="138">
        <v>1</v>
      </c>
      <c r="S29" s="134">
        <f t="shared" si="3"/>
        <v>3635481658</v>
      </c>
      <c r="T29" s="139">
        <f t="shared" si="1"/>
        <v>7877.5333867822319</v>
      </c>
      <c r="U29" s="139">
        <f t="shared" si="2"/>
        <v>7877.5333867822319</v>
      </c>
      <c r="V29" s="139">
        <v>37</v>
      </c>
      <c r="W29" s="649" t="s">
        <v>5</v>
      </c>
      <c r="X29" s="649"/>
      <c r="Y29" s="649"/>
      <c r="Z29" s="649" t="s">
        <v>5</v>
      </c>
      <c r="AA29" s="649"/>
      <c r="AB29" s="649"/>
      <c r="AC29" s="649" t="s">
        <v>5</v>
      </c>
      <c r="AD29" s="649"/>
      <c r="AE29" s="649"/>
      <c r="AF29" s="163" t="s">
        <v>5</v>
      </c>
      <c r="AG29" s="702" t="str">
        <f>IF(U29="","",IF(SUM(U29:U32)&gt;=PARÁMETROS!$H$5,"CUMPLE","NO CUMPLE"))</f>
        <v>CUMPLE</v>
      </c>
      <c r="AH29" s="702" t="str">
        <f>IF(U29="","",IF(U29+U30&gt;=PARÁMETROS!$F$5,"CUMPLE","NO CUMPLE"))</f>
        <v>CUMPLE</v>
      </c>
      <c r="AI29" s="141" t="str">
        <f>+IF(U29="","",IF(U29&gt;=PARÁMETROS!$D$5,"CUMPLE","NO CUMPLE"))</f>
        <v>CUMPLE</v>
      </c>
      <c r="AJ29" s="142"/>
      <c r="AK29" s="112"/>
    </row>
    <row r="30" spans="1:37" s="79" customFormat="1" ht="99.75" x14ac:dyDescent="0.25">
      <c r="A30" s="653"/>
      <c r="B30" s="63" t="s">
        <v>345</v>
      </c>
      <c r="C30" s="409">
        <v>153</v>
      </c>
      <c r="D30" s="65" t="str">
        <f>+IFERROR(INDEX(PROPONENTES!$D$4:$D$109,MATCH('EXP GEN. 33-40'!B30,PROPONENTES!$C$4:$C$109,0)),"")</f>
        <v>DICONSULTORIA S.A.</v>
      </c>
      <c r="E30" s="66" t="s">
        <v>426</v>
      </c>
      <c r="F30" s="67" t="s">
        <v>428</v>
      </c>
      <c r="G30" s="68" t="s">
        <v>5</v>
      </c>
      <c r="H30" s="161" t="s">
        <v>5</v>
      </c>
      <c r="I30" s="69">
        <v>1</v>
      </c>
      <c r="J30" s="70">
        <v>37956</v>
      </c>
      <c r="K30" s="70">
        <v>39051</v>
      </c>
      <c r="L30" s="71">
        <f t="shared" si="0"/>
        <v>2006</v>
      </c>
      <c r="M30" s="72">
        <f>+IFERROR(INDEX(PARÁMETROS!$B$11:$B$37,MATCH(L30,PARÁMETROS!$A$11:$A$37,0)),"")</f>
        <v>408000</v>
      </c>
      <c r="N30" s="73">
        <v>2387827695</v>
      </c>
      <c r="O30" s="74" t="s">
        <v>20</v>
      </c>
      <c r="P30" s="63" t="s">
        <v>54</v>
      </c>
      <c r="Q30" s="75" t="s">
        <v>54</v>
      </c>
      <c r="R30" s="76">
        <v>1</v>
      </c>
      <c r="S30" s="72">
        <f t="shared" si="3"/>
        <v>2387827695</v>
      </c>
      <c r="T30" s="60">
        <f t="shared" si="1"/>
        <v>5852.518860294118</v>
      </c>
      <c r="U30" s="60">
        <f t="shared" si="2"/>
        <v>5852.518860294118</v>
      </c>
      <c r="V30" s="60">
        <v>47</v>
      </c>
      <c r="W30" s="650" t="s">
        <v>5</v>
      </c>
      <c r="X30" s="650"/>
      <c r="Y30" s="650"/>
      <c r="Z30" s="650" t="s">
        <v>5</v>
      </c>
      <c r="AA30" s="650"/>
      <c r="AB30" s="650"/>
      <c r="AC30" s="650" t="s">
        <v>5</v>
      </c>
      <c r="AD30" s="650"/>
      <c r="AE30" s="650"/>
      <c r="AF30" s="161" t="s">
        <v>5</v>
      </c>
      <c r="AG30" s="703"/>
      <c r="AH30" s="703"/>
      <c r="AI30" s="78" t="str">
        <f>+IF(U30="","",IF(U30&gt;=PARÁMETROS!$D$5,"CUMPLE","NO CUMPLE"))</f>
        <v>CUMPLE</v>
      </c>
      <c r="AJ30" s="143"/>
      <c r="AK30" s="112"/>
    </row>
    <row r="31" spans="1:37" s="79" customFormat="1" ht="31.5" x14ac:dyDescent="0.25">
      <c r="A31" s="653"/>
      <c r="B31" s="63" t="s">
        <v>343</v>
      </c>
      <c r="C31" s="409">
        <v>161</v>
      </c>
      <c r="D31" s="65" t="str">
        <f>+IFERROR(INDEX(PROPONENTES!$D$4:$D$109,MATCH('EXP GEN. 33-40'!B31,PROPONENTES!$C$4:$C$109,0)),"")</f>
        <v>SERINCO COLOMBIA</v>
      </c>
      <c r="E31" s="66" t="s">
        <v>25</v>
      </c>
      <c r="F31" s="67" t="s">
        <v>429</v>
      </c>
      <c r="G31" s="161" t="s">
        <v>5</v>
      </c>
      <c r="H31" s="161" t="s">
        <v>5</v>
      </c>
      <c r="I31" s="69">
        <v>0.5</v>
      </c>
      <c r="J31" s="70">
        <v>37576</v>
      </c>
      <c r="K31" s="70">
        <v>38763</v>
      </c>
      <c r="L31" s="71">
        <f t="shared" si="0"/>
        <v>2006</v>
      </c>
      <c r="M31" s="72">
        <f>+IFERROR(INDEX(PARÁMETROS!$B$11:$B$37,MATCH(L31,PARÁMETROS!$A$11:$A$37,0)),"")</f>
        <v>408000</v>
      </c>
      <c r="N31" s="73">
        <v>2212803.58</v>
      </c>
      <c r="O31" s="74" t="s">
        <v>24</v>
      </c>
      <c r="P31" s="63">
        <v>1.19011</v>
      </c>
      <c r="Q31" s="75">
        <f>+P31*N31</f>
        <v>2633479.6685938002</v>
      </c>
      <c r="R31" s="76">
        <v>2254.98</v>
      </c>
      <c r="S31" s="72">
        <f>IF(R31&lt;&gt;"",Q31*R31,"")</f>
        <v>5938443983.0856476</v>
      </c>
      <c r="T31" s="60">
        <f t="shared" si="1"/>
        <v>14555.009762464822</v>
      </c>
      <c r="U31" s="60">
        <f t="shared" si="2"/>
        <v>7277.5048812324112</v>
      </c>
      <c r="V31" s="60">
        <v>99</v>
      </c>
      <c r="W31" s="650" t="s">
        <v>5</v>
      </c>
      <c r="X31" s="650"/>
      <c r="Y31" s="650"/>
      <c r="Z31" s="650" t="s">
        <v>5</v>
      </c>
      <c r="AA31" s="650"/>
      <c r="AB31" s="650"/>
      <c r="AC31" s="650" t="s">
        <v>5</v>
      </c>
      <c r="AD31" s="650"/>
      <c r="AE31" s="650"/>
      <c r="AF31" s="161" t="s">
        <v>5</v>
      </c>
      <c r="AG31" s="703"/>
      <c r="AH31" s="703"/>
      <c r="AI31" s="78" t="str">
        <f>+IF(U31="","",IF(U31&gt;=PARÁMETROS!$D$5,"CUMPLE","NO CUMPLE"))</f>
        <v>CUMPLE</v>
      </c>
      <c r="AJ31" s="143"/>
      <c r="AK31" s="112"/>
    </row>
    <row r="32" spans="1:37" s="79" customFormat="1" ht="43.5" thickBot="1" x14ac:dyDescent="0.3">
      <c r="A32" s="653"/>
      <c r="B32" s="63" t="s">
        <v>343</v>
      </c>
      <c r="C32" s="409">
        <v>165</v>
      </c>
      <c r="D32" s="65" t="str">
        <f>+IFERROR(INDEX(PROPONENTES!$D$4:$D$109,MATCH('EXP GEN. 33-40'!B32,PROPONENTES!$C$4:$C$109,0)),"")</f>
        <v>SERINCO COLOMBIA</v>
      </c>
      <c r="E32" s="66" t="s">
        <v>25</v>
      </c>
      <c r="F32" s="67" t="s">
        <v>430</v>
      </c>
      <c r="G32" s="161" t="s">
        <v>5</v>
      </c>
      <c r="H32" s="161" t="s">
        <v>5</v>
      </c>
      <c r="I32" s="69">
        <v>0.5</v>
      </c>
      <c r="J32" s="70">
        <v>36774</v>
      </c>
      <c r="K32" s="70">
        <v>37806</v>
      </c>
      <c r="L32" s="71">
        <f t="shared" si="0"/>
        <v>2003</v>
      </c>
      <c r="M32" s="72">
        <f>+IFERROR(INDEX(PARÁMETROS!$B$11:$B$37,MATCH(L32,PARÁMETROS!$A$11:$A$37,0)),"")</f>
        <v>332000</v>
      </c>
      <c r="N32" s="73">
        <v>978371.63</v>
      </c>
      <c r="O32" s="74" t="s">
        <v>24</v>
      </c>
      <c r="P32" s="63">
        <v>1.1494</v>
      </c>
      <c r="Q32" s="75">
        <f>+P32*N32</f>
        <v>1124540.351522</v>
      </c>
      <c r="R32" s="76">
        <v>2815.14</v>
      </c>
      <c r="S32" s="72">
        <f>IF(R32&lt;&gt;"",Q32*R32,"")</f>
        <v>3165738525.1836429</v>
      </c>
      <c r="T32" s="60">
        <f t="shared" si="1"/>
        <v>9535.3570035651901</v>
      </c>
      <c r="U32" s="60">
        <f t="shared" si="2"/>
        <v>4767.678501782595</v>
      </c>
      <c r="V32" s="60">
        <v>101</v>
      </c>
      <c r="W32" s="650" t="s">
        <v>5</v>
      </c>
      <c r="X32" s="650"/>
      <c r="Y32" s="650"/>
      <c r="Z32" s="650" t="s">
        <v>5</v>
      </c>
      <c r="AA32" s="650"/>
      <c r="AB32" s="650"/>
      <c r="AC32" s="650" t="s">
        <v>5</v>
      </c>
      <c r="AD32" s="650"/>
      <c r="AE32" s="650"/>
      <c r="AF32" s="161" t="s">
        <v>5</v>
      </c>
      <c r="AG32" s="703"/>
      <c r="AH32" s="703"/>
      <c r="AI32" s="78" t="str">
        <f>+IF(U32="","",IF(U32&gt;=PARÁMETROS!$D$5,"CUMPLE","NO CUMPLE"))</f>
        <v>CUMPLE</v>
      </c>
      <c r="AJ32" s="143"/>
      <c r="AK32" s="112"/>
    </row>
    <row r="33" spans="1:37" s="79" customFormat="1" ht="28.5" x14ac:dyDescent="0.25">
      <c r="A33" s="652" t="s">
        <v>380</v>
      </c>
      <c r="B33" s="125" t="s">
        <v>344</v>
      </c>
      <c r="C33" s="408">
        <v>309</v>
      </c>
      <c r="D33" s="127" t="str">
        <f>+IFERROR(INDEX(PROPONENTES!$D$4:$D$109,MATCH('EXP GEN. 33-40'!B33,PROPONENTES!$C$4:$C$109,0)),"")</f>
        <v>SMA S.A.</v>
      </c>
      <c r="E33" s="128" t="s">
        <v>436</v>
      </c>
      <c r="F33" s="129" t="s">
        <v>438</v>
      </c>
      <c r="G33" s="181" t="s">
        <v>5</v>
      </c>
      <c r="H33" s="181" t="s">
        <v>5</v>
      </c>
      <c r="I33" s="131">
        <v>0.45</v>
      </c>
      <c r="J33" s="132">
        <v>39125</v>
      </c>
      <c r="K33" s="209">
        <v>42012</v>
      </c>
      <c r="L33" s="133">
        <f t="shared" si="0"/>
        <v>2015</v>
      </c>
      <c r="M33" s="134">
        <f>+IFERROR(INDEX([12]PARÁMETROS!$B$11:$B$37,MATCH(L33,[12]PARÁMETROS!$A$11:$A$37,0)),"")</f>
        <v>644350</v>
      </c>
      <c r="N33" s="135">
        <v>15319357761</v>
      </c>
      <c r="O33" s="136" t="s">
        <v>20</v>
      </c>
      <c r="P33" s="125" t="s">
        <v>54</v>
      </c>
      <c r="Q33" s="137" t="s">
        <v>54</v>
      </c>
      <c r="R33" s="138">
        <v>1</v>
      </c>
      <c r="S33" s="134">
        <f t="shared" ref="S33:S37" si="4">IF(R33&lt;&gt;"",N33*R33,"")</f>
        <v>15319357761</v>
      </c>
      <c r="T33" s="139">
        <f t="shared" si="1"/>
        <v>23774.901468146192</v>
      </c>
      <c r="U33" s="139">
        <f t="shared" si="2"/>
        <v>10698.705660665786</v>
      </c>
      <c r="V33" s="139" t="s">
        <v>397</v>
      </c>
      <c r="W33" s="649"/>
      <c r="X33" s="649"/>
      <c r="Y33" s="649"/>
      <c r="Z33" s="649"/>
      <c r="AA33" s="649"/>
      <c r="AB33" s="649"/>
      <c r="AC33" s="649"/>
      <c r="AD33" s="649"/>
      <c r="AE33" s="649"/>
      <c r="AF33" s="452"/>
      <c r="AG33" s="702" t="str">
        <f>IF(U33="","",IF(SUM(U33:U37)&gt;=PARÁMETROS!$H$5,"CUMPLE","NO CUMPLE"))</f>
        <v>CUMPLE</v>
      </c>
      <c r="AH33" s="702" t="str">
        <f>IF(U33="","",IF(U33&gt;=PARÁMETROS!$F$5,"CUMPLE","NO CUMPLE"))</f>
        <v>CUMPLE</v>
      </c>
      <c r="AI33" s="141" t="str">
        <f>+IF(U33="","",IF(U33&gt;=PARÁMETROS!$D$5,"CUMPLE","NO CUMPLE"))</f>
        <v>CUMPLE</v>
      </c>
      <c r="AJ33" s="142"/>
      <c r="AK33" s="112"/>
    </row>
    <row r="34" spans="1:37" s="79" customFormat="1" ht="57" x14ac:dyDescent="0.25">
      <c r="A34" s="653"/>
      <c r="B34" s="63" t="s">
        <v>346</v>
      </c>
      <c r="C34" s="409">
        <v>334</v>
      </c>
      <c r="D34" s="65" t="str">
        <f>+IFERROR(INDEX(PROPONENTES!$D$4:$D$109,MATCH('EXP GEN. 33-40'!B34,PROPONENTES!$C$4:$C$109,0)),"")</f>
        <v>WSP SERVICIOS S.A.S.</v>
      </c>
      <c r="E34" s="66" t="s">
        <v>398</v>
      </c>
      <c r="F34" s="67" t="s">
        <v>439</v>
      </c>
      <c r="G34" s="179" t="s">
        <v>5</v>
      </c>
      <c r="H34" s="179" t="s">
        <v>5</v>
      </c>
      <c r="I34" s="69">
        <v>1</v>
      </c>
      <c r="J34" s="70">
        <v>38279</v>
      </c>
      <c r="K34" s="70">
        <v>39813</v>
      </c>
      <c r="L34" s="71">
        <f t="shared" si="0"/>
        <v>2008</v>
      </c>
      <c r="M34" s="72">
        <f>+IFERROR(INDEX([12]PARÁMETROS!$B$11:$B$37,MATCH(L34,[12]PARÁMETROS!$A$11:$A$37,0)),"")</f>
        <v>461500</v>
      </c>
      <c r="N34" s="73">
        <v>3975262277</v>
      </c>
      <c r="O34" s="74" t="s">
        <v>20</v>
      </c>
      <c r="P34" s="456" t="s">
        <v>54</v>
      </c>
      <c r="Q34" s="75" t="s">
        <v>54</v>
      </c>
      <c r="R34" s="76">
        <v>1</v>
      </c>
      <c r="S34" s="72">
        <f t="shared" si="4"/>
        <v>3975262277</v>
      </c>
      <c r="T34" s="60">
        <f t="shared" si="1"/>
        <v>8613.7860823401952</v>
      </c>
      <c r="U34" s="60">
        <f t="shared" si="2"/>
        <v>8613.7860823401952</v>
      </c>
      <c r="V34" s="60">
        <v>49</v>
      </c>
      <c r="W34" s="650" t="s">
        <v>5</v>
      </c>
      <c r="X34" s="650"/>
      <c r="Y34" s="650"/>
      <c r="Z34" s="650" t="s">
        <v>5</v>
      </c>
      <c r="AA34" s="650"/>
      <c r="AB34" s="650"/>
      <c r="AC34" s="650" t="s">
        <v>5</v>
      </c>
      <c r="AD34" s="650"/>
      <c r="AE34" s="650"/>
      <c r="AF34" s="453" t="s">
        <v>5</v>
      </c>
      <c r="AG34" s="703"/>
      <c r="AH34" s="703"/>
      <c r="AI34" s="78" t="str">
        <f>+IF(U34="","",IF(U34&gt;=PARÁMETROS!$D$5,"CUMPLE","NO CUMPLE"))</f>
        <v>CUMPLE</v>
      </c>
      <c r="AJ34" s="143"/>
      <c r="AK34" s="112"/>
    </row>
    <row r="35" spans="1:37" s="79" customFormat="1" ht="57" x14ac:dyDescent="0.25">
      <c r="A35" s="653"/>
      <c r="B35" s="63" t="s">
        <v>346</v>
      </c>
      <c r="C35" s="409">
        <v>338</v>
      </c>
      <c r="D35" s="65" t="str">
        <f>+IFERROR(INDEX(PROPONENTES!$D$4:$D$109,MATCH('EXP GEN. 33-40'!B35,PROPONENTES!$C$4:$C$109,0)),"")</f>
        <v>WSP SERVICIOS S.A.S.</v>
      </c>
      <c r="E35" s="66" t="s">
        <v>437</v>
      </c>
      <c r="F35" s="67" t="s">
        <v>441</v>
      </c>
      <c r="G35" s="179" t="s">
        <v>5</v>
      </c>
      <c r="H35" s="179" t="s">
        <v>5</v>
      </c>
      <c r="I35" s="69">
        <v>1</v>
      </c>
      <c r="J35" s="70">
        <v>40498</v>
      </c>
      <c r="K35" s="70">
        <v>40973</v>
      </c>
      <c r="L35" s="71">
        <f t="shared" si="0"/>
        <v>2012</v>
      </c>
      <c r="M35" s="72">
        <f>+IFERROR(INDEX([12]PARÁMETROS!$B$11:$B$37,MATCH(L35,[12]PARÁMETROS!$A$11:$A$37,0)),"")</f>
        <v>566700</v>
      </c>
      <c r="N35" s="73">
        <v>2159476666</v>
      </c>
      <c r="O35" s="74" t="s">
        <v>20</v>
      </c>
      <c r="P35" s="456" t="s">
        <v>54</v>
      </c>
      <c r="Q35" s="75" t="s">
        <v>54</v>
      </c>
      <c r="R35" s="76">
        <v>1</v>
      </c>
      <c r="S35" s="72">
        <f t="shared" si="4"/>
        <v>2159476666</v>
      </c>
      <c r="T35" s="60">
        <f t="shared" si="1"/>
        <v>3810.6170213516853</v>
      </c>
      <c r="U35" s="60">
        <f t="shared" si="2"/>
        <v>3810.6170213516853</v>
      </c>
      <c r="V35" s="60">
        <v>162</v>
      </c>
      <c r="W35" s="650" t="s">
        <v>5</v>
      </c>
      <c r="X35" s="650"/>
      <c r="Y35" s="650"/>
      <c r="Z35" s="650" t="s">
        <v>5</v>
      </c>
      <c r="AA35" s="650"/>
      <c r="AB35" s="650"/>
      <c r="AC35" s="650" t="s">
        <v>5</v>
      </c>
      <c r="AD35" s="650"/>
      <c r="AE35" s="650"/>
      <c r="AF35" s="453" t="s">
        <v>5</v>
      </c>
      <c r="AG35" s="703"/>
      <c r="AH35" s="703"/>
      <c r="AI35" s="78" t="str">
        <f>+IF(U35="","",IF(U35&gt;=PARÁMETROS!$D$5,"CUMPLE","NO CUMPLE"))</f>
        <v>CUMPLE</v>
      </c>
      <c r="AJ35" s="143"/>
      <c r="AK35" s="112"/>
    </row>
    <row r="36" spans="1:37" s="79" customFormat="1" ht="85.5" x14ac:dyDescent="0.25">
      <c r="A36" s="653"/>
      <c r="B36" s="63" t="s">
        <v>346</v>
      </c>
      <c r="C36" s="409">
        <v>355</v>
      </c>
      <c r="D36" s="65" t="str">
        <f>+IFERROR(INDEX(PROPONENTES!$D$4:$D$109,MATCH('EXP GEN. 33-40'!B36,PROPONENTES!$C$4:$C$109,0)),"")</f>
        <v>WSP SERVICIOS S.A.S.</v>
      </c>
      <c r="E36" s="89" t="s">
        <v>23</v>
      </c>
      <c r="F36" s="67" t="s">
        <v>440</v>
      </c>
      <c r="G36" s="179" t="s">
        <v>5</v>
      </c>
      <c r="H36" s="179" t="s">
        <v>5</v>
      </c>
      <c r="I36" s="90">
        <v>0.6</v>
      </c>
      <c r="J36" s="91">
        <v>40143</v>
      </c>
      <c r="K36" s="70">
        <v>41183</v>
      </c>
      <c r="L36" s="71">
        <f t="shared" si="0"/>
        <v>2012</v>
      </c>
      <c r="M36" s="72">
        <f>+IFERROR(INDEX([12]PARÁMETROS!$B$11:$B$37,MATCH(L36,[12]PARÁMETROS!$A$11:$A$37,0)),"")</f>
        <v>566700</v>
      </c>
      <c r="N36" s="92">
        <v>4331349652</v>
      </c>
      <c r="O36" s="93" t="s">
        <v>20</v>
      </c>
      <c r="P36" s="456" t="s">
        <v>54</v>
      </c>
      <c r="Q36" s="75" t="s">
        <v>54</v>
      </c>
      <c r="R36" s="76">
        <v>1</v>
      </c>
      <c r="S36" s="72">
        <f t="shared" si="4"/>
        <v>4331349652</v>
      </c>
      <c r="T36" s="60">
        <f t="shared" si="1"/>
        <v>7643.1086147873657</v>
      </c>
      <c r="U36" s="60">
        <f t="shared" si="2"/>
        <v>4585.8651688724194</v>
      </c>
      <c r="V36" s="60">
        <v>169</v>
      </c>
      <c r="W36" s="650" t="s">
        <v>5</v>
      </c>
      <c r="X36" s="650"/>
      <c r="Y36" s="650"/>
      <c r="Z36" s="650" t="s">
        <v>5</v>
      </c>
      <c r="AA36" s="650"/>
      <c r="AB36" s="650"/>
      <c r="AC36" s="650" t="s">
        <v>5</v>
      </c>
      <c r="AD36" s="650"/>
      <c r="AE36" s="650"/>
      <c r="AF36" s="453" t="s">
        <v>5</v>
      </c>
      <c r="AG36" s="703"/>
      <c r="AH36" s="703"/>
      <c r="AI36" s="78" t="str">
        <f>+IF(U36="","",IF(U36&gt;=PARÁMETROS!$D$5,"CUMPLE","NO CUMPLE"))</f>
        <v>CUMPLE</v>
      </c>
      <c r="AJ36" s="144"/>
      <c r="AK36" s="112"/>
    </row>
    <row r="37" spans="1:37" s="79" customFormat="1" ht="72" thickBot="1" x14ac:dyDescent="0.3">
      <c r="A37" s="653"/>
      <c r="B37" s="63" t="s">
        <v>346</v>
      </c>
      <c r="C37" s="409">
        <v>367</v>
      </c>
      <c r="D37" s="65" t="str">
        <f>+IFERROR(INDEX(PROPONENTES!$D$4:$D$109,MATCH('EXP GEN. 33-40'!B37,PROPONENTES!$C$4:$C$109,0)),"")</f>
        <v>WSP SERVICIOS S.A.S.</v>
      </c>
      <c r="E37" s="66" t="s">
        <v>23</v>
      </c>
      <c r="F37" s="67" t="s">
        <v>442</v>
      </c>
      <c r="G37" s="179" t="s">
        <v>5</v>
      </c>
      <c r="H37" s="179" t="s">
        <v>5</v>
      </c>
      <c r="I37" s="69">
        <v>0.5</v>
      </c>
      <c r="J37" s="70">
        <v>42694</v>
      </c>
      <c r="K37" s="70">
        <v>41232</v>
      </c>
      <c r="L37" s="71">
        <f t="shared" si="0"/>
        <v>2012</v>
      </c>
      <c r="M37" s="72">
        <f>+IFERROR(INDEX([12]PARÁMETROS!$B$11:$B$37,MATCH(L37,[12]PARÁMETROS!$A$11:$A$37,0)),"")</f>
        <v>566700</v>
      </c>
      <c r="N37" s="73">
        <v>4761160509</v>
      </c>
      <c r="O37" s="74" t="s">
        <v>20</v>
      </c>
      <c r="P37" s="456" t="s">
        <v>54</v>
      </c>
      <c r="Q37" s="75" t="s">
        <v>54</v>
      </c>
      <c r="R37" s="76">
        <v>1</v>
      </c>
      <c r="S37" s="72">
        <f t="shared" si="4"/>
        <v>4761160509</v>
      </c>
      <c r="T37" s="60">
        <f t="shared" si="1"/>
        <v>8401.5537480148232</v>
      </c>
      <c r="U37" s="60">
        <f t="shared" si="2"/>
        <v>4200.7768740074116</v>
      </c>
      <c r="V37" s="60">
        <v>168</v>
      </c>
      <c r="W37" s="650" t="s">
        <v>5</v>
      </c>
      <c r="X37" s="650"/>
      <c r="Y37" s="650"/>
      <c r="Z37" s="650" t="s">
        <v>5</v>
      </c>
      <c r="AA37" s="650"/>
      <c r="AB37" s="650"/>
      <c r="AC37" s="650" t="s">
        <v>5</v>
      </c>
      <c r="AD37" s="650"/>
      <c r="AE37" s="650"/>
      <c r="AF37" s="453" t="s">
        <v>5</v>
      </c>
      <c r="AG37" s="703"/>
      <c r="AH37" s="703"/>
      <c r="AI37" s="78" t="str">
        <f>+IF(U37="","",IF(U37&gt;=PARÁMETROS!$D$5,"CUMPLE","NO CUMPLE"))</f>
        <v>CUMPLE</v>
      </c>
      <c r="AJ37" s="143"/>
      <c r="AK37" s="112"/>
    </row>
    <row r="38" spans="1:37" s="79" customFormat="1" ht="57" x14ac:dyDescent="0.25">
      <c r="A38" s="652" t="s">
        <v>381</v>
      </c>
      <c r="B38" s="125" t="s">
        <v>347</v>
      </c>
      <c r="C38" s="408">
        <v>121</v>
      </c>
      <c r="D38" s="127" t="str">
        <f>+IFERROR(INDEX(PROPONENTES!$D$4:$D$109,MATCH('EXP GEN. 33-40'!B38,PROPONENTES!$C$4:$C$109,0)),"")</f>
        <v>PLANES S.A.</v>
      </c>
      <c r="E38" s="128" t="s">
        <v>425</v>
      </c>
      <c r="F38" s="129" t="s">
        <v>449</v>
      </c>
      <c r="G38" s="181" t="s">
        <v>5</v>
      </c>
      <c r="H38" s="181" t="s">
        <v>5</v>
      </c>
      <c r="I38" s="233">
        <v>0.245</v>
      </c>
      <c r="J38" s="132">
        <v>40186</v>
      </c>
      <c r="K38" s="132">
        <v>41913</v>
      </c>
      <c r="L38" s="133">
        <f t="shared" si="0"/>
        <v>2014</v>
      </c>
      <c r="M38" s="134">
        <f>+IFERROR(INDEX(PARÁMETROS!$B$11:$B$37,MATCH(L38,PARÁMETROS!$A$11:$A$37,0)),"")</f>
        <v>616000</v>
      </c>
      <c r="N38" s="135">
        <v>10922423850.5</v>
      </c>
      <c r="O38" s="136" t="s">
        <v>20</v>
      </c>
      <c r="P38" s="125" t="s">
        <v>54</v>
      </c>
      <c r="Q38" s="137" t="s">
        <v>54</v>
      </c>
      <c r="R38" s="138">
        <v>1</v>
      </c>
      <c r="S38" s="134">
        <f t="shared" si="3"/>
        <v>10922423850.5</v>
      </c>
      <c r="T38" s="139">
        <f t="shared" si="1"/>
        <v>17731.207549512987</v>
      </c>
      <c r="U38" s="139">
        <f t="shared" si="2"/>
        <v>4344.1458496306814</v>
      </c>
      <c r="V38" s="139" t="s">
        <v>397</v>
      </c>
      <c r="W38" s="649"/>
      <c r="X38" s="649"/>
      <c r="Y38" s="649"/>
      <c r="Z38" s="649"/>
      <c r="AA38" s="649"/>
      <c r="AB38" s="649"/>
      <c r="AC38" s="649"/>
      <c r="AD38" s="649"/>
      <c r="AE38" s="649"/>
      <c r="AF38" s="181"/>
      <c r="AG38" s="702" t="str">
        <f>IF(U38="","",IF(SUM(U38:U43)&gt;=PARÁMETROS!$H$5,"CUMPLE","NO CUMPLE"))</f>
        <v>CUMPLE</v>
      </c>
      <c r="AH38" s="702" t="str">
        <f>IF(U38="","",IF(U38+U39+U40+U41&gt;=PARÁMETROS!$F$5,"CUMPLE","NO CUMPLE"))</f>
        <v>CUMPLE</v>
      </c>
      <c r="AI38" s="141" t="str">
        <f>+IF(U38="","",IF(U38&gt;=PARÁMETROS!$D$5,"CUMPLE","NO CUMPLE"))</f>
        <v>CUMPLE</v>
      </c>
      <c r="AJ38" s="142"/>
      <c r="AK38" s="112"/>
    </row>
    <row r="39" spans="1:37" s="79" customFormat="1" ht="71.25" x14ac:dyDescent="0.25">
      <c r="A39" s="653"/>
      <c r="B39" s="63" t="s">
        <v>347</v>
      </c>
      <c r="C39" s="409">
        <v>124</v>
      </c>
      <c r="D39" s="65" t="str">
        <f>+IFERROR(INDEX(PROPONENTES!$D$4:$D$109,MATCH('EXP GEN. 33-40'!B39,PROPONENTES!$C$4:$C$109,0)),"")</f>
        <v>PLANES S.A.</v>
      </c>
      <c r="E39" s="66" t="s">
        <v>445</v>
      </c>
      <c r="F39" s="67" t="s">
        <v>454</v>
      </c>
      <c r="G39" s="179" t="s">
        <v>5</v>
      </c>
      <c r="H39" s="179" t="s">
        <v>5</v>
      </c>
      <c r="I39" s="69">
        <v>0.5</v>
      </c>
      <c r="J39" s="70">
        <v>37288</v>
      </c>
      <c r="K39" s="70">
        <v>41779</v>
      </c>
      <c r="L39" s="71">
        <f t="shared" si="0"/>
        <v>2014</v>
      </c>
      <c r="M39" s="72">
        <f>+IFERROR(INDEX(PARÁMETROS!$B$11:$B$37,MATCH(L39,PARÁMETROS!$A$11:$A$37,0)),"")</f>
        <v>616000</v>
      </c>
      <c r="N39" s="73"/>
      <c r="O39" s="74" t="s">
        <v>20</v>
      </c>
      <c r="P39" s="63" t="s">
        <v>54</v>
      </c>
      <c r="Q39" s="75" t="s">
        <v>54</v>
      </c>
      <c r="R39" s="76">
        <v>1</v>
      </c>
      <c r="S39" s="72"/>
      <c r="T39" s="60">
        <v>15268.54</v>
      </c>
      <c r="U39" s="60">
        <f t="shared" si="2"/>
        <v>7634.27</v>
      </c>
      <c r="V39" s="60" t="s">
        <v>397</v>
      </c>
      <c r="W39" s="650"/>
      <c r="X39" s="650"/>
      <c r="Y39" s="650"/>
      <c r="Z39" s="650"/>
      <c r="AA39" s="650"/>
      <c r="AB39" s="650"/>
      <c r="AC39" s="650"/>
      <c r="AD39" s="650"/>
      <c r="AE39" s="650"/>
      <c r="AF39" s="179"/>
      <c r="AG39" s="703"/>
      <c r="AH39" s="703"/>
      <c r="AI39" s="78" t="str">
        <f>+IF(U39="","",IF(U39&gt;=PARÁMETROS!$D$5,"CUMPLE","NO CUMPLE"))</f>
        <v>CUMPLE</v>
      </c>
      <c r="AJ39" s="143"/>
      <c r="AK39" s="112"/>
    </row>
    <row r="40" spans="1:37" s="79" customFormat="1" ht="57" x14ac:dyDescent="0.25">
      <c r="A40" s="653"/>
      <c r="B40" s="63" t="s">
        <v>347</v>
      </c>
      <c r="C40" s="409">
        <v>127</v>
      </c>
      <c r="D40" s="65" t="str">
        <f>+IFERROR(INDEX(PROPONENTES!$D$4:$D$109,MATCH('EXP GEN. 33-40'!B40,PROPONENTES!$C$4:$C$109,0)),"")</f>
        <v>PLANES S.A.</v>
      </c>
      <c r="E40" s="66" t="s">
        <v>446</v>
      </c>
      <c r="F40" s="67" t="s">
        <v>450</v>
      </c>
      <c r="G40" s="179" t="s">
        <v>5</v>
      </c>
      <c r="H40" s="179" t="s">
        <v>5</v>
      </c>
      <c r="I40" s="69">
        <v>0.25</v>
      </c>
      <c r="J40" s="70">
        <v>38718</v>
      </c>
      <c r="K40" s="70">
        <v>42063</v>
      </c>
      <c r="L40" s="71">
        <f t="shared" si="0"/>
        <v>2015</v>
      </c>
      <c r="M40" s="72">
        <f>+IFERROR(INDEX(PARÁMETROS!$B$11:$B$37,MATCH(L40,PARÁMETROS!$A$11:$A$37,0)),"")</f>
        <v>644350</v>
      </c>
      <c r="N40" s="73">
        <v>8567960679</v>
      </c>
      <c r="O40" s="74" t="s">
        <v>20</v>
      </c>
      <c r="P40" s="63" t="s">
        <v>54</v>
      </c>
      <c r="Q40" s="75" t="s">
        <v>54</v>
      </c>
      <c r="R40" s="76">
        <v>1</v>
      </c>
      <c r="S40" s="72">
        <f t="shared" si="3"/>
        <v>8567960679</v>
      </c>
      <c r="T40" s="60">
        <f t="shared" si="1"/>
        <v>13297.060105532708</v>
      </c>
      <c r="U40" s="60">
        <f t="shared" si="2"/>
        <v>3324.265026383177</v>
      </c>
      <c r="V40" s="60" t="s">
        <v>397</v>
      </c>
      <c r="W40" s="650"/>
      <c r="X40" s="650"/>
      <c r="Y40" s="650"/>
      <c r="Z40" s="650"/>
      <c r="AA40" s="650"/>
      <c r="AB40" s="650"/>
      <c r="AC40" s="650"/>
      <c r="AD40" s="650"/>
      <c r="AE40" s="650"/>
      <c r="AF40" s="179"/>
      <c r="AG40" s="703"/>
      <c r="AH40" s="703"/>
      <c r="AI40" s="78" t="str">
        <f>+IF(U40="","",IF(U40&gt;=PARÁMETROS!$D$5,"CUMPLE","NO CUMPLE"))</f>
        <v>CUMPLE</v>
      </c>
      <c r="AJ40" s="143"/>
      <c r="AK40" s="112"/>
    </row>
    <row r="41" spans="1:37" s="79" customFormat="1" ht="30" customHeight="1" x14ac:dyDescent="0.25">
      <c r="A41" s="653"/>
      <c r="B41" s="63" t="s">
        <v>347</v>
      </c>
      <c r="C41" s="409">
        <v>131</v>
      </c>
      <c r="D41" s="65" t="str">
        <f>+IFERROR(INDEX(PROPONENTES!$D$4:$D$109,MATCH('EXP GEN. 33-40'!B41,PROPONENTES!$C$4:$C$109,0)),"")</f>
        <v>PLANES S.A.</v>
      </c>
      <c r="E41" s="66" t="s">
        <v>447</v>
      </c>
      <c r="F41" s="67" t="s">
        <v>451</v>
      </c>
      <c r="G41" s="179" t="s">
        <v>5</v>
      </c>
      <c r="H41" s="179" t="s">
        <v>5</v>
      </c>
      <c r="I41" s="69">
        <v>1</v>
      </c>
      <c r="J41" s="70">
        <v>35125</v>
      </c>
      <c r="K41" s="70">
        <v>35581</v>
      </c>
      <c r="L41" s="71">
        <f t="shared" si="0"/>
        <v>1997</v>
      </c>
      <c r="M41" s="72">
        <f>+IFERROR(INDEX(PARÁMETROS!$B$11:$B$37,MATCH(L41,PARÁMETROS!$A$11:$A$37,0)),"")</f>
        <v>172005</v>
      </c>
      <c r="N41" s="73">
        <v>451929529.60000002</v>
      </c>
      <c r="O41" s="74" t="s">
        <v>20</v>
      </c>
      <c r="P41" s="63" t="s">
        <v>54</v>
      </c>
      <c r="Q41" s="75" t="s">
        <v>54</v>
      </c>
      <c r="R41" s="76">
        <v>1</v>
      </c>
      <c r="S41" s="72">
        <f t="shared" si="3"/>
        <v>451929529.60000002</v>
      </c>
      <c r="T41" s="60">
        <f t="shared" si="1"/>
        <v>2627.4208866021336</v>
      </c>
      <c r="U41" s="60">
        <f t="shared" si="2"/>
        <v>2627.4208866021336</v>
      </c>
      <c r="V41" s="60">
        <v>72</v>
      </c>
      <c r="W41" s="650" t="s">
        <v>5</v>
      </c>
      <c r="X41" s="650"/>
      <c r="Y41" s="650"/>
      <c r="Z41" s="650" t="s">
        <v>6</v>
      </c>
      <c r="AA41" s="650"/>
      <c r="AB41" s="650"/>
      <c r="AC41" s="650" t="s">
        <v>5</v>
      </c>
      <c r="AD41" s="650"/>
      <c r="AE41" s="650"/>
      <c r="AF41" s="179" t="s">
        <v>5</v>
      </c>
      <c r="AG41" s="703"/>
      <c r="AH41" s="703"/>
      <c r="AI41" s="78" t="str">
        <f>+IF(U41="","",IF(U41&gt;=PARÁMETROS!$D$5,"CUMPLE","NO CUMPLE"))</f>
        <v>CUMPLE</v>
      </c>
      <c r="AJ41" s="143"/>
      <c r="AK41" s="112"/>
    </row>
    <row r="42" spans="1:37" s="79" customFormat="1" ht="42.75" x14ac:dyDescent="0.25">
      <c r="A42" s="653"/>
      <c r="B42" s="63" t="s">
        <v>349</v>
      </c>
      <c r="C42" s="409">
        <v>134</v>
      </c>
      <c r="D42" s="65" t="str">
        <f>+IFERROR(INDEX(PROPONENTES!$D$4:$D$109,MATCH('EXP GEN. 33-40'!B42,PROPONENTES!$C$4:$C$109,0)),"")</f>
        <v>HIDROCONSULTA S.A.S.</v>
      </c>
      <c r="E42" s="66" t="s">
        <v>21</v>
      </c>
      <c r="F42" s="66" t="s">
        <v>452</v>
      </c>
      <c r="G42" s="179" t="s">
        <v>5</v>
      </c>
      <c r="H42" s="179" t="s">
        <v>5</v>
      </c>
      <c r="I42" s="80">
        <v>0.35</v>
      </c>
      <c r="J42" s="70">
        <v>40063</v>
      </c>
      <c r="K42" s="70">
        <v>42004</v>
      </c>
      <c r="L42" s="71">
        <f t="shared" si="0"/>
        <v>2014</v>
      </c>
      <c r="M42" s="72">
        <f>+IFERROR(INDEX(PARÁMETROS!$B$11:$B$37,MATCH(L42,PARÁMETROS!$A$11:$A$37,0)),"")</f>
        <v>616000</v>
      </c>
      <c r="N42" s="81">
        <v>7687232827</v>
      </c>
      <c r="O42" s="72" t="s">
        <v>20</v>
      </c>
      <c r="P42" s="63" t="s">
        <v>54</v>
      </c>
      <c r="Q42" s="75" t="s">
        <v>54</v>
      </c>
      <c r="R42" s="76">
        <v>1</v>
      </c>
      <c r="S42" s="72">
        <f t="shared" si="3"/>
        <v>7687232827</v>
      </c>
      <c r="T42" s="60">
        <f t="shared" si="1"/>
        <v>12479.274069805195</v>
      </c>
      <c r="U42" s="60">
        <f t="shared" si="2"/>
        <v>4367.7459244318179</v>
      </c>
      <c r="V42" s="60" t="s">
        <v>397</v>
      </c>
      <c r="W42" s="650"/>
      <c r="X42" s="650"/>
      <c r="Y42" s="650"/>
      <c r="Z42" s="650"/>
      <c r="AA42" s="650"/>
      <c r="AB42" s="650"/>
      <c r="AC42" s="650"/>
      <c r="AD42" s="650"/>
      <c r="AE42" s="650"/>
      <c r="AF42" s="179" t="s">
        <v>5</v>
      </c>
      <c r="AG42" s="703"/>
      <c r="AH42" s="703"/>
      <c r="AI42" s="78" t="str">
        <f>+IF(U42="","",IF(U42&gt;=PARÁMETROS!$D$5,"CUMPLE","NO CUMPLE"))</f>
        <v>CUMPLE</v>
      </c>
      <c r="AJ42" s="143"/>
      <c r="AK42" s="112"/>
    </row>
    <row r="43" spans="1:37" s="79" customFormat="1" ht="43.5" thickBot="1" x14ac:dyDescent="0.3">
      <c r="A43" s="654"/>
      <c r="B43" s="145" t="s">
        <v>349</v>
      </c>
      <c r="C43" s="411">
        <v>137</v>
      </c>
      <c r="D43" s="146" t="str">
        <f>+IFERROR(INDEX(PROPONENTES!$D$4:$D$109,MATCH('EXP GEN. 33-40'!B43,PROPONENTES!$C$4:$C$109,0)),"")</f>
        <v>HIDROCONSULTA S.A.S.</v>
      </c>
      <c r="E43" s="147" t="s">
        <v>448</v>
      </c>
      <c r="F43" s="147" t="s">
        <v>453</v>
      </c>
      <c r="G43" s="180" t="s">
        <v>5</v>
      </c>
      <c r="H43" s="180" t="s">
        <v>5</v>
      </c>
      <c r="I43" s="172">
        <v>1</v>
      </c>
      <c r="J43" s="151">
        <v>32888</v>
      </c>
      <c r="K43" s="151">
        <v>34318</v>
      </c>
      <c r="L43" s="152">
        <f t="shared" si="0"/>
        <v>1993</v>
      </c>
      <c r="M43" s="153">
        <f>+IFERROR(INDEX(PARÁMETROS!$B$11:$B$37,MATCH(L43,PARÁMETROS!$A$11:$A$37,0)),"")</f>
        <v>81510</v>
      </c>
      <c r="N43" s="173">
        <v>894581645.75</v>
      </c>
      <c r="O43" s="153" t="s">
        <v>20</v>
      </c>
      <c r="P43" s="145" t="s">
        <v>54</v>
      </c>
      <c r="Q43" s="156" t="s">
        <v>54</v>
      </c>
      <c r="R43" s="157">
        <v>1</v>
      </c>
      <c r="S43" s="153">
        <f t="shared" si="3"/>
        <v>894581645.75</v>
      </c>
      <c r="T43" s="158">
        <f t="shared" si="1"/>
        <v>10975.115271132376</v>
      </c>
      <c r="U43" s="158">
        <f t="shared" si="2"/>
        <v>10975.115271132376</v>
      </c>
      <c r="V43" s="158">
        <v>97</v>
      </c>
      <c r="W43" s="651" t="s">
        <v>5</v>
      </c>
      <c r="X43" s="651"/>
      <c r="Y43" s="651"/>
      <c r="Z43" s="651" t="s">
        <v>5</v>
      </c>
      <c r="AA43" s="651"/>
      <c r="AB43" s="651"/>
      <c r="AC43" s="651" t="s">
        <v>5</v>
      </c>
      <c r="AD43" s="651"/>
      <c r="AE43" s="651"/>
      <c r="AF43" s="180" t="s">
        <v>5</v>
      </c>
      <c r="AG43" s="704"/>
      <c r="AH43" s="704"/>
      <c r="AI43" s="159" t="str">
        <f>+IF(U43="","",IF(U43&gt;=PARÁMETROS!$D$5,"CUMPLE","NO CUMPLE"))</f>
        <v>CUMPLE</v>
      </c>
      <c r="AJ43" s="160"/>
      <c r="AK43" s="112"/>
    </row>
    <row r="44" spans="1:37" s="79" customFormat="1" ht="30" customHeight="1" x14ac:dyDescent="0.25">
      <c r="A44" s="652"/>
      <c r="B44" s="125"/>
      <c r="C44" s="408"/>
      <c r="D44" s="127" t="str">
        <f>+IFERROR(INDEX(PROPONENTES!$D$4:$D$109,MATCH('EXP GEN. 33-40'!B44,PROPONENTES!$C$4:$C$109,0)),"")</f>
        <v/>
      </c>
      <c r="E44" s="128"/>
      <c r="F44" s="128"/>
      <c r="G44" s="130"/>
      <c r="H44" s="130"/>
      <c r="I44" s="170"/>
      <c r="J44" s="132"/>
      <c r="K44" s="132"/>
      <c r="L44" s="133" t="str">
        <f t="shared" si="0"/>
        <v/>
      </c>
      <c r="M44" s="134" t="str">
        <f>+IFERROR(INDEX(PARÁMETROS!$B$11:$B$37,MATCH(L44,PARÁMETROS!$A$11:$A$37,0)),"")</f>
        <v/>
      </c>
      <c r="N44" s="171"/>
      <c r="O44" s="134"/>
      <c r="P44" s="125"/>
      <c r="Q44" s="137"/>
      <c r="R44" s="138"/>
      <c r="S44" s="134" t="str">
        <f t="shared" si="3"/>
        <v/>
      </c>
      <c r="T44" s="139" t="str">
        <f t="shared" si="1"/>
        <v/>
      </c>
      <c r="U44" s="139" t="str">
        <f t="shared" si="2"/>
        <v/>
      </c>
      <c r="V44" s="139"/>
      <c r="W44" s="649"/>
      <c r="X44" s="649"/>
      <c r="Y44" s="649"/>
      <c r="Z44" s="649"/>
      <c r="AA44" s="649"/>
      <c r="AB44" s="649"/>
      <c r="AC44" s="649"/>
      <c r="AD44" s="649"/>
      <c r="AE44" s="649"/>
      <c r="AF44" s="130"/>
      <c r="AG44" s="702" t="str">
        <f>IF(U44="","",IF(SUM(U44:U46)&gt;=PARÁMETROS!$H$5,"CUMPLE","NO CUMPLE"))</f>
        <v/>
      </c>
      <c r="AH44" s="702" t="str">
        <f>IF(U44="","",IF(U44&gt;=PARÁMETROS!$F$5,"CUMPLE","NO CUMPLE"))</f>
        <v/>
      </c>
      <c r="AI44" s="141" t="str">
        <f>+IF(U44="","",IF(U44&gt;=PARÁMETROS!$D$5,"CUMPLE","NO CUMPLE"))</f>
        <v/>
      </c>
      <c r="AJ44" s="142"/>
      <c r="AK44" s="112"/>
    </row>
    <row r="45" spans="1:37" s="79" customFormat="1" ht="30" customHeight="1" x14ac:dyDescent="0.25">
      <c r="A45" s="653"/>
      <c r="B45" s="63"/>
      <c r="C45" s="409"/>
      <c r="D45" s="65" t="str">
        <f>+IFERROR(INDEX(PROPONENTES!$D$4:$D$109,MATCH('EXP GEN. 33-40'!B45,PROPONENTES!$C$4:$C$109,0)),"")</f>
        <v/>
      </c>
      <c r="E45" s="66"/>
      <c r="F45" s="66"/>
      <c r="G45" s="68"/>
      <c r="H45" s="68"/>
      <c r="I45" s="80"/>
      <c r="J45" s="70"/>
      <c r="K45" s="70"/>
      <c r="L45" s="71" t="str">
        <f t="shared" si="0"/>
        <v/>
      </c>
      <c r="M45" s="72" t="str">
        <f>+IFERROR(INDEX(PARÁMETROS!$B$11:$B$37,MATCH(L45,PARÁMETROS!$A$11:$A$37,0)),"")</f>
        <v/>
      </c>
      <c r="N45" s="81"/>
      <c r="O45" s="72"/>
      <c r="P45" s="63"/>
      <c r="Q45" s="75"/>
      <c r="R45" s="76"/>
      <c r="S45" s="72" t="str">
        <f t="shared" si="3"/>
        <v/>
      </c>
      <c r="T45" s="60" t="str">
        <f t="shared" si="1"/>
        <v/>
      </c>
      <c r="U45" s="60" t="str">
        <f t="shared" si="2"/>
        <v/>
      </c>
      <c r="V45" s="60"/>
      <c r="W45" s="650"/>
      <c r="X45" s="650"/>
      <c r="Y45" s="650"/>
      <c r="Z45" s="650"/>
      <c r="AA45" s="650"/>
      <c r="AB45" s="650"/>
      <c r="AC45" s="650"/>
      <c r="AD45" s="650"/>
      <c r="AE45" s="650"/>
      <c r="AF45" s="68"/>
      <c r="AG45" s="703"/>
      <c r="AH45" s="703"/>
      <c r="AI45" s="78" t="str">
        <f>+IF(U45="","",IF(U45&gt;=PARÁMETROS!$D$5,"CUMPLE","NO CUMPLE"))</f>
        <v/>
      </c>
      <c r="AJ45" s="143"/>
      <c r="AK45" s="112"/>
    </row>
    <row r="46" spans="1:37" s="79" customFormat="1" ht="30" customHeight="1" x14ac:dyDescent="0.25">
      <c r="A46" s="653"/>
      <c r="B46" s="63"/>
      <c r="C46" s="409"/>
      <c r="D46" s="65" t="str">
        <f>+IFERROR(INDEX(PROPONENTES!$D$4:$D$109,MATCH('EXP GEN. 33-40'!B46,PROPONENTES!$C$4:$C$109,0)),"")</f>
        <v/>
      </c>
      <c r="E46" s="66"/>
      <c r="F46" s="66"/>
      <c r="G46" s="68"/>
      <c r="H46" s="68"/>
      <c r="I46" s="80"/>
      <c r="J46" s="70"/>
      <c r="K46" s="70"/>
      <c r="L46" s="71" t="str">
        <f t="shared" si="0"/>
        <v/>
      </c>
      <c r="M46" s="72" t="str">
        <f>+IFERROR(INDEX(PARÁMETROS!$B$11:$B$37,MATCH(L46,PARÁMETROS!$A$11:$A$37,0)),"")</f>
        <v/>
      </c>
      <c r="N46" s="81"/>
      <c r="O46" s="72"/>
      <c r="P46" s="63"/>
      <c r="Q46" s="75"/>
      <c r="R46" s="76"/>
      <c r="S46" s="72" t="str">
        <f t="shared" si="3"/>
        <v/>
      </c>
      <c r="T46" s="60" t="str">
        <f t="shared" si="1"/>
        <v/>
      </c>
      <c r="U46" s="60" t="str">
        <f t="shared" si="2"/>
        <v/>
      </c>
      <c r="V46" s="60"/>
      <c r="W46" s="650"/>
      <c r="X46" s="650"/>
      <c r="Y46" s="650"/>
      <c r="Z46" s="650"/>
      <c r="AA46" s="650"/>
      <c r="AB46" s="650"/>
      <c r="AC46" s="650"/>
      <c r="AD46" s="650"/>
      <c r="AE46" s="650"/>
      <c r="AF46" s="68"/>
      <c r="AG46" s="703"/>
      <c r="AH46" s="703"/>
      <c r="AI46" s="78" t="str">
        <f>+IF(U46="","",IF(U46&gt;=PARÁMETROS!$D$5,"CUMPLE","NO CUMPLE"))</f>
        <v/>
      </c>
      <c r="AJ46" s="143"/>
      <c r="AK46" s="112"/>
    </row>
    <row r="47" spans="1:37" s="79" customFormat="1" ht="30" customHeight="1" x14ac:dyDescent="0.25">
      <c r="A47" s="653"/>
      <c r="B47" s="63"/>
      <c r="C47" s="409"/>
      <c r="D47" s="65" t="str">
        <f>+IFERROR(INDEX(PROPONENTES!$D$4:$D$109,MATCH('EXP GEN. 33-40'!B47,PROPONENTES!$C$4:$C$109,0)),"")</f>
        <v/>
      </c>
      <c r="E47" s="66"/>
      <c r="F47" s="66"/>
      <c r="G47" s="68"/>
      <c r="H47" s="68"/>
      <c r="I47" s="80"/>
      <c r="J47" s="70"/>
      <c r="K47" s="70"/>
      <c r="L47" s="71" t="str">
        <f t="shared" si="0"/>
        <v/>
      </c>
      <c r="M47" s="72" t="str">
        <f>+IFERROR(INDEX(PARÁMETROS!$B$11:$B$37,MATCH(L47,PARÁMETROS!$A$11:$A$37,0)),"")</f>
        <v/>
      </c>
      <c r="N47" s="81"/>
      <c r="O47" s="72"/>
      <c r="P47" s="63"/>
      <c r="Q47" s="75"/>
      <c r="R47" s="76"/>
      <c r="S47" s="72" t="str">
        <f t="shared" si="3"/>
        <v/>
      </c>
      <c r="T47" s="60" t="str">
        <f t="shared" si="1"/>
        <v/>
      </c>
      <c r="U47" s="60" t="str">
        <f t="shared" si="2"/>
        <v/>
      </c>
      <c r="V47" s="60"/>
      <c r="W47" s="650"/>
      <c r="X47" s="650"/>
      <c r="Y47" s="650"/>
      <c r="Z47" s="650"/>
      <c r="AA47" s="650"/>
      <c r="AB47" s="650"/>
      <c r="AC47" s="650"/>
      <c r="AD47" s="650"/>
      <c r="AE47" s="650"/>
      <c r="AF47" s="68"/>
      <c r="AG47" s="703"/>
      <c r="AH47" s="703"/>
      <c r="AI47" s="78" t="str">
        <f>+IF(U47="","",IF(U47&gt;=PARÁMETROS!$D$5,"CUMPLE","NO CUMPLE"))</f>
        <v/>
      </c>
      <c r="AJ47" s="143"/>
      <c r="AK47" s="112"/>
    </row>
    <row r="48" spans="1:37" s="79" customFormat="1" ht="30" customHeight="1" x14ac:dyDescent="0.25">
      <c r="A48" s="653"/>
      <c r="B48" s="63"/>
      <c r="C48" s="409"/>
      <c r="D48" s="65" t="str">
        <f>+IFERROR(INDEX(PROPONENTES!$D$4:$D$109,MATCH('EXP GEN. 33-40'!B48,PROPONENTES!$C$4:$C$109,0)),"")</f>
        <v/>
      </c>
      <c r="E48" s="66"/>
      <c r="F48" s="66"/>
      <c r="G48" s="68"/>
      <c r="H48" s="68"/>
      <c r="I48" s="80"/>
      <c r="J48" s="70"/>
      <c r="K48" s="70"/>
      <c r="L48" s="71" t="str">
        <f t="shared" si="0"/>
        <v/>
      </c>
      <c r="M48" s="72" t="str">
        <f>+IFERROR(INDEX(PARÁMETROS!$B$11:$B$37,MATCH(L48,PARÁMETROS!$A$11:$A$37,0)),"")</f>
        <v/>
      </c>
      <c r="N48" s="81"/>
      <c r="O48" s="72"/>
      <c r="P48" s="63"/>
      <c r="Q48" s="75"/>
      <c r="R48" s="76"/>
      <c r="S48" s="72" t="str">
        <f t="shared" si="3"/>
        <v/>
      </c>
      <c r="T48" s="60" t="str">
        <f t="shared" si="1"/>
        <v/>
      </c>
      <c r="U48" s="60" t="str">
        <f t="shared" si="2"/>
        <v/>
      </c>
      <c r="V48" s="60"/>
      <c r="W48" s="650"/>
      <c r="X48" s="650"/>
      <c r="Y48" s="650"/>
      <c r="Z48" s="650"/>
      <c r="AA48" s="650"/>
      <c r="AB48" s="650"/>
      <c r="AC48" s="650"/>
      <c r="AD48" s="650"/>
      <c r="AE48" s="650"/>
      <c r="AF48" s="68"/>
      <c r="AG48" s="703"/>
      <c r="AH48" s="703"/>
      <c r="AI48" s="78" t="str">
        <f>+IF(U48="","",IF(U48&gt;=PARÁMETROS!$D$5,"CUMPLE","NO CUMPLE"))</f>
        <v/>
      </c>
      <c r="AJ48" s="143"/>
      <c r="AK48" s="112"/>
    </row>
    <row r="49" spans="1:37" s="79" customFormat="1" ht="30" customHeight="1" thickBot="1" x14ac:dyDescent="0.3">
      <c r="A49" s="654"/>
      <c r="B49" s="145"/>
      <c r="C49" s="411"/>
      <c r="D49" s="146" t="str">
        <f>+IFERROR(INDEX(PROPONENTES!$D$4:$D$109,MATCH('EXP GEN. 33-40'!B49,PROPONENTES!$C$4:$C$109,0)),"")</f>
        <v/>
      </c>
      <c r="E49" s="147"/>
      <c r="F49" s="147"/>
      <c r="G49" s="149"/>
      <c r="H49" s="149"/>
      <c r="I49" s="172"/>
      <c r="J49" s="151"/>
      <c r="K49" s="151"/>
      <c r="L49" s="152" t="str">
        <f t="shared" si="0"/>
        <v/>
      </c>
      <c r="M49" s="153" t="str">
        <f>+IFERROR(INDEX(PARÁMETROS!$B$11:$B$37,MATCH(L49,PARÁMETROS!$A$11:$A$37,0)),"")</f>
        <v/>
      </c>
      <c r="N49" s="173"/>
      <c r="O49" s="153"/>
      <c r="P49" s="145"/>
      <c r="Q49" s="156"/>
      <c r="R49" s="157"/>
      <c r="S49" s="153" t="str">
        <f t="shared" si="3"/>
        <v/>
      </c>
      <c r="T49" s="158" t="str">
        <f t="shared" si="1"/>
        <v/>
      </c>
      <c r="U49" s="158" t="str">
        <f t="shared" si="2"/>
        <v/>
      </c>
      <c r="V49" s="158"/>
      <c r="W49" s="651"/>
      <c r="X49" s="651"/>
      <c r="Y49" s="651"/>
      <c r="Z49" s="651"/>
      <c r="AA49" s="651"/>
      <c r="AB49" s="651"/>
      <c r="AC49" s="651"/>
      <c r="AD49" s="651"/>
      <c r="AE49" s="651"/>
      <c r="AF49" s="149"/>
      <c r="AG49" s="704"/>
      <c r="AH49" s="704"/>
      <c r="AI49" s="159" t="str">
        <f>+IF(U49="","",IF(U49&gt;=PARÁMETROS!$D$5,"CUMPLE","NO CUMPLE"))</f>
        <v/>
      </c>
      <c r="AJ49" s="160"/>
      <c r="AK49" s="112"/>
    </row>
    <row r="50" spans="1:37" s="79" customFormat="1" ht="30" customHeight="1" x14ac:dyDescent="0.25">
      <c r="A50" s="652"/>
      <c r="B50" s="125"/>
      <c r="C50" s="408"/>
      <c r="D50" s="127" t="str">
        <f>+IFERROR(INDEX(PROPONENTES!$D$4:$D$109,MATCH('EXP GEN. 33-40'!B50,PROPONENTES!$C$4:$C$109,0)),"")</f>
        <v/>
      </c>
      <c r="E50" s="128"/>
      <c r="F50" s="128"/>
      <c r="G50" s="130"/>
      <c r="H50" s="130"/>
      <c r="I50" s="170"/>
      <c r="J50" s="132"/>
      <c r="K50" s="132"/>
      <c r="L50" s="133" t="str">
        <f t="shared" si="0"/>
        <v/>
      </c>
      <c r="M50" s="134" t="str">
        <f>+IFERROR(INDEX(PARÁMETROS!$B$11:$B$37,MATCH(L50,PARÁMETROS!$A$11:$A$37,0)),"")</f>
        <v/>
      </c>
      <c r="N50" s="171"/>
      <c r="O50" s="134"/>
      <c r="P50" s="125"/>
      <c r="Q50" s="137"/>
      <c r="R50" s="138"/>
      <c r="S50" s="134" t="str">
        <f t="shared" si="3"/>
        <v/>
      </c>
      <c r="T50" s="139" t="str">
        <f t="shared" si="1"/>
        <v/>
      </c>
      <c r="U50" s="139" t="str">
        <f t="shared" si="2"/>
        <v/>
      </c>
      <c r="V50" s="139"/>
      <c r="W50" s="649"/>
      <c r="X50" s="649"/>
      <c r="Y50" s="649"/>
      <c r="Z50" s="649"/>
      <c r="AA50" s="649"/>
      <c r="AB50" s="649"/>
      <c r="AC50" s="649"/>
      <c r="AD50" s="649"/>
      <c r="AE50" s="649"/>
      <c r="AF50" s="130"/>
      <c r="AG50" s="702" t="str">
        <f>IF(U50="","",IF(SUM(U50:U52)&gt;=PARÁMETROS!$H$5,"CUMPLE","NO CUMPLE"))</f>
        <v/>
      </c>
      <c r="AH50" s="702" t="str">
        <f>IF(U50="","",IF(U50&gt;=PARÁMETROS!$F$5,"CUMPLE","NO CUMPLE"))</f>
        <v/>
      </c>
      <c r="AI50" s="141" t="str">
        <f>+IF(U50="","",IF(U50&gt;=PARÁMETROS!$D$5,"CUMPLE","NO CUMPLE"))</f>
        <v/>
      </c>
      <c r="AJ50" s="142"/>
      <c r="AK50" s="112"/>
    </row>
    <row r="51" spans="1:37" s="79" customFormat="1" ht="30" customHeight="1" x14ac:dyDescent="0.25">
      <c r="A51" s="653"/>
      <c r="B51" s="63"/>
      <c r="C51" s="409"/>
      <c r="D51" s="65" t="str">
        <f>+IFERROR(INDEX(PROPONENTES!$D$4:$D$109,MATCH('EXP GEN. 33-40'!B51,PROPONENTES!$C$4:$C$109,0)),"")</f>
        <v/>
      </c>
      <c r="E51" s="66"/>
      <c r="F51" s="66"/>
      <c r="G51" s="68"/>
      <c r="H51" s="68"/>
      <c r="I51" s="80"/>
      <c r="J51" s="70"/>
      <c r="K51" s="70"/>
      <c r="L51" s="71" t="str">
        <f t="shared" si="0"/>
        <v/>
      </c>
      <c r="M51" s="72" t="str">
        <f>+IFERROR(INDEX(PARÁMETROS!$B$11:$B$37,MATCH(L51,PARÁMETROS!$A$11:$A$37,0)),"")</f>
        <v/>
      </c>
      <c r="N51" s="81"/>
      <c r="O51" s="72"/>
      <c r="P51" s="63"/>
      <c r="Q51" s="75"/>
      <c r="R51" s="76"/>
      <c r="S51" s="72" t="str">
        <f t="shared" si="3"/>
        <v/>
      </c>
      <c r="T51" s="60" t="str">
        <f t="shared" si="1"/>
        <v/>
      </c>
      <c r="U51" s="60" t="str">
        <f t="shared" si="2"/>
        <v/>
      </c>
      <c r="V51" s="60"/>
      <c r="W51" s="650"/>
      <c r="X51" s="650"/>
      <c r="Y51" s="650"/>
      <c r="Z51" s="650"/>
      <c r="AA51" s="650"/>
      <c r="AB51" s="650"/>
      <c r="AC51" s="650"/>
      <c r="AD51" s="650"/>
      <c r="AE51" s="650"/>
      <c r="AF51" s="68"/>
      <c r="AG51" s="703"/>
      <c r="AH51" s="703"/>
      <c r="AI51" s="78" t="str">
        <f>+IF(U51="","",IF(U51&gt;=PARÁMETROS!$D$5,"CUMPLE","NO CUMPLE"))</f>
        <v/>
      </c>
      <c r="AJ51" s="143"/>
      <c r="AK51" s="112"/>
    </row>
    <row r="52" spans="1:37" s="79" customFormat="1" ht="30" customHeight="1" x14ac:dyDescent="0.25">
      <c r="A52" s="653"/>
      <c r="B52" s="63"/>
      <c r="C52" s="409"/>
      <c r="D52" s="65" t="str">
        <f>+IFERROR(INDEX(PROPONENTES!$D$4:$D$109,MATCH('EXP GEN. 33-40'!B52,PROPONENTES!$C$4:$C$109,0)),"")</f>
        <v/>
      </c>
      <c r="E52" s="66"/>
      <c r="F52" s="66"/>
      <c r="G52" s="68"/>
      <c r="H52" s="68"/>
      <c r="I52" s="80"/>
      <c r="J52" s="70"/>
      <c r="K52" s="70"/>
      <c r="L52" s="71" t="str">
        <f t="shared" si="0"/>
        <v/>
      </c>
      <c r="M52" s="72" t="str">
        <f>+IFERROR(INDEX(PARÁMETROS!$B$11:$B$37,MATCH(L52,PARÁMETROS!$A$11:$A$37,0)),"")</f>
        <v/>
      </c>
      <c r="N52" s="81"/>
      <c r="O52" s="72"/>
      <c r="P52" s="63"/>
      <c r="Q52" s="75"/>
      <c r="R52" s="76"/>
      <c r="S52" s="72" t="str">
        <f t="shared" si="3"/>
        <v/>
      </c>
      <c r="T52" s="60" t="str">
        <f t="shared" si="1"/>
        <v/>
      </c>
      <c r="U52" s="60" t="str">
        <f t="shared" si="2"/>
        <v/>
      </c>
      <c r="V52" s="60"/>
      <c r="W52" s="650"/>
      <c r="X52" s="650"/>
      <c r="Y52" s="650"/>
      <c r="Z52" s="650"/>
      <c r="AA52" s="650"/>
      <c r="AB52" s="650"/>
      <c r="AC52" s="650"/>
      <c r="AD52" s="650"/>
      <c r="AE52" s="650"/>
      <c r="AF52" s="68"/>
      <c r="AG52" s="703"/>
      <c r="AH52" s="703"/>
      <c r="AI52" s="78" t="str">
        <f>+IF(U52="","",IF(U52&gt;=PARÁMETROS!$D$5,"CUMPLE","NO CUMPLE"))</f>
        <v/>
      </c>
      <c r="AJ52" s="143"/>
      <c r="AK52" s="112"/>
    </row>
    <row r="53" spans="1:37" s="79" customFormat="1" ht="30" customHeight="1" x14ac:dyDescent="0.25">
      <c r="A53" s="653"/>
      <c r="B53" s="63"/>
      <c r="C53" s="409"/>
      <c r="D53" s="65" t="str">
        <f>+IFERROR(INDEX(PROPONENTES!$D$4:$D$109,MATCH('EXP GEN. 33-40'!B53,PROPONENTES!$C$4:$C$109,0)),"")</f>
        <v/>
      </c>
      <c r="E53" s="66"/>
      <c r="F53" s="66"/>
      <c r="G53" s="68"/>
      <c r="H53" s="68"/>
      <c r="I53" s="80"/>
      <c r="J53" s="70"/>
      <c r="K53" s="70"/>
      <c r="L53" s="71" t="str">
        <f t="shared" si="0"/>
        <v/>
      </c>
      <c r="M53" s="72" t="str">
        <f>+IFERROR(INDEX(PARÁMETROS!$B$11:$B$37,MATCH(L53,PARÁMETROS!$A$11:$A$37,0)),"")</f>
        <v/>
      </c>
      <c r="N53" s="81"/>
      <c r="O53" s="72"/>
      <c r="P53" s="63"/>
      <c r="Q53" s="75"/>
      <c r="R53" s="76"/>
      <c r="S53" s="72" t="str">
        <f t="shared" si="3"/>
        <v/>
      </c>
      <c r="T53" s="60" t="str">
        <f t="shared" si="1"/>
        <v/>
      </c>
      <c r="U53" s="60" t="str">
        <f t="shared" si="2"/>
        <v/>
      </c>
      <c r="V53" s="60"/>
      <c r="W53" s="650"/>
      <c r="X53" s="650"/>
      <c r="Y53" s="650"/>
      <c r="Z53" s="650"/>
      <c r="AA53" s="650"/>
      <c r="AB53" s="650"/>
      <c r="AC53" s="650"/>
      <c r="AD53" s="650"/>
      <c r="AE53" s="650"/>
      <c r="AF53" s="68"/>
      <c r="AG53" s="703"/>
      <c r="AH53" s="703"/>
      <c r="AI53" s="78" t="str">
        <f>+IF(U53="","",IF(U53&gt;=PARÁMETROS!$D$5,"CUMPLE","NO CUMPLE"))</f>
        <v/>
      </c>
      <c r="AJ53" s="143"/>
      <c r="AK53" s="112"/>
    </row>
    <row r="54" spans="1:37" s="79" customFormat="1" ht="30" customHeight="1" x14ac:dyDescent="0.25">
      <c r="A54" s="653"/>
      <c r="B54" s="63"/>
      <c r="C54" s="409"/>
      <c r="D54" s="65" t="str">
        <f>+IFERROR(INDEX(PROPONENTES!$D$4:$D$109,MATCH('EXP GEN. 33-40'!B54,PROPONENTES!$C$4:$C$109,0)),"")</f>
        <v/>
      </c>
      <c r="E54" s="66"/>
      <c r="F54" s="66"/>
      <c r="G54" s="68"/>
      <c r="H54" s="68"/>
      <c r="I54" s="80"/>
      <c r="J54" s="70"/>
      <c r="K54" s="70"/>
      <c r="L54" s="71" t="str">
        <f t="shared" si="0"/>
        <v/>
      </c>
      <c r="M54" s="72" t="str">
        <f>+IFERROR(INDEX(PARÁMETROS!$B$11:$B$37,MATCH(L54,PARÁMETROS!$A$11:$A$37,0)),"")</f>
        <v/>
      </c>
      <c r="N54" s="81"/>
      <c r="O54" s="72"/>
      <c r="P54" s="63"/>
      <c r="Q54" s="75"/>
      <c r="R54" s="76"/>
      <c r="S54" s="72" t="str">
        <f t="shared" si="3"/>
        <v/>
      </c>
      <c r="T54" s="60" t="str">
        <f t="shared" si="1"/>
        <v/>
      </c>
      <c r="U54" s="60" t="str">
        <f t="shared" si="2"/>
        <v/>
      </c>
      <c r="V54" s="60"/>
      <c r="W54" s="650"/>
      <c r="X54" s="650"/>
      <c r="Y54" s="650"/>
      <c r="Z54" s="650"/>
      <c r="AA54" s="650"/>
      <c r="AB54" s="650"/>
      <c r="AC54" s="650"/>
      <c r="AD54" s="650"/>
      <c r="AE54" s="650"/>
      <c r="AF54" s="68"/>
      <c r="AG54" s="703"/>
      <c r="AH54" s="703"/>
      <c r="AI54" s="78" t="str">
        <f>+IF(U54="","",IF(U54&gt;=PARÁMETROS!$D$5,"CUMPLE","NO CUMPLE"))</f>
        <v/>
      </c>
      <c r="AJ54" s="143"/>
      <c r="AK54" s="112"/>
    </row>
    <row r="55" spans="1:37" s="79" customFormat="1" ht="30" customHeight="1" thickBot="1" x14ac:dyDescent="0.3">
      <c r="A55" s="654"/>
      <c r="B55" s="145"/>
      <c r="C55" s="411"/>
      <c r="D55" s="146" t="str">
        <f>+IFERROR(INDEX(PROPONENTES!$D$4:$D$109,MATCH('EXP GEN. 33-40'!B55,PROPONENTES!$C$4:$C$109,0)),"")</f>
        <v/>
      </c>
      <c r="E55" s="147"/>
      <c r="F55" s="147"/>
      <c r="G55" s="149"/>
      <c r="H55" s="149"/>
      <c r="I55" s="172"/>
      <c r="J55" s="151"/>
      <c r="K55" s="151"/>
      <c r="L55" s="152" t="str">
        <f t="shared" si="0"/>
        <v/>
      </c>
      <c r="M55" s="153" t="str">
        <f>+IFERROR(INDEX(PARÁMETROS!$B$11:$B$37,MATCH(L55,PARÁMETROS!$A$11:$A$37,0)),"")</f>
        <v/>
      </c>
      <c r="N55" s="173"/>
      <c r="O55" s="153"/>
      <c r="P55" s="145"/>
      <c r="Q55" s="156"/>
      <c r="R55" s="157"/>
      <c r="S55" s="153" t="str">
        <f t="shared" si="3"/>
        <v/>
      </c>
      <c r="T55" s="158" t="str">
        <f t="shared" si="1"/>
        <v/>
      </c>
      <c r="U55" s="158" t="str">
        <f t="shared" si="2"/>
        <v/>
      </c>
      <c r="V55" s="158"/>
      <c r="W55" s="651"/>
      <c r="X55" s="651"/>
      <c r="Y55" s="651"/>
      <c r="Z55" s="651"/>
      <c r="AA55" s="651"/>
      <c r="AB55" s="651"/>
      <c r="AC55" s="651"/>
      <c r="AD55" s="651"/>
      <c r="AE55" s="651"/>
      <c r="AF55" s="149"/>
      <c r="AG55" s="704"/>
      <c r="AH55" s="704"/>
      <c r="AI55" s="159" t="str">
        <f>+IF(U55="","",IF(U55&gt;=PARÁMETROS!$D$5,"CUMPLE","NO CUMPLE"))</f>
        <v/>
      </c>
      <c r="AJ55" s="160"/>
      <c r="AK55" s="112"/>
    </row>
    <row r="56" spans="1:37" s="79" customFormat="1" ht="30" customHeight="1" x14ac:dyDescent="0.25">
      <c r="A56" s="652"/>
      <c r="B56" s="125"/>
      <c r="C56" s="408"/>
      <c r="D56" s="127" t="str">
        <f>+IFERROR(INDEX(PROPONENTES!$D$4:$D$109,MATCH('EXP GEN. 33-40'!B56,PROPONENTES!$C$4:$C$109,0)),"")</f>
        <v/>
      </c>
      <c r="E56" s="128"/>
      <c r="F56" s="128"/>
      <c r="G56" s="130"/>
      <c r="H56" s="130"/>
      <c r="I56" s="170"/>
      <c r="J56" s="132"/>
      <c r="K56" s="132"/>
      <c r="L56" s="133" t="str">
        <f t="shared" si="0"/>
        <v/>
      </c>
      <c r="M56" s="134" t="str">
        <f>+IFERROR(INDEX(PARÁMETROS!$B$11:$B$37,MATCH(L56,PARÁMETROS!$A$11:$A$37,0)),"")</f>
        <v/>
      </c>
      <c r="N56" s="171"/>
      <c r="O56" s="134"/>
      <c r="P56" s="125"/>
      <c r="Q56" s="137"/>
      <c r="R56" s="138"/>
      <c r="S56" s="134" t="str">
        <f t="shared" si="3"/>
        <v/>
      </c>
      <c r="T56" s="139" t="str">
        <f t="shared" si="1"/>
        <v/>
      </c>
      <c r="U56" s="139" t="str">
        <f t="shared" si="2"/>
        <v/>
      </c>
      <c r="V56" s="139"/>
      <c r="W56" s="649"/>
      <c r="X56" s="649"/>
      <c r="Y56" s="649"/>
      <c r="Z56" s="649"/>
      <c r="AA56" s="649"/>
      <c r="AB56" s="649"/>
      <c r="AC56" s="649"/>
      <c r="AD56" s="649"/>
      <c r="AE56" s="649"/>
      <c r="AF56" s="130"/>
      <c r="AG56" s="702" t="str">
        <f>IF(U56="","",IF(SUM(U56:U58)&gt;=PARÁMETROS!$H$5,"CUMPLE","NO CUMPLE"))</f>
        <v/>
      </c>
      <c r="AH56" s="702" t="str">
        <f>IF(U56="","",IF(U56&gt;=PARÁMETROS!$F$5,"CUMPLE","NO CUMPLE"))</f>
        <v/>
      </c>
      <c r="AI56" s="141" t="str">
        <f>+IF(U56="","",IF(U56&gt;=PARÁMETROS!$D$5,"CUMPLE","NO CUMPLE"))</f>
        <v/>
      </c>
      <c r="AJ56" s="142"/>
      <c r="AK56" s="112"/>
    </row>
    <row r="57" spans="1:37" s="79" customFormat="1" ht="30" customHeight="1" x14ac:dyDescent="0.25">
      <c r="A57" s="653"/>
      <c r="B57" s="63"/>
      <c r="C57" s="409"/>
      <c r="D57" s="65" t="str">
        <f>+IFERROR(INDEX(PROPONENTES!$D$4:$D$109,MATCH('EXP GEN. 33-40'!B57,PROPONENTES!$C$4:$C$109,0)),"")</f>
        <v/>
      </c>
      <c r="E57" s="66"/>
      <c r="F57" s="66"/>
      <c r="G57" s="68"/>
      <c r="H57" s="68"/>
      <c r="I57" s="80"/>
      <c r="J57" s="70"/>
      <c r="K57" s="70"/>
      <c r="L57" s="71" t="str">
        <f t="shared" si="0"/>
        <v/>
      </c>
      <c r="M57" s="72" t="str">
        <f>+IFERROR(INDEX(PARÁMETROS!$B$11:$B$37,MATCH(L57,PARÁMETROS!$A$11:$A$37,0)),"")</f>
        <v/>
      </c>
      <c r="N57" s="81"/>
      <c r="O57" s="72"/>
      <c r="P57" s="63"/>
      <c r="Q57" s="75"/>
      <c r="R57" s="76"/>
      <c r="S57" s="72" t="str">
        <f t="shared" si="3"/>
        <v/>
      </c>
      <c r="T57" s="60" t="str">
        <f t="shared" si="1"/>
        <v/>
      </c>
      <c r="U57" s="60" t="str">
        <f t="shared" si="2"/>
        <v/>
      </c>
      <c r="V57" s="60"/>
      <c r="W57" s="650"/>
      <c r="X57" s="650"/>
      <c r="Y57" s="650"/>
      <c r="Z57" s="650"/>
      <c r="AA57" s="650"/>
      <c r="AB57" s="650"/>
      <c r="AC57" s="650"/>
      <c r="AD57" s="650"/>
      <c r="AE57" s="650"/>
      <c r="AF57" s="68"/>
      <c r="AG57" s="703"/>
      <c r="AH57" s="703"/>
      <c r="AI57" s="78" t="str">
        <f>+IF(U57="","",IF(U57&gt;=PARÁMETROS!$D$5,"CUMPLE","NO CUMPLE"))</f>
        <v/>
      </c>
      <c r="AJ57" s="143"/>
      <c r="AK57" s="112"/>
    </row>
    <row r="58" spans="1:37" s="79" customFormat="1" ht="30" customHeight="1" x14ac:dyDescent="0.25">
      <c r="A58" s="653"/>
      <c r="B58" s="63"/>
      <c r="C58" s="409"/>
      <c r="D58" s="65" t="str">
        <f>+IFERROR(INDEX(PROPONENTES!$D$4:$D$109,MATCH('EXP GEN. 33-40'!B58,PROPONENTES!$C$4:$C$109,0)),"")</f>
        <v/>
      </c>
      <c r="E58" s="66"/>
      <c r="F58" s="66"/>
      <c r="G58" s="68"/>
      <c r="H58" s="68"/>
      <c r="I58" s="80"/>
      <c r="J58" s="70"/>
      <c r="K58" s="70"/>
      <c r="L58" s="71" t="str">
        <f t="shared" si="0"/>
        <v/>
      </c>
      <c r="M58" s="72" t="str">
        <f>+IFERROR(INDEX(PARÁMETROS!$B$11:$B$37,MATCH(L58,PARÁMETROS!$A$11:$A$37,0)),"")</f>
        <v/>
      </c>
      <c r="N58" s="81"/>
      <c r="O58" s="72"/>
      <c r="P58" s="63"/>
      <c r="Q58" s="75"/>
      <c r="R58" s="76"/>
      <c r="S58" s="72" t="str">
        <f t="shared" si="3"/>
        <v/>
      </c>
      <c r="T58" s="60" t="str">
        <f t="shared" si="1"/>
        <v/>
      </c>
      <c r="U58" s="60" t="str">
        <f t="shared" si="2"/>
        <v/>
      </c>
      <c r="V58" s="60"/>
      <c r="W58" s="650"/>
      <c r="X58" s="650"/>
      <c r="Y58" s="650"/>
      <c r="Z58" s="650"/>
      <c r="AA58" s="650"/>
      <c r="AB58" s="650"/>
      <c r="AC58" s="650"/>
      <c r="AD58" s="650"/>
      <c r="AE58" s="650"/>
      <c r="AF58" s="68"/>
      <c r="AG58" s="703"/>
      <c r="AH58" s="703"/>
      <c r="AI58" s="78" t="str">
        <f>+IF(U58="","",IF(U58&gt;=PARÁMETROS!$D$5,"CUMPLE","NO CUMPLE"))</f>
        <v/>
      </c>
      <c r="AJ58" s="143"/>
      <c r="AK58" s="112"/>
    </row>
    <row r="59" spans="1:37" s="79" customFormat="1" ht="30" customHeight="1" x14ac:dyDescent="0.25">
      <c r="A59" s="653"/>
      <c r="B59" s="63"/>
      <c r="C59" s="409"/>
      <c r="D59" s="65" t="str">
        <f>+IFERROR(INDEX(PROPONENTES!$D$4:$D$109,MATCH('EXP GEN. 33-40'!B59,PROPONENTES!$C$4:$C$109,0)),"")</f>
        <v/>
      </c>
      <c r="E59" s="66"/>
      <c r="F59" s="66"/>
      <c r="G59" s="68"/>
      <c r="H59" s="68"/>
      <c r="I59" s="80"/>
      <c r="J59" s="70"/>
      <c r="K59" s="70"/>
      <c r="L59" s="71" t="str">
        <f t="shared" si="0"/>
        <v/>
      </c>
      <c r="M59" s="72" t="str">
        <f>+IFERROR(INDEX(PARÁMETROS!$B$11:$B$37,MATCH(L59,PARÁMETROS!$A$11:$A$37,0)),"")</f>
        <v/>
      </c>
      <c r="N59" s="81"/>
      <c r="O59" s="72"/>
      <c r="P59" s="63"/>
      <c r="Q59" s="75"/>
      <c r="R59" s="76"/>
      <c r="S59" s="72" t="str">
        <f t="shared" si="3"/>
        <v/>
      </c>
      <c r="T59" s="60" t="str">
        <f t="shared" si="1"/>
        <v/>
      </c>
      <c r="U59" s="60" t="str">
        <f t="shared" si="2"/>
        <v/>
      </c>
      <c r="V59" s="60"/>
      <c r="W59" s="650"/>
      <c r="X59" s="650"/>
      <c r="Y59" s="650"/>
      <c r="Z59" s="650"/>
      <c r="AA59" s="650"/>
      <c r="AB59" s="650"/>
      <c r="AC59" s="650"/>
      <c r="AD59" s="650"/>
      <c r="AE59" s="650"/>
      <c r="AF59" s="68"/>
      <c r="AG59" s="703"/>
      <c r="AH59" s="703"/>
      <c r="AI59" s="78" t="str">
        <f>+IF(U59="","",IF(U59&gt;=PARÁMETROS!$D$5,"CUMPLE","NO CUMPLE"))</f>
        <v/>
      </c>
      <c r="AJ59" s="143"/>
      <c r="AK59" s="112"/>
    </row>
    <row r="60" spans="1:37" s="79" customFormat="1" ht="30" customHeight="1" x14ac:dyDescent="0.25">
      <c r="A60" s="653"/>
      <c r="B60" s="63"/>
      <c r="C60" s="409"/>
      <c r="D60" s="65" t="str">
        <f>+IFERROR(INDEX(PROPONENTES!$D$4:$D$109,MATCH('EXP GEN. 33-40'!B60,PROPONENTES!$C$4:$C$109,0)),"")</f>
        <v/>
      </c>
      <c r="E60" s="66"/>
      <c r="F60" s="66"/>
      <c r="G60" s="68"/>
      <c r="H60" s="68"/>
      <c r="I60" s="80"/>
      <c r="J60" s="70"/>
      <c r="K60" s="70"/>
      <c r="L60" s="71" t="str">
        <f t="shared" si="0"/>
        <v/>
      </c>
      <c r="M60" s="72" t="str">
        <f>+IFERROR(INDEX(PARÁMETROS!$B$11:$B$37,MATCH(L60,PARÁMETROS!$A$11:$A$37,0)),"")</f>
        <v/>
      </c>
      <c r="N60" s="81"/>
      <c r="O60" s="72"/>
      <c r="P60" s="63"/>
      <c r="Q60" s="75"/>
      <c r="R60" s="76"/>
      <c r="S60" s="72" t="str">
        <f t="shared" si="3"/>
        <v/>
      </c>
      <c r="T60" s="60" t="str">
        <f t="shared" si="1"/>
        <v/>
      </c>
      <c r="U60" s="60" t="str">
        <f t="shared" si="2"/>
        <v/>
      </c>
      <c r="V60" s="60"/>
      <c r="W60" s="650"/>
      <c r="X60" s="650"/>
      <c r="Y60" s="650"/>
      <c r="Z60" s="650"/>
      <c r="AA60" s="650"/>
      <c r="AB60" s="650"/>
      <c r="AC60" s="650"/>
      <c r="AD60" s="650"/>
      <c r="AE60" s="650"/>
      <c r="AF60" s="68"/>
      <c r="AG60" s="703"/>
      <c r="AH60" s="703"/>
      <c r="AI60" s="78" t="str">
        <f>+IF(U60="","",IF(U60&gt;=PARÁMETROS!$D$5,"CUMPLE","NO CUMPLE"))</f>
        <v/>
      </c>
      <c r="AJ60" s="143"/>
      <c r="AK60" s="112"/>
    </row>
    <row r="61" spans="1:37" s="79" customFormat="1" ht="30" customHeight="1" thickBot="1" x14ac:dyDescent="0.3">
      <c r="A61" s="654"/>
      <c r="B61" s="145"/>
      <c r="C61" s="411"/>
      <c r="D61" s="146" t="str">
        <f>+IFERROR(INDEX(PROPONENTES!$D$4:$D$109,MATCH('EXP GEN. 33-40'!B61,PROPONENTES!$C$4:$C$109,0)),"")</f>
        <v/>
      </c>
      <c r="E61" s="147"/>
      <c r="F61" s="147"/>
      <c r="G61" s="149"/>
      <c r="H61" s="149"/>
      <c r="I61" s="172"/>
      <c r="J61" s="151"/>
      <c r="K61" s="151"/>
      <c r="L61" s="152" t="str">
        <f t="shared" ref="L61:L73" si="5">IF(K61="","",YEAR(K61))</f>
        <v/>
      </c>
      <c r="M61" s="153" t="str">
        <f>+IFERROR(INDEX(PARÁMETROS!$B$11:$B$37,MATCH(L61,PARÁMETROS!$A$11:$A$37,0)),"")</f>
        <v/>
      </c>
      <c r="N61" s="173"/>
      <c r="O61" s="153"/>
      <c r="P61" s="145"/>
      <c r="Q61" s="156"/>
      <c r="R61" s="157"/>
      <c r="S61" s="153" t="str">
        <f t="shared" ref="S61:S73" si="6">IF(R61&lt;&gt;"",N61*R61,"")</f>
        <v/>
      </c>
      <c r="T61" s="158" t="str">
        <f t="shared" ref="T61:T73" si="7">+IFERROR(S61/M61,"")</f>
        <v/>
      </c>
      <c r="U61" s="158" t="str">
        <f t="shared" ref="U61:U73" si="8">IFERROR(T61*I61,"")</f>
        <v/>
      </c>
      <c r="V61" s="158"/>
      <c r="W61" s="651"/>
      <c r="X61" s="651"/>
      <c r="Y61" s="651"/>
      <c r="Z61" s="651"/>
      <c r="AA61" s="651"/>
      <c r="AB61" s="651"/>
      <c r="AC61" s="651"/>
      <c r="AD61" s="651"/>
      <c r="AE61" s="651"/>
      <c r="AF61" s="149"/>
      <c r="AG61" s="704"/>
      <c r="AH61" s="704"/>
      <c r="AI61" s="159" t="str">
        <f>+IF(U61="","",IF(U61&gt;=PARÁMETROS!$D$5,"CUMPLE","NO CUMPLE"))</f>
        <v/>
      </c>
      <c r="AJ61" s="160"/>
      <c r="AK61" s="112"/>
    </row>
    <row r="62" spans="1:37" s="79" customFormat="1" ht="30" customHeight="1" x14ac:dyDescent="0.25">
      <c r="A62" s="652"/>
      <c r="B62" s="125"/>
      <c r="C62" s="408"/>
      <c r="D62" s="127" t="str">
        <f>+IFERROR(INDEX(PROPONENTES!$D$4:$D$109,MATCH('EXP GEN. 33-40'!B62,PROPONENTES!$C$4:$C$109,0)),"")</f>
        <v/>
      </c>
      <c r="E62" s="128"/>
      <c r="F62" s="128"/>
      <c r="G62" s="130"/>
      <c r="H62" s="130"/>
      <c r="I62" s="170"/>
      <c r="J62" s="132"/>
      <c r="K62" s="132"/>
      <c r="L62" s="133" t="str">
        <f t="shared" si="5"/>
        <v/>
      </c>
      <c r="M62" s="134" t="str">
        <f>+IFERROR(INDEX(PARÁMETROS!$B$11:$B$37,MATCH(L62,PARÁMETROS!$A$11:$A$37,0)),"")</f>
        <v/>
      </c>
      <c r="N62" s="171"/>
      <c r="O62" s="134"/>
      <c r="P62" s="125"/>
      <c r="Q62" s="137"/>
      <c r="R62" s="138"/>
      <c r="S62" s="134" t="str">
        <f t="shared" si="6"/>
        <v/>
      </c>
      <c r="T62" s="139" t="str">
        <f t="shared" si="7"/>
        <v/>
      </c>
      <c r="U62" s="139" t="str">
        <f t="shared" si="8"/>
        <v/>
      </c>
      <c r="V62" s="139"/>
      <c r="W62" s="649"/>
      <c r="X62" s="649"/>
      <c r="Y62" s="649"/>
      <c r="Z62" s="649"/>
      <c r="AA62" s="649"/>
      <c r="AB62" s="649"/>
      <c r="AC62" s="649"/>
      <c r="AD62" s="649"/>
      <c r="AE62" s="649"/>
      <c r="AF62" s="130"/>
      <c r="AG62" s="702" t="str">
        <f>IF(U62="","",IF(SUM(U62:U64)&gt;=PARÁMETROS!$H$5,"CUMPLE","NO CUMPLE"))</f>
        <v/>
      </c>
      <c r="AH62" s="702" t="str">
        <f>IF(U62="","",IF(U62&gt;=PARÁMETROS!$F$5,"CUMPLE","NO CUMPLE"))</f>
        <v/>
      </c>
      <c r="AI62" s="141" t="str">
        <f>+IF(U62="","",IF(U62&gt;=PARÁMETROS!$D$5,"CUMPLE","NO CUMPLE"))</f>
        <v/>
      </c>
      <c r="AJ62" s="142"/>
      <c r="AK62" s="112"/>
    </row>
    <row r="63" spans="1:37" s="79" customFormat="1" ht="30" customHeight="1" x14ac:dyDescent="0.25">
      <c r="A63" s="653"/>
      <c r="B63" s="63"/>
      <c r="C63" s="409"/>
      <c r="D63" s="65" t="str">
        <f>+IFERROR(INDEX(PROPONENTES!$D$4:$D$109,MATCH('EXP GEN. 33-40'!B63,PROPONENTES!$C$4:$C$109,0)),"")</f>
        <v/>
      </c>
      <c r="E63" s="66"/>
      <c r="F63" s="66"/>
      <c r="G63" s="68"/>
      <c r="H63" s="68"/>
      <c r="I63" s="80"/>
      <c r="J63" s="70"/>
      <c r="K63" s="70"/>
      <c r="L63" s="71" t="str">
        <f t="shared" si="5"/>
        <v/>
      </c>
      <c r="M63" s="72" t="str">
        <f>+IFERROR(INDEX(PARÁMETROS!$B$11:$B$37,MATCH(L63,PARÁMETROS!$A$11:$A$37,0)),"")</f>
        <v/>
      </c>
      <c r="N63" s="81"/>
      <c r="O63" s="72"/>
      <c r="P63" s="63"/>
      <c r="Q63" s="75"/>
      <c r="R63" s="76"/>
      <c r="S63" s="72" t="str">
        <f t="shared" si="6"/>
        <v/>
      </c>
      <c r="T63" s="60" t="str">
        <f t="shared" si="7"/>
        <v/>
      </c>
      <c r="U63" s="60" t="str">
        <f t="shared" si="8"/>
        <v/>
      </c>
      <c r="V63" s="60"/>
      <c r="W63" s="650"/>
      <c r="X63" s="650"/>
      <c r="Y63" s="650"/>
      <c r="Z63" s="650"/>
      <c r="AA63" s="650"/>
      <c r="AB63" s="650"/>
      <c r="AC63" s="650"/>
      <c r="AD63" s="650"/>
      <c r="AE63" s="650"/>
      <c r="AF63" s="68"/>
      <c r="AG63" s="703"/>
      <c r="AH63" s="703"/>
      <c r="AI63" s="78" t="str">
        <f>+IF(U63="","",IF(U63&gt;=PARÁMETROS!$D$5,"CUMPLE","NO CUMPLE"))</f>
        <v/>
      </c>
      <c r="AJ63" s="143"/>
      <c r="AK63" s="112"/>
    </row>
    <row r="64" spans="1:37" s="79" customFormat="1" ht="30" customHeight="1" x14ac:dyDescent="0.25">
      <c r="A64" s="653"/>
      <c r="B64" s="63"/>
      <c r="C64" s="409"/>
      <c r="D64" s="65" t="str">
        <f>+IFERROR(INDEX(PROPONENTES!$D$4:$D$109,MATCH('EXP GEN. 33-40'!B64,PROPONENTES!$C$4:$C$109,0)),"")</f>
        <v/>
      </c>
      <c r="E64" s="66"/>
      <c r="F64" s="66"/>
      <c r="G64" s="68"/>
      <c r="H64" s="68"/>
      <c r="I64" s="80"/>
      <c r="J64" s="70"/>
      <c r="K64" s="70"/>
      <c r="L64" s="71" t="str">
        <f t="shared" si="5"/>
        <v/>
      </c>
      <c r="M64" s="72" t="str">
        <f>+IFERROR(INDEX(PARÁMETROS!$B$11:$B$37,MATCH(L64,PARÁMETROS!$A$11:$A$37,0)),"")</f>
        <v/>
      </c>
      <c r="N64" s="81"/>
      <c r="O64" s="72"/>
      <c r="P64" s="63"/>
      <c r="Q64" s="75"/>
      <c r="R64" s="76"/>
      <c r="S64" s="72" t="str">
        <f t="shared" si="6"/>
        <v/>
      </c>
      <c r="T64" s="60" t="str">
        <f t="shared" si="7"/>
        <v/>
      </c>
      <c r="U64" s="60" t="str">
        <f t="shared" si="8"/>
        <v/>
      </c>
      <c r="V64" s="60"/>
      <c r="W64" s="650"/>
      <c r="X64" s="650"/>
      <c r="Y64" s="650"/>
      <c r="Z64" s="650"/>
      <c r="AA64" s="650"/>
      <c r="AB64" s="650"/>
      <c r="AC64" s="650"/>
      <c r="AD64" s="650"/>
      <c r="AE64" s="650"/>
      <c r="AF64" s="68"/>
      <c r="AG64" s="703"/>
      <c r="AH64" s="703"/>
      <c r="AI64" s="78" t="str">
        <f>+IF(U64="","",IF(U64&gt;=PARÁMETROS!$D$5,"CUMPLE","NO CUMPLE"))</f>
        <v/>
      </c>
      <c r="AJ64" s="143"/>
      <c r="AK64" s="112"/>
    </row>
    <row r="65" spans="1:37" s="79" customFormat="1" ht="30" customHeight="1" x14ac:dyDescent="0.25">
      <c r="A65" s="653"/>
      <c r="B65" s="63"/>
      <c r="C65" s="409"/>
      <c r="D65" s="65" t="str">
        <f>+IFERROR(INDEX(PROPONENTES!$D$4:$D$109,MATCH('EXP GEN. 33-40'!B65,PROPONENTES!$C$4:$C$109,0)),"")</f>
        <v/>
      </c>
      <c r="E65" s="66"/>
      <c r="F65" s="66"/>
      <c r="G65" s="68"/>
      <c r="H65" s="68"/>
      <c r="I65" s="80"/>
      <c r="J65" s="70"/>
      <c r="K65" s="70"/>
      <c r="L65" s="71" t="str">
        <f t="shared" si="5"/>
        <v/>
      </c>
      <c r="M65" s="72" t="str">
        <f>+IFERROR(INDEX(PARÁMETROS!$B$11:$B$37,MATCH(L65,PARÁMETROS!$A$11:$A$37,0)),"")</f>
        <v/>
      </c>
      <c r="N65" s="81"/>
      <c r="O65" s="72"/>
      <c r="P65" s="63"/>
      <c r="Q65" s="75"/>
      <c r="R65" s="76"/>
      <c r="S65" s="72" t="str">
        <f t="shared" si="6"/>
        <v/>
      </c>
      <c r="T65" s="60" t="str">
        <f t="shared" si="7"/>
        <v/>
      </c>
      <c r="U65" s="60" t="str">
        <f t="shared" si="8"/>
        <v/>
      </c>
      <c r="V65" s="60"/>
      <c r="W65" s="650"/>
      <c r="X65" s="650"/>
      <c r="Y65" s="650"/>
      <c r="Z65" s="650"/>
      <c r="AA65" s="650"/>
      <c r="AB65" s="650"/>
      <c r="AC65" s="650"/>
      <c r="AD65" s="650"/>
      <c r="AE65" s="650"/>
      <c r="AF65" s="68"/>
      <c r="AG65" s="703"/>
      <c r="AH65" s="703"/>
      <c r="AI65" s="78" t="str">
        <f>+IF(U65="","",IF(U65&gt;=PARÁMETROS!$D$5,"CUMPLE","NO CUMPLE"))</f>
        <v/>
      </c>
      <c r="AJ65" s="143"/>
      <c r="AK65" s="112"/>
    </row>
    <row r="66" spans="1:37" s="79" customFormat="1" ht="30" customHeight="1" x14ac:dyDescent="0.25">
      <c r="A66" s="653"/>
      <c r="B66" s="63"/>
      <c r="C66" s="409"/>
      <c r="D66" s="65" t="str">
        <f>+IFERROR(INDEX(PROPONENTES!$D$4:$D$109,MATCH('EXP GEN. 33-40'!B66,PROPONENTES!$C$4:$C$109,0)),"")</f>
        <v/>
      </c>
      <c r="E66" s="66"/>
      <c r="F66" s="66"/>
      <c r="G66" s="68"/>
      <c r="H66" s="68"/>
      <c r="I66" s="80"/>
      <c r="J66" s="70"/>
      <c r="K66" s="70"/>
      <c r="L66" s="71" t="str">
        <f t="shared" si="5"/>
        <v/>
      </c>
      <c r="M66" s="72" t="str">
        <f>+IFERROR(INDEX(PARÁMETROS!$B$11:$B$37,MATCH(L66,PARÁMETROS!$A$11:$A$37,0)),"")</f>
        <v/>
      </c>
      <c r="N66" s="81"/>
      <c r="O66" s="72"/>
      <c r="P66" s="63"/>
      <c r="Q66" s="75"/>
      <c r="R66" s="76"/>
      <c r="S66" s="72" t="str">
        <f t="shared" si="6"/>
        <v/>
      </c>
      <c r="T66" s="60" t="str">
        <f t="shared" si="7"/>
        <v/>
      </c>
      <c r="U66" s="60" t="str">
        <f t="shared" si="8"/>
        <v/>
      </c>
      <c r="V66" s="60"/>
      <c r="W66" s="650"/>
      <c r="X66" s="650"/>
      <c r="Y66" s="650"/>
      <c r="Z66" s="650"/>
      <c r="AA66" s="650"/>
      <c r="AB66" s="650"/>
      <c r="AC66" s="650"/>
      <c r="AD66" s="650"/>
      <c r="AE66" s="650"/>
      <c r="AF66" s="68"/>
      <c r="AG66" s="703"/>
      <c r="AH66" s="703"/>
      <c r="AI66" s="78" t="str">
        <f>+IF(U66="","",IF(U66&gt;=PARÁMETROS!$D$5,"CUMPLE","NO CUMPLE"))</f>
        <v/>
      </c>
      <c r="AJ66" s="143"/>
      <c r="AK66" s="112"/>
    </row>
    <row r="67" spans="1:37" s="79" customFormat="1" ht="30" customHeight="1" thickBot="1" x14ac:dyDescent="0.3">
      <c r="A67" s="654"/>
      <c r="B67" s="145"/>
      <c r="C67" s="411"/>
      <c r="D67" s="146" t="str">
        <f>+IFERROR(INDEX(PROPONENTES!$D$4:$D$109,MATCH('EXP GEN. 33-40'!B67,PROPONENTES!$C$4:$C$109,0)),"")</f>
        <v/>
      </c>
      <c r="E67" s="147"/>
      <c r="F67" s="147"/>
      <c r="G67" s="149"/>
      <c r="H67" s="149"/>
      <c r="I67" s="172"/>
      <c r="J67" s="151"/>
      <c r="K67" s="151"/>
      <c r="L67" s="152" t="str">
        <f t="shared" si="5"/>
        <v/>
      </c>
      <c r="M67" s="153" t="str">
        <f>+IFERROR(INDEX(PARÁMETROS!$B$11:$B$37,MATCH(L67,PARÁMETROS!$A$11:$A$37,0)),"")</f>
        <v/>
      </c>
      <c r="N67" s="173"/>
      <c r="O67" s="153"/>
      <c r="P67" s="145"/>
      <c r="Q67" s="156"/>
      <c r="R67" s="157"/>
      <c r="S67" s="153" t="str">
        <f t="shared" si="6"/>
        <v/>
      </c>
      <c r="T67" s="158" t="str">
        <f t="shared" si="7"/>
        <v/>
      </c>
      <c r="U67" s="158" t="str">
        <f t="shared" si="8"/>
        <v/>
      </c>
      <c r="V67" s="158"/>
      <c r="W67" s="651"/>
      <c r="X67" s="651"/>
      <c r="Y67" s="651"/>
      <c r="Z67" s="651"/>
      <c r="AA67" s="651"/>
      <c r="AB67" s="651"/>
      <c r="AC67" s="651"/>
      <c r="AD67" s="651"/>
      <c r="AE67" s="651"/>
      <c r="AF67" s="149"/>
      <c r="AG67" s="704"/>
      <c r="AH67" s="704"/>
      <c r="AI67" s="159" t="str">
        <f>+IF(U67="","",IF(U67&gt;=PARÁMETROS!$D$5,"CUMPLE","NO CUMPLE"))</f>
        <v/>
      </c>
      <c r="AJ67" s="160"/>
      <c r="AK67" s="112"/>
    </row>
    <row r="68" spans="1:37" s="79" customFormat="1" ht="30" customHeight="1" x14ac:dyDescent="0.25">
      <c r="A68" s="652"/>
      <c r="B68" s="125"/>
      <c r="C68" s="408"/>
      <c r="D68" s="127" t="str">
        <f>+IFERROR(INDEX(PROPONENTES!$D$4:$D$109,MATCH('EXP GEN. 33-40'!B68,PROPONENTES!$C$4:$C$109,0)),"")</f>
        <v/>
      </c>
      <c r="E68" s="128"/>
      <c r="F68" s="128"/>
      <c r="G68" s="130"/>
      <c r="H68" s="130"/>
      <c r="I68" s="170"/>
      <c r="J68" s="132"/>
      <c r="K68" s="132"/>
      <c r="L68" s="133" t="str">
        <f t="shared" si="5"/>
        <v/>
      </c>
      <c r="M68" s="134" t="str">
        <f>+IFERROR(INDEX(PARÁMETROS!$B$11:$B$37,MATCH(L68,PARÁMETROS!$A$11:$A$37,0)),"")</f>
        <v/>
      </c>
      <c r="N68" s="171"/>
      <c r="O68" s="134"/>
      <c r="P68" s="125"/>
      <c r="Q68" s="137"/>
      <c r="R68" s="138"/>
      <c r="S68" s="134" t="str">
        <f t="shared" si="6"/>
        <v/>
      </c>
      <c r="T68" s="139" t="str">
        <f t="shared" si="7"/>
        <v/>
      </c>
      <c r="U68" s="139" t="str">
        <f t="shared" si="8"/>
        <v/>
      </c>
      <c r="V68" s="139"/>
      <c r="W68" s="649"/>
      <c r="X68" s="649"/>
      <c r="Y68" s="649"/>
      <c r="Z68" s="649"/>
      <c r="AA68" s="649"/>
      <c r="AB68" s="649"/>
      <c r="AC68" s="649"/>
      <c r="AD68" s="649"/>
      <c r="AE68" s="649"/>
      <c r="AF68" s="130"/>
      <c r="AG68" s="702" t="str">
        <f>IF(U68="","",IF(SUM(U68:U70)&gt;=PARÁMETROS!$H$5,"CUMPLE","NO CUMPLE"))</f>
        <v/>
      </c>
      <c r="AH68" s="702" t="str">
        <f>IF(U68="","",IF(U68&gt;=PARÁMETROS!$F$5,"CUMPLE","NO CUMPLE"))</f>
        <v/>
      </c>
      <c r="AI68" s="141" t="str">
        <f>+IF(U68="","",IF(U68&gt;=PARÁMETROS!$D$5,"CUMPLE","NO CUMPLE"))</f>
        <v/>
      </c>
      <c r="AJ68" s="142"/>
      <c r="AK68" s="112"/>
    </row>
    <row r="69" spans="1:37" s="79" customFormat="1" ht="30" customHeight="1" x14ac:dyDescent="0.25">
      <c r="A69" s="653"/>
      <c r="B69" s="63"/>
      <c r="C69" s="409"/>
      <c r="D69" s="65" t="str">
        <f>+IFERROR(INDEX(PROPONENTES!$D$4:$D$109,MATCH('EXP GEN. 33-40'!B69,PROPONENTES!$C$4:$C$109,0)),"")</f>
        <v/>
      </c>
      <c r="E69" s="66"/>
      <c r="F69" s="66"/>
      <c r="G69" s="68"/>
      <c r="H69" s="68"/>
      <c r="I69" s="80"/>
      <c r="J69" s="70"/>
      <c r="K69" s="70"/>
      <c r="L69" s="71" t="str">
        <f t="shared" si="5"/>
        <v/>
      </c>
      <c r="M69" s="72" t="str">
        <f>+IFERROR(INDEX(PARÁMETROS!$B$11:$B$37,MATCH(L69,PARÁMETROS!$A$11:$A$37,0)),"")</f>
        <v/>
      </c>
      <c r="N69" s="81"/>
      <c r="O69" s="72"/>
      <c r="P69" s="63"/>
      <c r="Q69" s="75"/>
      <c r="R69" s="76"/>
      <c r="S69" s="72" t="str">
        <f t="shared" si="6"/>
        <v/>
      </c>
      <c r="T69" s="60" t="str">
        <f t="shared" si="7"/>
        <v/>
      </c>
      <c r="U69" s="60" t="str">
        <f t="shared" si="8"/>
        <v/>
      </c>
      <c r="V69" s="60"/>
      <c r="W69" s="650"/>
      <c r="X69" s="650"/>
      <c r="Y69" s="650"/>
      <c r="Z69" s="650"/>
      <c r="AA69" s="650"/>
      <c r="AB69" s="650"/>
      <c r="AC69" s="650"/>
      <c r="AD69" s="650"/>
      <c r="AE69" s="650"/>
      <c r="AF69" s="68"/>
      <c r="AG69" s="703"/>
      <c r="AH69" s="703"/>
      <c r="AI69" s="78" t="str">
        <f>+IF(U69="","",IF(U69&gt;=PARÁMETROS!$D$5,"CUMPLE","NO CUMPLE"))</f>
        <v/>
      </c>
      <c r="AJ69" s="143"/>
      <c r="AK69" s="112"/>
    </row>
    <row r="70" spans="1:37" s="79" customFormat="1" ht="30" customHeight="1" x14ac:dyDescent="0.25">
      <c r="A70" s="653"/>
      <c r="B70" s="63"/>
      <c r="C70" s="409"/>
      <c r="D70" s="65" t="str">
        <f>+IFERROR(INDEX(PROPONENTES!$D$4:$D$109,MATCH('EXP GEN. 33-40'!B70,PROPONENTES!$C$4:$C$109,0)),"")</f>
        <v/>
      </c>
      <c r="E70" s="66"/>
      <c r="F70" s="66"/>
      <c r="G70" s="68"/>
      <c r="H70" s="68"/>
      <c r="I70" s="80"/>
      <c r="J70" s="70"/>
      <c r="K70" s="70"/>
      <c r="L70" s="71" t="str">
        <f t="shared" si="5"/>
        <v/>
      </c>
      <c r="M70" s="72" t="str">
        <f>+IFERROR(INDEX(PARÁMETROS!$B$11:$B$37,MATCH(L70,PARÁMETROS!$A$11:$A$37,0)),"")</f>
        <v/>
      </c>
      <c r="N70" s="81"/>
      <c r="O70" s="72"/>
      <c r="P70" s="63"/>
      <c r="Q70" s="75"/>
      <c r="R70" s="76"/>
      <c r="S70" s="72" t="str">
        <f t="shared" si="6"/>
        <v/>
      </c>
      <c r="T70" s="60" t="str">
        <f t="shared" si="7"/>
        <v/>
      </c>
      <c r="U70" s="60" t="str">
        <f t="shared" si="8"/>
        <v/>
      </c>
      <c r="V70" s="60"/>
      <c r="W70" s="650"/>
      <c r="X70" s="650"/>
      <c r="Y70" s="650"/>
      <c r="Z70" s="650"/>
      <c r="AA70" s="650"/>
      <c r="AB70" s="650"/>
      <c r="AC70" s="650"/>
      <c r="AD70" s="650"/>
      <c r="AE70" s="650"/>
      <c r="AF70" s="68"/>
      <c r="AG70" s="703"/>
      <c r="AH70" s="703"/>
      <c r="AI70" s="78" t="str">
        <f>+IF(U70="","",IF(U70&gt;=PARÁMETROS!$D$5,"CUMPLE","NO CUMPLE"))</f>
        <v/>
      </c>
      <c r="AJ70" s="143"/>
      <c r="AK70" s="112"/>
    </row>
    <row r="71" spans="1:37" s="79" customFormat="1" ht="30" customHeight="1" x14ac:dyDescent="0.25">
      <c r="A71" s="653"/>
      <c r="B71" s="63"/>
      <c r="C71" s="409"/>
      <c r="D71" s="65" t="str">
        <f>+IFERROR(INDEX(PROPONENTES!$D$4:$D$109,MATCH('EXP GEN. 33-40'!B71,PROPONENTES!$C$4:$C$109,0)),"")</f>
        <v/>
      </c>
      <c r="E71" s="66"/>
      <c r="F71" s="66"/>
      <c r="G71" s="68"/>
      <c r="H71" s="68"/>
      <c r="I71" s="80"/>
      <c r="J71" s="70"/>
      <c r="K71" s="70"/>
      <c r="L71" s="71" t="str">
        <f t="shared" si="5"/>
        <v/>
      </c>
      <c r="M71" s="72" t="str">
        <f>+IFERROR(INDEX(PARÁMETROS!$B$11:$B$37,MATCH(L71,PARÁMETROS!$A$11:$A$37,0)),"")</f>
        <v/>
      </c>
      <c r="N71" s="81"/>
      <c r="O71" s="72"/>
      <c r="P71" s="63"/>
      <c r="Q71" s="75"/>
      <c r="R71" s="76"/>
      <c r="S71" s="72" t="str">
        <f t="shared" si="6"/>
        <v/>
      </c>
      <c r="T71" s="60" t="str">
        <f t="shared" si="7"/>
        <v/>
      </c>
      <c r="U71" s="60" t="str">
        <f t="shared" si="8"/>
        <v/>
      </c>
      <c r="V71" s="60"/>
      <c r="W71" s="650"/>
      <c r="X71" s="650"/>
      <c r="Y71" s="650"/>
      <c r="Z71" s="650"/>
      <c r="AA71" s="650"/>
      <c r="AB71" s="650"/>
      <c r="AC71" s="650"/>
      <c r="AD71" s="650"/>
      <c r="AE71" s="650"/>
      <c r="AF71" s="68"/>
      <c r="AG71" s="703"/>
      <c r="AH71" s="703"/>
      <c r="AI71" s="78" t="str">
        <f>+IF(U71="","",IF(U71&gt;=PARÁMETROS!$D$5,"CUMPLE","NO CUMPLE"))</f>
        <v/>
      </c>
      <c r="AJ71" s="143"/>
      <c r="AK71" s="112"/>
    </row>
    <row r="72" spans="1:37" s="79" customFormat="1" ht="30" customHeight="1" x14ac:dyDescent="0.25">
      <c r="A72" s="653"/>
      <c r="B72" s="63"/>
      <c r="C72" s="409"/>
      <c r="D72" s="65" t="str">
        <f>+IFERROR(INDEX(PROPONENTES!$D$4:$D$109,MATCH('EXP GEN. 33-40'!B72,PROPONENTES!$C$4:$C$109,0)),"")</f>
        <v/>
      </c>
      <c r="E72" s="66"/>
      <c r="F72" s="66"/>
      <c r="G72" s="68"/>
      <c r="H72" s="68"/>
      <c r="I72" s="80"/>
      <c r="J72" s="70"/>
      <c r="K72" s="70"/>
      <c r="L72" s="71" t="str">
        <f t="shared" si="5"/>
        <v/>
      </c>
      <c r="M72" s="72" t="str">
        <f>+IFERROR(INDEX(PARÁMETROS!$B$11:$B$37,MATCH(L72,PARÁMETROS!$A$11:$A$37,0)),"")</f>
        <v/>
      </c>
      <c r="N72" s="81"/>
      <c r="O72" s="72"/>
      <c r="P72" s="63"/>
      <c r="Q72" s="75"/>
      <c r="R72" s="76"/>
      <c r="S72" s="72" t="str">
        <f t="shared" si="6"/>
        <v/>
      </c>
      <c r="T72" s="60" t="str">
        <f t="shared" si="7"/>
        <v/>
      </c>
      <c r="U72" s="60" t="str">
        <f t="shared" si="8"/>
        <v/>
      </c>
      <c r="V72" s="60"/>
      <c r="W72" s="650"/>
      <c r="X72" s="650"/>
      <c r="Y72" s="650"/>
      <c r="Z72" s="650"/>
      <c r="AA72" s="650"/>
      <c r="AB72" s="650"/>
      <c r="AC72" s="650"/>
      <c r="AD72" s="650"/>
      <c r="AE72" s="650"/>
      <c r="AF72" s="68"/>
      <c r="AG72" s="703"/>
      <c r="AH72" s="703"/>
      <c r="AI72" s="78" t="str">
        <f>+IF(U72="","",IF(U72&gt;=PARÁMETROS!$D$5,"CUMPLE","NO CUMPLE"))</f>
        <v/>
      </c>
      <c r="AJ72" s="143"/>
      <c r="AK72" s="112"/>
    </row>
    <row r="73" spans="1:37" s="79" customFormat="1" ht="30" customHeight="1" thickBot="1" x14ac:dyDescent="0.3">
      <c r="A73" s="654"/>
      <c r="B73" s="145"/>
      <c r="C73" s="411"/>
      <c r="D73" s="146" t="str">
        <f>+IFERROR(INDEX(PROPONENTES!$D$4:$D$109,MATCH('EXP GEN. 33-40'!B73,PROPONENTES!$C$4:$C$109,0)),"")</f>
        <v/>
      </c>
      <c r="E73" s="147"/>
      <c r="F73" s="147"/>
      <c r="G73" s="149"/>
      <c r="H73" s="149"/>
      <c r="I73" s="172"/>
      <c r="J73" s="151"/>
      <c r="K73" s="151"/>
      <c r="L73" s="152" t="str">
        <f t="shared" si="5"/>
        <v/>
      </c>
      <c r="M73" s="153" t="str">
        <f>+IFERROR(INDEX(PARÁMETROS!$B$11:$B$37,MATCH(L73,PARÁMETROS!$A$11:$A$37,0)),"")</f>
        <v/>
      </c>
      <c r="N73" s="173"/>
      <c r="O73" s="153"/>
      <c r="P73" s="145"/>
      <c r="Q73" s="156"/>
      <c r="R73" s="157"/>
      <c r="S73" s="153" t="str">
        <f t="shared" si="6"/>
        <v/>
      </c>
      <c r="T73" s="158" t="str">
        <f t="shared" si="7"/>
        <v/>
      </c>
      <c r="U73" s="158" t="str">
        <f t="shared" si="8"/>
        <v/>
      </c>
      <c r="V73" s="158"/>
      <c r="W73" s="651"/>
      <c r="X73" s="651"/>
      <c r="Y73" s="651"/>
      <c r="Z73" s="651"/>
      <c r="AA73" s="651"/>
      <c r="AB73" s="651"/>
      <c r="AC73" s="651"/>
      <c r="AD73" s="651"/>
      <c r="AE73" s="651"/>
      <c r="AF73" s="149"/>
      <c r="AG73" s="704"/>
      <c r="AH73" s="704"/>
      <c r="AI73" s="159" t="str">
        <f>+IF(U73="","",IF(U73&gt;=PARÁMETROS!$D$5,"CUMPLE","NO CUMPLE"))</f>
        <v/>
      </c>
      <c r="AJ73" s="160"/>
      <c r="AK73" s="112"/>
    </row>
    <row r="74" spans="1:37" s="79" customFormat="1" ht="30" customHeight="1" x14ac:dyDescent="0.25">
      <c r="A74" s="63"/>
      <c r="B74" s="63"/>
      <c r="C74" s="409"/>
      <c r="D74" s="65"/>
      <c r="E74" s="66"/>
      <c r="F74" s="66"/>
      <c r="G74" s="66"/>
      <c r="H74" s="66"/>
      <c r="I74" s="80"/>
      <c r="J74" s="70"/>
      <c r="K74" s="70"/>
      <c r="L74" s="71"/>
      <c r="M74" s="72"/>
      <c r="N74" s="81"/>
      <c r="O74" s="72"/>
      <c r="P74" s="63"/>
      <c r="Q74" s="75"/>
      <c r="R74" s="76"/>
      <c r="S74" s="72"/>
      <c r="T74" s="60"/>
      <c r="U74" s="60"/>
      <c r="V74" s="60"/>
      <c r="W74" s="78"/>
      <c r="X74" s="78"/>
      <c r="Y74" s="78"/>
      <c r="Z74" s="78"/>
      <c r="AA74" s="78"/>
      <c r="AB74" s="78"/>
      <c r="AC74" s="78"/>
      <c r="AD74" s="78"/>
      <c r="AE74" s="78"/>
      <c r="AF74" s="78"/>
      <c r="AG74" s="78"/>
      <c r="AH74" s="78"/>
      <c r="AI74" s="78"/>
      <c r="AJ74" s="66"/>
    </row>
    <row r="75" spans="1:37" s="79" customFormat="1" ht="30" customHeight="1" x14ac:dyDescent="0.25">
      <c r="A75" s="63"/>
      <c r="B75" s="63"/>
      <c r="C75" s="409"/>
      <c r="D75" s="65"/>
      <c r="E75" s="66"/>
      <c r="F75" s="66"/>
      <c r="G75" s="66"/>
      <c r="H75" s="66"/>
      <c r="I75" s="80"/>
      <c r="J75" s="70"/>
      <c r="K75" s="70"/>
      <c r="L75" s="71"/>
      <c r="M75" s="72"/>
      <c r="N75" s="81"/>
      <c r="O75" s="72"/>
      <c r="P75" s="63"/>
      <c r="Q75" s="75"/>
      <c r="R75" s="76"/>
      <c r="S75" s="72"/>
      <c r="T75" s="60"/>
      <c r="U75" s="60"/>
      <c r="V75" s="60"/>
      <c r="W75" s="78"/>
      <c r="X75" s="78"/>
      <c r="Y75" s="78"/>
      <c r="Z75" s="78"/>
      <c r="AA75" s="78"/>
      <c r="AB75" s="78"/>
      <c r="AC75" s="78"/>
      <c r="AD75" s="78"/>
      <c r="AE75" s="78"/>
      <c r="AF75" s="78"/>
      <c r="AG75" s="78"/>
      <c r="AH75" s="78"/>
      <c r="AI75" s="78"/>
      <c r="AJ75" s="66"/>
    </row>
    <row r="76" spans="1:37" s="79" customFormat="1" ht="30" customHeight="1" x14ac:dyDescent="0.25">
      <c r="A76" s="63"/>
      <c r="B76" s="63"/>
      <c r="C76" s="409"/>
      <c r="D76" s="65"/>
      <c r="E76" s="66"/>
      <c r="F76" s="66"/>
      <c r="G76" s="66"/>
      <c r="H76" s="66"/>
      <c r="I76" s="80"/>
      <c r="J76" s="70"/>
      <c r="K76" s="70"/>
      <c r="L76" s="71"/>
      <c r="M76" s="72"/>
      <c r="N76" s="81"/>
      <c r="O76" s="72"/>
      <c r="P76" s="63"/>
      <c r="Q76" s="75"/>
      <c r="R76" s="76"/>
      <c r="S76" s="72"/>
      <c r="T76" s="60"/>
      <c r="U76" s="60"/>
      <c r="V76" s="60"/>
      <c r="W76" s="78"/>
      <c r="X76" s="78"/>
      <c r="Y76" s="78"/>
      <c r="Z76" s="78"/>
      <c r="AA76" s="78"/>
      <c r="AB76" s="78"/>
      <c r="AC76" s="78"/>
      <c r="AD76" s="78"/>
      <c r="AE76" s="78"/>
      <c r="AF76" s="78"/>
      <c r="AG76" s="78"/>
      <c r="AH76" s="78"/>
      <c r="AI76" s="78"/>
      <c r="AJ76" s="66"/>
    </row>
    <row r="77" spans="1:37" s="79" customFormat="1" ht="30" customHeight="1" x14ac:dyDescent="0.25">
      <c r="A77" s="63"/>
      <c r="B77" s="63"/>
      <c r="C77" s="409"/>
      <c r="D77" s="65"/>
      <c r="E77" s="66"/>
      <c r="F77" s="66"/>
      <c r="G77" s="66"/>
      <c r="H77" s="66"/>
      <c r="I77" s="80"/>
      <c r="J77" s="70"/>
      <c r="K77" s="70"/>
      <c r="L77" s="71"/>
      <c r="M77" s="72"/>
      <c r="N77" s="81"/>
      <c r="O77" s="72"/>
      <c r="P77" s="63"/>
      <c r="Q77" s="75"/>
      <c r="R77" s="76"/>
      <c r="S77" s="72"/>
      <c r="T77" s="60"/>
      <c r="U77" s="60"/>
      <c r="V77" s="60"/>
      <c r="W77" s="78"/>
      <c r="X77" s="78"/>
      <c r="Y77" s="78"/>
      <c r="Z77" s="78"/>
      <c r="AA77" s="78"/>
      <c r="AB77" s="78"/>
      <c r="AC77" s="78"/>
      <c r="AD77" s="78"/>
      <c r="AE77" s="78"/>
      <c r="AF77" s="78"/>
      <c r="AG77" s="78"/>
      <c r="AH77" s="78"/>
      <c r="AI77" s="78"/>
      <c r="AJ77" s="66"/>
    </row>
    <row r="78" spans="1:37" s="79" customFormat="1" ht="30" customHeight="1" x14ac:dyDescent="0.25">
      <c r="A78" s="63"/>
      <c r="B78" s="63"/>
      <c r="C78" s="409"/>
      <c r="D78" s="65"/>
      <c r="E78" s="66"/>
      <c r="F78" s="66"/>
      <c r="G78" s="66"/>
      <c r="H78" s="66"/>
      <c r="I78" s="80"/>
      <c r="J78" s="70"/>
      <c r="K78" s="70"/>
      <c r="L78" s="71"/>
      <c r="M78" s="72"/>
      <c r="N78" s="81"/>
      <c r="O78" s="72"/>
      <c r="P78" s="63"/>
      <c r="Q78" s="75"/>
      <c r="R78" s="76"/>
      <c r="S78" s="72"/>
      <c r="T78" s="60"/>
      <c r="U78" s="60"/>
      <c r="V78" s="60"/>
      <c r="W78" s="78"/>
      <c r="X78" s="78"/>
      <c r="Y78" s="78"/>
      <c r="Z78" s="78"/>
      <c r="AA78" s="78"/>
      <c r="AB78" s="78"/>
      <c r="AC78" s="78"/>
      <c r="AD78" s="78"/>
      <c r="AE78" s="78"/>
      <c r="AF78" s="78"/>
      <c r="AG78" s="78"/>
      <c r="AH78" s="78"/>
      <c r="AI78" s="78"/>
      <c r="AJ78" s="66"/>
    </row>
    <row r="79" spans="1:37" s="79" customFormat="1" ht="30" customHeight="1" x14ac:dyDescent="0.25">
      <c r="A79" s="63"/>
      <c r="B79" s="63"/>
      <c r="C79" s="409"/>
      <c r="D79" s="65"/>
      <c r="E79" s="66"/>
      <c r="F79" s="66"/>
      <c r="G79" s="66"/>
      <c r="H79" s="66"/>
      <c r="I79" s="80"/>
      <c r="J79" s="70"/>
      <c r="K79" s="70"/>
      <c r="L79" s="71"/>
      <c r="M79" s="72"/>
      <c r="N79" s="81"/>
      <c r="O79" s="72"/>
      <c r="P79" s="63"/>
      <c r="Q79" s="75"/>
      <c r="R79" s="76"/>
      <c r="S79" s="72"/>
      <c r="T79" s="60"/>
      <c r="U79" s="60"/>
      <c r="V79" s="60"/>
      <c r="W79" s="78"/>
      <c r="X79" s="78"/>
      <c r="Y79" s="78"/>
      <c r="Z79" s="78"/>
      <c r="AA79" s="78"/>
      <c r="AB79" s="78"/>
      <c r="AC79" s="78"/>
      <c r="AD79" s="78"/>
      <c r="AE79" s="78"/>
      <c r="AF79" s="78"/>
      <c r="AG79" s="78"/>
      <c r="AH79" s="78"/>
      <c r="AI79" s="78"/>
      <c r="AJ79" s="66"/>
    </row>
    <row r="80" spans="1:37" s="79" customFormat="1" ht="30" customHeight="1" x14ac:dyDescent="0.25">
      <c r="A80" s="63"/>
      <c r="B80" s="63"/>
      <c r="C80" s="409"/>
      <c r="D80" s="65"/>
      <c r="E80" s="66"/>
      <c r="F80" s="66"/>
      <c r="G80" s="66"/>
      <c r="H80" s="66"/>
      <c r="I80" s="80"/>
      <c r="J80" s="70"/>
      <c r="K80" s="70"/>
      <c r="L80" s="71"/>
      <c r="M80" s="72"/>
      <c r="N80" s="81"/>
      <c r="O80" s="72"/>
      <c r="P80" s="63"/>
      <c r="Q80" s="75"/>
      <c r="R80" s="76"/>
      <c r="S80" s="72"/>
      <c r="T80" s="60"/>
      <c r="U80" s="60"/>
      <c r="V80" s="60"/>
      <c r="W80" s="78"/>
      <c r="X80" s="78"/>
      <c r="Y80" s="78"/>
      <c r="Z80" s="78"/>
      <c r="AA80" s="78"/>
      <c r="AB80" s="78"/>
      <c r="AC80" s="78"/>
      <c r="AD80" s="78"/>
      <c r="AE80" s="78"/>
      <c r="AF80" s="78"/>
      <c r="AG80" s="78"/>
      <c r="AH80" s="78"/>
      <c r="AI80" s="78"/>
      <c r="AJ80" s="66"/>
    </row>
    <row r="81" spans="1:36" s="79" customFormat="1" ht="30" customHeight="1" x14ac:dyDescent="0.25">
      <c r="A81" s="63"/>
      <c r="B81" s="63"/>
      <c r="C81" s="409"/>
      <c r="D81" s="65"/>
      <c r="E81" s="66"/>
      <c r="F81" s="66"/>
      <c r="G81" s="66"/>
      <c r="H81" s="66"/>
      <c r="I81" s="80"/>
      <c r="J81" s="70"/>
      <c r="K81" s="70"/>
      <c r="L81" s="71"/>
      <c r="M81" s="72"/>
      <c r="N81" s="81"/>
      <c r="O81" s="72"/>
      <c r="P81" s="63"/>
      <c r="Q81" s="75"/>
      <c r="R81" s="76"/>
      <c r="S81" s="72"/>
      <c r="T81" s="60"/>
      <c r="U81" s="60"/>
      <c r="V81" s="60"/>
      <c r="W81" s="78"/>
      <c r="X81" s="78"/>
      <c r="Y81" s="78"/>
      <c r="Z81" s="78"/>
      <c r="AA81" s="78"/>
      <c r="AB81" s="78"/>
      <c r="AC81" s="78"/>
      <c r="AD81" s="78"/>
      <c r="AE81" s="78"/>
      <c r="AF81" s="78"/>
      <c r="AG81" s="78"/>
      <c r="AH81" s="78"/>
      <c r="AI81" s="78"/>
      <c r="AJ81" s="66"/>
    </row>
    <row r="82" spans="1:36" s="79" customFormat="1" ht="30" customHeight="1" x14ac:dyDescent="0.25">
      <c r="A82" s="63"/>
      <c r="B82" s="63"/>
      <c r="C82" s="409"/>
      <c r="D82" s="65"/>
      <c r="E82" s="66"/>
      <c r="F82" s="66"/>
      <c r="G82" s="66"/>
      <c r="H82" s="66"/>
      <c r="I82" s="80"/>
      <c r="J82" s="70"/>
      <c r="K82" s="70"/>
      <c r="L82" s="71"/>
      <c r="M82" s="72"/>
      <c r="N82" s="81"/>
      <c r="O82" s="72"/>
      <c r="P82" s="63"/>
      <c r="Q82" s="75"/>
      <c r="R82" s="76"/>
      <c r="S82" s="72"/>
      <c r="T82" s="60"/>
      <c r="U82" s="60"/>
      <c r="V82" s="60"/>
      <c r="W82" s="78"/>
      <c r="X82" s="78"/>
      <c r="Y82" s="78"/>
      <c r="Z82" s="78"/>
      <c r="AA82" s="78"/>
      <c r="AB82" s="78"/>
      <c r="AC82" s="78"/>
      <c r="AD82" s="78"/>
      <c r="AE82" s="78"/>
      <c r="AF82" s="78"/>
      <c r="AG82" s="78"/>
      <c r="AH82" s="78"/>
      <c r="AI82" s="78"/>
      <c r="AJ82" s="66"/>
    </row>
    <row r="83" spans="1:36" s="79" customFormat="1" ht="30" customHeight="1" x14ac:dyDescent="0.25">
      <c r="A83" s="63"/>
      <c r="B83" s="63"/>
      <c r="C83" s="409"/>
      <c r="D83" s="65"/>
      <c r="E83" s="66"/>
      <c r="F83" s="66"/>
      <c r="G83" s="66"/>
      <c r="H83" s="66"/>
      <c r="I83" s="80"/>
      <c r="J83" s="70"/>
      <c r="K83" s="70"/>
      <c r="L83" s="71"/>
      <c r="M83" s="72"/>
      <c r="N83" s="81"/>
      <c r="O83" s="72"/>
      <c r="P83" s="63"/>
      <c r="Q83" s="75"/>
      <c r="R83" s="76"/>
      <c r="S83" s="72"/>
      <c r="T83" s="60"/>
      <c r="U83" s="60"/>
      <c r="V83" s="60"/>
      <c r="W83" s="78"/>
      <c r="X83" s="78"/>
      <c r="Y83" s="78"/>
      <c r="Z83" s="78"/>
      <c r="AA83" s="78"/>
      <c r="AB83" s="78"/>
      <c r="AC83" s="78"/>
      <c r="AD83" s="78"/>
      <c r="AE83" s="78"/>
      <c r="AF83" s="78"/>
      <c r="AG83" s="78"/>
      <c r="AH83" s="78"/>
      <c r="AI83" s="78"/>
      <c r="AJ83" s="66"/>
    </row>
    <row r="84" spans="1:36" s="79" customFormat="1" ht="30" customHeight="1" x14ac:dyDescent="0.25">
      <c r="A84" s="63"/>
      <c r="B84" s="63"/>
      <c r="C84" s="409"/>
      <c r="D84" s="65"/>
      <c r="E84" s="66"/>
      <c r="F84" s="66"/>
      <c r="G84" s="66"/>
      <c r="H84" s="66"/>
      <c r="I84" s="80"/>
      <c r="J84" s="70"/>
      <c r="K84" s="70"/>
      <c r="L84" s="71"/>
      <c r="M84" s="72"/>
      <c r="N84" s="81"/>
      <c r="O84" s="72"/>
      <c r="P84" s="63"/>
      <c r="Q84" s="75"/>
      <c r="R84" s="76"/>
      <c r="S84" s="72"/>
      <c r="T84" s="60"/>
      <c r="U84" s="60"/>
      <c r="V84" s="60"/>
      <c r="W84" s="78"/>
      <c r="X84" s="78"/>
      <c r="Y84" s="78"/>
      <c r="Z84" s="78"/>
      <c r="AA84" s="78"/>
      <c r="AB84" s="78"/>
      <c r="AC84" s="78"/>
      <c r="AD84" s="78"/>
      <c r="AE84" s="78"/>
      <c r="AF84" s="78"/>
      <c r="AG84" s="78"/>
      <c r="AH84" s="78"/>
      <c r="AI84" s="78"/>
      <c r="AJ84" s="66"/>
    </row>
    <row r="85" spans="1:36" s="79" customFormat="1" ht="30" customHeight="1" x14ac:dyDescent="0.25">
      <c r="A85" s="63"/>
      <c r="B85" s="63"/>
      <c r="C85" s="409"/>
      <c r="D85" s="65"/>
      <c r="E85" s="66"/>
      <c r="F85" s="66"/>
      <c r="G85" s="66"/>
      <c r="H85" s="66"/>
      <c r="I85" s="80"/>
      <c r="J85" s="70"/>
      <c r="K85" s="70"/>
      <c r="L85" s="71"/>
      <c r="M85" s="72"/>
      <c r="N85" s="81"/>
      <c r="O85" s="72"/>
      <c r="P85" s="63"/>
      <c r="Q85" s="75"/>
      <c r="R85" s="76"/>
      <c r="S85" s="72"/>
      <c r="T85" s="60"/>
      <c r="U85" s="60"/>
      <c r="V85" s="60"/>
      <c r="W85" s="78"/>
      <c r="X85" s="78"/>
      <c r="Y85" s="78"/>
      <c r="Z85" s="78"/>
      <c r="AA85" s="78"/>
      <c r="AB85" s="78"/>
      <c r="AC85" s="78"/>
      <c r="AD85" s="78"/>
      <c r="AE85" s="78"/>
      <c r="AF85" s="78"/>
      <c r="AG85" s="78"/>
      <c r="AH85" s="78"/>
      <c r="AI85" s="78"/>
      <c r="AJ85" s="66"/>
    </row>
    <row r="86" spans="1:36" s="103" customFormat="1" ht="30" customHeight="1" x14ac:dyDescent="0.25">
      <c r="A86" s="94"/>
      <c r="B86" s="94"/>
      <c r="C86" s="413"/>
      <c r="D86" s="95"/>
      <c r="E86" s="96"/>
      <c r="F86" s="96"/>
      <c r="G86" s="96"/>
      <c r="H86" s="96"/>
      <c r="I86" s="97"/>
      <c r="J86" s="98"/>
      <c r="K86" s="98"/>
      <c r="L86" s="99"/>
      <c r="M86" s="72"/>
      <c r="N86" s="100"/>
      <c r="O86" s="101"/>
      <c r="P86" s="63"/>
      <c r="Q86" s="75"/>
      <c r="R86" s="76"/>
      <c r="S86" s="72"/>
      <c r="T86" s="60"/>
      <c r="U86" s="60"/>
      <c r="V86" s="60"/>
      <c r="W86" s="102"/>
      <c r="X86" s="102"/>
      <c r="Y86" s="102"/>
      <c r="Z86" s="102"/>
      <c r="AA86" s="102"/>
      <c r="AB86" s="102"/>
      <c r="AC86" s="102"/>
      <c r="AD86" s="102"/>
      <c r="AE86" s="102"/>
      <c r="AF86" s="78"/>
      <c r="AG86" s="78"/>
      <c r="AH86" s="78"/>
      <c r="AI86" s="78"/>
      <c r="AJ86" s="96"/>
    </row>
    <row r="87" spans="1:36" s="103" customFormat="1" ht="30" customHeight="1" x14ac:dyDescent="0.25">
      <c r="A87" s="94"/>
      <c r="B87" s="94"/>
      <c r="C87" s="413"/>
      <c r="D87" s="95"/>
      <c r="E87" s="96"/>
      <c r="F87" s="96"/>
      <c r="G87" s="96"/>
      <c r="H87" s="96"/>
      <c r="I87" s="97"/>
      <c r="J87" s="98"/>
      <c r="K87" s="98"/>
      <c r="L87" s="99"/>
      <c r="M87" s="72"/>
      <c r="N87" s="100"/>
      <c r="O87" s="101"/>
      <c r="P87" s="63"/>
      <c r="Q87" s="75"/>
      <c r="R87" s="76"/>
      <c r="S87" s="72"/>
      <c r="T87" s="60"/>
      <c r="U87" s="60"/>
      <c r="V87" s="60"/>
      <c r="W87" s="102"/>
      <c r="X87" s="102"/>
      <c r="Y87" s="102"/>
      <c r="Z87" s="102"/>
      <c r="AA87" s="102"/>
      <c r="AB87" s="102"/>
      <c r="AC87" s="102"/>
      <c r="AD87" s="102"/>
      <c r="AE87" s="102"/>
      <c r="AF87" s="78"/>
      <c r="AG87" s="78"/>
      <c r="AH87" s="78"/>
      <c r="AI87" s="78"/>
      <c r="AJ87" s="96"/>
    </row>
    <row r="88" spans="1:36" s="103" customFormat="1" ht="30" customHeight="1" x14ac:dyDescent="0.25">
      <c r="A88" s="94"/>
      <c r="B88" s="94"/>
      <c r="C88" s="413"/>
      <c r="D88" s="95"/>
      <c r="E88" s="96"/>
      <c r="F88" s="96"/>
      <c r="G88" s="96"/>
      <c r="H88" s="96"/>
      <c r="I88" s="97"/>
      <c r="J88" s="98"/>
      <c r="K88" s="98"/>
      <c r="L88" s="99"/>
      <c r="M88" s="72"/>
      <c r="N88" s="100"/>
      <c r="O88" s="101"/>
      <c r="P88" s="63"/>
      <c r="Q88" s="75"/>
      <c r="R88" s="76"/>
      <c r="S88" s="72"/>
      <c r="T88" s="60"/>
      <c r="U88" s="60"/>
      <c r="V88" s="60"/>
      <c r="W88" s="102"/>
      <c r="X88" s="102"/>
      <c r="Y88" s="102"/>
      <c r="Z88" s="102"/>
      <c r="AA88" s="102"/>
      <c r="AB88" s="102"/>
      <c r="AC88" s="102"/>
      <c r="AD88" s="102"/>
      <c r="AE88" s="102"/>
      <c r="AF88" s="78"/>
      <c r="AG88" s="78"/>
      <c r="AH88" s="78"/>
      <c r="AI88" s="78"/>
      <c r="AJ88" s="96"/>
    </row>
    <row r="89" spans="1:36" s="103" customFormat="1" ht="30" customHeight="1" x14ac:dyDescent="0.25">
      <c r="A89" s="94"/>
      <c r="B89" s="94"/>
      <c r="C89" s="413"/>
      <c r="D89" s="95"/>
      <c r="E89" s="96"/>
      <c r="F89" s="96"/>
      <c r="G89" s="96"/>
      <c r="H89" s="96"/>
      <c r="I89" s="97"/>
      <c r="J89" s="98"/>
      <c r="K89" s="98"/>
      <c r="L89" s="99"/>
      <c r="M89" s="72"/>
      <c r="N89" s="100"/>
      <c r="O89" s="101"/>
      <c r="P89" s="63"/>
      <c r="Q89" s="75"/>
      <c r="R89" s="76"/>
      <c r="S89" s="72"/>
      <c r="T89" s="60"/>
      <c r="U89" s="60"/>
      <c r="V89" s="60"/>
      <c r="W89" s="102"/>
      <c r="X89" s="102"/>
      <c r="Y89" s="102"/>
      <c r="Z89" s="102"/>
      <c r="AA89" s="102"/>
      <c r="AB89" s="102"/>
      <c r="AC89" s="102"/>
      <c r="AD89" s="102"/>
      <c r="AE89" s="102"/>
      <c r="AF89" s="78"/>
      <c r="AG89" s="78"/>
      <c r="AH89" s="78"/>
      <c r="AI89" s="78"/>
      <c r="AJ89" s="96"/>
    </row>
    <row r="90" spans="1:36" s="103" customFormat="1" ht="30" customHeight="1" x14ac:dyDescent="0.25">
      <c r="A90" s="94"/>
      <c r="B90" s="94"/>
      <c r="C90" s="413"/>
      <c r="D90" s="95"/>
      <c r="E90" s="96"/>
      <c r="F90" s="96"/>
      <c r="G90" s="96"/>
      <c r="H90" s="96"/>
      <c r="I90" s="97"/>
      <c r="J90" s="98"/>
      <c r="K90" s="98"/>
      <c r="L90" s="99"/>
      <c r="M90" s="72"/>
      <c r="N90" s="100"/>
      <c r="O90" s="101"/>
      <c r="P90" s="63"/>
      <c r="Q90" s="75"/>
      <c r="R90" s="76"/>
      <c r="S90" s="72"/>
      <c r="T90" s="60"/>
      <c r="U90" s="60"/>
      <c r="V90" s="60"/>
      <c r="W90" s="102"/>
      <c r="X90" s="102"/>
      <c r="Y90" s="102"/>
      <c r="Z90" s="102"/>
      <c r="AA90" s="102"/>
      <c r="AB90" s="102"/>
      <c r="AC90" s="102"/>
      <c r="AD90" s="102"/>
      <c r="AE90" s="102"/>
      <c r="AF90" s="78"/>
      <c r="AG90" s="78"/>
      <c r="AH90" s="78"/>
      <c r="AI90" s="78"/>
      <c r="AJ90" s="96"/>
    </row>
    <row r="91" spans="1:36" s="103" customFormat="1" ht="30" customHeight="1" x14ac:dyDescent="0.25">
      <c r="A91" s="94"/>
      <c r="B91" s="94"/>
      <c r="C91" s="413"/>
      <c r="D91" s="95"/>
      <c r="E91" s="96"/>
      <c r="F91" s="96"/>
      <c r="G91" s="96"/>
      <c r="H91" s="96"/>
      <c r="I91" s="97"/>
      <c r="J91" s="98"/>
      <c r="K91" s="98"/>
      <c r="L91" s="99"/>
      <c r="M91" s="72"/>
      <c r="N91" s="100"/>
      <c r="O91" s="101"/>
      <c r="P91" s="63"/>
      <c r="Q91" s="75"/>
      <c r="R91" s="76"/>
      <c r="S91" s="72"/>
      <c r="T91" s="60"/>
      <c r="U91" s="60"/>
      <c r="V91" s="60"/>
      <c r="W91" s="102"/>
      <c r="X91" s="102"/>
      <c r="Y91" s="102"/>
      <c r="Z91" s="102"/>
      <c r="AA91" s="102"/>
      <c r="AB91" s="102"/>
      <c r="AC91" s="102"/>
      <c r="AD91" s="102"/>
      <c r="AE91" s="102"/>
      <c r="AF91" s="78"/>
      <c r="AG91" s="78"/>
      <c r="AH91" s="78"/>
      <c r="AI91" s="78"/>
      <c r="AJ91" s="96"/>
    </row>
    <row r="92" spans="1:36" s="103" customFormat="1" ht="30" customHeight="1" x14ac:dyDescent="0.25">
      <c r="A92" s="94"/>
      <c r="B92" s="94"/>
      <c r="C92" s="413"/>
      <c r="D92" s="95"/>
      <c r="E92" s="96"/>
      <c r="F92" s="96"/>
      <c r="G92" s="96"/>
      <c r="H92" s="96"/>
      <c r="I92" s="97"/>
      <c r="J92" s="98"/>
      <c r="K92" s="98"/>
      <c r="L92" s="99"/>
      <c r="M92" s="72"/>
      <c r="N92" s="100"/>
      <c r="O92" s="101"/>
      <c r="P92" s="63"/>
      <c r="Q92" s="75"/>
      <c r="R92" s="76"/>
      <c r="S92" s="72"/>
      <c r="T92" s="60"/>
      <c r="U92" s="60"/>
      <c r="V92" s="60"/>
      <c r="W92" s="102"/>
      <c r="X92" s="102"/>
      <c r="Y92" s="102"/>
      <c r="Z92" s="102"/>
      <c r="AA92" s="102"/>
      <c r="AB92" s="102"/>
      <c r="AC92" s="102"/>
      <c r="AD92" s="102"/>
      <c r="AE92" s="102"/>
      <c r="AF92" s="78"/>
      <c r="AG92" s="78"/>
      <c r="AH92" s="78"/>
      <c r="AI92" s="78"/>
      <c r="AJ92" s="96"/>
    </row>
    <row r="93" spans="1:36" s="103" customFormat="1" ht="30" customHeight="1" x14ac:dyDescent="0.25">
      <c r="A93" s="94"/>
      <c r="B93" s="94"/>
      <c r="C93" s="413"/>
      <c r="D93" s="95"/>
      <c r="E93" s="96"/>
      <c r="F93" s="96"/>
      <c r="G93" s="96"/>
      <c r="H93" s="96"/>
      <c r="I93" s="97"/>
      <c r="J93" s="98"/>
      <c r="K93" s="98"/>
      <c r="L93" s="99"/>
      <c r="M93" s="72"/>
      <c r="N93" s="100"/>
      <c r="O93" s="101"/>
      <c r="P93" s="63"/>
      <c r="Q93" s="75"/>
      <c r="R93" s="76"/>
      <c r="S93" s="72"/>
      <c r="T93" s="60"/>
      <c r="U93" s="60"/>
      <c r="V93" s="60"/>
      <c r="W93" s="102"/>
      <c r="X93" s="102"/>
      <c r="Y93" s="102"/>
      <c r="Z93" s="102"/>
      <c r="AA93" s="102"/>
      <c r="AB93" s="102"/>
      <c r="AC93" s="102"/>
      <c r="AD93" s="102"/>
      <c r="AE93" s="102"/>
      <c r="AF93" s="78"/>
      <c r="AG93" s="78"/>
      <c r="AH93" s="78"/>
      <c r="AI93" s="78"/>
      <c r="AJ93" s="96"/>
    </row>
    <row r="94" spans="1:36" s="103" customFormat="1" ht="30" customHeight="1" x14ac:dyDescent="0.25">
      <c r="A94" s="94"/>
      <c r="B94" s="94"/>
      <c r="C94" s="413"/>
      <c r="D94" s="95"/>
      <c r="E94" s="96"/>
      <c r="F94" s="96"/>
      <c r="G94" s="96"/>
      <c r="H94" s="96"/>
      <c r="I94" s="97"/>
      <c r="J94" s="98"/>
      <c r="K94" s="98"/>
      <c r="L94" s="99"/>
      <c r="M94" s="72"/>
      <c r="N94" s="100"/>
      <c r="O94" s="101"/>
      <c r="P94" s="63"/>
      <c r="Q94" s="75"/>
      <c r="R94" s="76"/>
      <c r="S94" s="72"/>
      <c r="T94" s="60"/>
      <c r="U94" s="60"/>
      <c r="V94" s="60"/>
      <c r="W94" s="102"/>
      <c r="X94" s="102"/>
      <c r="Y94" s="102"/>
      <c r="Z94" s="102"/>
      <c r="AA94" s="102"/>
      <c r="AB94" s="102"/>
      <c r="AC94" s="102"/>
      <c r="AD94" s="102"/>
      <c r="AE94" s="102"/>
      <c r="AF94" s="78"/>
      <c r="AG94" s="78"/>
      <c r="AH94" s="78"/>
      <c r="AI94" s="78"/>
      <c r="AJ94" s="96"/>
    </row>
    <row r="95" spans="1:36" s="103" customFormat="1" ht="30" customHeight="1" x14ac:dyDescent="0.25">
      <c r="A95" s="94"/>
      <c r="B95" s="94"/>
      <c r="C95" s="413"/>
      <c r="D95" s="95"/>
      <c r="E95" s="96"/>
      <c r="F95" s="96"/>
      <c r="G95" s="96"/>
      <c r="H95" s="96"/>
      <c r="I95" s="97"/>
      <c r="J95" s="98"/>
      <c r="K95" s="98"/>
      <c r="L95" s="99"/>
      <c r="M95" s="72"/>
      <c r="N95" s="100"/>
      <c r="O95" s="101"/>
      <c r="P95" s="63"/>
      <c r="Q95" s="75"/>
      <c r="R95" s="76"/>
      <c r="S95" s="72"/>
      <c r="T95" s="60"/>
      <c r="U95" s="60"/>
      <c r="V95" s="60"/>
      <c r="W95" s="102"/>
      <c r="X95" s="102"/>
      <c r="Y95" s="102"/>
      <c r="Z95" s="102"/>
      <c r="AA95" s="102"/>
      <c r="AB95" s="102"/>
      <c r="AC95" s="102"/>
      <c r="AD95" s="102"/>
      <c r="AE95" s="102"/>
      <c r="AF95" s="78"/>
      <c r="AG95" s="78"/>
      <c r="AH95" s="78"/>
      <c r="AI95" s="78"/>
      <c r="AJ95" s="96"/>
    </row>
    <row r="96" spans="1:36" s="103" customFormat="1" ht="30" customHeight="1" x14ac:dyDescent="0.25">
      <c r="A96" s="94"/>
      <c r="B96" s="94"/>
      <c r="C96" s="413"/>
      <c r="D96" s="95"/>
      <c r="E96" s="96"/>
      <c r="F96" s="96"/>
      <c r="G96" s="96"/>
      <c r="H96" s="96"/>
      <c r="I96" s="97"/>
      <c r="J96" s="98"/>
      <c r="K96" s="98"/>
      <c r="L96" s="99"/>
      <c r="M96" s="72"/>
      <c r="N96" s="100"/>
      <c r="O96" s="101"/>
      <c r="P96" s="63"/>
      <c r="Q96" s="75"/>
      <c r="R96" s="76"/>
      <c r="S96" s="72"/>
      <c r="T96" s="60"/>
      <c r="U96" s="60"/>
      <c r="V96" s="60"/>
      <c r="W96" s="102"/>
      <c r="X96" s="102"/>
      <c r="Y96" s="102"/>
      <c r="Z96" s="102"/>
      <c r="AA96" s="102"/>
      <c r="AB96" s="102"/>
      <c r="AC96" s="102"/>
      <c r="AD96" s="102"/>
      <c r="AE96" s="102"/>
      <c r="AF96" s="78"/>
      <c r="AG96" s="78"/>
      <c r="AH96" s="78"/>
      <c r="AI96" s="78"/>
      <c r="AJ96" s="96"/>
    </row>
    <row r="97" spans="1:36" s="103" customFormat="1" ht="30" customHeight="1" x14ac:dyDescent="0.25">
      <c r="A97" s="94"/>
      <c r="B97" s="94"/>
      <c r="C97" s="413"/>
      <c r="D97" s="95"/>
      <c r="E97" s="96"/>
      <c r="F97" s="96"/>
      <c r="G97" s="96"/>
      <c r="H97" s="96"/>
      <c r="I97" s="97"/>
      <c r="J97" s="98"/>
      <c r="K97" s="98"/>
      <c r="L97" s="99"/>
      <c r="M97" s="72"/>
      <c r="N97" s="100"/>
      <c r="O97" s="101"/>
      <c r="P97" s="63"/>
      <c r="Q97" s="75"/>
      <c r="R97" s="76"/>
      <c r="S97" s="72"/>
      <c r="T97" s="60"/>
      <c r="U97" s="60"/>
      <c r="V97" s="60"/>
      <c r="W97" s="102"/>
      <c r="X97" s="102"/>
      <c r="Y97" s="102"/>
      <c r="Z97" s="102"/>
      <c r="AA97" s="102"/>
      <c r="AB97" s="102"/>
      <c r="AC97" s="102"/>
      <c r="AD97" s="102"/>
      <c r="AE97" s="102"/>
      <c r="AF97" s="78"/>
      <c r="AG97" s="78"/>
      <c r="AH97" s="78"/>
      <c r="AI97" s="78"/>
      <c r="AJ97" s="96"/>
    </row>
    <row r="98" spans="1:36" s="103" customFormat="1" ht="30" customHeight="1" x14ac:dyDescent="0.25">
      <c r="A98" s="94"/>
      <c r="B98" s="94"/>
      <c r="C98" s="413"/>
      <c r="D98" s="95"/>
      <c r="E98" s="96"/>
      <c r="F98" s="96"/>
      <c r="G98" s="96"/>
      <c r="H98" s="96"/>
      <c r="I98" s="97"/>
      <c r="J98" s="98"/>
      <c r="K98" s="98"/>
      <c r="L98" s="99"/>
      <c r="M98" s="72"/>
      <c r="N98" s="100"/>
      <c r="O98" s="101"/>
      <c r="P98" s="63"/>
      <c r="Q98" s="75"/>
      <c r="R98" s="76"/>
      <c r="S98" s="72"/>
      <c r="T98" s="60"/>
      <c r="U98" s="60"/>
      <c r="V98" s="60"/>
      <c r="W98" s="102"/>
      <c r="X98" s="102"/>
      <c r="Y98" s="102"/>
      <c r="Z98" s="102"/>
      <c r="AA98" s="102"/>
      <c r="AB98" s="102"/>
      <c r="AC98" s="102"/>
      <c r="AD98" s="102"/>
      <c r="AE98" s="102"/>
      <c r="AF98" s="78"/>
      <c r="AG98" s="78"/>
      <c r="AH98" s="78"/>
      <c r="AI98" s="78"/>
      <c r="AJ98" s="96"/>
    </row>
    <row r="99" spans="1:36" s="103" customFormat="1" ht="30" customHeight="1" x14ac:dyDescent="0.25">
      <c r="A99" s="94"/>
      <c r="B99" s="94"/>
      <c r="C99" s="413"/>
      <c r="D99" s="95"/>
      <c r="E99" s="96"/>
      <c r="F99" s="96"/>
      <c r="G99" s="96"/>
      <c r="H99" s="96"/>
      <c r="I99" s="97"/>
      <c r="J99" s="98"/>
      <c r="K99" s="98"/>
      <c r="L99" s="99"/>
      <c r="M99" s="72"/>
      <c r="N99" s="100"/>
      <c r="O99" s="101"/>
      <c r="P99" s="63"/>
      <c r="Q99" s="75"/>
      <c r="R99" s="76"/>
      <c r="S99" s="72"/>
      <c r="T99" s="60"/>
      <c r="U99" s="60"/>
      <c r="V99" s="60"/>
      <c r="W99" s="102"/>
      <c r="X99" s="102"/>
      <c r="Y99" s="102"/>
      <c r="Z99" s="102"/>
      <c r="AA99" s="102"/>
      <c r="AB99" s="102"/>
      <c r="AC99" s="102"/>
      <c r="AD99" s="102"/>
      <c r="AE99" s="102"/>
      <c r="AF99" s="78"/>
      <c r="AG99" s="78"/>
      <c r="AH99" s="78"/>
      <c r="AI99" s="78"/>
      <c r="AJ99" s="96"/>
    </row>
    <row r="100" spans="1:36" s="103" customFormat="1" ht="30" customHeight="1" x14ac:dyDescent="0.25">
      <c r="A100" s="94"/>
      <c r="B100" s="94"/>
      <c r="C100" s="413"/>
      <c r="D100" s="95"/>
      <c r="E100" s="96"/>
      <c r="F100" s="96"/>
      <c r="G100" s="96"/>
      <c r="H100" s="96"/>
      <c r="I100" s="97"/>
      <c r="J100" s="98"/>
      <c r="K100" s="98"/>
      <c r="L100" s="99"/>
      <c r="M100" s="72"/>
      <c r="N100" s="100"/>
      <c r="O100" s="101"/>
      <c r="P100" s="63"/>
      <c r="Q100" s="75"/>
      <c r="R100" s="76"/>
      <c r="S100" s="72"/>
      <c r="T100" s="60"/>
      <c r="U100" s="60"/>
      <c r="V100" s="60"/>
      <c r="W100" s="102"/>
      <c r="X100" s="102"/>
      <c r="Y100" s="102"/>
      <c r="Z100" s="102"/>
      <c r="AA100" s="102"/>
      <c r="AB100" s="102"/>
      <c r="AC100" s="102"/>
      <c r="AD100" s="102"/>
      <c r="AE100" s="102"/>
      <c r="AF100" s="78"/>
      <c r="AG100" s="78"/>
      <c r="AH100" s="78"/>
      <c r="AI100" s="78"/>
      <c r="AJ100" s="96"/>
    </row>
    <row r="101" spans="1:36" s="103" customFormat="1" ht="30" customHeight="1" x14ac:dyDescent="0.25">
      <c r="A101" s="94"/>
      <c r="B101" s="94"/>
      <c r="C101" s="413"/>
      <c r="D101" s="95"/>
      <c r="E101" s="96"/>
      <c r="F101" s="96"/>
      <c r="G101" s="96"/>
      <c r="H101" s="96"/>
      <c r="I101" s="97"/>
      <c r="J101" s="98"/>
      <c r="K101" s="98"/>
      <c r="L101" s="99"/>
      <c r="M101" s="72"/>
      <c r="N101" s="100"/>
      <c r="O101" s="101"/>
      <c r="P101" s="63"/>
      <c r="Q101" s="75"/>
      <c r="R101" s="76"/>
      <c r="S101" s="72"/>
      <c r="T101" s="60"/>
      <c r="U101" s="60"/>
      <c r="V101" s="60"/>
      <c r="W101" s="102"/>
      <c r="X101" s="102"/>
      <c r="Y101" s="102"/>
      <c r="Z101" s="102"/>
      <c r="AA101" s="102"/>
      <c r="AB101" s="102"/>
      <c r="AC101" s="102"/>
      <c r="AD101" s="102"/>
      <c r="AE101" s="102"/>
      <c r="AF101" s="78"/>
      <c r="AG101" s="78"/>
      <c r="AH101" s="78"/>
      <c r="AI101" s="78"/>
      <c r="AJ101" s="96"/>
    </row>
    <row r="102" spans="1:36" s="103" customFormat="1" ht="30" customHeight="1" x14ac:dyDescent="0.25">
      <c r="A102" s="94"/>
      <c r="B102" s="94"/>
      <c r="C102" s="413"/>
      <c r="D102" s="95"/>
      <c r="E102" s="96"/>
      <c r="F102" s="96"/>
      <c r="G102" s="96"/>
      <c r="H102" s="96"/>
      <c r="I102" s="97"/>
      <c r="J102" s="98"/>
      <c r="K102" s="98"/>
      <c r="L102" s="99"/>
      <c r="M102" s="72"/>
      <c r="N102" s="100"/>
      <c r="O102" s="101"/>
      <c r="P102" s="63"/>
      <c r="Q102" s="75"/>
      <c r="R102" s="76"/>
      <c r="S102" s="72"/>
      <c r="T102" s="60"/>
      <c r="U102" s="60"/>
      <c r="V102" s="60"/>
      <c r="W102" s="102"/>
      <c r="X102" s="102"/>
      <c r="Y102" s="102"/>
      <c r="Z102" s="102"/>
      <c r="AA102" s="102"/>
      <c r="AB102" s="102"/>
      <c r="AC102" s="102"/>
      <c r="AD102" s="102"/>
      <c r="AE102" s="102"/>
      <c r="AF102" s="78"/>
      <c r="AG102" s="78"/>
      <c r="AH102" s="78"/>
      <c r="AI102" s="78"/>
      <c r="AJ102" s="96"/>
    </row>
    <row r="103" spans="1:36" s="103" customFormat="1" ht="30" customHeight="1" x14ac:dyDescent="0.25">
      <c r="A103" s="94"/>
      <c r="B103" s="94"/>
      <c r="C103" s="413"/>
      <c r="D103" s="95"/>
      <c r="E103" s="96"/>
      <c r="F103" s="96"/>
      <c r="G103" s="96"/>
      <c r="H103" s="96"/>
      <c r="I103" s="97"/>
      <c r="J103" s="98"/>
      <c r="K103" s="98"/>
      <c r="L103" s="99"/>
      <c r="M103" s="72"/>
      <c r="N103" s="100"/>
      <c r="O103" s="101"/>
      <c r="P103" s="63"/>
      <c r="Q103" s="75"/>
      <c r="R103" s="76"/>
      <c r="S103" s="72"/>
      <c r="T103" s="60"/>
      <c r="U103" s="60"/>
      <c r="V103" s="60"/>
      <c r="W103" s="102"/>
      <c r="X103" s="102"/>
      <c r="Y103" s="102"/>
      <c r="Z103" s="102"/>
      <c r="AA103" s="102"/>
      <c r="AB103" s="102"/>
      <c r="AC103" s="102"/>
      <c r="AD103" s="102"/>
      <c r="AE103" s="102"/>
      <c r="AF103" s="78"/>
      <c r="AG103" s="78"/>
      <c r="AH103" s="78"/>
      <c r="AI103" s="78"/>
      <c r="AJ103" s="96"/>
    </row>
    <row r="104" spans="1:36" s="103" customFormat="1" ht="30" customHeight="1" x14ac:dyDescent="0.25">
      <c r="A104" s="94"/>
      <c r="B104" s="94"/>
      <c r="C104" s="413"/>
      <c r="D104" s="95"/>
      <c r="E104" s="96"/>
      <c r="F104" s="96"/>
      <c r="G104" s="96"/>
      <c r="H104" s="96"/>
      <c r="I104" s="97"/>
      <c r="J104" s="98"/>
      <c r="K104" s="98"/>
      <c r="L104" s="99"/>
      <c r="M104" s="72"/>
      <c r="N104" s="100"/>
      <c r="O104" s="101"/>
      <c r="P104" s="63"/>
      <c r="Q104" s="75"/>
      <c r="R104" s="76"/>
      <c r="S104" s="72"/>
      <c r="T104" s="60"/>
      <c r="U104" s="60"/>
      <c r="V104" s="60"/>
      <c r="W104" s="102"/>
      <c r="X104" s="102"/>
      <c r="Y104" s="102"/>
      <c r="Z104" s="102"/>
      <c r="AA104" s="102"/>
      <c r="AB104" s="102"/>
      <c r="AC104" s="102"/>
      <c r="AD104" s="102"/>
      <c r="AE104" s="102"/>
      <c r="AF104" s="78"/>
      <c r="AG104" s="78"/>
      <c r="AH104" s="78"/>
      <c r="AI104" s="78"/>
      <c r="AJ104" s="96"/>
    </row>
    <row r="105" spans="1:36" s="103" customFormat="1" ht="30" customHeight="1" x14ac:dyDescent="0.25">
      <c r="A105" s="94"/>
      <c r="B105" s="94"/>
      <c r="C105" s="413"/>
      <c r="D105" s="95"/>
      <c r="E105" s="96"/>
      <c r="F105" s="96"/>
      <c r="G105" s="96"/>
      <c r="H105" s="96"/>
      <c r="I105" s="97"/>
      <c r="J105" s="98"/>
      <c r="K105" s="98"/>
      <c r="L105" s="99"/>
      <c r="M105" s="72"/>
      <c r="N105" s="100"/>
      <c r="O105" s="101"/>
      <c r="P105" s="63"/>
      <c r="Q105" s="75"/>
      <c r="R105" s="76"/>
      <c r="S105" s="72"/>
      <c r="T105" s="60"/>
      <c r="U105" s="60"/>
      <c r="V105" s="60"/>
      <c r="W105" s="102"/>
      <c r="X105" s="102"/>
      <c r="Y105" s="102"/>
      <c r="Z105" s="102"/>
      <c r="AA105" s="102"/>
      <c r="AB105" s="102"/>
      <c r="AC105" s="102"/>
      <c r="AD105" s="102"/>
      <c r="AE105" s="102"/>
      <c r="AF105" s="78"/>
      <c r="AG105" s="78"/>
      <c r="AH105" s="78"/>
      <c r="AI105" s="78"/>
      <c r="AJ105" s="96"/>
    </row>
    <row r="106" spans="1:36" s="103" customFormat="1" ht="30" customHeight="1" x14ac:dyDescent="0.25">
      <c r="A106" s="94"/>
      <c r="B106" s="94"/>
      <c r="C106" s="413"/>
      <c r="D106" s="95"/>
      <c r="E106" s="96"/>
      <c r="F106" s="96"/>
      <c r="G106" s="96"/>
      <c r="H106" s="96"/>
      <c r="I106" s="97"/>
      <c r="J106" s="98"/>
      <c r="K106" s="98"/>
      <c r="L106" s="99"/>
      <c r="M106" s="72"/>
      <c r="N106" s="100"/>
      <c r="O106" s="101"/>
      <c r="P106" s="63"/>
      <c r="Q106" s="75"/>
      <c r="R106" s="76"/>
      <c r="S106" s="72"/>
      <c r="T106" s="60"/>
      <c r="U106" s="60"/>
      <c r="V106" s="60"/>
      <c r="W106" s="102"/>
      <c r="X106" s="102"/>
      <c r="Y106" s="102"/>
      <c r="Z106" s="102"/>
      <c r="AA106" s="102"/>
      <c r="AB106" s="102"/>
      <c r="AC106" s="102"/>
      <c r="AD106" s="102"/>
      <c r="AE106" s="102"/>
      <c r="AF106" s="78"/>
      <c r="AG106" s="78"/>
      <c r="AH106" s="78"/>
      <c r="AI106" s="78"/>
      <c r="AJ106" s="96"/>
    </row>
    <row r="107" spans="1:36" s="103" customFormat="1" ht="30" customHeight="1" x14ac:dyDescent="0.25">
      <c r="A107" s="94"/>
      <c r="B107" s="94"/>
      <c r="C107" s="413"/>
      <c r="D107" s="95"/>
      <c r="E107" s="96"/>
      <c r="F107" s="96"/>
      <c r="G107" s="96"/>
      <c r="H107" s="96"/>
      <c r="I107" s="97"/>
      <c r="J107" s="98"/>
      <c r="K107" s="98"/>
      <c r="L107" s="99"/>
      <c r="M107" s="72"/>
      <c r="N107" s="100"/>
      <c r="O107" s="101"/>
      <c r="P107" s="63"/>
      <c r="Q107" s="75"/>
      <c r="R107" s="76"/>
      <c r="S107" s="72"/>
      <c r="T107" s="60"/>
      <c r="U107" s="60"/>
      <c r="V107" s="60"/>
      <c r="W107" s="102"/>
      <c r="X107" s="102"/>
      <c r="Y107" s="102"/>
      <c r="Z107" s="102"/>
      <c r="AA107" s="102"/>
      <c r="AB107" s="102"/>
      <c r="AC107" s="102"/>
      <c r="AD107" s="102"/>
      <c r="AE107" s="102"/>
      <c r="AF107" s="78"/>
      <c r="AG107" s="78"/>
      <c r="AH107" s="78"/>
      <c r="AI107" s="78"/>
      <c r="AJ107" s="96"/>
    </row>
    <row r="108" spans="1:36" s="103" customFormat="1" ht="30" customHeight="1" x14ac:dyDescent="0.25">
      <c r="A108" s="94"/>
      <c r="B108" s="94"/>
      <c r="C108" s="413"/>
      <c r="D108" s="95"/>
      <c r="E108" s="96"/>
      <c r="F108" s="96"/>
      <c r="G108" s="96"/>
      <c r="H108" s="96"/>
      <c r="I108" s="97"/>
      <c r="J108" s="98"/>
      <c r="K108" s="98"/>
      <c r="L108" s="99"/>
      <c r="M108" s="72"/>
      <c r="N108" s="100"/>
      <c r="O108" s="101"/>
      <c r="P108" s="63"/>
      <c r="Q108" s="75"/>
      <c r="R108" s="76"/>
      <c r="S108" s="72"/>
      <c r="T108" s="60"/>
      <c r="U108" s="60"/>
      <c r="V108" s="60"/>
      <c r="W108" s="102"/>
      <c r="X108" s="102"/>
      <c r="Y108" s="102"/>
      <c r="Z108" s="102"/>
      <c r="AA108" s="102"/>
      <c r="AB108" s="102"/>
      <c r="AC108" s="102"/>
      <c r="AD108" s="102"/>
      <c r="AE108" s="102"/>
      <c r="AF108" s="78"/>
      <c r="AG108" s="78"/>
      <c r="AH108" s="78"/>
      <c r="AI108" s="78"/>
      <c r="AJ108" s="96"/>
    </row>
    <row r="109" spans="1:36" s="103" customFormat="1" ht="30" customHeight="1" x14ac:dyDescent="0.25">
      <c r="A109" s="94"/>
      <c r="B109" s="94"/>
      <c r="C109" s="413"/>
      <c r="D109" s="95"/>
      <c r="E109" s="96"/>
      <c r="F109" s="96"/>
      <c r="G109" s="96"/>
      <c r="H109" s="96"/>
      <c r="I109" s="97"/>
      <c r="J109" s="98"/>
      <c r="K109" s="98"/>
      <c r="L109" s="99"/>
      <c r="M109" s="72"/>
      <c r="N109" s="100"/>
      <c r="O109" s="101"/>
      <c r="P109" s="63"/>
      <c r="Q109" s="75"/>
      <c r="R109" s="76"/>
      <c r="S109" s="72"/>
      <c r="T109" s="60"/>
      <c r="U109" s="60"/>
      <c r="V109" s="60"/>
      <c r="W109" s="102"/>
      <c r="X109" s="102"/>
      <c r="Y109" s="102"/>
      <c r="Z109" s="102"/>
      <c r="AA109" s="102"/>
      <c r="AB109" s="102"/>
      <c r="AC109" s="102"/>
      <c r="AD109" s="102"/>
      <c r="AE109" s="102"/>
      <c r="AF109" s="78"/>
      <c r="AG109" s="78"/>
      <c r="AH109" s="78"/>
      <c r="AI109" s="78"/>
      <c r="AJ109" s="96"/>
    </row>
    <row r="110" spans="1:36" s="103" customFormat="1" ht="30" customHeight="1" x14ac:dyDescent="0.25">
      <c r="A110" s="94"/>
      <c r="B110" s="94"/>
      <c r="C110" s="413"/>
      <c r="D110" s="95"/>
      <c r="E110" s="96"/>
      <c r="F110" s="96"/>
      <c r="G110" s="96"/>
      <c r="H110" s="96"/>
      <c r="I110" s="97"/>
      <c r="J110" s="98"/>
      <c r="K110" s="98"/>
      <c r="L110" s="99"/>
      <c r="M110" s="72"/>
      <c r="N110" s="100"/>
      <c r="O110" s="101"/>
      <c r="P110" s="63"/>
      <c r="Q110" s="75"/>
      <c r="R110" s="76"/>
      <c r="S110" s="72"/>
      <c r="T110" s="60"/>
      <c r="U110" s="60"/>
      <c r="V110" s="60"/>
      <c r="W110" s="102"/>
      <c r="X110" s="102"/>
      <c r="Y110" s="102"/>
      <c r="Z110" s="102"/>
      <c r="AA110" s="102"/>
      <c r="AB110" s="102"/>
      <c r="AC110" s="102"/>
      <c r="AD110" s="102"/>
      <c r="AE110" s="102"/>
      <c r="AF110" s="78"/>
      <c r="AG110" s="78"/>
      <c r="AH110" s="78"/>
      <c r="AI110" s="78"/>
      <c r="AJ110" s="96"/>
    </row>
    <row r="111" spans="1:36" s="103" customFormat="1" ht="30" customHeight="1" x14ac:dyDescent="0.25">
      <c r="A111" s="94"/>
      <c r="B111" s="94"/>
      <c r="C111" s="413"/>
      <c r="D111" s="95"/>
      <c r="E111" s="96"/>
      <c r="F111" s="96"/>
      <c r="G111" s="96"/>
      <c r="H111" s="96"/>
      <c r="I111" s="97"/>
      <c r="J111" s="98"/>
      <c r="K111" s="98"/>
      <c r="L111" s="99"/>
      <c r="M111" s="72"/>
      <c r="N111" s="100"/>
      <c r="O111" s="101"/>
      <c r="P111" s="63"/>
      <c r="Q111" s="75"/>
      <c r="R111" s="76"/>
      <c r="S111" s="72"/>
      <c r="T111" s="60"/>
      <c r="U111" s="60"/>
      <c r="V111" s="60"/>
      <c r="W111" s="102"/>
      <c r="X111" s="102"/>
      <c r="Y111" s="102"/>
      <c r="Z111" s="102"/>
      <c r="AA111" s="102"/>
      <c r="AB111" s="102"/>
      <c r="AC111" s="102"/>
      <c r="AD111" s="102"/>
      <c r="AE111" s="102"/>
      <c r="AF111" s="78"/>
      <c r="AG111" s="78"/>
      <c r="AH111" s="78"/>
      <c r="AI111" s="78"/>
      <c r="AJ111" s="96"/>
    </row>
    <row r="112" spans="1:36" s="103" customFormat="1" ht="30" customHeight="1" x14ac:dyDescent="0.25">
      <c r="A112" s="94"/>
      <c r="B112" s="94"/>
      <c r="C112" s="413"/>
      <c r="D112" s="95"/>
      <c r="E112" s="96"/>
      <c r="F112" s="96"/>
      <c r="G112" s="96"/>
      <c r="H112" s="96"/>
      <c r="I112" s="97"/>
      <c r="J112" s="98"/>
      <c r="K112" s="98"/>
      <c r="L112" s="99"/>
      <c r="M112" s="72"/>
      <c r="N112" s="100"/>
      <c r="O112" s="101"/>
      <c r="P112" s="63"/>
      <c r="Q112" s="75"/>
      <c r="R112" s="76"/>
      <c r="S112" s="72"/>
      <c r="T112" s="60"/>
      <c r="U112" s="60"/>
      <c r="V112" s="60"/>
      <c r="W112" s="102"/>
      <c r="X112" s="102"/>
      <c r="Y112" s="102"/>
      <c r="Z112" s="102"/>
      <c r="AA112" s="102"/>
      <c r="AB112" s="102"/>
      <c r="AC112" s="102"/>
      <c r="AD112" s="102"/>
      <c r="AE112" s="102"/>
      <c r="AF112" s="78"/>
      <c r="AG112" s="78"/>
      <c r="AH112" s="78"/>
      <c r="AI112" s="78"/>
      <c r="AJ112" s="96"/>
    </row>
    <row r="113" spans="1:36" s="103" customFormat="1" ht="30" customHeight="1" x14ac:dyDescent="0.25">
      <c r="A113" s="94"/>
      <c r="B113" s="94"/>
      <c r="C113" s="413"/>
      <c r="D113" s="95"/>
      <c r="E113" s="96"/>
      <c r="F113" s="96"/>
      <c r="G113" s="96"/>
      <c r="H113" s="96"/>
      <c r="I113" s="97"/>
      <c r="J113" s="98"/>
      <c r="K113" s="98"/>
      <c r="L113" s="99"/>
      <c r="M113" s="72"/>
      <c r="N113" s="100"/>
      <c r="O113" s="101"/>
      <c r="P113" s="63"/>
      <c r="Q113" s="75"/>
      <c r="R113" s="76"/>
      <c r="S113" s="72"/>
      <c r="T113" s="60"/>
      <c r="U113" s="60"/>
      <c r="V113" s="60"/>
      <c r="W113" s="102"/>
      <c r="X113" s="102"/>
      <c r="Y113" s="102"/>
      <c r="Z113" s="102"/>
      <c r="AA113" s="102"/>
      <c r="AB113" s="102"/>
      <c r="AC113" s="102"/>
      <c r="AD113" s="102"/>
      <c r="AE113" s="102"/>
      <c r="AF113" s="78"/>
      <c r="AG113" s="78"/>
      <c r="AH113" s="78"/>
      <c r="AI113" s="78"/>
      <c r="AJ113" s="96"/>
    </row>
    <row r="114" spans="1:36" s="103" customFormat="1" ht="30" customHeight="1" x14ac:dyDescent="0.25">
      <c r="A114" s="94"/>
      <c r="B114" s="94"/>
      <c r="C114" s="413"/>
      <c r="D114" s="95"/>
      <c r="E114" s="96"/>
      <c r="F114" s="96"/>
      <c r="G114" s="96"/>
      <c r="H114" s="96"/>
      <c r="I114" s="97"/>
      <c r="J114" s="98"/>
      <c r="K114" s="98"/>
      <c r="L114" s="99"/>
      <c r="M114" s="72"/>
      <c r="N114" s="100"/>
      <c r="O114" s="101"/>
      <c r="P114" s="63"/>
      <c r="Q114" s="75"/>
      <c r="R114" s="76"/>
      <c r="S114" s="72"/>
      <c r="T114" s="60"/>
      <c r="U114" s="60"/>
      <c r="V114" s="60"/>
      <c r="W114" s="102"/>
      <c r="X114" s="102"/>
      <c r="Y114" s="102"/>
      <c r="Z114" s="102"/>
      <c r="AA114" s="102"/>
      <c r="AB114" s="102"/>
      <c r="AC114" s="102"/>
      <c r="AD114" s="102"/>
      <c r="AE114" s="102"/>
      <c r="AF114" s="78"/>
      <c r="AG114" s="78"/>
      <c r="AH114" s="78"/>
      <c r="AI114" s="78"/>
      <c r="AJ114" s="96"/>
    </row>
    <row r="115" spans="1:36" s="103" customFormat="1" ht="30" customHeight="1" x14ac:dyDescent="0.25">
      <c r="A115" s="94"/>
      <c r="B115" s="94"/>
      <c r="C115" s="413"/>
      <c r="D115" s="95"/>
      <c r="E115" s="96"/>
      <c r="F115" s="96"/>
      <c r="G115" s="96"/>
      <c r="H115" s="96"/>
      <c r="I115" s="97"/>
      <c r="J115" s="98"/>
      <c r="K115" s="98"/>
      <c r="L115" s="99"/>
      <c r="M115" s="72"/>
      <c r="N115" s="100"/>
      <c r="O115" s="101"/>
      <c r="P115" s="63"/>
      <c r="Q115" s="75"/>
      <c r="R115" s="76"/>
      <c r="S115" s="72"/>
      <c r="T115" s="60"/>
      <c r="U115" s="60"/>
      <c r="V115" s="60"/>
      <c r="W115" s="102"/>
      <c r="X115" s="102"/>
      <c r="Y115" s="102"/>
      <c r="Z115" s="102"/>
      <c r="AA115" s="102"/>
      <c r="AB115" s="102"/>
      <c r="AC115" s="102"/>
      <c r="AD115" s="102"/>
      <c r="AE115" s="102"/>
      <c r="AF115" s="78"/>
      <c r="AG115" s="78"/>
      <c r="AH115" s="78"/>
      <c r="AI115" s="78"/>
      <c r="AJ115" s="96"/>
    </row>
    <row r="116" spans="1:36" s="103" customFormat="1" ht="30" customHeight="1" x14ac:dyDescent="0.25">
      <c r="A116" s="94"/>
      <c r="B116" s="94"/>
      <c r="C116" s="413"/>
      <c r="D116" s="95"/>
      <c r="E116" s="96"/>
      <c r="F116" s="96"/>
      <c r="G116" s="96"/>
      <c r="H116" s="96"/>
      <c r="I116" s="97"/>
      <c r="J116" s="98"/>
      <c r="K116" s="98"/>
      <c r="L116" s="99"/>
      <c r="M116" s="72"/>
      <c r="N116" s="100"/>
      <c r="O116" s="101"/>
      <c r="P116" s="63"/>
      <c r="Q116" s="75"/>
      <c r="R116" s="76"/>
      <c r="S116" s="72"/>
      <c r="T116" s="60"/>
      <c r="U116" s="60"/>
      <c r="V116" s="60"/>
      <c r="W116" s="102"/>
      <c r="X116" s="102"/>
      <c r="Y116" s="102"/>
      <c r="Z116" s="102"/>
      <c r="AA116" s="102"/>
      <c r="AB116" s="102"/>
      <c r="AC116" s="102"/>
      <c r="AD116" s="102"/>
      <c r="AE116" s="102"/>
      <c r="AF116" s="78"/>
      <c r="AG116" s="78"/>
      <c r="AH116" s="78"/>
      <c r="AI116" s="78"/>
      <c r="AJ116" s="96"/>
    </row>
    <row r="117" spans="1:36" s="103" customFormat="1" ht="30" customHeight="1" x14ac:dyDescent="0.25">
      <c r="A117" s="94"/>
      <c r="B117" s="94"/>
      <c r="C117" s="413"/>
      <c r="D117" s="95"/>
      <c r="E117" s="96"/>
      <c r="F117" s="96"/>
      <c r="G117" s="96"/>
      <c r="H117" s="96"/>
      <c r="I117" s="97"/>
      <c r="J117" s="98"/>
      <c r="K117" s="98"/>
      <c r="L117" s="99"/>
      <c r="M117" s="72"/>
      <c r="N117" s="100"/>
      <c r="O117" s="101"/>
      <c r="P117" s="63"/>
      <c r="Q117" s="75"/>
      <c r="R117" s="76"/>
      <c r="S117" s="72"/>
      <c r="T117" s="60"/>
      <c r="U117" s="60"/>
      <c r="V117" s="60"/>
      <c r="W117" s="102"/>
      <c r="X117" s="102"/>
      <c r="Y117" s="102"/>
      <c r="Z117" s="102"/>
      <c r="AA117" s="102"/>
      <c r="AB117" s="102"/>
      <c r="AC117" s="102"/>
      <c r="AD117" s="102"/>
      <c r="AE117" s="102"/>
      <c r="AF117" s="78"/>
      <c r="AG117" s="78"/>
      <c r="AH117" s="78"/>
      <c r="AI117" s="78"/>
      <c r="AJ117" s="96"/>
    </row>
    <row r="118" spans="1:36" s="103" customFormat="1" ht="30" customHeight="1" x14ac:dyDescent="0.25">
      <c r="A118" s="94"/>
      <c r="B118" s="94"/>
      <c r="C118" s="413"/>
      <c r="D118" s="95"/>
      <c r="E118" s="96"/>
      <c r="F118" s="96"/>
      <c r="G118" s="96"/>
      <c r="H118" s="96"/>
      <c r="I118" s="97"/>
      <c r="J118" s="98"/>
      <c r="K118" s="98"/>
      <c r="L118" s="99"/>
      <c r="M118" s="72"/>
      <c r="N118" s="100"/>
      <c r="O118" s="101"/>
      <c r="P118" s="63"/>
      <c r="Q118" s="75"/>
      <c r="R118" s="76"/>
      <c r="S118" s="72"/>
      <c r="T118" s="60"/>
      <c r="U118" s="60"/>
      <c r="V118" s="60"/>
      <c r="W118" s="102"/>
      <c r="X118" s="102"/>
      <c r="Y118" s="102"/>
      <c r="Z118" s="102"/>
      <c r="AA118" s="102"/>
      <c r="AB118" s="102"/>
      <c r="AC118" s="102"/>
      <c r="AD118" s="102"/>
      <c r="AE118" s="102"/>
      <c r="AF118" s="78"/>
      <c r="AG118" s="78"/>
      <c r="AH118" s="78"/>
      <c r="AI118" s="78"/>
      <c r="AJ118" s="96"/>
    </row>
    <row r="119" spans="1:36" s="103" customFormat="1" ht="30" customHeight="1" x14ac:dyDescent="0.25">
      <c r="A119" s="94"/>
      <c r="B119" s="94"/>
      <c r="C119" s="413"/>
      <c r="D119" s="95"/>
      <c r="E119" s="96"/>
      <c r="F119" s="96"/>
      <c r="G119" s="96"/>
      <c r="H119" s="96"/>
      <c r="I119" s="97"/>
      <c r="J119" s="98"/>
      <c r="K119" s="98"/>
      <c r="L119" s="99"/>
      <c r="M119" s="72"/>
      <c r="N119" s="100"/>
      <c r="O119" s="101"/>
      <c r="P119" s="63"/>
      <c r="Q119" s="75"/>
      <c r="R119" s="76"/>
      <c r="S119" s="72"/>
      <c r="T119" s="60"/>
      <c r="U119" s="60"/>
      <c r="V119" s="60"/>
      <c r="W119" s="102"/>
      <c r="X119" s="102"/>
      <c r="Y119" s="102"/>
      <c r="Z119" s="102"/>
      <c r="AA119" s="102"/>
      <c r="AB119" s="102"/>
      <c r="AC119" s="102"/>
      <c r="AD119" s="102"/>
      <c r="AE119" s="102"/>
      <c r="AF119" s="78"/>
      <c r="AG119" s="78"/>
      <c r="AH119" s="78"/>
      <c r="AI119" s="78"/>
      <c r="AJ119" s="96"/>
    </row>
    <row r="120" spans="1:36" s="103" customFormat="1" ht="30" customHeight="1" x14ac:dyDescent="0.25">
      <c r="A120" s="94"/>
      <c r="B120" s="94"/>
      <c r="C120" s="413"/>
      <c r="D120" s="95"/>
      <c r="E120" s="96"/>
      <c r="F120" s="96"/>
      <c r="G120" s="96"/>
      <c r="H120" s="96"/>
      <c r="I120" s="97"/>
      <c r="J120" s="98"/>
      <c r="K120" s="98"/>
      <c r="L120" s="99"/>
      <c r="M120" s="72"/>
      <c r="N120" s="100"/>
      <c r="O120" s="101"/>
      <c r="P120" s="63"/>
      <c r="Q120" s="75"/>
      <c r="R120" s="76"/>
      <c r="S120" s="72"/>
      <c r="T120" s="60"/>
      <c r="U120" s="60"/>
      <c r="V120" s="60"/>
      <c r="W120" s="102"/>
      <c r="X120" s="102"/>
      <c r="Y120" s="102"/>
      <c r="Z120" s="102"/>
      <c r="AA120" s="102"/>
      <c r="AB120" s="102"/>
      <c r="AC120" s="102"/>
      <c r="AD120" s="102"/>
      <c r="AE120" s="102"/>
      <c r="AF120" s="78"/>
      <c r="AG120" s="78"/>
      <c r="AH120" s="78"/>
      <c r="AI120" s="78"/>
      <c r="AJ120" s="96"/>
    </row>
    <row r="121" spans="1:36" s="103" customFormat="1" ht="30" customHeight="1" x14ac:dyDescent="0.25">
      <c r="A121" s="94"/>
      <c r="B121" s="94"/>
      <c r="C121" s="413"/>
      <c r="D121" s="95"/>
      <c r="E121" s="96"/>
      <c r="F121" s="96"/>
      <c r="G121" s="96"/>
      <c r="H121" s="96"/>
      <c r="I121" s="97"/>
      <c r="J121" s="98"/>
      <c r="K121" s="98"/>
      <c r="L121" s="99"/>
      <c r="M121" s="72"/>
      <c r="N121" s="100"/>
      <c r="O121" s="101"/>
      <c r="P121" s="63"/>
      <c r="Q121" s="75"/>
      <c r="R121" s="76"/>
      <c r="S121" s="72"/>
      <c r="T121" s="60"/>
      <c r="U121" s="60"/>
      <c r="V121" s="60"/>
      <c r="W121" s="102"/>
      <c r="X121" s="102"/>
      <c r="Y121" s="102"/>
      <c r="Z121" s="102"/>
      <c r="AA121" s="102"/>
      <c r="AB121" s="102"/>
      <c r="AC121" s="102"/>
      <c r="AD121" s="102"/>
      <c r="AE121" s="102"/>
      <c r="AF121" s="78"/>
      <c r="AG121" s="78"/>
      <c r="AH121" s="78"/>
      <c r="AI121" s="78"/>
      <c r="AJ121" s="96"/>
    </row>
    <row r="122" spans="1:36" s="103" customFormat="1" ht="30" customHeight="1" x14ac:dyDescent="0.25">
      <c r="A122" s="94"/>
      <c r="B122" s="94"/>
      <c r="C122" s="413"/>
      <c r="D122" s="95"/>
      <c r="E122" s="96"/>
      <c r="F122" s="96"/>
      <c r="G122" s="96"/>
      <c r="H122" s="96"/>
      <c r="I122" s="97"/>
      <c r="J122" s="98"/>
      <c r="K122" s="98"/>
      <c r="L122" s="99"/>
      <c r="M122" s="72"/>
      <c r="N122" s="100"/>
      <c r="O122" s="101"/>
      <c r="P122" s="63"/>
      <c r="Q122" s="75"/>
      <c r="R122" s="76"/>
      <c r="S122" s="72"/>
      <c r="T122" s="60"/>
      <c r="U122" s="60"/>
      <c r="V122" s="60"/>
      <c r="W122" s="102"/>
      <c r="X122" s="102"/>
      <c r="Y122" s="102"/>
      <c r="Z122" s="102"/>
      <c r="AA122" s="102"/>
      <c r="AB122" s="102"/>
      <c r="AC122" s="102"/>
      <c r="AD122" s="102"/>
      <c r="AE122" s="102"/>
      <c r="AF122" s="78"/>
      <c r="AG122" s="78"/>
      <c r="AH122" s="78"/>
      <c r="AI122" s="78"/>
      <c r="AJ122" s="96"/>
    </row>
    <row r="123" spans="1:36" s="103" customFormat="1" ht="30" customHeight="1" x14ac:dyDescent="0.25">
      <c r="A123" s="94"/>
      <c r="B123" s="94"/>
      <c r="C123" s="413"/>
      <c r="D123" s="95"/>
      <c r="E123" s="96"/>
      <c r="F123" s="96"/>
      <c r="G123" s="96"/>
      <c r="H123" s="96"/>
      <c r="I123" s="97"/>
      <c r="J123" s="98"/>
      <c r="K123" s="98"/>
      <c r="L123" s="99"/>
      <c r="M123" s="72"/>
      <c r="N123" s="100"/>
      <c r="O123" s="101"/>
      <c r="P123" s="63"/>
      <c r="Q123" s="75"/>
      <c r="R123" s="76"/>
      <c r="S123" s="72"/>
      <c r="T123" s="60"/>
      <c r="U123" s="60"/>
      <c r="V123" s="60"/>
      <c r="W123" s="102"/>
      <c r="X123" s="102"/>
      <c r="Y123" s="102"/>
      <c r="Z123" s="102"/>
      <c r="AA123" s="102"/>
      <c r="AB123" s="102"/>
      <c r="AC123" s="102"/>
      <c r="AD123" s="102"/>
      <c r="AE123" s="102"/>
      <c r="AF123" s="78"/>
      <c r="AG123" s="78"/>
      <c r="AH123" s="78"/>
      <c r="AI123" s="78"/>
      <c r="AJ123" s="96"/>
    </row>
    <row r="124" spans="1:36" s="103" customFormat="1" ht="30" customHeight="1" x14ac:dyDescent="0.25">
      <c r="A124" s="94"/>
      <c r="B124" s="94"/>
      <c r="C124" s="413"/>
      <c r="D124" s="95"/>
      <c r="E124" s="96"/>
      <c r="F124" s="96"/>
      <c r="G124" s="96"/>
      <c r="H124" s="96"/>
      <c r="I124" s="97"/>
      <c r="J124" s="98"/>
      <c r="K124" s="98"/>
      <c r="L124" s="99"/>
      <c r="M124" s="72"/>
      <c r="N124" s="100"/>
      <c r="O124" s="101"/>
      <c r="P124" s="63"/>
      <c r="Q124" s="75"/>
      <c r="R124" s="76"/>
      <c r="S124" s="72"/>
      <c r="T124" s="60"/>
      <c r="U124" s="60"/>
      <c r="V124" s="60"/>
      <c r="W124" s="102"/>
      <c r="X124" s="102"/>
      <c r="Y124" s="102"/>
      <c r="Z124" s="102"/>
      <c r="AA124" s="102"/>
      <c r="AB124" s="102"/>
      <c r="AC124" s="102"/>
      <c r="AD124" s="102"/>
      <c r="AE124" s="102"/>
      <c r="AF124" s="78"/>
      <c r="AG124" s="78"/>
      <c r="AH124" s="78"/>
      <c r="AI124" s="78"/>
      <c r="AJ124" s="96"/>
    </row>
    <row r="125" spans="1:36" s="103" customFormat="1" ht="30" customHeight="1" x14ac:dyDescent="0.25">
      <c r="A125" s="94"/>
      <c r="B125" s="94"/>
      <c r="C125" s="413"/>
      <c r="D125" s="95"/>
      <c r="E125" s="96"/>
      <c r="F125" s="96"/>
      <c r="G125" s="96"/>
      <c r="H125" s="96"/>
      <c r="I125" s="97"/>
      <c r="J125" s="98"/>
      <c r="K125" s="98"/>
      <c r="L125" s="99"/>
      <c r="M125" s="72"/>
      <c r="N125" s="100"/>
      <c r="O125" s="101"/>
      <c r="P125" s="63"/>
      <c r="Q125" s="75"/>
      <c r="R125" s="76"/>
      <c r="S125" s="72"/>
      <c r="T125" s="60"/>
      <c r="U125" s="60"/>
      <c r="V125" s="60"/>
      <c r="W125" s="102"/>
      <c r="X125" s="102"/>
      <c r="Y125" s="102"/>
      <c r="Z125" s="102"/>
      <c r="AA125" s="102"/>
      <c r="AB125" s="102"/>
      <c r="AC125" s="102"/>
      <c r="AD125" s="102"/>
      <c r="AE125" s="102"/>
      <c r="AF125" s="78"/>
      <c r="AG125" s="78"/>
      <c r="AH125" s="78"/>
      <c r="AI125" s="78"/>
      <c r="AJ125" s="96"/>
    </row>
    <row r="126" spans="1:36" s="103" customFormat="1" ht="30" customHeight="1" x14ac:dyDescent="0.25">
      <c r="A126" s="94"/>
      <c r="B126" s="94"/>
      <c r="C126" s="413"/>
      <c r="D126" s="95"/>
      <c r="E126" s="96"/>
      <c r="F126" s="96"/>
      <c r="G126" s="96"/>
      <c r="H126" s="96"/>
      <c r="I126" s="97"/>
      <c r="J126" s="98"/>
      <c r="K126" s="98"/>
      <c r="L126" s="99"/>
      <c r="M126" s="72"/>
      <c r="N126" s="100"/>
      <c r="O126" s="101"/>
      <c r="P126" s="63"/>
      <c r="Q126" s="75"/>
      <c r="R126" s="76"/>
      <c r="S126" s="72"/>
      <c r="T126" s="60"/>
      <c r="U126" s="60"/>
      <c r="V126" s="60"/>
      <c r="W126" s="102"/>
      <c r="X126" s="102"/>
      <c r="Y126" s="102"/>
      <c r="Z126" s="102"/>
      <c r="AA126" s="102"/>
      <c r="AB126" s="102"/>
      <c r="AC126" s="102"/>
      <c r="AD126" s="102"/>
      <c r="AE126" s="102"/>
      <c r="AF126" s="78"/>
      <c r="AG126" s="78"/>
      <c r="AH126" s="78"/>
      <c r="AI126" s="78"/>
      <c r="AJ126" s="96"/>
    </row>
    <row r="127" spans="1:36" s="103" customFormat="1" ht="30" customHeight="1" x14ac:dyDescent="0.25">
      <c r="A127" s="94"/>
      <c r="B127" s="94"/>
      <c r="C127" s="413"/>
      <c r="D127" s="95"/>
      <c r="E127" s="96"/>
      <c r="F127" s="96"/>
      <c r="G127" s="96"/>
      <c r="H127" s="96"/>
      <c r="I127" s="97"/>
      <c r="J127" s="98"/>
      <c r="K127" s="98"/>
      <c r="L127" s="99"/>
      <c r="M127" s="72"/>
      <c r="N127" s="100"/>
      <c r="O127" s="101"/>
      <c r="P127" s="63"/>
      <c r="Q127" s="75"/>
      <c r="R127" s="76"/>
      <c r="S127" s="72"/>
      <c r="T127" s="60"/>
      <c r="U127" s="60"/>
      <c r="V127" s="60"/>
      <c r="W127" s="102"/>
      <c r="X127" s="102"/>
      <c r="Y127" s="102"/>
      <c r="Z127" s="102"/>
      <c r="AA127" s="102"/>
      <c r="AB127" s="102"/>
      <c r="AC127" s="102"/>
      <c r="AD127" s="102"/>
      <c r="AE127" s="102"/>
      <c r="AF127" s="78"/>
      <c r="AG127" s="78"/>
      <c r="AH127" s="78"/>
      <c r="AI127" s="78"/>
      <c r="AJ127" s="96"/>
    </row>
    <row r="128" spans="1:36" s="103" customFormat="1" ht="30" customHeight="1" x14ac:dyDescent="0.25">
      <c r="A128" s="94"/>
      <c r="B128" s="94"/>
      <c r="C128" s="413"/>
      <c r="D128" s="95"/>
      <c r="E128" s="96"/>
      <c r="F128" s="96"/>
      <c r="G128" s="96"/>
      <c r="H128" s="96"/>
      <c r="I128" s="97"/>
      <c r="J128" s="98"/>
      <c r="K128" s="98"/>
      <c r="L128" s="99"/>
      <c r="M128" s="72"/>
      <c r="N128" s="100"/>
      <c r="O128" s="101"/>
      <c r="P128" s="63"/>
      <c r="Q128" s="75"/>
      <c r="R128" s="76"/>
      <c r="S128" s="72"/>
      <c r="T128" s="60"/>
      <c r="U128" s="60"/>
      <c r="V128" s="60"/>
      <c r="W128" s="102"/>
      <c r="X128" s="102"/>
      <c r="Y128" s="102"/>
      <c r="Z128" s="102"/>
      <c r="AA128" s="102"/>
      <c r="AB128" s="102"/>
      <c r="AC128" s="102"/>
      <c r="AD128" s="102"/>
      <c r="AE128" s="102"/>
      <c r="AF128" s="78"/>
      <c r="AG128" s="78"/>
      <c r="AH128" s="78"/>
      <c r="AI128" s="78"/>
      <c r="AJ128" s="96"/>
    </row>
    <row r="129" spans="1:36" s="103" customFormat="1" ht="65.099999999999994" customHeight="1" x14ac:dyDescent="0.25">
      <c r="A129" s="94"/>
      <c r="B129" s="94"/>
      <c r="C129" s="413"/>
      <c r="D129" s="95"/>
      <c r="E129" s="96"/>
      <c r="F129" s="96"/>
      <c r="G129" s="96"/>
      <c r="H129" s="96"/>
      <c r="I129" s="97"/>
      <c r="J129" s="98"/>
      <c r="K129" s="98"/>
      <c r="L129" s="99"/>
      <c r="M129" s="72"/>
      <c r="N129" s="100"/>
      <c r="O129" s="101"/>
      <c r="P129" s="63"/>
      <c r="Q129" s="75"/>
      <c r="R129" s="76"/>
      <c r="S129" s="72"/>
      <c r="T129" s="60"/>
      <c r="U129" s="60"/>
      <c r="V129" s="60"/>
      <c r="W129" s="102"/>
      <c r="X129" s="102"/>
      <c r="Y129" s="102"/>
      <c r="Z129" s="102"/>
      <c r="AA129" s="102"/>
      <c r="AB129" s="102"/>
      <c r="AC129" s="102"/>
      <c r="AD129" s="102"/>
      <c r="AE129" s="102"/>
      <c r="AF129" s="78"/>
      <c r="AG129" s="78"/>
      <c r="AH129" s="78"/>
      <c r="AI129" s="78"/>
      <c r="AJ129" s="96"/>
    </row>
    <row r="130" spans="1:36" s="103" customFormat="1" ht="65.099999999999994" customHeight="1" x14ac:dyDescent="0.25">
      <c r="A130" s="94"/>
      <c r="B130" s="94"/>
      <c r="C130" s="413"/>
      <c r="D130" s="95"/>
      <c r="E130" s="96"/>
      <c r="F130" s="96"/>
      <c r="G130" s="96"/>
      <c r="H130" s="96"/>
      <c r="I130" s="97"/>
      <c r="J130" s="98"/>
      <c r="K130" s="98"/>
      <c r="L130" s="99"/>
      <c r="M130" s="72"/>
      <c r="N130" s="100"/>
      <c r="O130" s="101"/>
      <c r="P130" s="63"/>
      <c r="Q130" s="75"/>
      <c r="R130" s="76"/>
      <c r="S130" s="72"/>
      <c r="T130" s="60"/>
      <c r="U130" s="60"/>
      <c r="V130" s="60"/>
      <c r="W130" s="102"/>
      <c r="X130" s="102"/>
      <c r="Y130" s="102"/>
      <c r="Z130" s="102"/>
      <c r="AA130" s="102"/>
      <c r="AB130" s="102"/>
      <c r="AC130" s="102"/>
      <c r="AD130" s="102"/>
      <c r="AE130" s="102"/>
      <c r="AF130" s="78"/>
      <c r="AG130" s="78"/>
      <c r="AH130" s="78"/>
      <c r="AI130" s="78"/>
      <c r="AJ130" s="96"/>
    </row>
    <row r="131" spans="1:36" s="103" customFormat="1" ht="65.099999999999994" customHeight="1" x14ac:dyDescent="0.25">
      <c r="A131" s="94"/>
      <c r="B131" s="94"/>
      <c r="C131" s="413"/>
      <c r="D131" s="95"/>
      <c r="E131" s="96"/>
      <c r="F131" s="96"/>
      <c r="G131" s="96"/>
      <c r="H131" s="96"/>
      <c r="I131" s="97"/>
      <c r="J131" s="98"/>
      <c r="K131" s="98"/>
      <c r="L131" s="99"/>
      <c r="M131" s="72"/>
      <c r="N131" s="100"/>
      <c r="O131" s="101"/>
      <c r="P131" s="63"/>
      <c r="Q131" s="75"/>
      <c r="R131" s="76"/>
      <c r="S131" s="72"/>
      <c r="T131" s="60"/>
      <c r="U131" s="60"/>
      <c r="V131" s="60"/>
      <c r="W131" s="102"/>
      <c r="X131" s="102"/>
      <c r="Y131" s="102"/>
      <c r="Z131" s="102"/>
      <c r="AA131" s="102"/>
      <c r="AB131" s="102"/>
      <c r="AC131" s="102"/>
      <c r="AD131" s="102"/>
      <c r="AE131" s="102"/>
      <c r="AF131" s="78"/>
      <c r="AG131" s="78"/>
      <c r="AH131" s="78"/>
      <c r="AI131" s="78"/>
      <c r="AJ131" s="96"/>
    </row>
    <row r="132" spans="1:36" s="103" customFormat="1" ht="65.099999999999994" customHeight="1" x14ac:dyDescent="0.25">
      <c r="A132" s="94"/>
      <c r="B132" s="94"/>
      <c r="C132" s="413"/>
      <c r="D132" s="95"/>
      <c r="E132" s="96"/>
      <c r="F132" s="96"/>
      <c r="G132" s="96"/>
      <c r="H132" s="96"/>
      <c r="I132" s="97"/>
      <c r="J132" s="98"/>
      <c r="K132" s="98"/>
      <c r="L132" s="99"/>
      <c r="M132" s="72"/>
      <c r="N132" s="100"/>
      <c r="O132" s="101"/>
      <c r="P132" s="63"/>
      <c r="Q132" s="75"/>
      <c r="R132" s="76"/>
      <c r="S132" s="72"/>
      <c r="T132" s="60"/>
      <c r="U132" s="60"/>
      <c r="V132" s="60"/>
      <c r="W132" s="102"/>
      <c r="X132" s="102"/>
      <c r="Y132" s="102"/>
      <c r="Z132" s="102"/>
      <c r="AA132" s="102"/>
      <c r="AB132" s="102"/>
      <c r="AC132" s="102"/>
      <c r="AD132" s="102"/>
      <c r="AE132" s="102"/>
      <c r="AF132" s="78"/>
      <c r="AG132" s="78"/>
      <c r="AH132" s="78"/>
      <c r="AI132" s="78"/>
      <c r="AJ132" s="96"/>
    </row>
    <row r="133" spans="1:36" s="103" customFormat="1" ht="65.099999999999994" customHeight="1" x14ac:dyDescent="0.25">
      <c r="A133" s="94"/>
      <c r="B133" s="94"/>
      <c r="C133" s="413"/>
      <c r="D133" s="95"/>
      <c r="E133" s="96"/>
      <c r="F133" s="96"/>
      <c r="G133" s="96"/>
      <c r="H133" s="96"/>
      <c r="I133" s="97"/>
      <c r="J133" s="98"/>
      <c r="K133" s="98"/>
      <c r="L133" s="99"/>
      <c r="M133" s="72"/>
      <c r="N133" s="100"/>
      <c r="O133" s="101"/>
      <c r="P133" s="63"/>
      <c r="Q133" s="75"/>
      <c r="R133" s="76"/>
      <c r="S133" s="72"/>
      <c r="T133" s="60"/>
      <c r="U133" s="60"/>
      <c r="V133" s="60"/>
      <c r="W133" s="102"/>
      <c r="X133" s="102"/>
      <c r="Y133" s="102"/>
      <c r="Z133" s="102"/>
      <c r="AA133" s="102"/>
      <c r="AB133" s="102"/>
      <c r="AC133" s="102"/>
      <c r="AD133" s="102"/>
      <c r="AE133" s="102"/>
      <c r="AF133" s="78"/>
      <c r="AG133" s="78"/>
      <c r="AH133" s="78"/>
      <c r="AI133" s="78"/>
      <c r="AJ133" s="96"/>
    </row>
    <row r="134" spans="1:36" s="103" customFormat="1" ht="65.099999999999994" customHeight="1" x14ac:dyDescent="0.25">
      <c r="A134" s="94"/>
      <c r="B134" s="94"/>
      <c r="C134" s="413"/>
      <c r="D134" s="95"/>
      <c r="E134" s="96"/>
      <c r="F134" s="96"/>
      <c r="G134" s="96"/>
      <c r="H134" s="96"/>
      <c r="I134" s="97"/>
      <c r="J134" s="98"/>
      <c r="K134" s="98"/>
      <c r="L134" s="99"/>
      <c r="M134" s="72"/>
      <c r="N134" s="100"/>
      <c r="O134" s="101"/>
      <c r="P134" s="63"/>
      <c r="Q134" s="75"/>
      <c r="R134" s="76"/>
      <c r="S134" s="72"/>
      <c r="T134" s="60"/>
      <c r="U134" s="60"/>
      <c r="V134" s="60"/>
      <c r="W134" s="102"/>
      <c r="X134" s="102"/>
      <c r="Y134" s="102"/>
      <c r="Z134" s="102"/>
      <c r="AA134" s="102"/>
      <c r="AB134" s="102"/>
      <c r="AC134" s="102"/>
      <c r="AD134" s="102"/>
      <c r="AE134" s="102"/>
      <c r="AF134" s="78"/>
      <c r="AG134" s="78"/>
      <c r="AH134" s="78"/>
      <c r="AI134" s="78"/>
      <c r="AJ134" s="96"/>
    </row>
    <row r="135" spans="1:36" s="103" customFormat="1" ht="65.099999999999994" customHeight="1" x14ac:dyDescent="0.25">
      <c r="A135" s="94"/>
      <c r="B135" s="94"/>
      <c r="C135" s="413"/>
      <c r="D135" s="95"/>
      <c r="E135" s="96"/>
      <c r="F135" s="96"/>
      <c r="G135" s="96"/>
      <c r="H135" s="96"/>
      <c r="I135" s="97"/>
      <c r="J135" s="98"/>
      <c r="K135" s="98"/>
      <c r="L135" s="99"/>
      <c r="M135" s="72"/>
      <c r="N135" s="100"/>
      <c r="O135" s="101"/>
      <c r="P135" s="63"/>
      <c r="Q135" s="75"/>
      <c r="R135" s="76"/>
      <c r="S135" s="72"/>
      <c r="T135" s="60"/>
      <c r="U135" s="60"/>
      <c r="V135" s="60"/>
      <c r="W135" s="102"/>
      <c r="X135" s="102"/>
      <c r="Y135" s="102"/>
      <c r="Z135" s="102"/>
      <c r="AA135" s="102"/>
      <c r="AB135" s="102"/>
      <c r="AC135" s="102"/>
      <c r="AD135" s="102"/>
      <c r="AE135" s="102"/>
      <c r="AF135" s="78"/>
      <c r="AG135" s="78"/>
      <c r="AH135" s="78"/>
      <c r="AI135" s="78"/>
      <c r="AJ135" s="96"/>
    </row>
    <row r="136" spans="1:36" s="103" customFormat="1" ht="65.099999999999994" customHeight="1" x14ac:dyDescent="0.25">
      <c r="A136" s="94"/>
      <c r="B136" s="94"/>
      <c r="C136" s="413"/>
      <c r="D136" s="95"/>
      <c r="E136" s="96"/>
      <c r="F136" s="96"/>
      <c r="G136" s="96"/>
      <c r="H136" s="96"/>
      <c r="I136" s="97"/>
      <c r="J136" s="98"/>
      <c r="K136" s="98"/>
      <c r="L136" s="99"/>
      <c r="M136" s="72"/>
      <c r="N136" s="100"/>
      <c r="O136" s="101"/>
      <c r="P136" s="63"/>
      <c r="Q136" s="75"/>
      <c r="R136" s="76"/>
      <c r="S136" s="72"/>
      <c r="T136" s="60"/>
      <c r="U136" s="60"/>
      <c r="V136" s="60"/>
      <c r="W136" s="102"/>
      <c r="X136" s="102"/>
      <c r="Y136" s="102"/>
      <c r="Z136" s="102"/>
      <c r="AA136" s="102"/>
      <c r="AB136" s="102"/>
      <c r="AC136" s="102"/>
      <c r="AD136" s="102"/>
      <c r="AE136" s="102"/>
      <c r="AF136" s="78"/>
      <c r="AG136" s="78"/>
      <c r="AH136" s="78"/>
      <c r="AI136" s="78"/>
      <c r="AJ136" s="96"/>
    </row>
    <row r="137" spans="1:36" s="103" customFormat="1" ht="65.099999999999994" customHeight="1" x14ac:dyDescent="0.25">
      <c r="A137" s="94"/>
      <c r="B137" s="94"/>
      <c r="C137" s="413"/>
      <c r="D137" s="95"/>
      <c r="E137" s="96"/>
      <c r="F137" s="96"/>
      <c r="G137" s="96"/>
      <c r="H137" s="96"/>
      <c r="I137" s="97"/>
      <c r="J137" s="98"/>
      <c r="K137" s="98"/>
      <c r="L137" s="99"/>
      <c r="M137" s="72"/>
      <c r="N137" s="100"/>
      <c r="O137" s="101"/>
      <c r="P137" s="63"/>
      <c r="Q137" s="75"/>
      <c r="R137" s="76"/>
      <c r="S137" s="72"/>
      <c r="T137" s="60"/>
      <c r="U137" s="60"/>
      <c r="V137" s="60"/>
      <c r="W137" s="102"/>
      <c r="X137" s="102"/>
      <c r="Y137" s="102"/>
      <c r="Z137" s="102"/>
      <c r="AA137" s="102"/>
      <c r="AB137" s="102"/>
      <c r="AC137" s="102"/>
      <c r="AD137" s="102"/>
      <c r="AE137" s="102"/>
      <c r="AF137" s="78"/>
      <c r="AG137" s="78"/>
      <c r="AH137" s="78"/>
      <c r="AI137" s="78"/>
      <c r="AJ137" s="96"/>
    </row>
    <row r="138" spans="1:36" s="103" customFormat="1" ht="65.099999999999994" customHeight="1" x14ac:dyDescent="0.25">
      <c r="A138" s="94"/>
      <c r="B138" s="94"/>
      <c r="C138" s="413"/>
      <c r="D138" s="95"/>
      <c r="E138" s="96"/>
      <c r="F138" s="96"/>
      <c r="G138" s="96"/>
      <c r="H138" s="96"/>
      <c r="I138" s="97"/>
      <c r="J138" s="98"/>
      <c r="K138" s="98"/>
      <c r="L138" s="99"/>
      <c r="M138" s="72"/>
      <c r="N138" s="100"/>
      <c r="O138" s="101"/>
      <c r="P138" s="63"/>
      <c r="Q138" s="75"/>
      <c r="R138" s="76"/>
      <c r="S138" s="72"/>
      <c r="T138" s="60"/>
      <c r="U138" s="60"/>
      <c r="V138" s="60"/>
      <c r="W138" s="102"/>
      <c r="X138" s="102"/>
      <c r="Y138" s="102"/>
      <c r="Z138" s="102"/>
      <c r="AA138" s="102"/>
      <c r="AB138" s="102"/>
      <c r="AC138" s="102"/>
      <c r="AD138" s="102"/>
      <c r="AE138" s="102"/>
      <c r="AF138" s="78"/>
      <c r="AG138" s="78"/>
      <c r="AH138" s="78"/>
      <c r="AI138" s="78"/>
      <c r="AJ138" s="96"/>
    </row>
    <row r="139" spans="1:36" s="103" customFormat="1" ht="65.099999999999994" customHeight="1" x14ac:dyDescent="0.25">
      <c r="A139" s="94"/>
      <c r="B139" s="94"/>
      <c r="C139" s="413"/>
      <c r="D139" s="95"/>
      <c r="E139" s="96"/>
      <c r="F139" s="96"/>
      <c r="G139" s="96"/>
      <c r="H139" s="96"/>
      <c r="I139" s="97"/>
      <c r="J139" s="98"/>
      <c r="K139" s="98"/>
      <c r="L139" s="99"/>
      <c r="M139" s="72"/>
      <c r="N139" s="100"/>
      <c r="O139" s="101"/>
      <c r="P139" s="63"/>
      <c r="Q139" s="75"/>
      <c r="R139" s="76"/>
      <c r="S139" s="72"/>
      <c r="T139" s="60"/>
      <c r="U139" s="60"/>
      <c r="V139" s="60"/>
      <c r="W139" s="102"/>
      <c r="X139" s="102"/>
      <c r="Y139" s="102"/>
      <c r="Z139" s="102"/>
      <c r="AA139" s="102"/>
      <c r="AB139" s="102"/>
      <c r="AC139" s="102"/>
      <c r="AD139" s="102"/>
      <c r="AE139" s="102"/>
      <c r="AF139" s="78"/>
      <c r="AG139" s="78"/>
      <c r="AH139" s="78"/>
      <c r="AI139" s="78"/>
      <c r="AJ139" s="96"/>
    </row>
    <row r="140" spans="1:36" s="103" customFormat="1" ht="65.099999999999994" customHeight="1" x14ac:dyDescent="0.25">
      <c r="A140" s="94"/>
      <c r="B140" s="94"/>
      <c r="C140" s="413"/>
      <c r="D140" s="95"/>
      <c r="E140" s="96"/>
      <c r="F140" s="96"/>
      <c r="G140" s="96"/>
      <c r="H140" s="96"/>
      <c r="I140" s="97"/>
      <c r="J140" s="98"/>
      <c r="K140" s="98"/>
      <c r="L140" s="99"/>
      <c r="M140" s="72"/>
      <c r="N140" s="100"/>
      <c r="O140" s="101"/>
      <c r="P140" s="63"/>
      <c r="Q140" s="75"/>
      <c r="R140" s="76"/>
      <c r="S140" s="72"/>
      <c r="T140" s="60"/>
      <c r="U140" s="60"/>
      <c r="V140" s="60"/>
      <c r="W140" s="102"/>
      <c r="X140" s="102"/>
      <c r="Y140" s="102"/>
      <c r="Z140" s="102"/>
      <c r="AA140" s="102"/>
      <c r="AB140" s="102"/>
      <c r="AC140" s="102"/>
      <c r="AD140" s="102"/>
      <c r="AE140" s="102"/>
      <c r="AF140" s="78"/>
      <c r="AG140" s="78"/>
      <c r="AH140" s="78"/>
      <c r="AI140" s="78"/>
      <c r="AJ140" s="96"/>
    </row>
    <row r="141" spans="1:36" s="103" customFormat="1" ht="65.099999999999994" customHeight="1" x14ac:dyDescent="0.25">
      <c r="A141" s="94"/>
      <c r="B141" s="94"/>
      <c r="C141" s="413"/>
      <c r="D141" s="95"/>
      <c r="E141" s="96"/>
      <c r="F141" s="96"/>
      <c r="G141" s="96"/>
      <c r="H141" s="96"/>
      <c r="I141" s="97"/>
      <c r="J141" s="98"/>
      <c r="K141" s="98"/>
      <c r="L141" s="99"/>
      <c r="M141" s="72"/>
      <c r="N141" s="100"/>
      <c r="O141" s="101"/>
      <c r="P141" s="63"/>
      <c r="Q141" s="75"/>
      <c r="R141" s="76"/>
      <c r="S141" s="72"/>
      <c r="T141" s="60"/>
      <c r="U141" s="60"/>
      <c r="V141" s="60"/>
      <c r="W141" s="102"/>
      <c r="X141" s="102"/>
      <c r="Y141" s="102"/>
      <c r="Z141" s="102"/>
      <c r="AA141" s="102"/>
      <c r="AB141" s="102"/>
      <c r="AC141" s="102"/>
      <c r="AD141" s="102"/>
      <c r="AE141" s="102"/>
      <c r="AF141" s="78"/>
      <c r="AG141" s="78"/>
      <c r="AH141" s="78"/>
      <c r="AI141" s="78"/>
      <c r="AJ141" s="96"/>
    </row>
    <row r="142" spans="1:36" s="103" customFormat="1" ht="65.099999999999994" customHeight="1" x14ac:dyDescent="0.25">
      <c r="A142" s="94"/>
      <c r="B142" s="94"/>
      <c r="C142" s="413"/>
      <c r="D142" s="95"/>
      <c r="E142" s="96"/>
      <c r="F142" s="96"/>
      <c r="G142" s="96"/>
      <c r="H142" s="96"/>
      <c r="I142" s="97"/>
      <c r="J142" s="98"/>
      <c r="K142" s="98"/>
      <c r="L142" s="99"/>
      <c r="M142" s="72"/>
      <c r="N142" s="100"/>
      <c r="O142" s="101"/>
      <c r="P142" s="63"/>
      <c r="Q142" s="75"/>
      <c r="R142" s="76"/>
      <c r="S142" s="72"/>
      <c r="T142" s="60"/>
      <c r="U142" s="60"/>
      <c r="V142" s="60"/>
      <c r="W142" s="102"/>
      <c r="X142" s="102"/>
      <c r="Y142" s="102"/>
      <c r="Z142" s="102"/>
      <c r="AA142" s="102"/>
      <c r="AB142" s="102"/>
      <c r="AC142" s="102"/>
      <c r="AD142" s="102"/>
      <c r="AE142" s="102"/>
      <c r="AF142" s="78"/>
      <c r="AG142" s="78"/>
      <c r="AH142" s="78"/>
      <c r="AI142" s="78"/>
      <c r="AJ142" s="96"/>
    </row>
    <row r="143" spans="1:36" s="103" customFormat="1" ht="65.099999999999994" customHeight="1" x14ac:dyDescent="0.25">
      <c r="A143" s="94"/>
      <c r="B143" s="94"/>
      <c r="C143" s="413"/>
      <c r="D143" s="95"/>
      <c r="E143" s="96"/>
      <c r="F143" s="96"/>
      <c r="G143" s="96"/>
      <c r="H143" s="96"/>
      <c r="I143" s="97"/>
      <c r="J143" s="98"/>
      <c r="K143" s="98"/>
      <c r="L143" s="99"/>
      <c r="M143" s="72"/>
      <c r="N143" s="100"/>
      <c r="O143" s="101"/>
      <c r="P143" s="63"/>
      <c r="Q143" s="75"/>
      <c r="R143" s="76"/>
      <c r="S143" s="72"/>
      <c r="T143" s="60"/>
      <c r="U143" s="60"/>
      <c r="V143" s="60"/>
      <c r="W143" s="102"/>
      <c r="X143" s="102"/>
      <c r="Y143" s="102"/>
      <c r="Z143" s="102"/>
      <c r="AA143" s="102"/>
      <c r="AB143" s="102"/>
      <c r="AC143" s="102"/>
      <c r="AD143" s="102"/>
      <c r="AE143" s="102"/>
      <c r="AF143" s="78"/>
      <c r="AG143" s="78"/>
      <c r="AH143" s="78"/>
      <c r="AI143" s="78"/>
      <c r="AJ143" s="96"/>
    </row>
    <row r="144" spans="1:36" s="103" customFormat="1" ht="65.099999999999994" customHeight="1" x14ac:dyDescent="0.25">
      <c r="A144" s="94"/>
      <c r="B144" s="94"/>
      <c r="C144" s="413"/>
      <c r="D144" s="95"/>
      <c r="E144" s="96"/>
      <c r="F144" s="96"/>
      <c r="G144" s="96"/>
      <c r="H144" s="96"/>
      <c r="I144" s="97"/>
      <c r="J144" s="98"/>
      <c r="K144" s="98"/>
      <c r="L144" s="99"/>
      <c r="M144" s="72"/>
      <c r="N144" s="100"/>
      <c r="O144" s="101"/>
      <c r="P144" s="63"/>
      <c r="Q144" s="75"/>
      <c r="R144" s="76"/>
      <c r="S144" s="72"/>
      <c r="T144" s="60"/>
      <c r="U144" s="60"/>
      <c r="V144" s="60"/>
      <c r="W144" s="102"/>
      <c r="X144" s="102"/>
      <c r="Y144" s="102"/>
      <c r="Z144" s="102"/>
      <c r="AA144" s="102"/>
      <c r="AB144" s="102"/>
      <c r="AC144" s="102"/>
      <c r="AD144" s="102"/>
      <c r="AE144" s="102"/>
      <c r="AF144" s="78"/>
      <c r="AG144" s="78"/>
      <c r="AH144" s="78"/>
      <c r="AI144" s="78"/>
      <c r="AJ144" s="96"/>
    </row>
    <row r="145" spans="1:36" s="103" customFormat="1" ht="65.099999999999994" customHeight="1" x14ac:dyDescent="0.25">
      <c r="A145" s="94"/>
      <c r="B145" s="94"/>
      <c r="C145" s="413"/>
      <c r="D145" s="95"/>
      <c r="E145" s="96"/>
      <c r="F145" s="96"/>
      <c r="G145" s="96"/>
      <c r="H145" s="96"/>
      <c r="I145" s="97"/>
      <c r="J145" s="98"/>
      <c r="K145" s="98"/>
      <c r="L145" s="99"/>
      <c r="M145" s="72"/>
      <c r="N145" s="100"/>
      <c r="O145" s="101"/>
      <c r="P145" s="63"/>
      <c r="Q145" s="75"/>
      <c r="R145" s="76"/>
      <c r="S145" s="72"/>
      <c r="T145" s="60"/>
      <c r="U145" s="60"/>
      <c r="V145" s="60"/>
      <c r="W145" s="102"/>
      <c r="X145" s="102"/>
      <c r="Y145" s="102"/>
      <c r="Z145" s="102"/>
      <c r="AA145" s="102"/>
      <c r="AB145" s="102"/>
      <c r="AC145" s="102"/>
      <c r="AD145" s="102"/>
      <c r="AE145" s="102"/>
      <c r="AF145" s="78"/>
      <c r="AG145" s="78"/>
      <c r="AH145" s="78"/>
      <c r="AI145" s="78"/>
      <c r="AJ145" s="96"/>
    </row>
    <row r="146" spans="1:36" s="103" customFormat="1" ht="65.099999999999994" customHeight="1" x14ac:dyDescent="0.25">
      <c r="A146" s="94"/>
      <c r="B146" s="94"/>
      <c r="C146" s="413"/>
      <c r="D146" s="95"/>
      <c r="E146" s="96"/>
      <c r="F146" s="96"/>
      <c r="G146" s="96"/>
      <c r="H146" s="96"/>
      <c r="I146" s="97"/>
      <c r="J146" s="98"/>
      <c r="K146" s="98"/>
      <c r="L146" s="99"/>
      <c r="M146" s="72"/>
      <c r="N146" s="100"/>
      <c r="O146" s="101"/>
      <c r="P146" s="63"/>
      <c r="Q146" s="75"/>
      <c r="R146" s="76"/>
      <c r="S146" s="72"/>
      <c r="T146" s="60"/>
      <c r="U146" s="60"/>
      <c r="V146" s="60"/>
      <c r="W146" s="102"/>
      <c r="X146" s="102"/>
      <c r="Y146" s="102"/>
      <c r="Z146" s="102"/>
      <c r="AA146" s="102"/>
      <c r="AB146" s="102"/>
      <c r="AC146" s="102"/>
      <c r="AD146" s="102"/>
      <c r="AE146" s="102"/>
      <c r="AF146" s="78"/>
      <c r="AG146" s="78"/>
      <c r="AH146" s="78"/>
      <c r="AI146" s="78"/>
      <c r="AJ146" s="96"/>
    </row>
    <row r="147" spans="1:36" s="103" customFormat="1" ht="65.099999999999994" customHeight="1" x14ac:dyDescent="0.25">
      <c r="A147" s="94"/>
      <c r="B147" s="94"/>
      <c r="C147" s="413"/>
      <c r="D147" s="95"/>
      <c r="E147" s="96"/>
      <c r="F147" s="96"/>
      <c r="G147" s="96"/>
      <c r="H147" s="96"/>
      <c r="I147" s="97"/>
      <c r="J147" s="98"/>
      <c r="K147" s="98"/>
      <c r="L147" s="99"/>
      <c r="M147" s="72"/>
      <c r="N147" s="100"/>
      <c r="O147" s="101"/>
      <c r="P147" s="63"/>
      <c r="Q147" s="75"/>
      <c r="R147" s="76"/>
      <c r="S147" s="72"/>
      <c r="T147" s="60"/>
      <c r="U147" s="60"/>
      <c r="V147" s="60"/>
      <c r="W147" s="102"/>
      <c r="X147" s="102"/>
      <c r="Y147" s="102"/>
      <c r="Z147" s="102"/>
      <c r="AA147" s="102"/>
      <c r="AB147" s="102"/>
      <c r="AC147" s="102"/>
      <c r="AD147" s="102"/>
      <c r="AE147" s="102"/>
      <c r="AF147" s="78"/>
      <c r="AG147" s="78"/>
      <c r="AH147" s="78"/>
      <c r="AI147" s="78"/>
      <c r="AJ147" s="96"/>
    </row>
    <row r="148" spans="1:36" s="103" customFormat="1" ht="65.099999999999994" customHeight="1" x14ac:dyDescent="0.25">
      <c r="A148" s="94"/>
      <c r="B148" s="94"/>
      <c r="C148" s="413"/>
      <c r="D148" s="95"/>
      <c r="E148" s="96"/>
      <c r="F148" s="96"/>
      <c r="G148" s="96"/>
      <c r="H148" s="96"/>
      <c r="I148" s="97"/>
      <c r="J148" s="98"/>
      <c r="K148" s="98"/>
      <c r="L148" s="99"/>
      <c r="M148" s="72"/>
      <c r="N148" s="100"/>
      <c r="O148" s="101"/>
      <c r="P148" s="63"/>
      <c r="Q148" s="75"/>
      <c r="R148" s="76"/>
      <c r="S148" s="72"/>
      <c r="T148" s="60"/>
      <c r="U148" s="60"/>
      <c r="V148" s="60"/>
      <c r="W148" s="102"/>
      <c r="X148" s="102"/>
      <c r="Y148" s="102"/>
      <c r="Z148" s="102"/>
      <c r="AA148" s="102"/>
      <c r="AB148" s="102"/>
      <c r="AC148" s="102"/>
      <c r="AD148" s="102"/>
      <c r="AE148" s="102"/>
      <c r="AF148" s="78"/>
      <c r="AG148" s="78"/>
      <c r="AH148" s="78"/>
      <c r="AI148" s="78"/>
      <c r="AJ148" s="96"/>
    </row>
    <row r="149" spans="1:36" s="103" customFormat="1" ht="65.099999999999994" customHeight="1" x14ac:dyDescent="0.25">
      <c r="A149" s="94"/>
      <c r="B149" s="94"/>
      <c r="C149" s="413"/>
      <c r="D149" s="95"/>
      <c r="E149" s="96"/>
      <c r="F149" s="96"/>
      <c r="G149" s="96"/>
      <c r="H149" s="96"/>
      <c r="I149" s="97"/>
      <c r="J149" s="98"/>
      <c r="K149" s="98"/>
      <c r="L149" s="99"/>
      <c r="M149" s="72"/>
      <c r="N149" s="100"/>
      <c r="O149" s="101"/>
      <c r="P149" s="63"/>
      <c r="Q149" s="75"/>
      <c r="R149" s="76"/>
      <c r="S149" s="72"/>
      <c r="T149" s="60"/>
      <c r="U149" s="60"/>
      <c r="V149" s="60"/>
      <c r="W149" s="102"/>
      <c r="X149" s="102"/>
      <c r="Y149" s="102"/>
      <c r="Z149" s="102"/>
      <c r="AA149" s="102"/>
      <c r="AB149" s="102"/>
      <c r="AC149" s="102"/>
      <c r="AD149" s="102"/>
      <c r="AE149" s="102"/>
      <c r="AF149" s="78"/>
      <c r="AG149" s="78"/>
      <c r="AH149" s="78"/>
      <c r="AI149" s="78"/>
      <c r="AJ149" s="96"/>
    </row>
    <row r="150" spans="1:36" s="103" customFormat="1" ht="65.099999999999994" customHeight="1" x14ac:dyDescent="0.25">
      <c r="A150" s="94"/>
      <c r="B150" s="94"/>
      <c r="C150" s="413"/>
      <c r="D150" s="95"/>
      <c r="E150" s="96"/>
      <c r="F150" s="96"/>
      <c r="G150" s="96"/>
      <c r="H150" s="96"/>
      <c r="I150" s="97"/>
      <c r="J150" s="98"/>
      <c r="K150" s="98"/>
      <c r="L150" s="99"/>
      <c r="M150" s="72"/>
      <c r="N150" s="100"/>
      <c r="O150" s="101"/>
      <c r="P150" s="63"/>
      <c r="Q150" s="75"/>
      <c r="R150" s="76"/>
      <c r="S150" s="72"/>
      <c r="T150" s="60"/>
      <c r="U150" s="60"/>
      <c r="V150" s="60"/>
      <c r="W150" s="102"/>
      <c r="X150" s="102"/>
      <c r="Y150" s="102"/>
      <c r="Z150" s="102"/>
      <c r="AA150" s="102"/>
      <c r="AB150" s="102"/>
      <c r="AC150" s="102"/>
      <c r="AD150" s="102"/>
      <c r="AE150" s="102"/>
      <c r="AF150" s="78"/>
      <c r="AG150" s="78"/>
      <c r="AH150" s="78"/>
      <c r="AI150" s="78"/>
      <c r="AJ150" s="96"/>
    </row>
    <row r="151" spans="1:36" s="103" customFormat="1" ht="65.099999999999994" customHeight="1" x14ac:dyDescent="0.25">
      <c r="A151" s="94"/>
      <c r="B151" s="94"/>
      <c r="C151" s="413"/>
      <c r="D151" s="95"/>
      <c r="E151" s="96"/>
      <c r="F151" s="96"/>
      <c r="G151" s="96"/>
      <c r="H151" s="96"/>
      <c r="I151" s="97"/>
      <c r="J151" s="98"/>
      <c r="K151" s="98"/>
      <c r="L151" s="99"/>
      <c r="M151" s="72"/>
      <c r="N151" s="100"/>
      <c r="O151" s="101"/>
      <c r="P151" s="63"/>
      <c r="Q151" s="75"/>
      <c r="R151" s="76"/>
      <c r="S151" s="72"/>
      <c r="T151" s="60"/>
      <c r="U151" s="60"/>
      <c r="V151" s="60"/>
      <c r="W151" s="102"/>
      <c r="X151" s="102"/>
      <c r="Y151" s="102"/>
      <c r="Z151" s="102"/>
      <c r="AA151" s="102"/>
      <c r="AB151" s="102"/>
      <c r="AC151" s="102"/>
      <c r="AD151" s="102"/>
      <c r="AE151" s="102"/>
      <c r="AF151" s="78"/>
      <c r="AG151" s="78"/>
      <c r="AH151" s="78"/>
      <c r="AI151" s="78"/>
      <c r="AJ151" s="96"/>
    </row>
    <row r="152" spans="1:36" s="103" customFormat="1" ht="65.099999999999994" customHeight="1" x14ac:dyDescent="0.25">
      <c r="A152" s="94"/>
      <c r="B152" s="94"/>
      <c r="C152" s="413"/>
      <c r="D152" s="95"/>
      <c r="E152" s="96"/>
      <c r="F152" s="96"/>
      <c r="G152" s="96"/>
      <c r="H152" s="96"/>
      <c r="I152" s="97"/>
      <c r="J152" s="98"/>
      <c r="K152" s="98"/>
      <c r="L152" s="99"/>
      <c r="M152" s="72"/>
      <c r="N152" s="100"/>
      <c r="O152" s="101"/>
      <c r="P152" s="63"/>
      <c r="Q152" s="75"/>
      <c r="R152" s="76"/>
      <c r="S152" s="72"/>
      <c r="T152" s="60"/>
      <c r="U152" s="60"/>
      <c r="V152" s="60"/>
      <c r="W152" s="102"/>
      <c r="X152" s="102"/>
      <c r="Y152" s="102"/>
      <c r="Z152" s="102"/>
      <c r="AA152" s="102"/>
      <c r="AB152" s="102"/>
      <c r="AC152" s="102"/>
      <c r="AD152" s="102"/>
      <c r="AE152" s="102"/>
      <c r="AF152" s="78"/>
      <c r="AG152" s="78"/>
      <c r="AH152" s="78"/>
      <c r="AI152" s="78"/>
      <c r="AJ152" s="96"/>
    </row>
    <row r="153" spans="1:36" s="103" customFormat="1" ht="65.099999999999994" customHeight="1" x14ac:dyDescent="0.25">
      <c r="A153" s="94"/>
      <c r="B153" s="94"/>
      <c r="C153" s="413"/>
      <c r="D153" s="95"/>
      <c r="E153" s="96"/>
      <c r="F153" s="96"/>
      <c r="G153" s="96"/>
      <c r="H153" s="96"/>
      <c r="I153" s="97"/>
      <c r="J153" s="98"/>
      <c r="K153" s="98"/>
      <c r="L153" s="99"/>
      <c r="M153" s="72"/>
      <c r="N153" s="100"/>
      <c r="O153" s="101"/>
      <c r="P153" s="63"/>
      <c r="Q153" s="75"/>
      <c r="R153" s="76"/>
      <c r="S153" s="72"/>
      <c r="T153" s="60"/>
      <c r="U153" s="60"/>
      <c r="V153" s="60"/>
      <c r="W153" s="102"/>
      <c r="X153" s="102"/>
      <c r="Y153" s="102"/>
      <c r="Z153" s="102"/>
      <c r="AA153" s="102"/>
      <c r="AB153" s="102"/>
      <c r="AC153" s="102"/>
      <c r="AD153" s="102"/>
      <c r="AE153" s="102"/>
      <c r="AF153" s="78"/>
      <c r="AG153" s="78"/>
      <c r="AH153" s="78"/>
      <c r="AI153" s="78"/>
      <c r="AJ153" s="96"/>
    </row>
    <row r="154" spans="1:36" s="103" customFormat="1" ht="65.099999999999994" customHeight="1" x14ac:dyDescent="0.25">
      <c r="A154" s="94"/>
      <c r="B154" s="94"/>
      <c r="C154" s="413"/>
      <c r="D154" s="95"/>
      <c r="E154" s="96"/>
      <c r="F154" s="96"/>
      <c r="G154" s="96"/>
      <c r="H154" s="96"/>
      <c r="I154" s="97"/>
      <c r="J154" s="98"/>
      <c r="K154" s="98"/>
      <c r="L154" s="99"/>
      <c r="M154" s="72"/>
      <c r="N154" s="100"/>
      <c r="O154" s="101"/>
      <c r="P154" s="63"/>
      <c r="Q154" s="75"/>
      <c r="R154" s="76"/>
      <c r="S154" s="72"/>
      <c r="T154" s="60"/>
      <c r="U154" s="60"/>
      <c r="V154" s="60"/>
      <c r="W154" s="102"/>
      <c r="X154" s="102"/>
      <c r="Y154" s="102"/>
      <c r="Z154" s="102"/>
      <c r="AA154" s="102"/>
      <c r="AB154" s="102"/>
      <c r="AC154" s="102"/>
      <c r="AD154" s="102"/>
      <c r="AE154" s="102"/>
      <c r="AF154" s="78"/>
      <c r="AG154" s="78"/>
      <c r="AH154" s="78"/>
      <c r="AI154" s="78"/>
      <c r="AJ154" s="96"/>
    </row>
    <row r="155" spans="1:36" s="103" customFormat="1" ht="65.099999999999994" customHeight="1" x14ac:dyDescent="0.25">
      <c r="A155" s="94"/>
      <c r="B155" s="94"/>
      <c r="C155" s="413"/>
      <c r="D155" s="95"/>
      <c r="E155" s="96"/>
      <c r="F155" s="96"/>
      <c r="G155" s="96"/>
      <c r="H155" s="96"/>
      <c r="I155" s="97"/>
      <c r="J155" s="98"/>
      <c r="K155" s="98"/>
      <c r="L155" s="99"/>
      <c r="M155" s="72"/>
      <c r="N155" s="100"/>
      <c r="O155" s="101"/>
      <c r="P155" s="63"/>
      <c r="Q155" s="75"/>
      <c r="R155" s="76"/>
      <c r="S155" s="72"/>
      <c r="T155" s="60"/>
      <c r="U155" s="60"/>
      <c r="V155" s="60"/>
      <c r="W155" s="102"/>
      <c r="X155" s="102"/>
      <c r="Y155" s="102"/>
      <c r="Z155" s="102"/>
      <c r="AA155" s="102"/>
      <c r="AB155" s="102"/>
      <c r="AC155" s="102"/>
      <c r="AD155" s="102"/>
      <c r="AE155" s="102"/>
      <c r="AF155" s="78"/>
      <c r="AG155" s="78"/>
      <c r="AH155" s="78"/>
      <c r="AI155" s="78"/>
      <c r="AJ155" s="96"/>
    </row>
    <row r="156" spans="1:36" s="103" customFormat="1" ht="65.099999999999994" customHeight="1" x14ac:dyDescent="0.25">
      <c r="A156" s="94"/>
      <c r="B156" s="94"/>
      <c r="C156" s="413"/>
      <c r="D156" s="95"/>
      <c r="E156" s="96"/>
      <c r="F156" s="96"/>
      <c r="G156" s="96"/>
      <c r="H156" s="96"/>
      <c r="I156" s="97"/>
      <c r="J156" s="98"/>
      <c r="K156" s="98"/>
      <c r="L156" s="99"/>
      <c r="M156" s="72"/>
      <c r="N156" s="100"/>
      <c r="O156" s="101"/>
      <c r="P156" s="63"/>
      <c r="Q156" s="75"/>
      <c r="R156" s="76"/>
      <c r="S156" s="72"/>
      <c r="T156" s="60"/>
      <c r="U156" s="60"/>
      <c r="V156" s="60"/>
      <c r="W156" s="102"/>
      <c r="X156" s="102"/>
      <c r="Y156" s="102"/>
      <c r="Z156" s="102"/>
      <c r="AA156" s="102"/>
      <c r="AB156" s="102"/>
      <c r="AC156" s="102"/>
      <c r="AD156" s="102"/>
      <c r="AE156" s="102"/>
      <c r="AF156" s="78"/>
      <c r="AG156" s="78"/>
      <c r="AH156" s="78"/>
      <c r="AI156" s="78"/>
      <c r="AJ156" s="96"/>
    </row>
    <row r="157" spans="1:36" s="103" customFormat="1" ht="65.099999999999994" customHeight="1" x14ac:dyDescent="0.25">
      <c r="A157" s="94"/>
      <c r="B157" s="94"/>
      <c r="C157" s="413"/>
      <c r="D157" s="95"/>
      <c r="E157" s="96"/>
      <c r="F157" s="96"/>
      <c r="G157" s="96"/>
      <c r="H157" s="96"/>
      <c r="I157" s="97"/>
      <c r="J157" s="98"/>
      <c r="K157" s="98"/>
      <c r="L157" s="99"/>
      <c r="M157" s="72"/>
      <c r="N157" s="100"/>
      <c r="O157" s="101"/>
      <c r="P157" s="63"/>
      <c r="Q157" s="75"/>
      <c r="R157" s="76"/>
      <c r="S157" s="72"/>
      <c r="T157" s="60"/>
      <c r="U157" s="60"/>
      <c r="V157" s="60"/>
      <c r="W157" s="102"/>
      <c r="X157" s="102"/>
      <c r="Y157" s="102"/>
      <c r="Z157" s="102"/>
      <c r="AA157" s="102"/>
      <c r="AB157" s="102"/>
      <c r="AC157" s="102"/>
      <c r="AD157" s="102"/>
      <c r="AE157" s="102"/>
      <c r="AF157" s="78"/>
      <c r="AG157" s="78"/>
      <c r="AH157" s="78"/>
      <c r="AI157" s="78"/>
      <c r="AJ157" s="96"/>
    </row>
    <row r="158" spans="1:36" s="103" customFormat="1" ht="65.099999999999994" customHeight="1" x14ac:dyDescent="0.25">
      <c r="A158" s="94"/>
      <c r="B158" s="94"/>
      <c r="C158" s="413"/>
      <c r="D158" s="95"/>
      <c r="E158" s="96"/>
      <c r="F158" s="96"/>
      <c r="G158" s="96"/>
      <c r="H158" s="96"/>
      <c r="I158" s="97"/>
      <c r="J158" s="98"/>
      <c r="K158" s="98"/>
      <c r="L158" s="99"/>
      <c r="M158" s="72"/>
      <c r="N158" s="100"/>
      <c r="O158" s="101"/>
      <c r="P158" s="63"/>
      <c r="Q158" s="75"/>
      <c r="R158" s="76"/>
      <c r="S158" s="72"/>
      <c r="T158" s="60"/>
      <c r="U158" s="60"/>
      <c r="V158" s="60"/>
      <c r="W158" s="102"/>
      <c r="X158" s="102"/>
      <c r="Y158" s="102"/>
      <c r="Z158" s="102"/>
      <c r="AA158" s="102"/>
      <c r="AB158" s="102"/>
      <c r="AC158" s="102"/>
      <c r="AD158" s="102"/>
      <c r="AE158" s="102"/>
      <c r="AF158" s="78"/>
      <c r="AG158" s="78"/>
      <c r="AH158" s="78"/>
      <c r="AI158" s="78"/>
      <c r="AJ158" s="96"/>
    </row>
    <row r="159" spans="1:36" s="103" customFormat="1" ht="65.099999999999994" customHeight="1" x14ac:dyDescent="0.25">
      <c r="A159" s="94"/>
      <c r="B159" s="94"/>
      <c r="C159" s="413"/>
      <c r="D159" s="95"/>
      <c r="E159" s="96"/>
      <c r="F159" s="96"/>
      <c r="G159" s="96"/>
      <c r="H159" s="96"/>
      <c r="I159" s="97"/>
      <c r="J159" s="98"/>
      <c r="K159" s="98"/>
      <c r="L159" s="99"/>
      <c r="M159" s="72"/>
      <c r="N159" s="100"/>
      <c r="O159" s="101"/>
      <c r="P159" s="63"/>
      <c r="Q159" s="75"/>
      <c r="R159" s="76"/>
      <c r="S159" s="72"/>
      <c r="T159" s="60"/>
      <c r="U159" s="60"/>
      <c r="V159" s="60"/>
      <c r="W159" s="102"/>
      <c r="X159" s="102"/>
      <c r="Y159" s="102"/>
      <c r="Z159" s="102"/>
      <c r="AA159" s="102"/>
      <c r="AB159" s="102"/>
      <c r="AC159" s="102"/>
      <c r="AD159" s="102"/>
      <c r="AE159" s="102"/>
      <c r="AF159" s="78"/>
      <c r="AG159" s="78"/>
      <c r="AH159" s="78"/>
      <c r="AI159" s="78"/>
      <c r="AJ159" s="96"/>
    </row>
    <row r="160" spans="1:36" s="103" customFormat="1" ht="65.099999999999994" customHeight="1" x14ac:dyDescent="0.25">
      <c r="A160" s="94"/>
      <c r="B160" s="94"/>
      <c r="C160" s="413"/>
      <c r="D160" s="95"/>
      <c r="E160" s="96"/>
      <c r="F160" s="96"/>
      <c r="G160" s="96"/>
      <c r="H160" s="96"/>
      <c r="I160" s="97"/>
      <c r="J160" s="98"/>
      <c r="K160" s="98"/>
      <c r="L160" s="99"/>
      <c r="M160" s="72"/>
      <c r="N160" s="100"/>
      <c r="O160" s="101"/>
      <c r="P160" s="63"/>
      <c r="Q160" s="75"/>
      <c r="R160" s="76"/>
      <c r="S160" s="72"/>
      <c r="T160" s="60"/>
      <c r="U160" s="60"/>
      <c r="V160" s="60"/>
      <c r="W160" s="102"/>
      <c r="X160" s="102"/>
      <c r="Y160" s="102"/>
      <c r="Z160" s="102"/>
      <c r="AA160" s="102"/>
      <c r="AB160" s="102"/>
      <c r="AC160" s="102"/>
      <c r="AD160" s="102"/>
      <c r="AE160" s="102"/>
      <c r="AF160" s="78"/>
      <c r="AG160" s="78"/>
      <c r="AH160" s="78"/>
      <c r="AI160" s="78"/>
      <c r="AJ160" s="96"/>
    </row>
    <row r="161" spans="1:36" s="103" customFormat="1" ht="65.099999999999994" customHeight="1" x14ac:dyDescent="0.25">
      <c r="A161" s="94"/>
      <c r="B161" s="94"/>
      <c r="C161" s="413"/>
      <c r="D161" s="95"/>
      <c r="E161" s="96"/>
      <c r="F161" s="96"/>
      <c r="G161" s="96"/>
      <c r="H161" s="96"/>
      <c r="I161" s="97"/>
      <c r="J161" s="98"/>
      <c r="K161" s="98"/>
      <c r="L161" s="99"/>
      <c r="M161" s="72"/>
      <c r="N161" s="100"/>
      <c r="O161" s="101"/>
      <c r="P161" s="63"/>
      <c r="Q161" s="75"/>
      <c r="R161" s="76"/>
      <c r="S161" s="72"/>
      <c r="T161" s="60"/>
      <c r="U161" s="60"/>
      <c r="V161" s="60"/>
      <c r="W161" s="102"/>
      <c r="X161" s="102"/>
      <c r="Y161" s="102"/>
      <c r="Z161" s="102"/>
      <c r="AA161" s="102"/>
      <c r="AB161" s="102"/>
      <c r="AC161" s="102"/>
      <c r="AD161" s="102"/>
      <c r="AE161" s="102"/>
      <c r="AF161" s="78"/>
      <c r="AG161" s="78"/>
      <c r="AH161" s="78"/>
      <c r="AI161" s="78"/>
      <c r="AJ161" s="96"/>
    </row>
    <row r="162" spans="1:36" s="103" customFormat="1" ht="65.099999999999994" customHeight="1" x14ac:dyDescent="0.25">
      <c r="A162" s="94"/>
      <c r="B162" s="94"/>
      <c r="C162" s="413"/>
      <c r="D162" s="95"/>
      <c r="E162" s="96"/>
      <c r="F162" s="96"/>
      <c r="G162" s="96"/>
      <c r="H162" s="96"/>
      <c r="I162" s="97"/>
      <c r="J162" s="98"/>
      <c r="K162" s="98"/>
      <c r="L162" s="99"/>
      <c r="M162" s="72"/>
      <c r="N162" s="100"/>
      <c r="O162" s="101"/>
      <c r="P162" s="63"/>
      <c r="Q162" s="75"/>
      <c r="R162" s="76"/>
      <c r="S162" s="72"/>
      <c r="T162" s="60"/>
      <c r="U162" s="60"/>
      <c r="V162" s="60"/>
      <c r="W162" s="102"/>
      <c r="X162" s="102"/>
      <c r="Y162" s="102"/>
      <c r="Z162" s="102"/>
      <c r="AA162" s="102"/>
      <c r="AB162" s="102"/>
      <c r="AC162" s="102"/>
      <c r="AD162" s="102"/>
      <c r="AE162" s="102"/>
      <c r="AF162" s="78"/>
      <c r="AG162" s="78"/>
      <c r="AH162" s="78"/>
      <c r="AI162" s="78"/>
      <c r="AJ162" s="96"/>
    </row>
    <row r="163" spans="1:36" s="103" customFormat="1" ht="65.099999999999994" customHeight="1" x14ac:dyDescent="0.25">
      <c r="A163" s="94"/>
      <c r="B163" s="94"/>
      <c r="C163" s="413"/>
      <c r="D163" s="95"/>
      <c r="E163" s="96"/>
      <c r="F163" s="96"/>
      <c r="G163" s="96"/>
      <c r="H163" s="96"/>
      <c r="I163" s="97"/>
      <c r="J163" s="98"/>
      <c r="K163" s="98"/>
      <c r="L163" s="99"/>
      <c r="M163" s="72"/>
      <c r="N163" s="100"/>
      <c r="O163" s="101"/>
      <c r="P163" s="63"/>
      <c r="Q163" s="75"/>
      <c r="R163" s="76"/>
      <c r="S163" s="72"/>
      <c r="T163" s="60"/>
      <c r="U163" s="60"/>
      <c r="V163" s="60"/>
      <c r="W163" s="102"/>
      <c r="X163" s="102"/>
      <c r="Y163" s="102"/>
      <c r="Z163" s="102"/>
      <c r="AA163" s="102"/>
      <c r="AB163" s="102"/>
      <c r="AC163" s="102"/>
      <c r="AD163" s="102"/>
      <c r="AE163" s="102"/>
      <c r="AF163" s="78"/>
      <c r="AG163" s="78"/>
      <c r="AH163" s="78"/>
      <c r="AI163" s="78"/>
      <c r="AJ163" s="96"/>
    </row>
    <row r="164" spans="1:36" s="103" customFormat="1" ht="65.099999999999994" customHeight="1" x14ac:dyDescent="0.25">
      <c r="A164" s="94"/>
      <c r="B164" s="94"/>
      <c r="C164" s="413"/>
      <c r="D164" s="95"/>
      <c r="E164" s="96"/>
      <c r="F164" s="96"/>
      <c r="G164" s="96"/>
      <c r="H164" s="96"/>
      <c r="I164" s="97"/>
      <c r="J164" s="98"/>
      <c r="K164" s="98"/>
      <c r="L164" s="99"/>
      <c r="M164" s="72"/>
      <c r="N164" s="100"/>
      <c r="O164" s="101"/>
      <c r="P164" s="63"/>
      <c r="Q164" s="75"/>
      <c r="R164" s="76"/>
      <c r="S164" s="72"/>
      <c r="T164" s="60"/>
      <c r="U164" s="60"/>
      <c r="V164" s="60"/>
      <c r="W164" s="102"/>
      <c r="X164" s="102"/>
      <c r="Y164" s="102"/>
      <c r="Z164" s="102"/>
      <c r="AA164" s="102"/>
      <c r="AB164" s="102"/>
      <c r="AC164" s="102"/>
      <c r="AD164" s="102"/>
      <c r="AE164" s="102"/>
      <c r="AF164" s="78"/>
      <c r="AG164" s="78"/>
      <c r="AH164" s="78"/>
      <c r="AI164" s="78"/>
      <c r="AJ164" s="96"/>
    </row>
    <row r="165" spans="1:36" s="103" customFormat="1" ht="65.099999999999994" customHeight="1" x14ac:dyDescent="0.25">
      <c r="A165" s="94"/>
      <c r="B165" s="94"/>
      <c r="C165" s="413"/>
      <c r="D165" s="95"/>
      <c r="E165" s="96"/>
      <c r="F165" s="96"/>
      <c r="G165" s="96"/>
      <c r="H165" s="96"/>
      <c r="I165" s="97"/>
      <c r="J165" s="98"/>
      <c r="K165" s="98"/>
      <c r="L165" s="99"/>
      <c r="M165" s="72"/>
      <c r="N165" s="100"/>
      <c r="O165" s="101"/>
      <c r="P165" s="63"/>
      <c r="Q165" s="75"/>
      <c r="R165" s="76"/>
      <c r="S165" s="72"/>
      <c r="T165" s="60"/>
      <c r="U165" s="60"/>
      <c r="V165" s="60"/>
      <c r="W165" s="102"/>
      <c r="X165" s="102"/>
      <c r="Y165" s="102"/>
      <c r="Z165" s="102"/>
      <c r="AA165" s="102"/>
      <c r="AB165" s="102"/>
      <c r="AC165" s="102"/>
      <c r="AD165" s="102"/>
      <c r="AE165" s="102"/>
      <c r="AF165" s="78"/>
      <c r="AG165" s="78"/>
      <c r="AH165" s="78"/>
      <c r="AI165" s="78"/>
      <c r="AJ165" s="96"/>
    </row>
    <row r="166" spans="1:36" s="103" customFormat="1" ht="65.099999999999994" customHeight="1" x14ac:dyDescent="0.25">
      <c r="A166" s="94"/>
      <c r="B166" s="94"/>
      <c r="C166" s="413"/>
      <c r="D166" s="95"/>
      <c r="E166" s="96"/>
      <c r="F166" s="96"/>
      <c r="G166" s="96"/>
      <c r="H166" s="96"/>
      <c r="I166" s="97"/>
      <c r="J166" s="98"/>
      <c r="K166" s="98"/>
      <c r="L166" s="99"/>
      <c r="M166" s="72"/>
      <c r="N166" s="100"/>
      <c r="O166" s="101"/>
      <c r="P166" s="63"/>
      <c r="Q166" s="75"/>
      <c r="R166" s="76"/>
      <c r="S166" s="72"/>
      <c r="T166" s="60"/>
      <c r="U166" s="60"/>
      <c r="V166" s="60"/>
      <c r="W166" s="102"/>
      <c r="X166" s="102"/>
      <c r="Y166" s="102"/>
      <c r="Z166" s="102"/>
      <c r="AA166" s="102"/>
      <c r="AB166" s="102"/>
      <c r="AC166" s="102"/>
      <c r="AD166" s="102"/>
      <c r="AE166" s="102"/>
      <c r="AF166" s="78"/>
      <c r="AG166" s="78"/>
      <c r="AH166" s="78"/>
      <c r="AI166" s="78"/>
      <c r="AJ166" s="96"/>
    </row>
    <row r="167" spans="1:36" s="103" customFormat="1" ht="65.099999999999994" customHeight="1" x14ac:dyDescent="0.25">
      <c r="A167" s="94"/>
      <c r="B167" s="94"/>
      <c r="C167" s="413"/>
      <c r="D167" s="95"/>
      <c r="E167" s="96"/>
      <c r="F167" s="96"/>
      <c r="G167" s="96"/>
      <c r="H167" s="96"/>
      <c r="I167" s="97"/>
      <c r="J167" s="98"/>
      <c r="K167" s="98"/>
      <c r="L167" s="99"/>
      <c r="M167" s="72"/>
      <c r="N167" s="100"/>
      <c r="O167" s="101"/>
      <c r="P167" s="63"/>
      <c r="Q167" s="75"/>
      <c r="R167" s="76"/>
      <c r="S167" s="72"/>
      <c r="T167" s="60"/>
      <c r="U167" s="60"/>
      <c r="V167" s="60"/>
      <c r="W167" s="102"/>
      <c r="X167" s="102"/>
      <c r="Y167" s="102"/>
      <c r="Z167" s="102"/>
      <c r="AA167" s="102"/>
      <c r="AB167" s="102"/>
      <c r="AC167" s="102"/>
      <c r="AD167" s="102"/>
      <c r="AE167" s="102"/>
      <c r="AF167" s="78"/>
      <c r="AG167" s="78"/>
      <c r="AH167" s="78"/>
      <c r="AI167" s="78"/>
      <c r="AJ167" s="96"/>
    </row>
    <row r="168" spans="1:36" s="103" customFormat="1" ht="65.099999999999994" customHeight="1" x14ac:dyDescent="0.25">
      <c r="A168" s="94"/>
      <c r="B168" s="94"/>
      <c r="C168" s="413"/>
      <c r="D168" s="95"/>
      <c r="E168" s="96"/>
      <c r="F168" s="96"/>
      <c r="G168" s="96"/>
      <c r="H168" s="96"/>
      <c r="I168" s="97"/>
      <c r="J168" s="98"/>
      <c r="K168" s="98"/>
      <c r="L168" s="99"/>
      <c r="M168" s="72"/>
      <c r="N168" s="100"/>
      <c r="O168" s="101"/>
      <c r="P168" s="63"/>
      <c r="Q168" s="75"/>
      <c r="R168" s="76"/>
      <c r="S168" s="72"/>
      <c r="T168" s="60"/>
      <c r="U168" s="60"/>
      <c r="V168" s="60"/>
      <c r="W168" s="102"/>
      <c r="X168" s="102"/>
      <c r="Y168" s="102"/>
      <c r="Z168" s="102"/>
      <c r="AA168" s="102"/>
      <c r="AB168" s="102"/>
      <c r="AC168" s="102"/>
      <c r="AD168" s="102"/>
      <c r="AE168" s="102"/>
      <c r="AF168" s="78"/>
      <c r="AG168" s="78"/>
      <c r="AH168" s="78"/>
      <c r="AI168" s="78"/>
      <c r="AJ168" s="96"/>
    </row>
    <row r="169" spans="1:36" s="103" customFormat="1" ht="65.099999999999994" customHeight="1" x14ac:dyDescent="0.25">
      <c r="A169" s="94"/>
      <c r="B169" s="94"/>
      <c r="C169" s="413"/>
      <c r="D169" s="95"/>
      <c r="E169" s="96"/>
      <c r="F169" s="96"/>
      <c r="G169" s="96"/>
      <c r="H169" s="96"/>
      <c r="I169" s="97"/>
      <c r="J169" s="98"/>
      <c r="K169" s="98"/>
      <c r="L169" s="99"/>
      <c r="M169" s="72"/>
      <c r="N169" s="100"/>
      <c r="O169" s="101"/>
      <c r="P169" s="63"/>
      <c r="Q169" s="75"/>
      <c r="R169" s="76"/>
      <c r="S169" s="72"/>
      <c r="T169" s="60"/>
      <c r="U169" s="60"/>
      <c r="V169" s="60"/>
      <c r="W169" s="102"/>
      <c r="X169" s="102"/>
      <c r="Y169" s="102"/>
      <c r="Z169" s="102"/>
      <c r="AA169" s="102"/>
      <c r="AB169" s="102"/>
      <c r="AC169" s="102"/>
      <c r="AD169" s="102"/>
      <c r="AE169" s="102"/>
      <c r="AF169" s="78"/>
      <c r="AG169" s="78"/>
      <c r="AH169" s="78"/>
      <c r="AI169" s="78"/>
      <c r="AJ169" s="96"/>
    </row>
    <row r="170" spans="1:36" s="103" customFormat="1" ht="65.099999999999994" customHeight="1" x14ac:dyDescent="0.25">
      <c r="A170" s="94"/>
      <c r="B170" s="94"/>
      <c r="C170" s="413"/>
      <c r="D170" s="95"/>
      <c r="E170" s="96"/>
      <c r="F170" s="96"/>
      <c r="G170" s="96"/>
      <c r="H170" s="96"/>
      <c r="I170" s="97"/>
      <c r="J170" s="98"/>
      <c r="K170" s="98"/>
      <c r="L170" s="99"/>
      <c r="M170" s="72"/>
      <c r="N170" s="100"/>
      <c r="O170" s="101"/>
      <c r="P170" s="63"/>
      <c r="Q170" s="75"/>
      <c r="R170" s="76"/>
      <c r="S170" s="72"/>
      <c r="T170" s="60"/>
      <c r="U170" s="60"/>
      <c r="V170" s="60"/>
      <c r="W170" s="102"/>
      <c r="X170" s="102"/>
      <c r="Y170" s="102"/>
      <c r="Z170" s="102"/>
      <c r="AA170" s="102"/>
      <c r="AB170" s="102"/>
      <c r="AC170" s="102"/>
      <c r="AD170" s="102"/>
      <c r="AE170" s="102"/>
      <c r="AF170" s="78"/>
      <c r="AG170" s="78"/>
      <c r="AH170" s="78"/>
      <c r="AI170" s="78"/>
      <c r="AJ170" s="96"/>
    </row>
    <row r="171" spans="1:36" s="103" customFormat="1" ht="65.099999999999994" customHeight="1" x14ac:dyDescent="0.25">
      <c r="A171" s="94"/>
      <c r="B171" s="94"/>
      <c r="C171" s="413"/>
      <c r="D171" s="95"/>
      <c r="E171" s="96"/>
      <c r="F171" s="96"/>
      <c r="G171" s="96"/>
      <c r="H171" s="96"/>
      <c r="I171" s="97"/>
      <c r="J171" s="98"/>
      <c r="K171" s="98"/>
      <c r="L171" s="99"/>
      <c r="M171" s="72"/>
      <c r="N171" s="100"/>
      <c r="O171" s="101"/>
      <c r="P171" s="63"/>
      <c r="Q171" s="75"/>
      <c r="R171" s="76"/>
      <c r="S171" s="72"/>
      <c r="T171" s="60"/>
      <c r="U171" s="60"/>
      <c r="V171" s="60"/>
      <c r="W171" s="102"/>
      <c r="X171" s="102"/>
      <c r="Y171" s="102"/>
      <c r="Z171" s="102"/>
      <c r="AA171" s="102"/>
      <c r="AB171" s="102"/>
      <c r="AC171" s="102"/>
      <c r="AD171" s="102"/>
      <c r="AE171" s="102"/>
      <c r="AF171" s="78"/>
      <c r="AG171" s="78"/>
      <c r="AH171" s="78"/>
      <c r="AI171" s="78"/>
      <c r="AJ171" s="96"/>
    </row>
    <row r="172" spans="1:36" s="103" customFormat="1" ht="65.099999999999994" customHeight="1" x14ac:dyDescent="0.25">
      <c r="A172" s="94"/>
      <c r="B172" s="94"/>
      <c r="C172" s="413"/>
      <c r="D172" s="95"/>
      <c r="E172" s="96"/>
      <c r="F172" s="96"/>
      <c r="G172" s="96"/>
      <c r="H172" s="96"/>
      <c r="I172" s="97"/>
      <c r="J172" s="98"/>
      <c r="K172" s="98"/>
      <c r="L172" s="99"/>
      <c r="M172" s="72"/>
      <c r="N172" s="100"/>
      <c r="O172" s="101"/>
      <c r="P172" s="63"/>
      <c r="Q172" s="75"/>
      <c r="R172" s="76"/>
      <c r="S172" s="72"/>
      <c r="T172" s="60"/>
      <c r="U172" s="60"/>
      <c r="V172" s="60"/>
      <c r="W172" s="102"/>
      <c r="X172" s="102"/>
      <c r="Y172" s="102"/>
      <c r="Z172" s="102"/>
      <c r="AA172" s="102"/>
      <c r="AB172" s="102"/>
      <c r="AC172" s="102"/>
      <c r="AD172" s="102"/>
      <c r="AE172" s="102"/>
      <c r="AF172" s="78"/>
      <c r="AG172" s="78"/>
      <c r="AH172" s="78"/>
      <c r="AI172" s="78"/>
      <c r="AJ172" s="96"/>
    </row>
    <row r="173" spans="1:36" s="103" customFormat="1" ht="65.099999999999994" customHeight="1" x14ac:dyDescent="0.25">
      <c r="A173" s="94"/>
      <c r="B173" s="94"/>
      <c r="C173" s="413"/>
      <c r="D173" s="95"/>
      <c r="E173" s="96"/>
      <c r="F173" s="96"/>
      <c r="G173" s="96"/>
      <c r="H173" s="96"/>
      <c r="I173" s="97"/>
      <c r="J173" s="98"/>
      <c r="K173" s="98"/>
      <c r="L173" s="99"/>
      <c r="M173" s="72"/>
      <c r="N173" s="100"/>
      <c r="O173" s="101"/>
      <c r="P173" s="63"/>
      <c r="Q173" s="75"/>
      <c r="R173" s="76"/>
      <c r="S173" s="72"/>
      <c r="T173" s="60"/>
      <c r="U173" s="60"/>
      <c r="V173" s="60"/>
      <c r="W173" s="102"/>
      <c r="X173" s="102"/>
      <c r="Y173" s="102"/>
      <c r="Z173" s="102"/>
      <c r="AA173" s="102"/>
      <c r="AB173" s="102"/>
      <c r="AC173" s="102"/>
      <c r="AD173" s="102"/>
      <c r="AE173" s="102"/>
      <c r="AF173" s="78"/>
      <c r="AG173" s="78"/>
      <c r="AH173" s="78"/>
      <c r="AI173" s="78"/>
      <c r="AJ173" s="96"/>
    </row>
    <row r="174" spans="1:36" s="103" customFormat="1" ht="65.099999999999994" customHeight="1" x14ac:dyDescent="0.25">
      <c r="A174" s="94"/>
      <c r="B174" s="94"/>
      <c r="C174" s="413"/>
      <c r="D174" s="95"/>
      <c r="E174" s="96"/>
      <c r="F174" s="96"/>
      <c r="G174" s="96"/>
      <c r="H174" s="96"/>
      <c r="I174" s="97"/>
      <c r="J174" s="98"/>
      <c r="K174" s="98"/>
      <c r="L174" s="99"/>
      <c r="M174" s="72"/>
      <c r="N174" s="100"/>
      <c r="O174" s="101"/>
      <c r="P174" s="63"/>
      <c r="Q174" s="75"/>
      <c r="R174" s="76"/>
      <c r="S174" s="72"/>
      <c r="T174" s="60"/>
      <c r="U174" s="60"/>
      <c r="V174" s="60"/>
      <c r="W174" s="102"/>
      <c r="X174" s="102"/>
      <c r="Y174" s="102"/>
      <c r="Z174" s="102"/>
      <c r="AA174" s="102"/>
      <c r="AB174" s="102"/>
      <c r="AC174" s="102"/>
      <c r="AD174" s="102"/>
      <c r="AE174" s="102"/>
      <c r="AF174" s="78"/>
      <c r="AG174" s="78"/>
      <c r="AH174" s="78"/>
      <c r="AI174" s="78"/>
      <c r="AJ174" s="96"/>
    </row>
    <row r="175" spans="1:36" s="103" customFormat="1" ht="65.099999999999994" customHeight="1" x14ac:dyDescent="0.25">
      <c r="A175" s="94"/>
      <c r="B175" s="94"/>
      <c r="C175" s="413"/>
      <c r="D175" s="95"/>
      <c r="E175" s="96"/>
      <c r="F175" s="96"/>
      <c r="G175" s="96"/>
      <c r="H175" s="96"/>
      <c r="I175" s="97"/>
      <c r="J175" s="98"/>
      <c r="K175" s="98"/>
      <c r="L175" s="99"/>
      <c r="M175" s="72"/>
      <c r="N175" s="100"/>
      <c r="O175" s="101"/>
      <c r="P175" s="63"/>
      <c r="Q175" s="75"/>
      <c r="R175" s="76"/>
      <c r="S175" s="72"/>
      <c r="T175" s="60"/>
      <c r="U175" s="60"/>
      <c r="V175" s="60"/>
      <c r="W175" s="102"/>
      <c r="X175" s="102"/>
      <c r="Y175" s="102"/>
      <c r="Z175" s="102"/>
      <c r="AA175" s="102"/>
      <c r="AB175" s="102"/>
      <c r="AC175" s="102"/>
      <c r="AD175" s="102"/>
      <c r="AE175" s="102"/>
      <c r="AF175" s="78"/>
      <c r="AG175" s="78"/>
      <c r="AH175" s="78"/>
      <c r="AI175" s="78"/>
      <c r="AJ175" s="96"/>
    </row>
    <row r="176" spans="1:36" s="103" customFormat="1" ht="65.099999999999994" customHeight="1" x14ac:dyDescent="0.25">
      <c r="A176" s="94"/>
      <c r="B176" s="94"/>
      <c r="C176" s="413"/>
      <c r="D176" s="95"/>
      <c r="E176" s="96"/>
      <c r="F176" s="96"/>
      <c r="G176" s="96"/>
      <c r="H176" s="96"/>
      <c r="I176" s="97"/>
      <c r="J176" s="98"/>
      <c r="K176" s="98"/>
      <c r="L176" s="99"/>
      <c r="M176" s="72"/>
      <c r="N176" s="100"/>
      <c r="O176" s="101"/>
      <c r="P176" s="63"/>
      <c r="Q176" s="75"/>
      <c r="R176" s="76"/>
      <c r="S176" s="72"/>
      <c r="T176" s="60"/>
      <c r="U176" s="60"/>
      <c r="V176" s="60"/>
      <c r="W176" s="102"/>
      <c r="X176" s="102"/>
      <c r="Y176" s="102"/>
      <c r="Z176" s="102"/>
      <c r="AA176" s="102"/>
      <c r="AB176" s="102"/>
      <c r="AC176" s="102"/>
      <c r="AD176" s="102"/>
      <c r="AE176" s="102"/>
      <c r="AF176" s="78"/>
      <c r="AG176" s="78"/>
      <c r="AH176" s="78"/>
      <c r="AI176" s="78"/>
      <c r="AJ176" s="96"/>
    </row>
    <row r="177" spans="1:36" s="103" customFormat="1" ht="65.099999999999994" customHeight="1" x14ac:dyDescent="0.25">
      <c r="A177" s="94"/>
      <c r="B177" s="94"/>
      <c r="C177" s="413"/>
      <c r="D177" s="95"/>
      <c r="E177" s="96"/>
      <c r="F177" s="96"/>
      <c r="G177" s="96"/>
      <c r="H177" s="96"/>
      <c r="I177" s="97"/>
      <c r="J177" s="98"/>
      <c r="K177" s="98"/>
      <c r="L177" s="99"/>
      <c r="M177" s="72"/>
      <c r="N177" s="100"/>
      <c r="O177" s="101"/>
      <c r="P177" s="63"/>
      <c r="Q177" s="75"/>
      <c r="R177" s="76"/>
      <c r="S177" s="72"/>
      <c r="T177" s="60"/>
      <c r="U177" s="60"/>
      <c r="V177" s="60"/>
      <c r="W177" s="102"/>
      <c r="X177" s="102"/>
      <c r="Y177" s="102"/>
      <c r="Z177" s="102"/>
      <c r="AA177" s="102"/>
      <c r="AB177" s="102"/>
      <c r="AC177" s="102"/>
      <c r="AD177" s="102"/>
      <c r="AE177" s="102"/>
      <c r="AF177" s="78"/>
      <c r="AG177" s="78"/>
      <c r="AH177" s="78"/>
      <c r="AI177" s="78"/>
      <c r="AJ177" s="96"/>
    </row>
    <row r="178" spans="1:36" s="103" customFormat="1" ht="65.099999999999994" customHeight="1" x14ac:dyDescent="0.25">
      <c r="A178" s="94"/>
      <c r="B178" s="94"/>
      <c r="C178" s="413"/>
      <c r="D178" s="95"/>
      <c r="E178" s="96"/>
      <c r="F178" s="96"/>
      <c r="G178" s="96"/>
      <c r="H178" s="96"/>
      <c r="I178" s="97"/>
      <c r="J178" s="98"/>
      <c r="K178" s="98"/>
      <c r="L178" s="99"/>
      <c r="M178" s="72"/>
      <c r="N178" s="100"/>
      <c r="O178" s="101"/>
      <c r="P178" s="63"/>
      <c r="Q178" s="75"/>
      <c r="R178" s="76"/>
      <c r="S178" s="72"/>
      <c r="T178" s="60"/>
      <c r="U178" s="60"/>
      <c r="V178" s="60"/>
      <c r="W178" s="102"/>
      <c r="X178" s="102"/>
      <c r="Y178" s="102"/>
      <c r="Z178" s="102"/>
      <c r="AA178" s="102"/>
      <c r="AB178" s="102"/>
      <c r="AC178" s="102"/>
      <c r="AD178" s="102"/>
      <c r="AE178" s="102"/>
      <c r="AF178" s="78"/>
      <c r="AG178" s="78"/>
      <c r="AH178" s="78"/>
      <c r="AI178" s="78"/>
      <c r="AJ178" s="96"/>
    </row>
    <row r="179" spans="1:36" s="103" customFormat="1" ht="65.099999999999994" customHeight="1" x14ac:dyDescent="0.25">
      <c r="A179" s="94"/>
      <c r="B179" s="94"/>
      <c r="C179" s="413"/>
      <c r="D179" s="95"/>
      <c r="E179" s="96"/>
      <c r="F179" s="96"/>
      <c r="G179" s="96"/>
      <c r="H179" s="96"/>
      <c r="I179" s="97"/>
      <c r="J179" s="98"/>
      <c r="K179" s="98"/>
      <c r="L179" s="99"/>
      <c r="M179" s="72"/>
      <c r="N179" s="100"/>
      <c r="O179" s="101"/>
      <c r="P179" s="63"/>
      <c r="Q179" s="75"/>
      <c r="R179" s="76"/>
      <c r="S179" s="72"/>
      <c r="T179" s="60"/>
      <c r="U179" s="60"/>
      <c r="V179" s="60"/>
      <c r="W179" s="102"/>
      <c r="X179" s="102"/>
      <c r="Y179" s="102"/>
      <c r="Z179" s="102"/>
      <c r="AA179" s="102"/>
      <c r="AB179" s="102"/>
      <c r="AC179" s="102"/>
      <c r="AD179" s="102"/>
      <c r="AE179" s="102"/>
      <c r="AF179" s="78"/>
      <c r="AG179" s="78"/>
      <c r="AH179" s="78"/>
      <c r="AI179" s="78"/>
      <c r="AJ179" s="96"/>
    </row>
    <row r="180" spans="1:36" s="103" customFormat="1" ht="65.099999999999994" customHeight="1" x14ac:dyDescent="0.25">
      <c r="A180" s="94"/>
      <c r="B180" s="94"/>
      <c r="C180" s="413"/>
      <c r="D180" s="95"/>
      <c r="E180" s="96"/>
      <c r="F180" s="96"/>
      <c r="G180" s="96"/>
      <c r="H180" s="96"/>
      <c r="I180" s="97"/>
      <c r="J180" s="98"/>
      <c r="K180" s="98"/>
      <c r="L180" s="99"/>
      <c r="M180" s="72"/>
      <c r="N180" s="100"/>
      <c r="O180" s="101"/>
      <c r="P180" s="63"/>
      <c r="Q180" s="75"/>
      <c r="R180" s="76"/>
      <c r="S180" s="72"/>
      <c r="T180" s="60"/>
      <c r="U180" s="60"/>
      <c r="V180" s="60"/>
      <c r="W180" s="102"/>
      <c r="X180" s="102"/>
      <c r="Y180" s="102"/>
      <c r="Z180" s="102"/>
      <c r="AA180" s="102"/>
      <c r="AB180" s="102"/>
      <c r="AC180" s="102"/>
      <c r="AD180" s="102"/>
      <c r="AE180" s="102"/>
      <c r="AF180" s="78"/>
      <c r="AG180" s="78"/>
      <c r="AH180" s="78"/>
      <c r="AI180" s="78"/>
      <c r="AJ180" s="96"/>
    </row>
    <row r="181" spans="1:36" s="103" customFormat="1" ht="65.099999999999994" customHeight="1" x14ac:dyDescent="0.25">
      <c r="A181" s="94"/>
      <c r="B181" s="94"/>
      <c r="C181" s="413"/>
      <c r="D181" s="95"/>
      <c r="E181" s="96"/>
      <c r="F181" s="96"/>
      <c r="G181" s="96"/>
      <c r="H181" s="96"/>
      <c r="I181" s="97"/>
      <c r="J181" s="98"/>
      <c r="K181" s="98"/>
      <c r="L181" s="99"/>
      <c r="M181" s="72"/>
      <c r="N181" s="100"/>
      <c r="O181" s="101"/>
      <c r="P181" s="63"/>
      <c r="Q181" s="75"/>
      <c r="R181" s="76"/>
      <c r="S181" s="72"/>
      <c r="T181" s="60"/>
      <c r="U181" s="60"/>
      <c r="V181" s="60"/>
      <c r="W181" s="102"/>
      <c r="X181" s="102"/>
      <c r="Y181" s="102"/>
      <c r="Z181" s="102"/>
      <c r="AA181" s="102"/>
      <c r="AB181" s="102"/>
      <c r="AC181" s="102"/>
      <c r="AD181" s="102"/>
      <c r="AE181" s="102"/>
      <c r="AF181" s="78"/>
      <c r="AG181" s="78"/>
      <c r="AH181" s="78"/>
      <c r="AI181" s="78"/>
      <c r="AJ181" s="96"/>
    </row>
    <row r="182" spans="1:36" s="103" customFormat="1" ht="65.099999999999994" customHeight="1" x14ac:dyDescent="0.25">
      <c r="A182" s="94"/>
      <c r="B182" s="94"/>
      <c r="C182" s="413"/>
      <c r="D182" s="95"/>
      <c r="E182" s="96"/>
      <c r="F182" s="96"/>
      <c r="G182" s="96"/>
      <c r="H182" s="96"/>
      <c r="I182" s="97"/>
      <c r="J182" s="98"/>
      <c r="K182" s="98"/>
      <c r="L182" s="99"/>
      <c r="M182" s="72"/>
      <c r="N182" s="100"/>
      <c r="O182" s="101"/>
      <c r="P182" s="63"/>
      <c r="Q182" s="75"/>
      <c r="R182" s="76"/>
      <c r="S182" s="72"/>
      <c r="T182" s="60"/>
      <c r="U182" s="60"/>
      <c r="V182" s="60"/>
      <c r="W182" s="102"/>
      <c r="X182" s="102"/>
      <c r="Y182" s="102"/>
      <c r="Z182" s="102"/>
      <c r="AA182" s="102"/>
      <c r="AB182" s="102"/>
      <c r="AC182" s="102"/>
      <c r="AD182" s="102"/>
      <c r="AE182" s="102"/>
      <c r="AF182" s="78"/>
      <c r="AG182" s="78"/>
      <c r="AH182" s="78"/>
      <c r="AI182" s="78"/>
      <c r="AJ182" s="96"/>
    </row>
    <row r="183" spans="1:36" s="103" customFormat="1" ht="65.099999999999994" customHeight="1" x14ac:dyDescent="0.25">
      <c r="A183" s="94"/>
      <c r="B183" s="94"/>
      <c r="C183" s="413"/>
      <c r="D183" s="95"/>
      <c r="E183" s="96"/>
      <c r="F183" s="96"/>
      <c r="G183" s="96"/>
      <c r="H183" s="96"/>
      <c r="I183" s="97"/>
      <c r="J183" s="98"/>
      <c r="K183" s="98"/>
      <c r="L183" s="99"/>
      <c r="M183" s="72"/>
      <c r="N183" s="100"/>
      <c r="O183" s="101"/>
      <c r="P183" s="63"/>
      <c r="Q183" s="75"/>
      <c r="R183" s="76"/>
      <c r="S183" s="72"/>
      <c r="T183" s="60"/>
      <c r="U183" s="60"/>
      <c r="V183" s="60"/>
      <c r="W183" s="102"/>
      <c r="X183" s="102"/>
      <c r="Y183" s="102"/>
      <c r="Z183" s="102"/>
      <c r="AA183" s="102"/>
      <c r="AB183" s="102"/>
      <c r="AC183" s="102"/>
      <c r="AD183" s="102"/>
      <c r="AE183" s="102"/>
      <c r="AF183" s="78"/>
      <c r="AG183" s="78"/>
      <c r="AH183" s="78"/>
      <c r="AI183" s="78"/>
      <c r="AJ183" s="96"/>
    </row>
    <row r="184" spans="1:36" s="103" customFormat="1" ht="65.099999999999994" customHeight="1" x14ac:dyDescent="0.25">
      <c r="A184" s="94"/>
      <c r="B184" s="94"/>
      <c r="C184" s="413"/>
      <c r="D184" s="95"/>
      <c r="E184" s="96"/>
      <c r="F184" s="96"/>
      <c r="G184" s="96"/>
      <c r="H184" s="96"/>
      <c r="I184" s="97"/>
      <c r="J184" s="98"/>
      <c r="K184" s="98"/>
      <c r="L184" s="99"/>
      <c r="M184" s="72"/>
      <c r="N184" s="100"/>
      <c r="O184" s="101"/>
      <c r="P184" s="63"/>
      <c r="Q184" s="75"/>
      <c r="R184" s="76"/>
      <c r="S184" s="72"/>
      <c r="T184" s="60"/>
      <c r="U184" s="60"/>
      <c r="V184" s="60"/>
      <c r="W184" s="102"/>
      <c r="X184" s="102"/>
      <c r="Y184" s="102"/>
      <c r="Z184" s="102"/>
      <c r="AA184" s="102"/>
      <c r="AB184" s="102"/>
      <c r="AC184" s="102"/>
      <c r="AD184" s="102"/>
      <c r="AE184" s="102"/>
      <c r="AF184" s="78"/>
      <c r="AG184" s="78"/>
      <c r="AH184" s="78"/>
      <c r="AI184" s="78"/>
      <c r="AJ184" s="96"/>
    </row>
    <row r="185" spans="1:36" s="103" customFormat="1" ht="65.099999999999994" customHeight="1" x14ac:dyDescent="0.25">
      <c r="A185" s="94"/>
      <c r="B185" s="94"/>
      <c r="C185" s="413"/>
      <c r="D185" s="95"/>
      <c r="E185" s="96"/>
      <c r="F185" s="96"/>
      <c r="G185" s="96"/>
      <c r="H185" s="96"/>
      <c r="I185" s="97"/>
      <c r="J185" s="98"/>
      <c r="K185" s="98"/>
      <c r="L185" s="99"/>
      <c r="M185" s="72"/>
      <c r="N185" s="100"/>
      <c r="O185" s="101"/>
      <c r="P185" s="63"/>
      <c r="Q185" s="75"/>
      <c r="R185" s="76"/>
      <c r="S185" s="72"/>
      <c r="T185" s="60"/>
      <c r="U185" s="60"/>
      <c r="V185" s="60"/>
      <c r="W185" s="102"/>
      <c r="X185" s="102"/>
      <c r="Y185" s="102"/>
      <c r="Z185" s="102"/>
      <c r="AA185" s="102"/>
      <c r="AB185" s="102"/>
      <c r="AC185" s="102"/>
      <c r="AD185" s="102"/>
      <c r="AE185" s="102"/>
      <c r="AF185" s="78"/>
      <c r="AG185" s="78"/>
      <c r="AH185" s="78"/>
      <c r="AI185" s="78"/>
      <c r="AJ185" s="96"/>
    </row>
    <row r="186" spans="1:36" s="103" customFormat="1" ht="65.099999999999994" customHeight="1" x14ac:dyDescent="0.25">
      <c r="A186" s="94"/>
      <c r="B186" s="94"/>
      <c r="C186" s="413"/>
      <c r="D186" s="95"/>
      <c r="E186" s="96"/>
      <c r="F186" s="96"/>
      <c r="G186" s="96"/>
      <c r="H186" s="96"/>
      <c r="I186" s="97"/>
      <c r="J186" s="98"/>
      <c r="K186" s="98"/>
      <c r="L186" s="99"/>
      <c r="M186" s="72"/>
      <c r="N186" s="100"/>
      <c r="O186" s="101"/>
      <c r="P186" s="63"/>
      <c r="Q186" s="75"/>
      <c r="R186" s="76"/>
      <c r="S186" s="72"/>
      <c r="T186" s="60"/>
      <c r="U186" s="60"/>
      <c r="V186" s="60"/>
      <c r="W186" s="102"/>
      <c r="X186" s="102"/>
      <c r="Y186" s="102"/>
      <c r="Z186" s="102"/>
      <c r="AA186" s="102"/>
      <c r="AB186" s="102"/>
      <c r="AC186" s="102"/>
      <c r="AD186" s="102"/>
      <c r="AE186" s="102"/>
      <c r="AF186" s="78"/>
      <c r="AG186" s="78"/>
      <c r="AH186" s="78"/>
      <c r="AI186" s="78"/>
      <c r="AJ186" s="96"/>
    </row>
    <row r="187" spans="1:36" s="103" customFormat="1" ht="65.099999999999994" customHeight="1" x14ac:dyDescent="0.25">
      <c r="A187" s="94"/>
      <c r="B187" s="94"/>
      <c r="C187" s="413"/>
      <c r="D187" s="95"/>
      <c r="E187" s="96"/>
      <c r="F187" s="96"/>
      <c r="G187" s="96"/>
      <c r="H187" s="96"/>
      <c r="I187" s="97"/>
      <c r="J187" s="98"/>
      <c r="K187" s="98"/>
      <c r="L187" s="99"/>
      <c r="M187" s="72"/>
      <c r="N187" s="100"/>
      <c r="O187" s="101"/>
      <c r="P187" s="63"/>
      <c r="Q187" s="75"/>
      <c r="R187" s="76"/>
      <c r="S187" s="72"/>
      <c r="T187" s="60"/>
      <c r="U187" s="60"/>
      <c r="V187" s="60"/>
      <c r="W187" s="102"/>
      <c r="X187" s="102"/>
      <c r="Y187" s="102"/>
      <c r="Z187" s="102"/>
      <c r="AA187" s="102"/>
      <c r="AB187" s="102"/>
      <c r="AC187" s="102"/>
      <c r="AD187" s="102"/>
      <c r="AE187" s="102"/>
      <c r="AF187" s="78"/>
      <c r="AG187" s="78"/>
      <c r="AH187" s="78"/>
      <c r="AI187" s="78"/>
      <c r="AJ187" s="96"/>
    </row>
    <row r="188" spans="1:36" s="103" customFormat="1" ht="65.099999999999994" customHeight="1" x14ac:dyDescent="0.25">
      <c r="A188" s="94"/>
      <c r="B188" s="94"/>
      <c r="C188" s="413"/>
      <c r="D188" s="95"/>
      <c r="E188" s="96"/>
      <c r="F188" s="96"/>
      <c r="G188" s="96"/>
      <c r="H188" s="96"/>
      <c r="I188" s="97"/>
      <c r="J188" s="98"/>
      <c r="K188" s="98"/>
      <c r="L188" s="99"/>
      <c r="M188" s="72"/>
      <c r="N188" s="100"/>
      <c r="O188" s="101"/>
      <c r="P188" s="63"/>
      <c r="Q188" s="75"/>
      <c r="R188" s="76"/>
      <c r="S188" s="72"/>
      <c r="T188" s="60"/>
      <c r="U188" s="60"/>
      <c r="V188" s="60"/>
      <c r="W188" s="102"/>
      <c r="X188" s="102"/>
      <c r="Y188" s="102"/>
      <c r="Z188" s="102"/>
      <c r="AA188" s="102"/>
      <c r="AB188" s="102"/>
      <c r="AC188" s="102"/>
      <c r="AD188" s="102"/>
      <c r="AE188" s="102"/>
      <c r="AF188" s="78"/>
      <c r="AG188" s="78"/>
      <c r="AH188" s="78"/>
      <c r="AI188" s="78"/>
      <c r="AJ188" s="96"/>
    </row>
    <row r="189" spans="1:36" s="103" customFormat="1" ht="65.099999999999994" customHeight="1" x14ac:dyDescent="0.25">
      <c r="A189" s="94"/>
      <c r="B189" s="94"/>
      <c r="C189" s="413"/>
      <c r="D189" s="95"/>
      <c r="E189" s="96"/>
      <c r="F189" s="96"/>
      <c r="G189" s="96"/>
      <c r="H189" s="96"/>
      <c r="I189" s="97"/>
      <c r="J189" s="98"/>
      <c r="K189" s="98"/>
      <c r="L189" s="99"/>
      <c r="M189" s="72"/>
      <c r="N189" s="100"/>
      <c r="O189" s="101"/>
      <c r="P189" s="63"/>
      <c r="Q189" s="75"/>
      <c r="R189" s="76"/>
      <c r="S189" s="72"/>
      <c r="T189" s="60"/>
      <c r="U189" s="60"/>
      <c r="V189" s="60"/>
      <c r="W189" s="102"/>
      <c r="X189" s="102"/>
      <c r="Y189" s="102"/>
      <c r="Z189" s="102"/>
      <c r="AA189" s="102"/>
      <c r="AB189" s="102"/>
      <c r="AC189" s="102"/>
      <c r="AD189" s="102"/>
      <c r="AE189" s="102"/>
      <c r="AF189" s="78"/>
      <c r="AG189" s="78"/>
      <c r="AH189" s="78"/>
      <c r="AI189" s="78"/>
      <c r="AJ189" s="96"/>
    </row>
    <row r="190" spans="1:36" s="103" customFormat="1" ht="65.099999999999994" customHeight="1" x14ac:dyDescent="0.25">
      <c r="A190" s="94"/>
      <c r="B190" s="94"/>
      <c r="C190" s="413"/>
      <c r="D190" s="95"/>
      <c r="E190" s="96"/>
      <c r="F190" s="96"/>
      <c r="G190" s="96"/>
      <c r="H190" s="96"/>
      <c r="I190" s="97"/>
      <c r="J190" s="98"/>
      <c r="K190" s="98"/>
      <c r="L190" s="99"/>
      <c r="M190" s="72"/>
      <c r="N190" s="100"/>
      <c r="O190" s="101"/>
      <c r="P190" s="63"/>
      <c r="Q190" s="75"/>
      <c r="R190" s="76"/>
      <c r="S190" s="72"/>
      <c r="T190" s="60"/>
      <c r="U190" s="60"/>
      <c r="V190" s="60"/>
      <c r="W190" s="102"/>
      <c r="X190" s="102"/>
      <c r="Y190" s="102"/>
      <c r="Z190" s="102"/>
      <c r="AA190" s="102"/>
      <c r="AB190" s="102"/>
      <c r="AC190" s="102"/>
      <c r="AD190" s="102"/>
      <c r="AE190" s="102"/>
      <c r="AF190" s="78"/>
      <c r="AG190" s="78"/>
      <c r="AH190" s="78"/>
      <c r="AI190" s="78"/>
      <c r="AJ190" s="96"/>
    </row>
    <row r="191" spans="1:36" s="103" customFormat="1" ht="65.099999999999994" customHeight="1" x14ac:dyDescent="0.25">
      <c r="A191" s="94"/>
      <c r="B191" s="94"/>
      <c r="C191" s="413"/>
      <c r="D191" s="95"/>
      <c r="E191" s="96"/>
      <c r="F191" s="96"/>
      <c r="G191" s="96"/>
      <c r="H191" s="96"/>
      <c r="I191" s="97"/>
      <c r="J191" s="98"/>
      <c r="K191" s="98"/>
      <c r="L191" s="99"/>
      <c r="M191" s="72"/>
      <c r="N191" s="100"/>
      <c r="O191" s="101"/>
      <c r="P191" s="63"/>
      <c r="Q191" s="75"/>
      <c r="R191" s="76"/>
      <c r="S191" s="72"/>
      <c r="T191" s="60"/>
      <c r="U191" s="60"/>
      <c r="V191" s="60"/>
      <c r="W191" s="102"/>
      <c r="X191" s="102"/>
      <c r="Y191" s="102"/>
      <c r="Z191" s="102"/>
      <c r="AA191" s="102"/>
      <c r="AB191" s="102"/>
      <c r="AC191" s="102"/>
      <c r="AD191" s="102"/>
      <c r="AE191" s="102"/>
      <c r="AF191" s="78"/>
      <c r="AG191" s="78"/>
      <c r="AH191" s="78"/>
      <c r="AI191" s="78"/>
      <c r="AJ191" s="96"/>
    </row>
    <row r="192" spans="1:36" s="103" customFormat="1" ht="65.099999999999994" customHeight="1" x14ac:dyDescent="0.25">
      <c r="A192" s="94"/>
      <c r="B192" s="94"/>
      <c r="C192" s="413"/>
      <c r="D192" s="95"/>
      <c r="E192" s="96"/>
      <c r="F192" s="96"/>
      <c r="G192" s="96"/>
      <c r="H192" s="96"/>
      <c r="I192" s="97"/>
      <c r="J192" s="98"/>
      <c r="K192" s="98"/>
      <c r="L192" s="99"/>
      <c r="M192" s="72"/>
      <c r="N192" s="100"/>
      <c r="O192" s="101"/>
      <c r="P192" s="63"/>
      <c r="Q192" s="75"/>
      <c r="R192" s="76"/>
      <c r="S192" s="72"/>
      <c r="T192" s="60"/>
      <c r="U192" s="60"/>
      <c r="V192" s="60"/>
      <c r="W192" s="102"/>
      <c r="X192" s="102"/>
      <c r="Y192" s="102"/>
      <c r="Z192" s="102"/>
      <c r="AA192" s="102"/>
      <c r="AB192" s="102"/>
      <c r="AC192" s="102"/>
      <c r="AD192" s="102"/>
      <c r="AE192" s="102"/>
      <c r="AF192" s="78"/>
      <c r="AG192" s="78"/>
      <c r="AH192" s="78"/>
      <c r="AI192" s="78"/>
      <c r="AJ192" s="96"/>
    </row>
    <row r="193" spans="1:36" s="103" customFormat="1" ht="65.099999999999994" customHeight="1" x14ac:dyDescent="0.25">
      <c r="A193" s="94"/>
      <c r="B193" s="94"/>
      <c r="C193" s="413"/>
      <c r="D193" s="95"/>
      <c r="E193" s="96"/>
      <c r="F193" s="96"/>
      <c r="G193" s="96"/>
      <c r="H193" s="96"/>
      <c r="I193" s="97"/>
      <c r="J193" s="98"/>
      <c r="K193" s="98"/>
      <c r="L193" s="99"/>
      <c r="M193" s="72"/>
      <c r="N193" s="100"/>
      <c r="O193" s="101"/>
      <c r="P193" s="63"/>
      <c r="Q193" s="75"/>
      <c r="R193" s="76"/>
      <c r="S193" s="72"/>
      <c r="T193" s="60"/>
      <c r="U193" s="60"/>
      <c r="V193" s="60"/>
      <c r="W193" s="102"/>
      <c r="X193" s="102"/>
      <c r="Y193" s="102"/>
      <c r="Z193" s="102"/>
      <c r="AA193" s="102"/>
      <c r="AB193" s="102"/>
      <c r="AC193" s="102"/>
      <c r="AD193" s="102"/>
      <c r="AE193" s="102"/>
      <c r="AF193" s="78"/>
      <c r="AG193" s="78"/>
      <c r="AH193" s="78"/>
      <c r="AI193" s="78"/>
      <c r="AJ193" s="96"/>
    </row>
    <row r="194" spans="1:36" s="103" customFormat="1" ht="65.099999999999994" customHeight="1" x14ac:dyDescent="0.25">
      <c r="A194" s="94"/>
      <c r="B194" s="94"/>
      <c r="C194" s="413"/>
      <c r="D194" s="95"/>
      <c r="E194" s="96"/>
      <c r="F194" s="96"/>
      <c r="G194" s="96"/>
      <c r="H194" s="96"/>
      <c r="I194" s="97"/>
      <c r="J194" s="98"/>
      <c r="K194" s="98"/>
      <c r="L194" s="99"/>
      <c r="M194" s="72"/>
      <c r="N194" s="100"/>
      <c r="O194" s="101"/>
      <c r="P194" s="63"/>
      <c r="Q194" s="75"/>
      <c r="R194" s="76"/>
      <c r="S194" s="72"/>
      <c r="T194" s="60"/>
      <c r="U194" s="60"/>
      <c r="V194" s="60"/>
      <c r="W194" s="102"/>
      <c r="X194" s="102"/>
      <c r="Y194" s="102"/>
      <c r="Z194" s="102"/>
      <c r="AA194" s="102"/>
      <c r="AB194" s="102"/>
      <c r="AC194" s="102"/>
      <c r="AD194" s="102"/>
      <c r="AE194" s="102"/>
      <c r="AF194" s="78"/>
      <c r="AG194" s="78"/>
      <c r="AH194" s="78"/>
      <c r="AI194" s="78"/>
      <c r="AJ194" s="96"/>
    </row>
    <row r="195" spans="1:36" s="103" customFormat="1" ht="65.099999999999994" customHeight="1" x14ac:dyDescent="0.25">
      <c r="A195" s="94"/>
      <c r="B195" s="94"/>
      <c r="C195" s="413"/>
      <c r="D195" s="95"/>
      <c r="E195" s="96"/>
      <c r="F195" s="96"/>
      <c r="G195" s="96"/>
      <c r="H195" s="96"/>
      <c r="I195" s="97"/>
      <c r="J195" s="98"/>
      <c r="K195" s="98"/>
      <c r="L195" s="99"/>
      <c r="M195" s="72"/>
      <c r="N195" s="100"/>
      <c r="O195" s="101"/>
      <c r="P195" s="63"/>
      <c r="Q195" s="75"/>
      <c r="R195" s="76"/>
      <c r="S195" s="72"/>
      <c r="T195" s="60"/>
      <c r="U195" s="60"/>
      <c r="V195" s="60"/>
      <c r="W195" s="102"/>
      <c r="X195" s="102"/>
      <c r="Y195" s="102"/>
      <c r="Z195" s="102"/>
      <c r="AA195" s="102"/>
      <c r="AB195" s="102"/>
      <c r="AC195" s="102"/>
      <c r="AD195" s="102"/>
      <c r="AE195" s="102"/>
      <c r="AF195" s="78"/>
      <c r="AG195" s="78"/>
      <c r="AH195" s="78"/>
      <c r="AI195" s="78"/>
      <c r="AJ195" s="96"/>
    </row>
    <row r="196" spans="1:36" s="103" customFormat="1" ht="65.099999999999994" customHeight="1" x14ac:dyDescent="0.25">
      <c r="A196" s="94"/>
      <c r="B196" s="94"/>
      <c r="C196" s="413"/>
      <c r="D196" s="95"/>
      <c r="E196" s="96"/>
      <c r="F196" s="96"/>
      <c r="G196" s="96"/>
      <c r="H196" s="96"/>
      <c r="I196" s="97"/>
      <c r="J196" s="98"/>
      <c r="K196" s="98"/>
      <c r="L196" s="99"/>
      <c r="M196" s="72"/>
      <c r="N196" s="100"/>
      <c r="O196" s="101"/>
      <c r="P196" s="63"/>
      <c r="Q196" s="75"/>
      <c r="R196" s="76"/>
      <c r="S196" s="72"/>
      <c r="T196" s="60"/>
      <c r="U196" s="60"/>
      <c r="V196" s="60"/>
      <c r="W196" s="102"/>
      <c r="X196" s="102"/>
      <c r="Y196" s="102"/>
      <c r="Z196" s="102"/>
      <c r="AA196" s="102"/>
      <c r="AB196" s="102"/>
      <c r="AC196" s="102"/>
      <c r="AD196" s="102"/>
      <c r="AE196" s="102"/>
      <c r="AF196" s="78"/>
      <c r="AG196" s="78"/>
      <c r="AH196" s="78"/>
      <c r="AI196" s="78"/>
      <c r="AJ196" s="96"/>
    </row>
    <row r="197" spans="1:36" s="103" customFormat="1" ht="65.099999999999994" customHeight="1" x14ac:dyDescent="0.25">
      <c r="A197" s="94"/>
      <c r="B197" s="94"/>
      <c r="C197" s="413"/>
      <c r="D197" s="95"/>
      <c r="E197" s="96"/>
      <c r="F197" s="96"/>
      <c r="G197" s="96"/>
      <c r="H197" s="96"/>
      <c r="I197" s="97"/>
      <c r="J197" s="98"/>
      <c r="K197" s="98"/>
      <c r="L197" s="99"/>
      <c r="M197" s="72"/>
      <c r="N197" s="100"/>
      <c r="O197" s="101"/>
      <c r="P197" s="63"/>
      <c r="Q197" s="75"/>
      <c r="R197" s="76"/>
      <c r="S197" s="72"/>
      <c r="T197" s="60"/>
      <c r="U197" s="60"/>
      <c r="V197" s="60"/>
      <c r="W197" s="102"/>
      <c r="X197" s="102"/>
      <c r="Y197" s="102"/>
      <c r="Z197" s="102"/>
      <c r="AA197" s="102"/>
      <c r="AB197" s="102"/>
      <c r="AC197" s="102"/>
      <c r="AD197" s="102"/>
      <c r="AE197" s="102"/>
      <c r="AF197" s="78"/>
      <c r="AG197" s="78"/>
      <c r="AH197" s="78"/>
      <c r="AI197" s="78"/>
      <c r="AJ197" s="96"/>
    </row>
    <row r="198" spans="1:36" s="103" customFormat="1" ht="65.099999999999994" customHeight="1" x14ac:dyDescent="0.25">
      <c r="A198" s="94"/>
      <c r="B198" s="94"/>
      <c r="C198" s="413"/>
      <c r="D198" s="95"/>
      <c r="E198" s="96"/>
      <c r="F198" s="96"/>
      <c r="G198" s="96"/>
      <c r="H198" s="96"/>
      <c r="I198" s="97"/>
      <c r="J198" s="98"/>
      <c r="K198" s="98"/>
      <c r="L198" s="99"/>
      <c r="M198" s="72"/>
      <c r="N198" s="100"/>
      <c r="O198" s="101"/>
      <c r="P198" s="63"/>
      <c r="Q198" s="75"/>
      <c r="R198" s="76"/>
      <c r="S198" s="72"/>
      <c r="T198" s="60"/>
      <c r="U198" s="60"/>
      <c r="V198" s="60"/>
      <c r="W198" s="102"/>
      <c r="X198" s="102"/>
      <c r="Y198" s="102"/>
      <c r="Z198" s="102"/>
      <c r="AA198" s="102"/>
      <c r="AB198" s="102"/>
      <c r="AC198" s="102"/>
      <c r="AD198" s="102"/>
      <c r="AE198" s="102"/>
      <c r="AF198" s="78"/>
      <c r="AG198" s="78"/>
      <c r="AH198" s="78"/>
      <c r="AI198" s="78"/>
      <c r="AJ198" s="96"/>
    </row>
    <row r="199" spans="1:36" s="103" customFormat="1" ht="65.099999999999994" customHeight="1" x14ac:dyDescent="0.25">
      <c r="A199" s="94"/>
      <c r="B199" s="94"/>
      <c r="C199" s="413"/>
      <c r="D199" s="95"/>
      <c r="E199" s="96"/>
      <c r="F199" s="96"/>
      <c r="G199" s="96"/>
      <c r="H199" s="96"/>
      <c r="I199" s="97"/>
      <c r="J199" s="98"/>
      <c r="K199" s="98"/>
      <c r="L199" s="99"/>
      <c r="M199" s="72"/>
      <c r="N199" s="100"/>
      <c r="O199" s="101"/>
      <c r="P199" s="63"/>
      <c r="Q199" s="75"/>
      <c r="R199" s="76"/>
      <c r="S199" s="72"/>
      <c r="T199" s="60"/>
      <c r="U199" s="60"/>
      <c r="V199" s="60"/>
      <c r="W199" s="102"/>
      <c r="X199" s="102"/>
      <c r="Y199" s="102"/>
      <c r="Z199" s="102"/>
      <c r="AA199" s="102"/>
      <c r="AB199" s="102"/>
      <c r="AC199" s="102"/>
      <c r="AD199" s="102"/>
      <c r="AE199" s="102"/>
      <c r="AF199" s="78"/>
      <c r="AG199" s="78"/>
      <c r="AH199" s="78"/>
      <c r="AI199" s="78"/>
      <c r="AJ199" s="96"/>
    </row>
    <row r="200" spans="1:36" s="103" customFormat="1" ht="65.099999999999994" customHeight="1" x14ac:dyDescent="0.25">
      <c r="A200" s="94"/>
      <c r="B200" s="94"/>
      <c r="C200" s="413"/>
      <c r="D200" s="95"/>
      <c r="E200" s="96"/>
      <c r="F200" s="96"/>
      <c r="G200" s="96"/>
      <c r="H200" s="96"/>
      <c r="I200" s="97"/>
      <c r="J200" s="98"/>
      <c r="K200" s="98"/>
      <c r="L200" s="99"/>
      <c r="M200" s="72"/>
      <c r="N200" s="100"/>
      <c r="O200" s="101"/>
      <c r="P200" s="63"/>
      <c r="Q200" s="75"/>
      <c r="R200" s="76"/>
      <c r="S200" s="72"/>
      <c r="T200" s="60"/>
      <c r="U200" s="60"/>
      <c r="V200" s="60"/>
      <c r="W200" s="102"/>
      <c r="X200" s="102"/>
      <c r="Y200" s="102"/>
      <c r="Z200" s="102"/>
      <c r="AA200" s="102"/>
      <c r="AB200" s="102"/>
      <c r="AC200" s="102"/>
      <c r="AD200" s="102"/>
      <c r="AE200" s="102"/>
      <c r="AF200" s="78"/>
      <c r="AG200" s="78"/>
      <c r="AH200" s="78"/>
      <c r="AI200" s="78"/>
      <c r="AJ200" s="96"/>
    </row>
    <row r="201" spans="1:36" s="103" customFormat="1" ht="65.099999999999994" customHeight="1" x14ac:dyDescent="0.25">
      <c r="A201" s="94"/>
      <c r="B201" s="94"/>
      <c r="C201" s="413"/>
      <c r="D201" s="95"/>
      <c r="E201" s="96"/>
      <c r="F201" s="96"/>
      <c r="G201" s="96"/>
      <c r="H201" s="96"/>
      <c r="I201" s="97"/>
      <c r="J201" s="98"/>
      <c r="K201" s="98"/>
      <c r="L201" s="99"/>
      <c r="M201" s="72"/>
      <c r="N201" s="100"/>
      <c r="O201" s="101"/>
      <c r="P201" s="63"/>
      <c r="Q201" s="75"/>
      <c r="R201" s="76"/>
      <c r="S201" s="72"/>
      <c r="T201" s="60"/>
      <c r="U201" s="60"/>
      <c r="V201" s="60"/>
      <c r="W201" s="102"/>
      <c r="X201" s="102"/>
      <c r="Y201" s="102"/>
      <c r="Z201" s="102"/>
      <c r="AA201" s="102"/>
      <c r="AB201" s="102"/>
      <c r="AC201" s="102"/>
      <c r="AD201" s="102"/>
      <c r="AE201" s="102"/>
      <c r="AF201" s="78"/>
      <c r="AG201" s="78"/>
      <c r="AH201" s="78"/>
      <c r="AI201" s="78"/>
      <c r="AJ201" s="96"/>
    </row>
    <row r="202" spans="1:36" s="103" customFormat="1" ht="65.099999999999994" customHeight="1" x14ac:dyDescent="0.25">
      <c r="A202" s="94"/>
      <c r="B202" s="94"/>
      <c r="C202" s="413"/>
      <c r="D202" s="95"/>
      <c r="E202" s="96"/>
      <c r="F202" s="96"/>
      <c r="G202" s="96"/>
      <c r="H202" s="96"/>
      <c r="I202" s="97"/>
      <c r="J202" s="98"/>
      <c r="K202" s="98"/>
      <c r="L202" s="99"/>
      <c r="M202" s="72"/>
      <c r="N202" s="100"/>
      <c r="O202" s="101"/>
      <c r="P202" s="63"/>
      <c r="Q202" s="75"/>
      <c r="R202" s="76"/>
      <c r="S202" s="72"/>
      <c r="T202" s="60"/>
      <c r="U202" s="60"/>
      <c r="V202" s="60"/>
      <c r="W202" s="102"/>
      <c r="X202" s="102"/>
      <c r="Y202" s="102"/>
      <c r="Z202" s="102"/>
      <c r="AA202" s="102"/>
      <c r="AB202" s="102"/>
      <c r="AC202" s="102"/>
      <c r="AD202" s="102"/>
      <c r="AE202" s="102"/>
      <c r="AF202" s="78"/>
      <c r="AG202" s="78"/>
      <c r="AH202" s="78"/>
      <c r="AI202" s="78"/>
      <c r="AJ202" s="96"/>
    </row>
    <row r="203" spans="1:36" s="103" customFormat="1" ht="65.099999999999994" customHeight="1" x14ac:dyDescent="0.25">
      <c r="A203" s="94"/>
      <c r="B203" s="94"/>
      <c r="C203" s="413"/>
      <c r="D203" s="95"/>
      <c r="E203" s="96"/>
      <c r="F203" s="96"/>
      <c r="G203" s="96"/>
      <c r="H203" s="96"/>
      <c r="I203" s="97"/>
      <c r="J203" s="98"/>
      <c r="K203" s="98"/>
      <c r="L203" s="99"/>
      <c r="M203" s="72"/>
      <c r="N203" s="100"/>
      <c r="O203" s="101"/>
      <c r="P203" s="63"/>
      <c r="Q203" s="75"/>
      <c r="R203" s="76"/>
      <c r="S203" s="72"/>
      <c r="T203" s="60"/>
      <c r="U203" s="60"/>
      <c r="V203" s="60"/>
      <c r="W203" s="102"/>
      <c r="X203" s="102"/>
      <c r="Y203" s="102"/>
      <c r="Z203" s="102"/>
      <c r="AA203" s="102"/>
      <c r="AB203" s="102"/>
      <c r="AC203" s="102"/>
      <c r="AD203" s="102"/>
      <c r="AE203" s="102"/>
      <c r="AF203" s="78"/>
      <c r="AG203" s="78"/>
      <c r="AH203" s="78"/>
      <c r="AI203" s="78"/>
      <c r="AJ203" s="96"/>
    </row>
    <row r="204" spans="1:36" s="103" customFormat="1" ht="65.099999999999994" customHeight="1" x14ac:dyDescent="0.25">
      <c r="A204" s="94"/>
      <c r="B204" s="94"/>
      <c r="C204" s="413"/>
      <c r="D204" s="95"/>
      <c r="E204" s="96"/>
      <c r="F204" s="96"/>
      <c r="G204" s="96"/>
      <c r="H204" s="96"/>
      <c r="I204" s="97"/>
      <c r="J204" s="98"/>
      <c r="K204" s="98"/>
      <c r="L204" s="99"/>
      <c r="M204" s="72"/>
      <c r="N204" s="100"/>
      <c r="O204" s="101"/>
      <c r="P204" s="63"/>
      <c r="Q204" s="75"/>
      <c r="R204" s="76"/>
      <c r="S204" s="72"/>
      <c r="T204" s="60"/>
      <c r="U204" s="60"/>
      <c r="V204" s="60"/>
      <c r="W204" s="102"/>
      <c r="X204" s="102"/>
      <c r="Y204" s="102"/>
      <c r="Z204" s="102"/>
      <c r="AA204" s="102"/>
      <c r="AB204" s="102"/>
      <c r="AC204" s="102"/>
      <c r="AD204" s="102"/>
      <c r="AE204" s="102"/>
      <c r="AF204" s="78"/>
      <c r="AG204" s="78"/>
      <c r="AH204" s="78"/>
      <c r="AI204" s="78"/>
      <c r="AJ204" s="96"/>
    </row>
    <row r="205" spans="1:36" s="103" customFormat="1" ht="65.099999999999994" customHeight="1" x14ac:dyDescent="0.25">
      <c r="A205" s="94"/>
      <c r="B205" s="94"/>
      <c r="C205" s="413"/>
      <c r="D205" s="95"/>
      <c r="E205" s="96"/>
      <c r="F205" s="96"/>
      <c r="G205" s="96"/>
      <c r="H205" s="96"/>
      <c r="I205" s="97"/>
      <c r="J205" s="98"/>
      <c r="K205" s="98"/>
      <c r="L205" s="99"/>
      <c r="M205" s="72"/>
      <c r="N205" s="100"/>
      <c r="O205" s="101"/>
      <c r="P205" s="63"/>
      <c r="Q205" s="75"/>
      <c r="R205" s="76"/>
      <c r="S205" s="72"/>
      <c r="T205" s="60"/>
      <c r="U205" s="60"/>
      <c r="V205" s="60"/>
      <c r="W205" s="102"/>
      <c r="X205" s="102"/>
      <c r="Y205" s="102"/>
      <c r="Z205" s="102"/>
      <c r="AA205" s="102"/>
      <c r="AB205" s="102"/>
      <c r="AC205" s="102"/>
      <c r="AD205" s="102"/>
      <c r="AE205" s="102"/>
      <c r="AF205" s="78"/>
      <c r="AG205" s="78"/>
      <c r="AH205" s="78"/>
      <c r="AI205" s="78"/>
      <c r="AJ205" s="96"/>
    </row>
    <row r="206" spans="1:36" s="103" customFormat="1" ht="65.099999999999994" customHeight="1" x14ac:dyDescent="0.25">
      <c r="A206" s="94"/>
      <c r="B206" s="94"/>
      <c r="C206" s="413"/>
      <c r="D206" s="95"/>
      <c r="E206" s="96"/>
      <c r="F206" s="96"/>
      <c r="G206" s="96"/>
      <c r="H206" s="96"/>
      <c r="I206" s="97"/>
      <c r="J206" s="98"/>
      <c r="K206" s="98"/>
      <c r="L206" s="99"/>
      <c r="M206" s="72"/>
      <c r="N206" s="100"/>
      <c r="O206" s="101"/>
      <c r="P206" s="63"/>
      <c r="Q206" s="75"/>
      <c r="R206" s="76"/>
      <c r="S206" s="72"/>
      <c r="T206" s="60"/>
      <c r="U206" s="60"/>
      <c r="V206" s="60"/>
      <c r="W206" s="102"/>
      <c r="X206" s="102"/>
      <c r="Y206" s="102"/>
      <c r="Z206" s="102"/>
      <c r="AA206" s="102"/>
      <c r="AB206" s="102"/>
      <c r="AC206" s="102"/>
      <c r="AD206" s="102"/>
      <c r="AE206" s="102"/>
      <c r="AF206" s="78"/>
      <c r="AG206" s="78"/>
      <c r="AH206" s="78"/>
      <c r="AI206" s="78"/>
      <c r="AJ206" s="96"/>
    </row>
    <row r="207" spans="1:36" s="103" customFormat="1" ht="65.099999999999994" customHeight="1" x14ac:dyDescent="0.25">
      <c r="A207" s="94"/>
      <c r="B207" s="94"/>
      <c r="C207" s="413"/>
      <c r="D207" s="95"/>
      <c r="E207" s="96"/>
      <c r="F207" s="96"/>
      <c r="G207" s="96"/>
      <c r="H207" s="96"/>
      <c r="I207" s="97"/>
      <c r="J207" s="98"/>
      <c r="K207" s="98"/>
      <c r="L207" s="99"/>
      <c r="M207" s="72"/>
      <c r="N207" s="100"/>
      <c r="O207" s="101"/>
      <c r="P207" s="63"/>
      <c r="Q207" s="75"/>
      <c r="R207" s="76"/>
      <c r="S207" s="72"/>
      <c r="T207" s="60"/>
      <c r="U207" s="60"/>
      <c r="V207" s="60"/>
      <c r="W207" s="102"/>
      <c r="X207" s="102"/>
      <c r="Y207" s="102"/>
      <c r="Z207" s="102"/>
      <c r="AA207" s="102"/>
      <c r="AB207" s="102"/>
      <c r="AC207" s="102"/>
      <c r="AD207" s="102"/>
      <c r="AE207" s="102"/>
      <c r="AF207" s="78"/>
      <c r="AG207" s="78"/>
      <c r="AH207" s="78"/>
      <c r="AI207" s="78"/>
      <c r="AJ207" s="96"/>
    </row>
    <row r="208" spans="1:36" s="103" customFormat="1" ht="65.099999999999994" customHeight="1" x14ac:dyDescent="0.25">
      <c r="A208" s="94"/>
      <c r="B208" s="94"/>
      <c r="C208" s="413"/>
      <c r="D208" s="95"/>
      <c r="E208" s="96"/>
      <c r="F208" s="96"/>
      <c r="G208" s="96"/>
      <c r="H208" s="96"/>
      <c r="I208" s="97"/>
      <c r="J208" s="98"/>
      <c r="K208" s="98"/>
      <c r="L208" s="99"/>
      <c r="M208" s="72"/>
      <c r="N208" s="100"/>
      <c r="O208" s="101"/>
      <c r="P208" s="63"/>
      <c r="Q208" s="75"/>
      <c r="R208" s="76"/>
      <c r="S208" s="72"/>
      <c r="T208" s="60"/>
      <c r="U208" s="60"/>
      <c r="V208" s="60"/>
      <c r="W208" s="102"/>
      <c r="X208" s="102"/>
      <c r="Y208" s="102"/>
      <c r="Z208" s="102"/>
      <c r="AA208" s="102"/>
      <c r="AB208" s="102"/>
      <c r="AC208" s="102"/>
      <c r="AD208" s="102"/>
      <c r="AE208" s="102"/>
      <c r="AF208" s="78"/>
      <c r="AG208" s="78"/>
      <c r="AH208" s="78"/>
      <c r="AI208" s="78"/>
      <c r="AJ208" s="96"/>
    </row>
    <row r="209" spans="1:36" s="103" customFormat="1" ht="65.099999999999994" customHeight="1" x14ac:dyDescent="0.25">
      <c r="A209" s="94"/>
      <c r="B209" s="94"/>
      <c r="C209" s="413"/>
      <c r="D209" s="95"/>
      <c r="E209" s="96"/>
      <c r="F209" s="96"/>
      <c r="G209" s="96"/>
      <c r="H209" s="96"/>
      <c r="I209" s="97"/>
      <c r="J209" s="98"/>
      <c r="K209" s="98"/>
      <c r="L209" s="99"/>
      <c r="M209" s="72"/>
      <c r="N209" s="100"/>
      <c r="O209" s="101"/>
      <c r="P209" s="63"/>
      <c r="Q209" s="75"/>
      <c r="R209" s="76"/>
      <c r="S209" s="72"/>
      <c r="T209" s="60"/>
      <c r="U209" s="60"/>
      <c r="V209" s="60"/>
      <c r="W209" s="102"/>
      <c r="X209" s="102"/>
      <c r="Y209" s="102"/>
      <c r="Z209" s="102"/>
      <c r="AA209" s="102"/>
      <c r="AB209" s="102"/>
      <c r="AC209" s="102"/>
      <c r="AD209" s="102"/>
      <c r="AE209" s="102"/>
      <c r="AF209" s="78"/>
      <c r="AG209" s="78"/>
      <c r="AH209" s="78"/>
      <c r="AI209" s="78"/>
      <c r="AJ209" s="96"/>
    </row>
    <row r="210" spans="1:36" s="103" customFormat="1" ht="65.099999999999994" customHeight="1" x14ac:dyDescent="0.25">
      <c r="A210" s="94"/>
      <c r="B210" s="94"/>
      <c r="C210" s="413"/>
      <c r="D210" s="95"/>
      <c r="E210" s="96"/>
      <c r="F210" s="96"/>
      <c r="G210" s="96"/>
      <c r="H210" s="96"/>
      <c r="I210" s="97"/>
      <c r="J210" s="98"/>
      <c r="K210" s="98"/>
      <c r="L210" s="99"/>
      <c r="M210" s="72"/>
      <c r="N210" s="100"/>
      <c r="O210" s="101"/>
      <c r="P210" s="63"/>
      <c r="Q210" s="75"/>
      <c r="R210" s="76"/>
      <c r="S210" s="72"/>
      <c r="T210" s="60"/>
      <c r="U210" s="60"/>
      <c r="V210" s="60"/>
      <c r="W210" s="102"/>
      <c r="X210" s="102"/>
      <c r="Y210" s="102"/>
      <c r="Z210" s="102"/>
      <c r="AA210" s="102"/>
      <c r="AB210" s="102"/>
      <c r="AC210" s="102"/>
      <c r="AD210" s="102"/>
      <c r="AE210" s="102"/>
      <c r="AF210" s="78"/>
      <c r="AG210" s="78"/>
      <c r="AH210" s="78"/>
      <c r="AI210" s="78"/>
      <c r="AJ210" s="96"/>
    </row>
    <row r="211" spans="1:36" s="103" customFormat="1" ht="65.099999999999994" customHeight="1" x14ac:dyDescent="0.25">
      <c r="A211" s="94"/>
      <c r="B211" s="94"/>
      <c r="C211" s="413"/>
      <c r="D211" s="95"/>
      <c r="E211" s="96"/>
      <c r="F211" s="96"/>
      <c r="G211" s="96"/>
      <c r="H211" s="96"/>
      <c r="I211" s="97"/>
      <c r="J211" s="98"/>
      <c r="K211" s="98"/>
      <c r="L211" s="99"/>
      <c r="M211" s="72"/>
      <c r="N211" s="100"/>
      <c r="O211" s="101"/>
      <c r="P211" s="63"/>
      <c r="Q211" s="75"/>
      <c r="R211" s="76"/>
      <c r="S211" s="72"/>
      <c r="T211" s="60"/>
      <c r="U211" s="60"/>
      <c r="V211" s="60"/>
      <c r="W211" s="102"/>
      <c r="X211" s="102"/>
      <c r="Y211" s="102"/>
      <c r="Z211" s="102"/>
      <c r="AA211" s="102"/>
      <c r="AB211" s="102"/>
      <c r="AC211" s="102"/>
      <c r="AD211" s="102"/>
      <c r="AE211" s="102"/>
      <c r="AF211" s="78"/>
      <c r="AG211" s="78"/>
      <c r="AH211" s="78"/>
      <c r="AI211" s="78"/>
      <c r="AJ211" s="96"/>
    </row>
    <row r="212" spans="1:36" s="103" customFormat="1" ht="65.099999999999994" customHeight="1" x14ac:dyDescent="0.25">
      <c r="A212" s="94"/>
      <c r="B212" s="94"/>
      <c r="C212" s="413"/>
      <c r="D212" s="95"/>
      <c r="E212" s="96"/>
      <c r="F212" s="96"/>
      <c r="G212" s="96"/>
      <c r="H212" s="96"/>
      <c r="I212" s="97"/>
      <c r="J212" s="98"/>
      <c r="K212" s="98"/>
      <c r="L212" s="99"/>
      <c r="M212" s="72"/>
      <c r="N212" s="100"/>
      <c r="O212" s="101"/>
      <c r="P212" s="63"/>
      <c r="Q212" s="75"/>
      <c r="R212" s="76"/>
      <c r="S212" s="72"/>
      <c r="T212" s="60"/>
      <c r="U212" s="60"/>
      <c r="V212" s="60"/>
      <c r="W212" s="102"/>
      <c r="X212" s="102"/>
      <c r="Y212" s="102"/>
      <c r="Z212" s="102"/>
      <c r="AA212" s="102"/>
      <c r="AB212" s="102"/>
      <c r="AC212" s="102"/>
      <c r="AD212" s="102"/>
      <c r="AE212" s="102"/>
      <c r="AF212" s="78"/>
      <c r="AG212" s="78"/>
      <c r="AH212" s="78"/>
      <c r="AI212" s="78"/>
      <c r="AJ212" s="96"/>
    </row>
    <row r="213" spans="1:36" s="103" customFormat="1" ht="65.099999999999994" customHeight="1" x14ac:dyDescent="0.25">
      <c r="A213" s="94"/>
      <c r="B213" s="94"/>
      <c r="C213" s="413"/>
      <c r="D213" s="95"/>
      <c r="E213" s="96"/>
      <c r="F213" s="96"/>
      <c r="G213" s="96"/>
      <c r="H213" s="96"/>
      <c r="I213" s="97"/>
      <c r="J213" s="98"/>
      <c r="K213" s="98"/>
      <c r="L213" s="99"/>
      <c r="M213" s="72"/>
      <c r="N213" s="100"/>
      <c r="O213" s="101"/>
      <c r="P213" s="63"/>
      <c r="Q213" s="75"/>
      <c r="R213" s="76"/>
      <c r="S213" s="72"/>
      <c r="T213" s="60"/>
      <c r="U213" s="60"/>
      <c r="V213" s="60"/>
      <c r="W213" s="102"/>
      <c r="X213" s="102"/>
      <c r="Y213" s="102"/>
      <c r="Z213" s="102"/>
      <c r="AA213" s="102"/>
      <c r="AB213" s="102"/>
      <c r="AC213" s="102"/>
      <c r="AD213" s="102"/>
      <c r="AE213" s="102"/>
      <c r="AF213" s="78"/>
      <c r="AG213" s="78"/>
      <c r="AH213" s="78"/>
      <c r="AI213" s="78"/>
      <c r="AJ213" s="96"/>
    </row>
    <row r="214" spans="1:36" s="103" customFormat="1" ht="65.099999999999994" customHeight="1" x14ac:dyDescent="0.25">
      <c r="A214" s="94"/>
      <c r="B214" s="94"/>
      <c r="C214" s="413"/>
      <c r="D214" s="95"/>
      <c r="E214" s="96"/>
      <c r="F214" s="96"/>
      <c r="G214" s="96"/>
      <c r="H214" s="96"/>
      <c r="I214" s="97"/>
      <c r="J214" s="98"/>
      <c r="K214" s="98"/>
      <c r="L214" s="99"/>
      <c r="M214" s="72"/>
      <c r="N214" s="100"/>
      <c r="O214" s="101"/>
      <c r="P214" s="63"/>
      <c r="Q214" s="75"/>
      <c r="R214" s="76"/>
      <c r="S214" s="72"/>
      <c r="T214" s="60"/>
      <c r="U214" s="60"/>
      <c r="V214" s="60"/>
      <c r="W214" s="102"/>
      <c r="X214" s="102"/>
      <c r="Y214" s="102"/>
      <c r="Z214" s="102"/>
      <c r="AA214" s="102"/>
      <c r="AB214" s="102"/>
      <c r="AC214" s="102"/>
      <c r="AD214" s="102"/>
      <c r="AE214" s="102"/>
      <c r="AF214" s="78"/>
      <c r="AG214" s="78"/>
      <c r="AH214" s="78"/>
      <c r="AI214" s="78"/>
      <c r="AJ214" s="96"/>
    </row>
    <row r="215" spans="1:36" s="103" customFormat="1" ht="65.099999999999994" customHeight="1" x14ac:dyDescent="0.25">
      <c r="A215" s="94"/>
      <c r="B215" s="94"/>
      <c r="C215" s="413"/>
      <c r="D215" s="95"/>
      <c r="E215" s="96"/>
      <c r="F215" s="96"/>
      <c r="G215" s="96"/>
      <c r="H215" s="96"/>
      <c r="I215" s="97"/>
      <c r="J215" s="98"/>
      <c r="K215" s="98"/>
      <c r="L215" s="99"/>
      <c r="M215" s="72"/>
      <c r="N215" s="100"/>
      <c r="O215" s="101"/>
      <c r="P215" s="63"/>
      <c r="Q215" s="75"/>
      <c r="R215" s="76"/>
      <c r="S215" s="72"/>
      <c r="T215" s="60"/>
      <c r="U215" s="60"/>
      <c r="V215" s="60"/>
      <c r="W215" s="102"/>
      <c r="X215" s="102"/>
      <c r="Y215" s="102"/>
      <c r="Z215" s="102"/>
      <c r="AA215" s="102"/>
      <c r="AB215" s="102"/>
      <c r="AC215" s="102"/>
      <c r="AD215" s="102"/>
      <c r="AE215" s="102"/>
      <c r="AF215" s="78"/>
      <c r="AG215" s="78"/>
      <c r="AH215" s="78"/>
      <c r="AI215" s="78"/>
      <c r="AJ215" s="96"/>
    </row>
    <row r="216" spans="1:36" s="103" customFormat="1" ht="65.099999999999994" customHeight="1" x14ac:dyDescent="0.25">
      <c r="A216" s="94"/>
      <c r="B216" s="94"/>
      <c r="C216" s="413"/>
      <c r="D216" s="95"/>
      <c r="E216" s="96"/>
      <c r="F216" s="96"/>
      <c r="G216" s="96"/>
      <c r="H216" s="96"/>
      <c r="I216" s="97"/>
      <c r="J216" s="98"/>
      <c r="K216" s="98"/>
      <c r="L216" s="99"/>
      <c r="M216" s="72"/>
      <c r="N216" s="100"/>
      <c r="O216" s="101"/>
      <c r="P216" s="63"/>
      <c r="Q216" s="75"/>
      <c r="R216" s="76"/>
      <c r="S216" s="72"/>
      <c r="T216" s="60"/>
      <c r="U216" s="60"/>
      <c r="V216" s="60"/>
      <c r="W216" s="102"/>
      <c r="X216" s="102"/>
      <c r="Y216" s="102"/>
      <c r="Z216" s="102"/>
      <c r="AA216" s="102"/>
      <c r="AB216" s="102"/>
      <c r="AC216" s="102"/>
      <c r="AD216" s="102"/>
      <c r="AE216" s="102"/>
      <c r="AF216" s="78"/>
      <c r="AG216" s="78"/>
      <c r="AH216" s="78"/>
      <c r="AI216" s="78"/>
      <c r="AJ216" s="96"/>
    </row>
    <row r="217" spans="1:36" s="103" customFormat="1" ht="65.099999999999994" customHeight="1" x14ac:dyDescent="0.25">
      <c r="A217" s="94"/>
      <c r="B217" s="94"/>
      <c r="C217" s="413"/>
      <c r="D217" s="95"/>
      <c r="E217" s="96"/>
      <c r="F217" s="96"/>
      <c r="G217" s="96"/>
      <c r="H217" s="96"/>
      <c r="I217" s="97"/>
      <c r="J217" s="98"/>
      <c r="K217" s="98"/>
      <c r="L217" s="99"/>
      <c r="M217" s="72"/>
      <c r="N217" s="100"/>
      <c r="O217" s="101"/>
      <c r="P217" s="63"/>
      <c r="Q217" s="75"/>
      <c r="R217" s="76"/>
      <c r="S217" s="72"/>
      <c r="T217" s="60"/>
      <c r="U217" s="60"/>
      <c r="V217" s="60"/>
      <c r="W217" s="102"/>
      <c r="X217" s="102"/>
      <c r="Y217" s="102"/>
      <c r="Z217" s="102"/>
      <c r="AA217" s="102"/>
      <c r="AB217" s="102"/>
      <c r="AC217" s="102"/>
      <c r="AD217" s="102"/>
      <c r="AE217" s="102"/>
      <c r="AF217" s="78"/>
      <c r="AG217" s="78"/>
      <c r="AH217" s="78"/>
      <c r="AI217" s="78"/>
      <c r="AJ217" s="96"/>
    </row>
  </sheetData>
  <autoFilter ref="A1:AJ20">
    <filterColumn colId="22" showButton="0"/>
    <filterColumn colId="23" showButton="0"/>
    <filterColumn colId="25" showButton="0"/>
    <filterColumn colId="26" showButton="0"/>
  </autoFilter>
  <mergeCells count="282">
    <mergeCell ref="W67:Y67"/>
    <mergeCell ref="W68:Y68"/>
    <mergeCell ref="W69:Y69"/>
    <mergeCell ref="W70:Y70"/>
    <mergeCell ref="W61:Y61"/>
    <mergeCell ref="W62:Y62"/>
    <mergeCell ref="W63:Y63"/>
    <mergeCell ref="W64:Y64"/>
    <mergeCell ref="W65:Y65"/>
    <mergeCell ref="W48:Y48"/>
    <mergeCell ref="W49:Y49"/>
    <mergeCell ref="W50:Y50"/>
    <mergeCell ref="W41:Y41"/>
    <mergeCell ref="W42:Y42"/>
    <mergeCell ref="W43:Y43"/>
    <mergeCell ref="W44:Y44"/>
    <mergeCell ref="W45:Y45"/>
    <mergeCell ref="W56:Y56"/>
    <mergeCell ref="W51:Y51"/>
    <mergeCell ref="W52:Y52"/>
    <mergeCell ref="W53:Y53"/>
    <mergeCell ref="W54:Y54"/>
    <mergeCell ref="W55:Y55"/>
    <mergeCell ref="W34:Y34"/>
    <mergeCell ref="W35:Y35"/>
    <mergeCell ref="W36:Y36"/>
    <mergeCell ref="W29:Y29"/>
    <mergeCell ref="W30:Y30"/>
    <mergeCell ref="W31:Y31"/>
    <mergeCell ref="W32:Y32"/>
    <mergeCell ref="W46:Y46"/>
    <mergeCell ref="W47:Y47"/>
    <mergeCell ref="W14:Y14"/>
    <mergeCell ref="W15:Y15"/>
    <mergeCell ref="W16:Y16"/>
    <mergeCell ref="W17:Y17"/>
    <mergeCell ref="W24:Y24"/>
    <mergeCell ref="W25:Y25"/>
    <mergeCell ref="W26:Y26"/>
    <mergeCell ref="W27:Y27"/>
    <mergeCell ref="W28:Y28"/>
    <mergeCell ref="W20:Y20"/>
    <mergeCell ref="W21:Y21"/>
    <mergeCell ref="W22:Y22"/>
    <mergeCell ref="W23:Y23"/>
    <mergeCell ref="A56:A61"/>
    <mergeCell ref="A62:A67"/>
    <mergeCell ref="A68:A73"/>
    <mergeCell ref="AG62:AG67"/>
    <mergeCell ref="AH62:AH67"/>
    <mergeCell ref="AG68:AG73"/>
    <mergeCell ref="AH68:AH73"/>
    <mergeCell ref="Z73:AB73"/>
    <mergeCell ref="AC73:AE73"/>
    <mergeCell ref="Z67:AB67"/>
    <mergeCell ref="AC67:AE67"/>
    <mergeCell ref="Z64:AB64"/>
    <mergeCell ref="AC64:AE64"/>
    <mergeCell ref="Z65:AB65"/>
    <mergeCell ref="AC65:AE65"/>
    <mergeCell ref="Z62:AB62"/>
    <mergeCell ref="W57:Y57"/>
    <mergeCell ref="W58:Y58"/>
    <mergeCell ref="W59:Y59"/>
    <mergeCell ref="W60:Y60"/>
    <mergeCell ref="W71:Y71"/>
    <mergeCell ref="W72:Y72"/>
    <mergeCell ref="W73:Y73"/>
    <mergeCell ref="W66:Y66"/>
    <mergeCell ref="A3:A8"/>
    <mergeCell ref="AC6:AE6"/>
    <mergeCell ref="Z6:AB6"/>
    <mergeCell ref="W6:Y6"/>
    <mergeCell ref="A9:A11"/>
    <mergeCell ref="A12:A17"/>
    <mergeCell ref="A18:A22"/>
    <mergeCell ref="A23:A28"/>
    <mergeCell ref="Z27:AB27"/>
    <mergeCell ref="AC27:AE27"/>
    <mergeCell ref="Z28:AB28"/>
    <mergeCell ref="AC28:AE28"/>
    <mergeCell ref="Z25:AB25"/>
    <mergeCell ref="AC25:AE25"/>
    <mergeCell ref="Z26:AB26"/>
    <mergeCell ref="AC26:AE26"/>
    <mergeCell ref="Z23:AB23"/>
    <mergeCell ref="W18:Y18"/>
    <mergeCell ref="W19:Y19"/>
    <mergeCell ref="W9:Y9"/>
    <mergeCell ref="W10:Y10"/>
    <mergeCell ref="W11:Y11"/>
    <mergeCell ref="W12:Y12"/>
    <mergeCell ref="W13:Y13"/>
    <mergeCell ref="A29:A32"/>
    <mergeCell ref="A33:A37"/>
    <mergeCell ref="A38:A43"/>
    <mergeCell ref="AG44:AG49"/>
    <mergeCell ref="AH44:AH49"/>
    <mergeCell ref="AG50:AG55"/>
    <mergeCell ref="AH50:AH55"/>
    <mergeCell ref="AC55:AE55"/>
    <mergeCell ref="Z52:AB52"/>
    <mergeCell ref="AC52:AE52"/>
    <mergeCell ref="Z53:AB53"/>
    <mergeCell ref="AC53:AE53"/>
    <mergeCell ref="Z50:AB50"/>
    <mergeCell ref="AC50:AE50"/>
    <mergeCell ref="Z51:AB51"/>
    <mergeCell ref="AC51:AE51"/>
    <mergeCell ref="Z48:AB48"/>
    <mergeCell ref="A44:A49"/>
    <mergeCell ref="A50:A55"/>
    <mergeCell ref="W37:Y37"/>
    <mergeCell ref="W38:Y38"/>
    <mergeCell ref="W39:Y39"/>
    <mergeCell ref="W40:Y40"/>
    <mergeCell ref="W33:Y33"/>
    <mergeCell ref="Z66:AB66"/>
    <mergeCell ref="AC66:AE66"/>
    <mergeCell ref="AG56:AG61"/>
    <mergeCell ref="AH56:AH61"/>
    <mergeCell ref="AG29:AG32"/>
    <mergeCell ref="AH29:AH32"/>
    <mergeCell ref="AG33:AG37"/>
    <mergeCell ref="AH33:AH37"/>
    <mergeCell ref="AG38:AG43"/>
    <mergeCell ref="AH38:AH43"/>
    <mergeCell ref="Z58:AB58"/>
    <mergeCell ref="AC58:AE58"/>
    <mergeCell ref="Z59:AB59"/>
    <mergeCell ref="AC59:AE59"/>
    <mergeCell ref="Z56:AB56"/>
    <mergeCell ref="AC56:AE56"/>
    <mergeCell ref="Z57:AB57"/>
    <mergeCell ref="AC57:AE57"/>
    <mergeCell ref="Z54:AB54"/>
    <mergeCell ref="AC54:AE54"/>
    <mergeCell ref="Z55:AB55"/>
    <mergeCell ref="AC62:AE62"/>
    <mergeCell ref="Z63:AB63"/>
    <mergeCell ref="AC63:AE63"/>
    <mergeCell ref="Z72:AB72"/>
    <mergeCell ref="AC72:AE72"/>
    <mergeCell ref="Z70:AB70"/>
    <mergeCell ref="AC70:AE70"/>
    <mergeCell ref="Z71:AB71"/>
    <mergeCell ref="AC71:AE71"/>
    <mergeCell ref="Z68:AB68"/>
    <mergeCell ref="AC68:AE68"/>
    <mergeCell ref="Z69:AB69"/>
    <mergeCell ref="AC69:AE69"/>
    <mergeCell ref="Z60:AB60"/>
    <mergeCell ref="AC60:AE60"/>
    <mergeCell ref="Z61:AB61"/>
    <mergeCell ref="AC61:AE61"/>
    <mergeCell ref="AG12:AG17"/>
    <mergeCell ref="AH12:AH17"/>
    <mergeCell ref="AG18:AG22"/>
    <mergeCell ref="AH18:AH22"/>
    <mergeCell ref="AG23:AG28"/>
    <mergeCell ref="AH23:AH28"/>
    <mergeCell ref="AC23:AE23"/>
    <mergeCell ref="Z45:AB45"/>
    <mergeCell ref="AC45:AE45"/>
    <mergeCell ref="Z42:AB42"/>
    <mergeCell ref="AC42:AE42"/>
    <mergeCell ref="Z43:AB43"/>
    <mergeCell ref="AC43:AE43"/>
    <mergeCell ref="AC48:AE48"/>
    <mergeCell ref="Z49:AB49"/>
    <mergeCell ref="AC49:AE49"/>
    <mergeCell ref="Z46:AB46"/>
    <mergeCell ref="AC46:AE46"/>
    <mergeCell ref="Z47:AB47"/>
    <mergeCell ref="AC47:AE47"/>
    <mergeCell ref="Z40:AB40"/>
    <mergeCell ref="AC40:AE40"/>
    <mergeCell ref="Z41:AB41"/>
    <mergeCell ref="AC41:AE41"/>
    <mergeCell ref="Z38:AB38"/>
    <mergeCell ref="AC38:AE38"/>
    <mergeCell ref="Z39:AB39"/>
    <mergeCell ref="AC39:AE39"/>
    <mergeCell ref="Z44:AB44"/>
    <mergeCell ref="AC44:AE44"/>
    <mergeCell ref="Z31:AB31"/>
    <mergeCell ref="AC31:AE31"/>
    <mergeCell ref="Z37:AB37"/>
    <mergeCell ref="AC37:AE37"/>
    <mergeCell ref="Z32:AB32"/>
    <mergeCell ref="AC32:AE32"/>
    <mergeCell ref="Z29:AB29"/>
    <mergeCell ref="AC29:AE29"/>
    <mergeCell ref="Z30:AB30"/>
    <mergeCell ref="AC30:AE30"/>
    <mergeCell ref="Z35:AB35"/>
    <mergeCell ref="AC35:AE35"/>
    <mergeCell ref="Z36:AB36"/>
    <mergeCell ref="AC36:AE36"/>
    <mergeCell ref="Z33:AB33"/>
    <mergeCell ref="AC33:AE33"/>
    <mergeCell ref="Z34:AB34"/>
    <mergeCell ref="AC34:AE34"/>
    <mergeCell ref="Z20:AB20"/>
    <mergeCell ref="AC20:AE20"/>
    <mergeCell ref="Z21:AB21"/>
    <mergeCell ref="AC21:AE21"/>
    <mergeCell ref="Z18:AB18"/>
    <mergeCell ref="AC18:AE18"/>
    <mergeCell ref="Z19:AB19"/>
    <mergeCell ref="AC19:AE19"/>
    <mergeCell ref="Z24:AB24"/>
    <mergeCell ref="AC24:AE24"/>
    <mergeCell ref="Z22:AB22"/>
    <mergeCell ref="AC22:AE22"/>
    <mergeCell ref="Z12:AB12"/>
    <mergeCell ref="AC12:AE12"/>
    <mergeCell ref="Z13:AB13"/>
    <mergeCell ref="AC13:AE13"/>
    <mergeCell ref="Z16:AB16"/>
    <mergeCell ref="AC16:AE16"/>
    <mergeCell ref="Z17:AB17"/>
    <mergeCell ref="AC17:AE17"/>
    <mergeCell ref="Z14:AB14"/>
    <mergeCell ref="AC14:AE14"/>
    <mergeCell ref="Z15:AB15"/>
    <mergeCell ref="AC15:AE15"/>
    <mergeCell ref="Z11:AB11"/>
    <mergeCell ref="AC11:AE11"/>
    <mergeCell ref="AH3:AH8"/>
    <mergeCell ref="Z9:AB9"/>
    <mergeCell ref="AC9:AE9"/>
    <mergeCell ref="Z10:AB10"/>
    <mergeCell ref="AC10:AE10"/>
    <mergeCell ref="AG9:AG11"/>
    <mergeCell ref="AH9:AH11"/>
    <mergeCell ref="AG3:AG8"/>
    <mergeCell ref="W3:Y3"/>
    <mergeCell ref="Z3:AB3"/>
    <mergeCell ref="AC3:AE3"/>
    <mergeCell ref="Q1:Q2"/>
    <mergeCell ref="AC1:AE1"/>
    <mergeCell ref="AF1:AF2"/>
    <mergeCell ref="AJ1:AJ2"/>
    <mergeCell ref="S1:S2"/>
    <mergeCell ref="T1:T2"/>
    <mergeCell ref="U1:U2"/>
    <mergeCell ref="W1:Y1"/>
    <mergeCell ref="Z1:AB1"/>
    <mergeCell ref="V1:V2"/>
    <mergeCell ref="AI1:AI2"/>
    <mergeCell ref="AG1:AG2"/>
    <mergeCell ref="AH1:AH2"/>
    <mergeCell ref="A1:A2"/>
    <mergeCell ref="B1:B2"/>
    <mergeCell ref="D1:D2"/>
    <mergeCell ref="E1:E2"/>
    <mergeCell ref="F1:F2"/>
    <mergeCell ref="C1:C2"/>
    <mergeCell ref="R1:R2"/>
    <mergeCell ref="I1:I2"/>
    <mergeCell ref="G1:G2"/>
    <mergeCell ref="J1:J2"/>
    <mergeCell ref="K1:K2"/>
    <mergeCell ref="H1:H2"/>
    <mergeCell ref="L1:L2"/>
    <mergeCell ref="M1:M2"/>
    <mergeCell ref="N1:N2"/>
    <mergeCell ref="O1:O2"/>
    <mergeCell ref="P1:P2"/>
    <mergeCell ref="W8:Y8"/>
    <mergeCell ref="Z8:AB8"/>
    <mergeCell ref="AC8:AE8"/>
    <mergeCell ref="AC7:AE7"/>
    <mergeCell ref="Z7:AB7"/>
    <mergeCell ref="W7:Y7"/>
    <mergeCell ref="W4:Y4"/>
    <mergeCell ref="Z4:AB4"/>
    <mergeCell ref="AC4:AE4"/>
    <mergeCell ref="W5:Y5"/>
    <mergeCell ref="Z5:AB5"/>
    <mergeCell ref="AC5:AE5"/>
  </mergeCells>
  <conditionalFormatting sqref="AF3:AH3 AG9:AH9 AF4:AF32 G3:H73 AG12:AH12 AG18:AH18 AG23:AH23 AG29:AH29 AG33:AH33 AF38:AF73">
    <cfRule type="containsText" dxfId="35" priority="7" operator="containsText" text="NO">
      <formula>NOT(ISERROR(SEARCH("NO",G3)))</formula>
    </cfRule>
  </conditionalFormatting>
  <conditionalFormatting sqref="AG38:AH38 AG44:AH44 AG50:AH50 AG56:AH56 AG62:AH62 AG68:AH68">
    <cfRule type="containsText" dxfId="34" priority="5" operator="containsText" text="NO">
      <formula>NOT(ISERROR(SEARCH("NO",AG38)))</formula>
    </cfRule>
  </conditionalFormatting>
  <conditionalFormatting sqref="AF33:AF37">
    <cfRule type="containsText" dxfId="33" priority="1" operator="containsText" text="NO">
      <formula>NOT(ISERROR(SEARCH("NO",AF33)))</formula>
    </cfRule>
  </conditionalFormatting>
  <dataValidations count="1">
    <dataValidation type="list" allowBlank="1" showInputMessage="1" showErrorMessage="1" sqref="AA7:AB11 X7:Y11 X3:Y5 W3:W11 AA3:AB5 Z3:Z11 AC3:AC11 AD3:AE5 AF3:AF11 AD7:AE11 G3:H73 Z12:AF73">
      <formula1>$AL$1:$AM$1</formula1>
    </dataValidation>
  </dataValidations>
  <pageMargins left="0.75" right="0.75" top="1" bottom="1" header="0.5" footer="0.5"/>
  <pageSetup orientation="portrait"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198"/>
  <sheetViews>
    <sheetView zoomScale="86" zoomScaleNormal="86" zoomScalePageLayoutView="75" workbookViewId="0">
      <pane xSplit="1" ySplit="2" topLeftCell="N54" activePane="bottomRight" state="frozen"/>
      <selection pane="topRight" activeCell="B1" sqref="B1"/>
      <selection pane="bottomLeft" activeCell="A3" sqref="A3"/>
      <selection pane="bottomRight" activeCell="F21" sqref="F21"/>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23.875" style="104" customWidth="1"/>
    <col min="9" max="10" width="18.875" style="104" customWidth="1"/>
    <col min="11" max="11" width="13.625" style="105" customWidth="1"/>
    <col min="12" max="12" width="10.625" style="106" customWidth="1"/>
    <col min="13" max="13" width="11" style="107" customWidth="1"/>
    <col min="14" max="14" width="11" style="108" customWidth="1"/>
    <col min="15" max="15" width="11" style="74" customWidth="1"/>
    <col min="16" max="16" width="18.5" style="109" customWidth="1"/>
    <col min="17" max="17" width="8.75" style="109" customWidth="1"/>
    <col min="18" max="18" width="9.5" style="74" bestFit="1" customWidth="1"/>
    <col min="19" max="19" width="12.5" style="74" customWidth="1"/>
    <col min="20" max="20" width="9.625" style="74" bestFit="1" customWidth="1"/>
    <col min="21" max="22" width="15.5" style="74" customWidth="1"/>
    <col min="23" max="23" width="18.375" style="87" customWidth="1"/>
    <col min="24" max="24" width="19.5" style="63" customWidth="1"/>
    <col min="25" max="25" width="59.125" style="96" customWidth="1"/>
    <col min="26" max="28" width="10.875" style="111"/>
    <col min="29" max="30" width="15.125" style="111" bestFit="1" customWidth="1"/>
    <col min="31" max="16384" width="10.875" style="111"/>
  </cols>
  <sheetData>
    <row r="1" spans="1:28" s="61" customFormat="1" ht="15" customHeight="1" x14ac:dyDescent="0.25">
      <c r="A1" s="661" t="s">
        <v>2</v>
      </c>
      <c r="B1" s="661" t="s">
        <v>1</v>
      </c>
      <c r="C1" s="676" t="s">
        <v>369</v>
      </c>
      <c r="D1" s="661" t="s">
        <v>7</v>
      </c>
      <c r="E1" s="661" t="s">
        <v>8</v>
      </c>
      <c r="F1" s="661" t="s">
        <v>9</v>
      </c>
      <c r="G1" s="662" t="s">
        <v>382</v>
      </c>
      <c r="H1" s="662" t="s">
        <v>857</v>
      </c>
      <c r="I1" s="663" t="s">
        <v>383</v>
      </c>
      <c r="J1" s="663" t="s">
        <v>18</v>
      </c>
      <c r="K1" s="670" t="s">
        <v>56</v>
      </c>
      <c r="L1" s="672" t="s">
        <v>10</v>
      </c>
      <c r="M1" s="672" t="s">
        <v>443</v>
      </c>
      <c r="N1" s="674" t="s">
        <v>65</v>
      </c>
      <c r="O1" s="661" t="s">
        <v>64</v>
      </c>
      <c r="P1" s="661" t="s">
        <v>11</v>
      </c>
      <c r="Q1" s="661" t="s">
        <v>12</v>
      </c>
      <c r="R1" s="662" t="s">
        <v>13</v>
      </c>
      <c r="S1" s="662" t="s">
        <v>14</v>
      </c>
      <c r="T1" s="662" t="s">
        <v>15</v>
      </c>
      <c r="U1" s="662" t="s">
        <v>16</v>
      </c>
      <c r="V1" s="661" t="s">
        <v>17</v>
      </c>
      <c r="W1" s="662" t="s">
        <v>386</v>
      </c>
      <c r="X1" s="664" t="s">
        <v>375</v>
      </c>
      <c r="Y1" s="659" t="s">
        <v>0</v>
      </c>
      <c r="AA1" s="62" t="s">
        <v>5</v>
      </c>
      <c r="AB1" s="62" t="s">
        <v>6</v>
      </c>
    </row>
    <row r="2" spans="1:28" s="61" customFormat="1" ht="62.25" customHeight="1" thickBot="1" x14ac:dyDescent="0.3">
      <c r="A2" s="667"/>
      <c r="B2" s="667"/>
      <c r="C2" s="677"/>
      <c r="D2" s="667"/>
      <c r="E2" s="667"/>
      <c r="F2" s="667"/>
      <c r="G2" s="663"/>
      <c r="H2" s="663"/>
      <c r="I2" s="678"/>
      <c r="J2" s="678"/>
      <c r="K2" s="671"/>
      <c r="L2" s="673"/>
      <c r="M2" s="673"/>
      <c r="N2" s="675"/>
      <c r="O2" s="667"/>
      <c r="P2" s="667"/>
      <c r="Q2" s="667"/>
      <c r="R2" s="663"/>
      <c r="S2" s="663"/>
      <c r="T2" s="663"/>
      <c r="U2" s="663"/>
      <c r="V2" s="667"/>
      <c r="W2" s="663"/>
      <c r="X2" s="701"/>
      <c r="Y2" s="660"/>
    </row>
    <row r="3" spans="1:28" s="79" customFormat="1" ht="128.25" x14ac:dyDescent="0.25">
      <c r="A3" s="652" t="s">
        <v>384</v>
      </c>
      <c r="B3" s="125" t="s">
        <v>331</v>
      </c>
      <c r="C3" s="126">
        <v>5</v>
      </c>
      <c r="D3" s="127" t="str">
        <f>+IFERROR(INDEX(PROPONENTES!$D$4:$D$109,MATCH('EXP ESPEC. 33-40'!B3,PROPONENTES!$C$4:$C$109,0)),"")</f>
        <v>GIC GERENCIA INTERVENTORIA Y CONSULTORIA S.A.S.</v>
      </c>
      <c r="E3" s="128" t="s">
        <v>389</v>
      </c>
      <c r="F3" s="129" t="s">
        <v>391</v>
      </c>
      <c r="G3" s="130" t="s">
        <v>5</v>
      </c>
      <c r="H3" s="130" t="s">
        <v>6</v>
      </c>
      <c r="I3" s="130" t="s">
        <v>5</v>
      </c>
      <c r="J3" s="163" t="s">
        <v>6</v>
      </c>
      <c r="K3" s="80">
        <v>1</v>
      </c>
      <c r="L3" s="70">
        <v>39839</v>
      </c>
      <c r="M3" s="70">
        <v>40339</v>
      </c>
      <c r="N3" s="71">
        <f>IF(M3="","",YEAR(M3))</f>
        <v>2010</v>
      </c>
      <c r="O3" s="72">
        <f>+IFERROR(INDEX(PARÁMETROS!$B$11:$B$37,MATCH(N3,PARÁMETROS!$A$11:$A$37,0)),"")</f>
        <v>515000</v>
      </c>
      <c r="P3" s="81">
        <v>864969.84</v>
      </c>
      <c r="Q3" s="72" t="s">
        <v>24</v>
      </c>
      <c r="R3" s="63">
        <v>1.1988799999999999</v>
      </c>
      <c r="S3" s="75">
        <f>+R3*P3</f>
        <v>1036995.0417792</v>
      </c>
      <c r="T3" s="76">
        <v>1943</v>
      </c>
      <c r="U3" s="72">
        <f>IF(T3&lt;&gt;"",S3*T3,"")</f>
        <v>2014881366.1769855</v>
      </c>
      <c r="V3" s="60">
        <f>+IFERROR(U3/O3,"")</f>
        <v>3912.3910022854088</v>
      </c>
      <c r="W3" s="60">
        <f>IFERROR(V3*K3,"")</f>
        <v>3912.3910022854088</v>
      </c>
      <c r="X3" s="176" t="str">
        <f>+IF(W3="","",IF(W3&gt;=PARÁMETROS!$J$5,"CUMPLE","NO CUMPLE"))</f>
        <v>CUMPLE</v>
      </c>
      <c r="Y3" s="142"/>
      <c r="Z3" s="112"/>
    </row>
    <row r="4" spans="1:28" s="79" customFormat="1" ht="72.75" customHeight="1" x14ac:dyDescent="0.25">
      <c r="A4" s="653"/>
      <c r="B4" s="63" t="s">
        <v>331</v>
      </c>
      <c r="C4" s="64">
        <v>14</v>
      </c>
      <c r="D4" s="65" t="str">
        <f>+IFERROR(INDEX(PROPONENTES!$D$4:$D$109,MATCH('EXP ESPEC. 33-40'!B4,PROPONENTES!$C$4:$C$109,0)),"")</f>
        <v>GIC GERENCIA INTERVENTORIA Y CONSULTORIA S.A.S.</v>
      </c>
      <c r="E4" s="66" t="s">
        <v>389</v>
      </c>
      <c r="F4" s="66" t="s">
        <v>393</v>
      </c>
      <c r="G4" s="68" t="s">
        <v>5</v>
      </c>
      <c r="H4" s="161" t="s">
        <v>6</v>
      </c>
      <c r="I4" s="68" t="s">
        <v>5</v>
      </c>
      <c r="J4" s="161" t="s">
        <v>6</v>
      </c>
      <c r="K4" s="69">
        <v>1</v>
      </c>
      <c r="L4" s="70">
        <v>37572</v>
      </c>
      <c r="M4" s="70">
        <v>38330</v>
      </c>
      <c r="N4" s="71">
        <f>IF(M4="","",YEAR(M4))</f>
        <v>2004</v>
      </c>
      <c r="O4" s="72">
        <f>+IFERROR(INDEX(PARÁMETROS!$B$11:$B$37,MATCH(N4,PARÁMETROS!$A$11:$A$37,0)),"")</f>
        <v>358000</v>
      </c>
      <c r="P4" s="73">
        <v>610050.4</v>
      </c>
      <c r="Q4" s="72" t="s">
        <v>24</v>
      </c>
      <c r="R4" s="63">
        <v>1.3329</v>
      </c>
      <c r="S4" s="75">
        <f>+R4*P4</f>
        <v>813136.17816000001</v>
      </c>
      <c r="T4" s="76">
        <v>2455.12</v>
      </c>
      <c r="U4" s="72">
        <f>IF(T4&lt;&gt;"",S4*T4,"")</f>
        <v>1996346893.724179</v>
      </c>
      <c r="V4" s="60">
        <f>+IFERROR(U4/O4,"")</f>
        <v>5576.3879712965891</v>
      </c>
      <c r="W4" s="60">
        <f>IFERROR(V4*K4,"")</f>
        <v>5576.3879712965891</v>
      </c>
      <c r="X4" s="78" t="str">
        <f>+IF(W4="","",IF(W4&gt;=PARÁMETROS!$J$5,"CUMPLE","NO CUMPLE"))</f>
        <v>CUMPLE</v>
      </c>
      <c r="Y4" s="143"/>
      <c r="Z4" s="112"/>
    </row>
    <row r="5" spans="1:28" s="79" customFormat="1" ht="65.099999999999994" customHeight="1" x14ac:dyDescent="0.25">
      <c r="A5" s="653"/>
      <c r="B5" s="63" t="s">
        <v>332</v>
      </c>
      <c r="C5" s="64">
        <v>20</v>
      </c>
      <c r="D5" s="65" t="str">
        <f>+IFERROR(INDEX(PROPONENTES!$D$4:$D$109,MATCH('EXP ESPEC. 33-40'!B5,PROPONENTES!$C$4:$C$109,0)),"")</f>
        <v>CONSULTORES UNIDOS S.A.</v>
      </c>
      <c r="E5" s="66" t="s">
        <v>23</v>
      </c>
      <c r="F5" s="67" t="s">
        <v>395</v>
      </c>
      <c r="G5" s="68" t="s">
        <v>5</v>
      </c>
      <c r="H5" s="161" t="s">
        <v>6</v>
      </c>
      <c r="I5" s="68" t="s">
        <v>5</v>
      </c>
      <c r="J5" s="68" t="s">
        <v>6</v>
      </c>
      <c r="K5" s="69">
        <v>0.55000000000000004</v>
      </c>
      <c r="L5" s="70">
        <v>39860</v>
      </c>
      <c r="M5" s="70">
        <v>41213</v>
      </c>
      <c r="N5" s="71">
        <f>IF(M5="","",YEAR(M5))</f>
        <v>2012</v>
      </c>
      <c r="O5" s="72">
        <f>+IFERROR(INDEX(PARÁMETROS!$B$11:$B$37,MATCH(N5,PARÁMETROS!$A$11:$A$37,0)),"")</f>
        <v>566700</v>
      </c>
      <c r="P5" s="73">
        <v>8291206645</v>
      </c>
      <c r="Q5" s="74" t="s">
        <v>20</v>
      </c>
      <c r="R5" s="63" t="s">
        <v>54</v>
      </c>
      <c r="S5" s="75" t="s">
        <v>54</v>
      </c>
      <c r="T5" s="76">
        <v>1</v>
      </c>
      <c r="U5" s="72">
        <f>IF(T5&lt;&gt;"",P5*T5,"")</f>
        <v>8291206645</v>
      </c>
      <c r="V5" s="60">
        <f>+IFERROR(U5/O5,"")</f>
        <v>14630.680509970001</v>
      </c>
      <c r="W5" s="60">
        <f>IFERROR(V5*K5,"")</f>
        <v>8046.874280483501</v>
      </c>
      <c r="X5" s="161" t="str">
        <f>+IF(W5="","",IF(W5&gt;=PARÁMETROS!$J$5,"CUMPLE","NO CUMPLE"))</f>
        <v>CUMPLE</v>
      </c>
      <c r="Y5" s="144"/>
      <c r="Z5" s="112"/>
    </row>
    <row r="6" spans="1:28" s="79" customFormat="1" ht="72" thickBot="1" x14ac:dyDescent="0.3">
      <c r="A6" s="654"/>
      <c r="B6" s="145" t="s">
        <v>332</v>
      </c>
      <c r="C6" s="177">
        <v>25</v>
      </c>
      <c r="D6" s="146" t="str">
        <f>+IFERROR(INDEX(PROPONENTES!$D$4:$D$109,MATCH('EXP ESPEC. 33-40'!B6,PROPONENTES!$C$4:$C$109,0)),"")</f>
        <v>CONSULTORES UNIDOS S.A.</v>
      </c>
      <c r="E6" s="147" t="s">
        <v>19</v>
      </c>
      <c r="F6" s="148" t="s">
        <v>394</v>
      </c>
      <c r="G6" s="162" t="s">
        <v>5</v>
      </c>
      <c r="H6" s="162" t="s">
        <v>5</v>
      </c>
      <c r="I6" s="162" t="s">
        <v>5</v>
      </c>
      <c r="J6" s="162" t="s">
        <v>6</v>
      </c>
      <c r="K6" s="117">
        <v>0.6</v>
      </c>
      <c r="L6" s="118">
        <v>41649</v>
      </c>
      <c r="M6" s="118">
        <v>42151</v>
      </c>
      <c r="N6" s="168">
        <f t="shared" ref="N6:N46" si="0">IF(M6="","",YEAR(M6))</f>
        <v>2015</v>
      </c>
      <c r="O6" s="119">
        <f>+IFERROR(INDEX(PARÁMETROS!$B$11:$B$37,MATCH(N6,PARÁMETROS!$A$11:$A$37,0)),"")</f>
        <v>644350</v>
      </c>
      <c r="P6" s="120">
        <v>4710651972</v>
      </c>
      <c r="Q6" s="119" t="s">
        <v>20</v>
      </c>
      <c r="R6" s="113" t="s">
        <v>54</v>
      </c>
      <c r="S6" s="121" t="s">
        <v>54</v>
      </c>
      <c r="T6" s="122">
        <v>1</v>
      </c>
      <c r="U6" s="119">
        <f t="shared" ref="U6:U46" si="1">IF(T6&lt;&gt;"",P6*T6,"")</f>
        <v>4710651972</v>
      </c>
      <c r="V6" s="123">
        <f t="shared" ref="V6:V46" si="2">+IFERROR(U6/O6,"")</f>
        <v>7310.7037665864827</v>
      </c>
      <c r="W6" s="123">
        <f t="shared" ref="W6:W46" si="3">IFERROR(V6*K6,"")</f>
        <v>4386.4222599518898</v>
      </c>
      <c r="X6" s="191" t="str">
        <f>+IF(W6="","",IF(W6&gt;=PARÁMETROS!$D$5,"CUMPLE","NO CUMPLE"))</f>
        <v>CUMPLE</v>
      </c>
      <c r="Y6" s="178"/>
      <c r="Z6" s="112"/>
    </row>
    <row r="7" spans="1:28" s="79" customFormat="1" ht="156.75" x14ac:dyDescent="0.25">
      <c r="A7" s="652" t="s">
        <v>368</v>
      </c>
      <c r="B7" s="185" t="s">
        <v>333</v>
      </c>
      <c r="C7" s="126">
        <v>5</v>
      </c>
      <c r="D7" s="127" t="str">
        <f>+IFERROR(INDEX(PROPONENTES!$D$4:$D$109,MATCH('EXP ESPEC. 33-40'!B7,PROPONENTES!$C$4:$C$109,0)),"")</f>
        <v>MAB INGENIERIA DE VALOR S.A.</v>
      </c>
      <c r="E7" s="128" t="s">
        <v>23</v>
      </c>
      <c r="F7" s="129" t="s">
        <v>370</v>
      </c>
      <c r="G7" s="164" t="s">
        <v>5</v>
      </c>
      <c r="H7" s="163" t="s">
        <v>6</v>
      </c>
      <c r="I7" s="164" t="s">
        <v>5</v>
      </c>
      <c r="J7" s="164" t="s">
        <v>6</v>
      </c>
      <c r="K7" s="131">
        <v>0.7</v>
      </c>
      <c r="L7" s="132">
        <v>39615</v>
      </c>
      <c r="M7" s="132">
        <v>41502</v>
      </c>
      <c r="N7" s="133">
        <f>IF(M7="","",YEAR(M7))</f>
        <v>2013</v>
      </c>
      <c r="O7" s="134">
        <f>+IFERROR(INDEX(PARÁMETROS!$B$11:$B$37,MATCH(N7,PARÁMETROS!$A$11:$A$37,0)),"")</f>
        <v>589500</v>
      </c>
      <c r="P7" s="135">
        <v>29607256941</v>
      </c>
      <c r="Q7" s="184" t="s">
        <v>20</v>
      </c>
      <c r="R7" s="185" t="s">
        <v>54</v>
      </c>
      <c r="S7" s="186" t="s">
        <v>54</v>
      </c>
      <c r="T7" s="187">
        <v>1</v>
      </c>
      <c r="U7" s="134">
        <f>IF(T7&lt;&gt;"",P7*T7,"")</f>
        <v>29607256941</v>
      </c>
      <c r="V7" s="139">
        <f>+IFERROR(U7/O7,"")</f>
        <v>50224.354437659036</v>
      </c>
      <c r="W7" s="139">
        <f>IFERROR(V7*K7,"")</f>
        <v>35157.048106361326</v>
      </c>
      <c r="X7" s="176" t="str">
        <f>+IF(W7="","",IF(W7&gt;=PARÁMETROS!$J$5,"CUMPLE","NO CUMPLE"))</f>
        <v>CUMPLE</v>
      </c>
      <c r="Y7" s="142"/>
      <c r="Z7" s="112"/>
    </row>
    <row r="8" spans="1:28" s="79" customFormat="1" ht="71.25" x14ac:dyDescent="0.25">
      <c r="A8" s="653"/>
      <c r="B8" s="63" t="s">
        <v>333</v>
      </c>
      <c r="C8" s="409">
        <v>32</v>
      </c>
      <c r="D8" s="65" t="str">
        <f>+IFERROR(INDEX(PROPONENTES!$D$4:$D$109,MATCH('EXP ESPEC. 33-40'!B8,PROPONENTES!$C$4:$C$109,0)),"")</f>
        <v>MAB INGENIERIA DE VALOR S.A.</v>
      </c>
      <c r="E8" s="66" t="s">
        <v>19</v>
      </c>
      <c r="F8" s="67" t="s">
        <v>387</v>
      </c>
      <c r="G8" s="161" t="s">
        <v>5</v>
      </c>
      <c r="H8" s="161" t="s">
        <v>5</v>
      </c>
      <c r="I8" s="161" t="s">
        <v>5</v>
      </c>
      <c r="J8" s="161" t="s">
        <v>6</v>
      </c>
      <c r="K8" s="69">
        <v>0.4</v>
      </c>
      <c r="L8" s="70">
        <v>40567</v>
      </c>
      <c r="M8" s="70">
        <v>42226</v>
      </c>
      <c r="N8" s="71">
        <f t="shared" si="0"/>
        <v>2015</v>
      </c>
      <c r="O8" s="72">
        <f>+IFERROR(INDEX(PARÁMETROS!$B$11:$B$37,MATCH(N8,PARÁMETROS!$A$11:$A$37,0)),"")</f>
        <v>644350</v>
      </c>
      <c r="P8" s="182">
        <v>39896268072</v>
      </c>
      <c r="Q8" s="74" t="s">
        <v>20</v>
      </c>
      <c r="R8" s="63" t="s">
        <v>54</v>
      </c>
      <c r="S8" s="75" t="s">
        <v>54</v>
      </c>
      <c r="T8" s="76">
        <v>1</v>
      </c>
      <c r="U8" s="183">
        <f t="shared" si="1"/>
        <v>39896268072</v>
      </c>
      <c r="V8" s="60">
        <f t="shared" si="2"/>
        <v>61917.076234965469</v>
      </c>
      <c r="W8" s="60">
        <f t="shared" si="3"/>
        <v>24766.830493986188</v>
      </c>
      <c r="X8" s="78" t="str">
        <f>+IF(W8="","",IF(W8&gt;=PARÁMETROS!$D$5,"CUMPLE","NO CUMPLE"))</f>
        <v>CUMPLE</v>
      </c>
      <c r="Y8" s="143"/>
      <c r="Z8" s="112"/>
    </row>
    <row r="9" spans="1:28" s="79" customFormat="1" ht="51.75" customHeight="1" x14ac:dyDescent="0.25">
      <c r="A9" s="653"/>
      <c r="B9" s="113" t="s">
        <v>333</v>
      </c>
      <c r="C9" s="409">
        <v>44</v>
      </c>
      <c r="D9" s="65" t="str">
        <f>+IFERROR(INDEX(PROPONENTES!$D$4:$D$109,MATCH('EXP ESPEC. 33-40'!B9,PROPONENTES!$C$4:$C$109,0)),"")</f>
        <v>MAB INGENIERIA DE VALOR S.A.</v>
      </c>
      <c r="E9" s="66" t="s">
        <v>21</v>
      </c>
      <c r="F9" s="67" t="s">
        <v>388</v>
      </c>
      <c r="G9" s="161" t="s">
        <v>5</v>
      </c>
      <c r="H9" s="161" t="s">
        <v>6</v>
      </c>
      <c r="I9" s="161" t="s">
        <v>5</v>
      </c>
      <c r="J9" s="161" t="s">
        <v>6</v>
      </c>
      <c r="K9" s="69">
        <v>0.55000000000000004</v>
      </c>
      <c r="L9" s="70">
        <v>39856</v>
      </c>
      <c r="M9" s="70">
        <v>40979</v>
      </c>
      <c r="N9" s="71">
        <f t="shared" si="0"/>
        <v>2012</v>
      </c>
      <c r="O9" s="72">
        <f>+IFERROR(INDEX(PARÁMETROS!$B$11:$B$37,MATCH(N9,PARÁMETROS!$A$11:$A$37,0)),"")</f>
        <v>566700</v>
      </c>
      <c r="P9" s="73">
        <v>3720919329.1999998</v>
      </c>
      <c r="Q9" s="74" t="s">
        <v>20</v>
      </c>
      <c r="R9" s="63" t="s">
        <v>54</v>
      </c>
      <c r="S9" s="75" t="s">
        <v>54</v>
      </c>
      <c r="T9" s="76">
        <v>1</v>
      </c>
      <c r="U9" s="72">
        <f t="shared" si="1"/>
        <v>3720919329.1999998</v>
      </c>
      <c r="V9" s="60">
        <f t="shared" si="2"/>
        <v>6565.9419961178755</v>
      </c>
      <c r="W9" s="60">
        <f t="shared" si="3"/>
        <v>3611.2680978648318</v>
      </c>
      <c r="X9" s="78" t="str">
        <f>+IF(W9="","",IF(W9&gt;=PARÁMETROS!$D$5,"CUMPLE","NO CUMPLE"))</f>
        <v>CUMPLE</v>
      </c>
      <c r="Y9" s="143"/>
      <c r="Z9" s="112"/>
    </row>
    <row r="10" spans="1:28" s="79" customFormat="1" ht="72" thickBot="1" x14ac:dyDescent="0.3">
      <c r="A10" s="654"/>
      <c r="B10" s="63" t="s">
        <v>334</v>
      </c>
      <c r="C10" s="64">
        <v>57</v>
      </c>
      <c r="D10" s="65" t="str">
        <f>+IFERROR(INDEX(PROPONENTES!$D$4:$D$109,MATCH('EXP ESPEC. 33-40'!B10,PROPONENTES!$C$4:$C$109,0)),"")</f>
        <v>MAB SERVICIOS S.A.S.</v>
      </c>
      <c r="E10" s="66" t="s">
        <v>373</v>
      </c>
      <c r="F10" s="66" t="s">
        <v>371</v>
      </c>
      <c r="G10" s="165" t="s">
        <v>5</v>
      </c>
      <c r="H10" s="161" t="s">
        <v>6</v>
      </c>
      <c r="I10" s="165" t="s">
        <v>5</v>
      </c>
      <c r="J10" s="165" t="s">
        <v>6</v>
      </c>
      <c r="K10" s="80">
        <v>0.45</v>
      </c>
      <c r="L10" s="70">
        <v>40339</v>
      </c>
      <c r="M10" s="70">
        <v>41182</v>
      </c>
      <c r="N10" s="71">
        <f>IF(M10="","",YEAR(M10))</f>
        <v>2012</v>
      </c>
      <c r="O10" s="72">
        <f>+IFERROR(INDEX(PARÁMETROS!$B$11:$B$37,MATCH(N10,PARÁMETROS!$A$11:$A$37,0)),"")</f>
        <v>566700</v>
      </c>
      <c r="P10" s="81">
        <v>3960376808</v>
      </c>
      <c r="Q10" s="72" t="s">
        <v>20</v>
      </c>
      <c r="R10" s="63" t="s">
        <v>54</v>
      </c>
      <c r="S10" s="75" t="s">
        <v>54</v>
      </c>
      <c r="T10" s="76">
        <v>1</v>
      </c>
      <c r="U10" s="72">
        <f>IF(T10&lt;&gt;"",P10*T10,"")</f>
        <v>3960376808</v>
      </c>
      <c r="V10" s="60">
        <f>+IFERROR(U10/O10,"")</f>
        <v>6988.4891618140109</v>
      </c>
      <c r="W10" s="60">
        <f>IFERROR(V10*K10,"")</f>
        <v>3144.8201228163048</v>
      </c>
      <c r="X10" s="161" t="str">
        <f>+IF(W10="","",IF(W10&gt;=PARÁMETROS!$J$5,"CUMPLE","NO CUMPLE"))</f>
        <v>CUMPLE</v>
      </c>
      <c r="Y10" s="143"/>
      <c r="Z10" s="112"/>
    </row>
    <row r="11" spans="1:28" s="79" customFormat="1" ht="128.25" x14ac:dyDescent="0.25">
      <c r="A11" s="652" t="s">
        <v>376</v>
      </c>
      <c r="B11" s="125" t="s">
        <v>335</v>
      </c>
      <c r="C11" s="408">
        <v>13</v>
      </c>
      <c r="D11" s="127" t="str">
        <f>+IFERROR(INDEX(PROPONENTES!$D$4:$D$109,MATCH('EXP ESPEC. 33-40'!B11,PROPONENTES!$C$4:$C$109,0)),"")</f>
        <v>PABLO EMILIO BRAVO CONSULTORES S.A.S</v>
      </c>
      <c r="E11" s="128" t="s">
        <v>19</v>
      </c>
      <c r="F11" s="129" t="s">
        <v>399</v>
      </c>
      <c r="G11" s="163" t="s">
        <v>5</v>
      </c>
      <c r="H11" s="163" t="s">
        <v>5</v>
      </c>
      <c r="I11" s="163" t="s">
        <v>5</v>
      </c>
      <c r="J11" s="163" t="s">
        <v>6</v>
      </c>
      <c r="K11" s="192">
        <v>0.33329999999999999</v>
      </c>
      <c r="L11" s="132">
        <v>41011</v>
      </c>
      <c r="M11" s="132">
        <v>42131</v>
      </c>
      <c r="N11" s="133">
        <f>IF(M11="","",YEAR(M11))</f>
        <v>2015</v>
      </c>
      <c r="O11" s="134">
        <f>+IFERROR(INDEX(PARÁMETROS!$B$11:$B$37,MATCH(N11,PARÁMETROS!$A$11:$A$37,0)),"")</f>
        <v>644350</v>
      </c>
      <c r="P11" s="135">
        <v>27508341464</v>
      </c>
      <c r="Q11" s="136" t="s">
        <v>20</v>
      </c>
      <c r="R11" s="125" t="s">
        <v>54</v>
      </c>
      <c r="S11" s="137" t="s">
        <v>54</v>
      </c>
      <c r="T11" s="138">
        <v>1</v>
      </c>
      <c r="U11" s="134">
        <f>IF(T11&lt;&gt;"",P11*T11,"")</f>
        <v>27508341464</v>
      </c>
      <c r="V11" s="139">
        <f>+IFERROR(U11/O11,"")</f>
        <v>42691.613973772015</v>
      </c>
      <c r="W11" s="139">
        <f>IFERROR(V11*K11,"")</f>
        <v>14229.114937458213</v>
      </c>
      <c r="X11" s="176" t="str">
        <f>+IF(W11="","",IF(W11&gt;=PARÁMETROS!$D$5,"CUMPLE","NO CUMPLE"))</f>
        <v>CUMPLE</v>
      </c>
      <c r="Y11" s="142"/>
      <c r="Z11" s="112"/>
    </row>
    <row r="12" spans="1:28" s="79" customFormat="1" ht="63" x14ac:dyDescent="0.25">
      <c r="A12" s="653"/>
      <c r="B12" s="63" t="s">
        <v>335</v>
      </c>
      <c r="C12" s="409">
        <v>65</v>
      </c>
      <c r="D12" s="65" t="str">
        <f>+IFERROR(INDEX(PROPONENTES!$D$4:$D$109,MATCH('EXP ESPEC. 33-40'!B12,PROPONENTES!$C$4:$C$109,0)),"")</f>
        <v>PABLO EMILIO BRAVO CONSULTORES S.A.S</v>
      </c>
      <c r="E12" s="66" t="s">
        <v>21</v>
      </c>
      <c r="F12" s="66" t="s">
        <v>400</v>
      </c>
      <c r="G12" s="161" t="s">
        <v>5</v>
      </c>
      <c r="H12" s="161" t="s">
        <v>6</v>
      </c>
      <c r="I12" s="161" t="s">
        <v>5</v>
      </c>
      <c r="J12" s="161" t="s">
        <v>6</v>
      </c>
      <c r="K12" s="80">
        <v>0.5</v>
      </c>
      <c r="L12" s="70">
        <v>36312</v>
      </c>
      <c r="M12" s="70">
        <v>37833</v>
      </c>
      <c r="N12" s="71">
        <f>IF(M12="","",YEAR(M12))</f>
        <v>2003</v>
      </c>
      <c r="O12" s="72">
        <f>+IFERROR(INDEX(PARÁMETROS!$B$11:$B$37,MATCH(N12,PARÁMETROS!$A$11:$A$37,0)),"")</f>
        <v>332000</v>
      </c>
      <c r="P12" s="81">
        <v>5331439397</v>
      </c>
      <c r="Q12" s="72" t="s">
        <v>20</v>
      </c>
      <c r="R12" s="63" t="s">
        <v>54</v>
      </c>
      <c r="S12" s="75" t="s">
        <v>54</v>
      </c>
      <c r="T12" s="76">
        <v>1</v>
      </c>
      <c r="U12" s="72">
        <f>IF(T12&lt;&gt;"",P12*T12,"")</f>
        <v>5331439397</v>
      </c>
      <c r="V12" s="60">
        <f>+IFERROR(U12/O12,"")</f>
        <v>16058.55240060241</v>
      </c>
      <c r="W12" s="60">
        <f>IFERROR(V12*K12,"")</f>
        <v>8029.2762003012049</v>
      </c>
      <c r="X12" s="78" t="str">
        <f>+IF(W12="","",IF(W12&gt;=PARÁMETROS!$D$5,"CUMPLE","NO CUMPLE"))</f>
        <v>CUMPLE</v>
      </c>
      <c r="Y12" s="143"/>
      <c r="Z12" s="112"/>
    </row>
    <row r="13" spans="1:28" s="79" customFormat="1" ht="30" customHeight="1" x14ac:dyDescent="0.25">
      <c r="A13" s="653"/>
      <c r="B13" s="63" t="s">
        <v>335</v>
      </c>
      <c r="C13" s="409">
        <v>80</v>
      </c>
      <c r="D13" s="65" t="str">
        <f>+IFERROR(INDEX(PROPONENTES!$D$4:$D$109,MATCH('EXP ESPEC. 33-40'!B13,PROPONENTES!$C$4:$C$109,0)),"")</f>
        <v>PABLO EMILIO BRAVO CONSULTORES S.A.S</v>
      </c>
      <c r="E13" s="66" t="s">
        <v>21</v>
      </c>
      <c r="F13" s="67" t="s">
        <v>406</v>
      </c>
      <c r="G13" s="161" t="s">
        <v>5</v>
      </c>
      <c r="H13" s="161" t="s">
        <v>6</v>
      </c>
      <c r="I13" s="161" t="s">
        <v>5</v>
      </c>
      <c r="J13" s="161" t="s">
        <v>6</v>
      </c>
      <c r="K13" s="69">
        <v>0.5</v>
      </c>
      <c r="L13" s="70">
        <v>35612</v>
      </c>
      <c r="M13" s="70">
        <v>36311</v>
      </c>
      <c r="N13" s="71">
        <f t="shared" si="0"/>
        <v>1999</v>
      </c>
      <c r="O13" s="72">
        <f>+IFERROR(INDEX(PARÁMETROS!$B$11:$B$37,MATCH(N13,PARÁMETROS!$A$11:$A$37,0)),"")</f>
        <v>236460</v>
      </c>
      <c r="P13" s="73">
        <v>1549994366</v>
      </c>
      <c r="Q13" s="74" t="s">
        <v>20</v>
      </c>
      <c r="R13" s="63" t="s">
        <v>54</v>
      </c>
      <c r="S13" s="75" t="s">
        <v>54</v>
      </c>
      <c r="T13" s="76">
        <v>1</v>
      </c>
      <c r="U13" s="72">
        <f t="shared" si="1"/>
        <v>1549994366</v>
      </c>
      <c r="V13" s="60">
        <f t="shared" si="2"/>
        <v>6554.9960500718935</v>
      </c>
      <c r="W13" s="60">
        <f t="shared" si="3"/>
        <v>3277.4980250359467</v>
      </c>
      <c r="X13" s="78" t="str">
        <f>+IF(W13="","",IF(W13&gt;=PARÁMETROS!$D$5,"CUMPLE","NO CUMPLE"))</f>
        <v>CUMPLE</v>
      </c>
      <c r="Y13" s="143"/>
      <c r="Z13" s="112"/>
    </row>
    <row r="14" spans="1:28" s="79" customFormat="1" ht="63.75" thickBot="1" x14ac:dyDescent="0.3">
      <c r="A14" s="654"/>
      <c r="B14" s="63" t="s">
        <v>335</v>
      </c>
      <c r="C14" s="409">
        <v>90</v>
      </c>
      <c r="D14" s="65" t="str">
        <f>+IFERROR(INDEX(PROPONENTES!$D$4:$D$109,MATCH('EXP ESPEC. 33-40'!B14,PROPONENTES!$C$4:$C$109,0)),"")</f>
        <v>PABLO EMILIO BRAVO CONSULTORES S.A.S</v>
      </c>
      <c r="E14" s="66" t="s">
        <v>398</v>
      </c>
      <c r="F14" s="67" t="s">
        <v>401</v>
      </c>
      <c r="G14" s="161" t="s">
        <v>5</v>
      </c>
      <c r="H14" s="161" t="s">
        <v>5</v>
      </c>
      <c r="I14" s="161" t="s">
        <v>5</v>
      </c>
      <c r="J14" s="161" t="s">
        <v>6</v>
      </c>
      <c r="K14" s="69">
        <v>0.75</v>
      </c>
      <c r="L14" s="70">
        <v>39534</v>
      </c>
      <c r="M14" s="70">
        <v>40628</v>
      </c>
      <c r="N14" s="71">
        <f t="shared" si="0"/>
        <v>2011</v>
      </c>
      <c r="O14" s="72">
        <f>+IFERROR(INDEX(PARÁMETROS!$B$11:$B$37,MATCH(N14,PARÁMETROS!$A$11:$A$37,0)),"")</f>
        <v>535600</v>
      </c>
      <c r="P14" s="73">
        <v>3753633746</v>
      </c>
      <c r="Q14" s="74" t="s">
        <v>20</v>
      </c>
      <c r="R14" s="63" t="s">
        <v>54</v>
      </c>
      <c r="S14" s="75" t="s">
        <v>54</v>
      </c>
      <c r="T14" s="76">
        <v>1</v>
      </c>
      <c r="U14" s="72">
        <f t="shared" si="1"/>
        <v>3753633746</v>
      </c>
      <c r="V14" s="60">
        <f t="shared" si="2"/>
        <v>7008.2780918595963</v>
      </c>
      <c r="W14" s="60">
        <f t="shared" si="3"/>
        <v>5256.2085688946972</v>
      </c>
      <c r="X14" s="159" t="str">
        <f>+IF(W14="","",IF(W14&gt;=PARÁMETROS!$D$5,"CUMPLE","NO CUMPLE"))</f>
        <v>CUMPLE</v>
      </c>
      <c r="Y14" s="143"/>
      <c r="Z14" s="112"/>
    </row>
    <row r="15" spans="1:28" s="79" customFormat="1" ht="71.25" x14ac:dyDescent="0.25">
      <c r="A15" s="652" t="s">
        <v>377</v>
      </c>
      <c r="B15" s="125" t="s">
        <v>338</v>
      </c>
      <c r="C15" s="408">
        <v>5</v>
      </c>
      <c r="D15" s="127" t="str">
        <f>+IFERROR(INDEX(PROPONENTES!$D$4:$D$109,MATCH('EXP ESPEC. 33-40'!B15,PROPONENTES!$C$4:$C$109,0)),"")</f>
        <v>CONSULTORES DE INGENIERIA UG 21 SL SUCURSAL</v>
      </c>
      <c r="E15" s="128" t="s">
        <v>417</v>
      </c>
      <c r="F15" s="129" t="s">
        <v>410</v>
      </c>
      <c r="G15" s="163" t="s">
        <v>5</v>
      </c>
      <c r="H15" s="163" t="s">
        <v>6</v>
      </c>
      <c r="I15" s="163" t="s">
        <v>5</v>
      </c>
      <c r="J15" s="163" t="s">
        <v>5</v>
      </c>
      <c r="K15" s="196">
        <v>1</v>
      </c>
      <c r="L15" s="197">
        <v>38338</v>
      </c>
      <c r="M15" s="198">
        <v>39082</v>
      </c>
      <c r="N15" s="133">
        <f t="shared" si="0"/>
        <v>2006</v>
      </c>
      <c r="O15" s="134">
        <f>+IFERROR(INDEX(PARÁMETROS!$B$11:$B$37,MATCH(N15,PARÁMETROS!$A$11:$A$37,0)),"")</f>
        <v>408000</v>
      </c>
      <c r="P15" s="135">
        <v>449899.22</v>
      </c>
      <c r="Q15" s="136" t="s">
        <v>24</v>
      </c>
      <c r="R15" s="125">
        <v>1.3192999999999999</v>
      </c>
      <c r="S15" s="137">
        <f>+R15*P15</f>
        <v>593552.04094599991</v>
      </c>
      <c r="T15" s="138">
        <v>2238.79</v>
      </c>
      <c r="U15" s="134">
        <f>IF(T15&lt;&gt;"",S15*T15,"")</f>
        <v>1328838373.749495</v>
      </c>
      <c r="V15" s="139">
        <f t="shared" si="2"/>
        <v>3256.9567984056252</v>
      </c>
      <c r="W15" s="139">
        <f t="shared" si="3"/>
        <v>3256.9567984056252</v>
      </c>
      <c r="X15" s="176" t="str">
        <f>+IF(W15="","",IF(W15&gt;=PARÁMETROS!$D$5,"CUMPLE","NO CUMPLE"))</f>
        <v>CUMPLE</v>
      </c>
      <c r="Y15" s="142"/>
      <c r="Z15" s="112"/>
    </row>
    <row r="16" spans="1:28" s="79" customFormat="1" ht="71.25" x14ac:dyDescent="0.25">
      <c r="A16" s="653"/>
      <c r="B16" s="63" t="s">
        <v>338</v>
      </c>
      <c r="C16" s="409">
        <v>8</v>
      </c>
      <c r="D16" s="65" t="str">
        <f>+IFERROR(INDEX(PROPONENTES!$D$4:$D$109,MATCH('EXP ESPEC. 33-40'!B16,PROPONENTES!$C$4:$C$109,0)),"")</f>
        <v>CONSULTORES DE INGENIERIA UG 21 SL SUCURSAL</v>
      </c>
      <c r="E16" s="66" t="s">
        <v>416</v>
      </c>
      <c r="F16" s="199" t="s">
        <v>411</v>
      </c>
      <c r="G16" s="161" t="s">
        <v>5</v>
      </c>
      <c r="H16" s="161" t="s">
        <v>6</v>
      </c>
      <c r="I16" s="161" t="s">
        <v>5</v>
      </c>
      <c r="J16" s="161" t="s">
        <v>6</v>
      </c>
      <c r="K16" s="196">
        <v>0.4</v>
      </c>
      <c r="L16" s="197">
        <v>41282</v>
      </c>
      <c r="M16" s="198">
        <v>42247</v>
      </c>
      <c r="N16" s="71">
        <f t="shared" si="0"/>
        <v>2015</v>
      </c>
      <c r="O16" s="72">
        <f>+IFERROR(INDEX(PARÁMETROS!$B$11:$B$37,MATCH(N16,PARÁMETROS!$A$11:$A$37,0)),"")</f>
        <v>644350</v>
      </c>
      <c r="P16" s="73">
        <v>13726499698</v>
      </c>
      <c r="Q16" s="74" t="s">
        <v>20</v>
      </c>
      <c r="R16" s="63" t="s">
        <v>54</v>
      </c>
      <c r="S16" s="75" t="s">
        <v>54</v>
      </c>
      <c r="T16" s="76">
        <v>1</v>
      </c>
      <c r="U16" s="72">
        <f>IF(T16&lt;&gt;"",P16*T16,"")</f>
        <v>13726499698</v>
      </c>
      <c r="V16" s="60">
        <f t="shared" si="2"/>
        <v>21302.862881974081</v>
      </c>
      <c r="W16" s="60">
        <f t="shared" si="3"/>
        <v>8521.1451527896334</v>
      </c>
      <c r="X16" s="78" t="str">
        <f>+IF(W16="","",IF(W16&gt;=PARÁMETROS!$D$5,"CUMPLE","NO CUMPLE"))</f>
        <v>CUMPLE</v>
      </c>
      <c r="Y16" s="143"/>
      <c r="Z16" s="112"/>
    </row>
    <row r="17" spans="1:26" s="79" customFormat="1" ht="57" x14ac:dyDescent="0.25">
      <c r="A17" s="653"/>
      <c r="B17" s="63" t="s">
        <v>339</v>
      </c>
      <c r="C17" s="409">
        <v>12</v>
      </c>
      <c r="D17" s="65" t="str">
        <f>+IFERROR(INDEX(PROPONENTES!$D$4:$D$109,MATCH('EXP ESPEC. 33-40'!B17,PROPONENTES!$C$4:$C$109,0)),"")</f>
        <v>ARDANUY COLOMBIA S.A.S.</v>
      </c>
      <c r="E17" s="66" t="s">
        <v>19</v>
      </c>
      <c r="F17" s="199" t="s">
        <v>415</v>
      </c>
      <c r="G17" s="161" t="s">
        <v>6</v>
      </c>
      <c r="H17" s="161" t="s">
        <v>5</v>
      </c>
      <c r="I17" s="161" t="s">
        <v>5</v>
      </c>
      <c r="J17" s="161" t="s">
        <v>6</v>
      </c>
      <c r="K17" s="69">
        <v>0.3</v>
      </c>
      <c r="L17" s="70">
        <v>41114</v>
      </c>
      <c r="M17" s="70">
        <v>42400</v>
      </c>
      <c r="N17" s="71">
        <f t="shared" si="0"/>
        <v>2016</v>
      </c>
      <c r="O17" s="72">
        <f>+IFERROR(INDEX(PARÁMETROS!$B$11:$B$37,MATCH(N17,PARÁMETROS!$A$11:$A$37,0)),"")</f>
        <v>689554</v>
      </c>
      <c r="P17" s="73">
        <v>11162869010</v>
      </c>
      <c r="Q17" s="74" t="s">
        <v>20</v>
      </c>
      <c r="R17" s="63" t="s">
        <v>54</v>
      </c>
      <c r="S17" s="75" t="s">
        <v>54</v>
      </c>
      <c r="T17" s="76">
        <v>1</v>
      </c>
      <c r="U17" s="72">
        <f t="shared" si="1"/>
        <v>11162869010</v>
      </c>
      <c r="V17" s="60">
        <f t="shared" si="2"/>
        <v>16188.534922573141</v>
      </c>
      <c r="W17" s="60">
        <f t="shared" si="3"/>
        <v>4856.5604767719424</v>
      </c>
      <c r="X17" s="78" t="str">
        <f>+IF(W17="","",IF(W17&gt;=PARÁMETROS!$D$5,"CUMPLE","NO CUMPLE"))</f>
        <v>CUMPLE</v>
      </c>
      <c r="Y17" s="143"/>
      <c r="Z17" s="112"/>
    </row>
    <row r="18" spans="1:26" s="79" customFormat="1" ht="57.75" thickBot="1" x14ac:dyDescent="0.3">
      <c r="A18" s="654"/>
      <c r="B18" s="63" t="s">
        <v>340</v>
      </c>
      <c r="C18" s="409">
        <v>14</v>
      </c>
      <c r="D18" s="65" t="str">
        <f>+IFERROR(INDEX(PROPONENTES!$D$4:$D$109,MATCH('EXP ESPEC. 33-40'!B18,PROPONENTES!$C$4:$C$109,0)),"")</f>
        <v>GNC INGENIERIA S.A.S.</v>
      </c>
      <c r="E18" s="66" t="s">
        <v>23</v>
      </c>
      <c r="F18" s="67" t="s">
        <v>414</v>
      </c>
      <c r="G18" s="161" t="s">
        <v>5</v>
      </c>
      <c r="H18" s="161" t="s">
        <v>6</v>
      </c>
      <c r="I18" s="161" t="s">
        <v>5</v>
      </c>
      <c r="J18" s="161" t="s">
        <v>6</v>
      </c>
      <c r="K18" s="196">
        <v>1</v>
      </c>
      <c r="L18" s="198">
        <v>41686</v>
      </c>
      <c r="M18" s="198">
        <v>42160</v>
      </c>
      <c r="N18" s="71">
        <f t="shared" si="0"/>
        <v>2015</v>
      </c>
      <c r="O18" s="72">
        <f>+IFERROR(INDEX(PARÁMETROS!$B$11:$B$37,MATCH(N18,PARÁMETROS!$A$11:$A$37,0)),"")</f>
        <v>644350</v>
      </c>
      <c r="P18" s="73">
        <v>1686799414</v>
      </c>
      <c r="Q18" s="74" t="s">
        <v>20</v>
      </c>
      <c r="R18" s="63" t="s">
        <v>54</v>
      </c>
      <c r="S18" s="75" t="s">
        <v>54</v>
      </c>
      <c r="T18" s="76">
        <v>1</v>
      </c>
      <c r="U18" s="72">
        <f t="shared" si="1"/>
        <v>1686799414</v>
      </c>
      <c r="V18" s="60">
        <f t="shared" si="2"/>
        <v>2617.831014200357</v>
      </c>
      <c r="W18" s="60">
        <f t="shared" si="3"/>
        <v>2617.831014200357</v>
      </c>
      <c r="X18" s="159" t="str">
        <f>+IF(W18="","",IF(W18&gt;=PARÁMETROS!$D$5,"CUMPLE","NO CUMPLE"))</f>
        <v>CUMPLE</v>
      </c>
      <c r="Y18" s="143"/>
      <c r="Z18" s="112"/>
    </row>
    <row r="19" spans="1:26" s="79" customFormat="1" ht="57" x14ac:dyDescent="0.25">
      <c r="A19" s="652" t="s">
        <v>378</v>
      </c>
      <c r="B19" s="125" t="s">
        <v>342</v>
      </c>
      <c r="C19" s="408">
        <v>3</v>
      </c>
      <c r="D19" s="127" t="str">
        <f>+IFERROR(INDEX(PROPONENTES!$D$4:$D$109,MATCH('EXP ESPEC. 33-40'!B19,PROPONENTES!$C$4:$C$109,0)),"")</f>
        <v>INTERPRO S.A.S.</v>
      </c>
      <c r="E19" s="128" t="s">
        <v>19</v>
      </c>
      <c r="F19" s="129" t="s">
        <v>444</v>
      </c>
      <c r="G19" s="163" t="s">
        <v>5</v>
      </c>
      <c r="H19" s="163" t="s">
        <v>5</v>
      </c>
      <c r="I19" s="163" t="s">
        <v>5</v>
      </c>
      <c r="J19" s="163" t="s">
        <v>6</v>
      </c>
      <c r="K19" s="131">
        <v>0.6</v>
      </c>
      <c r="L19" s="132">
        <v>41576</v>
      </c>
      <c r="M19" s="132">
        <v>42341</v>
      </c>
      <c r="N19" s="133">
        <f t="shared" si="0"/>
        <v>2015</v>
      </c>
      <c r="O19" s="134">
        <f>+IFERROR(INDEX(PARÁMETROS!$B$11:$B$37,MATCH(N19,PARÁMETROS!$A$11:$A$37,0)),"")</f>
        <v>644350</v>
      </c>
      <c r="P19" s="135">
        <v>3104766426</v>
      </c>
      <c r="Q19" s="136" t="s">
        <v>20</v>
      </c>
      <c r="R19" s="125" t="s">
        <v>54</v>
      </c>
      <c r="S19" s="137" t="s">
        <v>54</v>
      </c>
      <c r="T19" s="138">
        <v>1</v>
      </c>
      <c r="U19" s="134">
        <f t="shared" si="1"/>
        <v>3104766426</v>
      </c>
      <c r="V19" s="139">
        <f t="shared" si="2"/>
        <v>4818.4471576006827</v>
      </c>
      <c r="W19" s="139">
        <f t="shared" si="3"/>
        <v>2891.0682945604094</v>
      </c>
      <c r="X19" s="176" t="str">
        <f>+IF(W19="","",IF(W19&gt;=PARÁMETROS!$D$5,"CUMPLE","NO CUMPLE"))</f>
        <v>CUMPLE</v>
      </c>
      <c r="Y19" s="142"/>
      <c r="Z19" s="112"/>
    </row>
    <row r="20" spans="1:26" s="79" customFormat="1" ht="57" x14ac:dyDescent="0.25">
      <c r="A20" s="653"/>
      <c r="B20" s="456" t="s">
        <v>341</v>
      </c>
      <c r="C20" s="409">
        <v>54</v>
      </c>
      <c r="D20" s="65" t="str">
        <f>+IFERROR(INDEX(PROPONENTES!$D$4:$D$109,MATCH('EXP ESPEC. 33-40'!B20,PROPONENTES!$C$4:$C$109,0)),"")</f>
        <v>ETA S.A.</v>
      </c>
      <c r="E20" s="66" t="s">
        <v>23</v>
      </c>
      <c r="F20" s="67" t="s">
        <v>424</v>
      </c>
      <c r="G20" s="161" t="s">
        <v>5</v>
      </c>
      <c r="H20" s="161" t="s">
        <v>6</v>
      </c>
      <c r="I20" s="161" t="s">
        <v>5</v>
      </c>
      <c r="J20" s="161" t="s">
        <v>6</v>
      </c>
      <c r="K20" s="69">
        <v>0.6</v>
      </c>
      <c r="L20" s="70">
        <v>37432</v>
      </c>
      <c r="M20" s="70">
        <v>38352</v>
      </c>
      <c r="N20" s="71">
        <f t="shared" si="0"/>
        <v>2004</v>
      </c>
      <c r="O20" s="72">
        <f>+IFERROR(INDEX(PARÁMETROS!$B$11:$B$37,MATCH(N20,PARÁMETROS!$A$11:$A$37,0)),"")</f>
        <v>358000</v>
      </c>
      <c r="P20" s="73">
        <v>2437834762</v>
      </c>
      <c r="Q20" s="74" t="s">
        <v>20</v>
      </c>
      <c r="R20" s="63" t="s">
        <v>54</v>
      </c>
      <c r="S20" s="75" t="s">
        <v>54</v>
      </c>
      <c r="T20" s="76">
        <v>1</v>
      </c>
      <c r="U20" s="72">
        <f t="shared" si="1"/>
        <v>2437834762</v>
      </c>
      <c r="V20" s="60">
        <f t="shared" si="2"/>
        <v>6809.5943072625696</v>
      </c>
      <c r="W20" s="60">
        <f t="shared" si="3"/>
        <v>4085.7565843575417</v>
      </c>
      <c r="X20" s="78" t="str">
        <f>+IF(W20="","",IF(W20&gt;=PARÁMETROS!$D$5,"CUMPLE","NO CUMPLE"))</f>
        <v>CUMPLE</v>
      </c>
      <c r="Y20" s="143"/>
      <c r="Z20" s="112"/>
    </row>
    <row r="21" spans="1:26" s="79" customFormat="1" ht="74.25" customHeight="1" x14ac:dyDescent="0.25">
      <c r="A21" s="653"/>
      <c r="B21" s="456" t="s">
        <v>341</v>
      </c>
      <c r="C21" s="409"/>
      <c r="D21" s="65" t="str">
        <f>+IFERROR(INDEX(PROPONENTES!$D$4:$D$109,MATCH('EXP ESPEC. 33-40'!B21,PROPONENTES!$C$4:$C$109,0)),"")</f>
        <v>ETA S.A.</v>
      </c>
      <c r="E21" s="82"/>
      <c r="F21" s="67"/>
      <c r="G21" s="161"/>
      <c r="H21" s="161"/>
      <c r="I21" s="161"/>
      <c r="J21" s="161"/>
      <c r="K21" s="69"/>
      <c r="L21" s="70"/>
      <c r="M21" s="70"/>
      <c r="N21" s="71"/>
      <c r="O21" s="72"/>
      <c r="P21" s="73"/>
      <c r="Q21" s="74" t="s">
        <v>20</v>
      </c>
      <c r="R21" s="63" t="s">
        <v>54</v>
      </c>
      <c r="S21" s="75" t="s">
        <v>54</v>
      </c>
      <c r="T21" s="76"/>
      <c r="U21" s="72" t="str">
        <f t="shared" si="1"/>
        <v/>
      </c>
      <c r="V21" s="60" t="str">
        <f t="shared" si="2"/>
        <v/>
      </c>
      <c r="W21" s="60" t="str">
        <f t="shared" si="3"/>
        <v/>
      </c>
      <c r="X21" s="502" t="s">
        <v>861</v>
      </c>
      <c r="Y21" s="706" t="s">
        <v>883</v>
      </c>
      <c r="Z21" s="112"/>
    </row>
    <row r="22" spans="1:26" s="88" customFormat="1" ht="81.75" customHeight="1" thickBot="1" x14ac:dyDescent="0.3">
      <c r="A22" s="654"/>
      <c r="B22" s="456" t="s">
        <v>342</v>
      </c>
      <c r="C22" s="409"/>
      <c r="D22" s="65" t="str">
        <f>+IFERROR(INDEX(PROPONENTES!$D$4:$D$109,MATCH('EXP ESPEC. 33-40'!B22,PROPONENTES!$C$4:$C$109,0)),"")</f>
        <v>INTERPRO S.A.S.</v>
      </c>
      <c r="E22" s="66"/>
      <c r="F22" s="67"/>
      <c r="G22" s="161"/>
      <c r="H22" s="161"/>
      <c r="I22" s="161"/>
      <c r="J22" s="161"/>
      <c r="K22" s="69"/>
      <c r="L22" s="70"/>
      <c r="M22" s="70"/>
      <c r="N22" s="71"/>
      <c r="O22" s="72"/>
      <c r="P22" s="73"/>
      <c r="Q22" s="74" t="s">
        <v>20</v>
      </c>
      <c r="R22" s="63" t="s">
        <v>54</v>
      </c>
      <c r="S22" s="75" t="s">
        <v>54</v>
      </c>
      <c r="T22" s="76"/>
      <c r="U22" s="72" t="str">
        <f>IF(T22&lt;&gt;"",P22*T22,"")</f>
        <v/>
      </c>
      <c r="V22" s="60" t="str">
        <f>+IFERROR(U22/O22,"")</f>
        <v/>
      </c>
      <c r="W22" s="60" t="str">
        <f>IFERROR(V22*K22,"")</f>
        <v/>
      </c>
      <c r="X22" s="589" t="s">
        <v>861</v>
      </c>
      <c r="Y22" s="707"/>
      <c r="Z22" s="166"/>
    </row>
    <row r="23" spans="1:26" s="79" customFormat="1" ht="57" x14ac:dyDescent="0.25">
      <c r="A23" s="652" t="s">
        <v>379</v>
      </c>
      <c r="B23" s="125" t="s">
        <v>343</v>
      </c>
      <c r="C23" s="408">
        <v>4</v>
      </c>
      <c r="D23" s="127" t="str">
        <f>+IFERROR(INDEX(PROPONENTES!$D$4:$D$109,MATCH('EXP ESPEC. 33-40'!B23,PROPONENTES!$C$4:$C$109,0)),"")</f>
        <v>SERINCO COLOMBIA</v>
      </c>
      <c r="E23" s="128" t="s">
        <v>25</v>
      </c>
      <c r="F23" s="129" t="s">
        <v>432</v>
      </c>
      <c r="G23" s="163" t="s">
        <v>6</v>
      </c>
      <c r="H23" s="163" t="s">
        <v>6</v>
      </c>
      <c r="I23" s="163" t="s">
        <v>5</v>
      </c>
      <c r="J23" s="163" t="s">
        <v>6</v>
      </c>
      <c r="K23" s="131">
        <v>0.5</v>
      </c>
      <c r="L23" s="132">
        <v>36564</v>
      </c>
      <c r="M23" s="132">
        <v>38175</v>
      </c>
      <c r="N23" s="133">
        <f t="shared" si="0"/>
        <v>2004</v>
      </c>
      <c r="O23" s="134">
        <f>+IFERROR(INDEX(PARÁMETROS!$B$11:$B$37,MATCH(N23,PARÁMETROS!$A$11:$A$37,0)),"")</f>
        <v>358000</v>
      </c>
      <c r="P23" s="135">
        <v>1913345.14</v>
      </c>
      <c r="Q23" s="136" t="s">
        <v>24</v>
      </c>
      <c r="R23" s="125">
        <v>1.2287999999999999</v>
      </c>
      <c r="S23" s="137">
        <f>+R23*P23</f>
        <v>2351118.5080319997</v>
      </c>
      <c r="T23" s="138">
        <v>2672.95</v>
      </c>
      <c r="U23" s="134">
        <f t="shared" si="1"/>
        <v>5114275891.9629993</v>
      </c>
      <c r="V23" s="139">
        <f t="shared" si="2"/>
        <v>14285.686849058657</v>
      </c>
      <c r="W23" s="139">
        <f t="shared" si="3"/>
        <v>7142.8434245293283</v>
      </c>
      <c r="X23" s="176" t="str">
        <f>+IF(W23="","",IF(W23&gt;=PARÁMETROS!$D$5,"CUMPLE","NO CUMPLE"))</f>
        <v>CUMPLE</v>
      </c>
      <c r="Y23" s="142"/>
      <c r="Z23" s="112"/>
    </row>
    <row r="24" spans="1:26" s="79" customFormat="1" ht="57" x14ac:dyDescent="0.25">
      <c r="A24" s="653"/>
      <c r="B24" s="63" t="s">
        <v>345</v>
      </c>
      <c r="C24" s="409">
        <v>8</v>
      </c>
      <c r="D24" s="65" t="str">
        <f>+IFERROR(INDEX(PROPONENTES!$D$4:$D$109,MATCH('EXP ESPEC. 33-40'!B24,PROPONENTES!$C$4:$C$109,0)),"")</f>
        <v>DICONSULTORIA S.A.</v>
      </c>
      <c r="E24" s="66" t="s">
        <v>431</v>
      </c>
      <c r="F24" s="67" t="s">
        <v>433</v>
      </c>
      <c r="G24" s="161" t="s">
        <v>5</v>
      </c>
      <c r="H24" s="161" t="s">
        <v>6</v>
      </c>
      <c r="I24" s="161" t="s">
        <v>5</v>
      </c>
      <c r="J24" s="161" t="s">
        <v>6</v>
      </c>
      <c r="K24" s="69">
        <v>1</v>
      </c>
      <c r="L24" s="70">
        <v>40792</v>
      </c>
      <c r="M24" s="70">
        <v>41325</v>
      </c>
      <c r="N24" s="71">
        <f t="shared" si="0"/>
        <v>2013</v>
      </c>
      <c r="O24" s="72">
        <f>+IFERROR(INDEX(PARÁMETROS!$B$11:$B$37,MATCH(N24,PARÁMETROS!$A$11:$A$37,0)),"")</f>
        <v>589500</v>
      </c>
      <c r="P24" s="73">
        <v>1708675592</v>
      </c>
      <c r="Q24" s="74" t="s">
        <v>20</v>
      </c>
      <c r="R24" s="63" t="s">
        <v>54</v>
      </c>
      <c r="S24" s="75" t="s">
        <v>54</v>
      </c>
      <c r="T24" s="76">
        <v>1</v>
      </c>
      <c r="U24" s="72">
        <f t="shared" si="1"/>
        <v>1708675592</v>
      </c>
      <c r="V24" s="60">
        <f t="shared" si="2"/>
        <v>2898.5166955046648</v>
      </c>
      <c r="W24" s="60">
        <f t="shared" si="3"/>
        <v>2898.5166955046648</v>
      </c>
      <c r="X24" s="78" t="str">
        <f>+IF(W24="","",IF(W24&gt;=PARÁMETROS!$D$5,"CUMPLE","NO CUMPLE"))</f>
        <v>CUMPLE</v>
      </c>
      <c r="Y24" s="143"/>
      <c r="Z24" s="112"/>
    </row>
    <row r="25" spans="1:26" s="79" customFormat="1" ht="42.75" x14ac:dyDescent="0.25">
      <c r="A25" s="653"/>
      <c r="B25" s="63" t="s">
        <v>345</v>
      </c>
      <c r="C25" s="409">
        <v>17</v>
      </c>
      <c r="D25" s="65" t="str">
        <f>+IFERROR(INDEX(PROPONENTES!$D$4:$D$109,MATCH('EXP ESPEC. 33-40'!B25,PROPONENTES!$C$4:$C$109,0)),"")</f>
        <v>DICONSULTORIA S.A.</v>
      </c>
      <c r="E25" s="66" t="s">
        <v>21</v>
      </c>
      <c r="F25" s="67" t="s">
        <v>434</v>
      </c>
      <c r="G25" s="161" t="s">
        <v>5</v>
      </c>
      <c r="H25" s="161" t="s">
        <v>6</v>
      </c>
      <c r="I25" s="161" t="s">
        <v>5</v>
      </c>
      <c r="J25" s="161" t="s">
        <v>6</v>
      </c>
      <c r="K25" s="69">
        <v>0.5</v>
      </c>
      <c r="L25" s="70">
        <v>37411</v>
      </c>
      <c r="M25" s="70">
        <v>38776</v>
      </c>
      <c r="N25" s="71">
        <f t="shared" si="0"/>
        <v>2006</v>
      </c>
      <c r="O25" s="72">
        <f>+IFERROR(INDEX(PARÁMETROS!$B$11:$B$37,MATCH(N25,PARÁMETROS!$A$11:$A$37,0)),"")</f>
        <v>408000</v>
      </c>
      <c r="P25" s="73">
        <v>3791186168</v>
      </c>
      <c r="Q25" s="74" t="s">
        <v>20</v>
      </c>
      <c r="R25" s="63" t="s">
        <v>54</v>
      </c>
      <c r="S25" s="75" t="s">
        <v>54</v>
      </c>
      <c r="T25" s="76">
        <v>1</v>
      </c>
      <c r="U25" s="72">
        <f t="shared" si="1"/>
        <v>3791186168</v>
      </c>
      <c r="V25" s="60">
        <f t="shared" si="2"/>
        <v>9292.1229607843143</v>
      </c>
      <c r="W25" s="60">
        <f t="shared" si="3"/>
        <v>4646.0614803921571</v>
      </c>
      <c r="X25" s="78" t="str">
        <f>+IF(W25="","",IF(W25&gt;=PARÁMETROS!$D$5,"CUMPLE","NO CUMPLE"))</f>
        <v>CUMPLE</v>
      </c>
      <c r="Y25" s="143"/>
      <c r="Z25" s="112"/>
    </row>
    <row r="26" spans="1:26" s="79" customFormat="1" ht="57.75" thickBot="1" x14ac:dyDescent="0.3">
      <c r="A26" s="685"/>
      <c r="B26" s="210" t="s">
        <v>345</v>
      </c>
      <c r="C26" s="410">
        <v>23</v>
      </c>
      <c r="D26" s="211" t="str">
        <f>+IFERROR(INDEX(PROPONENTES!$D$4:$D$109,MATCH('EXP ESPEC. 33-40'!B26,PROPONENTES!$C$4:$C$109,0)),"")</f>
        <v>DICONSULTORIA S.A.</v>
      </c>
      <c r="E26" s="212" t="s">
        <v>398</v>
      </c>
      <c r="F26" s="213" t="s">
        <v>435</v>
      </c>
      <c r="G26" s="214" t="s">
        <v>5</v>
      </c>
      <c r="H26" s="214" t="s">
        <v>5</v>
      </c>
      <c r="I26" s="214" t="s">
        <v>5</v>
      </c>
      <c r="J26" s="214" t="s">
        <v>6</v>
      </c>
      <c r="K26" s="215">
        <v>0.6</v>
      </c>
      <c r="L26" s="216">
        <v>37188</v>
      </c>
      <c r="M26" s="216">
        <v>38771</v>
      </c>
      <c r="N26" s="217">
        <f t="shared" si="0"/>
        <v>2006</v>
      </c>
      <c r="O26" s="202">
        <f>+IFERROR(INDEX(PARÁMETROS!$B$11:$B$37,MATCH(N26,PARÁMETROS!$A$11:$A$37,0)),"")</f>
        <v>408000</v>
      </c>
      <c r="P26" s="218">
        <v>2111434083</v>
      </c>
      <c r="Q26" s="203" t="s">
        <v>20</v>
      </c>
      <c r="R26" s="210" t="s">
        <v>54</v>
      </c>
      <c r="S26" s="219" t="s">
        <v>54</v>
      </c>
      <c r="T26" s="220">
        <v>1</v>
      </c>
      <c r="U26" s="202">
        <f t="shared" si="1"/>
        <v>2111434083</v>
      </c>
      <c r="V26" s="204">
        <f t="shared" si="2"/>
        <v>5175.083536764706</v>
      </c>
      <c r="W26" s="204">
        <f t="shared" si="3"/>
        <v>3105.0501220588235</v>
      </c>
      <c r="X26" s="214" t="str">
        <f>+IF(W26="","",IF(W26&gt;=PARÁMETROS!$D$5,"CUMPLE","NO CUMPLE"))</f>
        <v>CUMPLE</v>
      </c>
      <c r="Y26" s="221"/>
      <c r="Z26" s="112"/>
    </row>
    <row r="27" spans="1:26" s="79" customFormat="1" ht="57" x14ac:dyDescent="0.25">
      <c r="A27" s="652" t="s">
        <v>380</v>
      </c>
      <c r="B27" s="125" t="s">
        <v>346</v>
      </c>
      <c r="C27" s="408">
        <v>5</v>
      </c>
      <c r="D27" s="127" t="str">
        <f>+IFERROR(INDEX(PROPONENTES!$D$4:$D$109,MATCH('EXP ESPEC. 33-40'!B27,PROPONENTES!$C$4:$C$109,0)),"")</f>
        <v>WSP SERVICIOS S.A.S.</v>
      </c>
      <c r="E27" s="128" t="s">
        <v>398</v>
      </c>
      <c r="F27" s="129" t="s">
        <v>439</v>
      </c>
      <c r="G27" s="452" t="s">
        <v>5</v>
      </c>
      <c r="H27" s="452" t="s">
        <v>5</v>
      </c>
      <c r="I27" s="452" t="s">
        <v>5</v>
      </c>
      <c r="J27" s="452" t="s">
        <v>6</v>
      </c>
      <c r="K27" s="131">
        <v>1</v>
      </c>
      <c r="L27" s="132">
        <v>38279</v>
      </c>
      <c r="M27" s="132">
        <v>39813</v>
      </c>
      <c r="N27" s="133">
        <f t="shared" si="0"/>
        <v>2008</v>
      </c>
      <c r="O27" s="134">
        <f>+IFERROR(INDEX([12]PARÁMETROS!$B$11:$B$37,MATCH(N27,[12]PARÁMETROS!$A$11:$A$37,0)),"")</f>
        <v>461500</v>
      </c>
      <c r="P27" s="135">
        <v>3975262277</v>
      </c>
      <c r="Q27" s="136" t="s">
        <v>20</v>
      </c>
      <c r="R27" s="125" t="s">
        <v>54</v>
      </c>
      <c r="S27" s="137" t="s">
        <v>54</v>
      </c>
      <c r="T27" s="138">
        <v>1</v>
      </c>
      <c r="U27" s="134">
        <f t="shared" si="1"/>
        <v>3975262277</v>
      </c>
      <c r="V27" s="139">
        <f t="shared" si="2"/>
        <v>8613.7860823401952</v>
      </c>
      <c r="W27" s="139">
        <f t="shared" si="3"/>
        <v>8613.7860823401952</v>
      </c>
      <c r="X27" s="176" t="str">
        <f>+IF(W27="","",IF(W27&gt;=PARÁMETROS!$D$5,"CUMPLE","NO CUMPLE"))</f>
        <v>CUMPLE</v>
      </c>
      <c r="Y27" s="142"/>
      <c r="Z27" s="112"/>
    </row>
    <row r="28" spans="1:26" s="79" customFormat="1" ht="57" x14ac:dyDescent="0.25">
      <c r="A28" s="653"/>
      <c r="B28" s="63" t="s">
        <v>346</v>
      </c>
      <c r="C28" s="409">
        <v>9</v>
      </c>
      <c r="D28" s="65" t="str">
        <f>+IFERROR(INDEX(PROPONENTES!$D$4:$D$109,MATCH('EXP ESPEC. 33-40'!B28,PROPONENTES!$C$4:$C$109,0)),"")</f>
        <v>WSP SERVICIOS S.A.S.</v>
      </c>
      <c r="E28" s="66" t="s">
        <v>437</v>
      </c>
      <c r="F28" s="67" t="s">
        <v>441</v>
      </c>
      <c r="G28" s="453" t="s">
        <v>5</v>
      </c>
      <c r="H28" s="453" t="s">
        <v>6</v>
      </c>
      <c r="I28" s="453" t="s">
        <v>5</v>
      </c>
      <c r="J28" s="453" t="s">
        <v>6</v>
      </c>
      <c r="K28" s="69">
        <v>1</v>
      </c>
      <c r="L28" s="70">
        <v>40498</v>
      </c>
      <c r="M28" s="70">
        <v>40973</v>
      </c>
      <c r="N28" s="71">
        <f t="shared" si="0"/>
        <v>2012</v>
      </c>
      <c r="O28" s="72">
        <f>+IFERROR(INDEX([12]PARÁMETROS!$B$11:$B$37,MATCH(N28,[12]PARÁMETROS!$A$11:$A$37,0)),"")</f>
        <v>566700</v>
      </c>
      <c r="P28" s="73">
        <v>2159476666</v>
      </c>
      <c r="Q28" s="74" t="s">
        <v>20</v>
      </c>
      <c r="R28" s="456" t="s">
        <v>54</v>
      </c>
      <c r="S28" s="75" t="s">
        <v>54</v>
      </c>
      <c r="T28" s="76">
        <v>1</v>
      </c>
      <c r="U28" s="72">
        <f t="shared" si="1"/>
        <v>2159476666</v>
      </c>
      <c r="V28" s="60">
        <f t="shared" si="2"/>
        <v>3810.6170213516853</v>
      </c>
      <c r="W28" s="60">
        <f t="shared" si="3"/>
        <v>3810.6170213516853</v>
      </c>
      <c r="X28" s="179" t="str">
        <f>+IF(W28="","",IF(W28&gt;=PARÁMETROS!$D$5,"CUMPLE","NO CUMPLE"))</f>
        <v>CUMPLE</v>
      </c>
      <c r="Y28" s="143"/>
      <c r="Z28" s="112"/>
    </row>
    <row r="29" spans="1:26" s="79" customFormat="1" ht="71.25" x14ac:dyDescent="0.25">
      <c r="A29" s="653"/>
      <c r="B29" s="63" t="s">
        <v>346</v>
      </c>
      <c r="C29" s="409">
        <v>26</v>
      </c>
      <c r="D29" s="65" t="str">
        <f>+IFERROR(INDEX(PROPONENTES!$D$4:$D$109,MATCH('EXP ESPEC. 33-40'!B29,PROPONENTES!$C$4:$C$109,0)),"")</f>
        <v>WSP SERVICIOS S.A.S.</v>
      </c>
      <c r="E29" s="66" t="s">
        <v>23</v>
      </c>
      <c r="F29" s="67" t="s">
        <v>442</v>
      </c>
      <c r="G29" s="453" t="s">
        <v>5</v>
      </c>
      <c r="H29" s="453" t="s">
        <v>6</v>
      </c>
      <c r="I29" s="453" t="s">
        <v>5</v>
      </c>
      <c r="J29" s="453" t="s">
        <v>6</v>
      </c>
      <c r="K29" s="69">
        <v>0.5</v>
      </c>
      <c r="L29" s="70">
        <v>42694</v>
      </c>
      <c r="M29" s="70">
        <v>41232</v>
      </c>
      <c r="N29" s="71">
        <f t="shared" si="0"/>
        <v>2012</v>
      </c>
      <c r="O29" s="72">
        <f>+IFERROR(INDEX([12]PARÁMETROS!$B$11:$B$37,MATCH(N29,[12]PARÁMETROS!$A$11:$A$37,0)),"")</f>
        <v>566700</v>
      </c>
      <c r="P29" s="73">
        <v>4761160509</v>
      </c>
      <c r="Q29" s="74" t="s">
        <v>20</v>
      </c>
      <c r="R29" s="456" t="s">
        <v>54</v>
      </c>
      <c r="S29" s="75" t="s">
        <v>54</v>
      </c>
      <c r="T29" s="76">
        <v>1</v>
      </c>
      <c r="U29" s="72">
        <f t="shared" si="1"/>
        <v>4761160509</v>
      </c>
      <c r="V29" s="60">
        <f t="shared" si="2"/>
        <v>8401.5537480148232</v>
      </c>
      <c r="W29" s="60">
        <f t="shared" si="3"/>
        <v>4200.7768740074116</v>
      </c>
      <c r="X29" s="179" t="str">
        <f>+IF(W29="","",IF(W29&gt;=PARÁMETROS!$D$5,"CUMPLE","NO CUMPLE"))</f>
        <v>CUMPLE</v>
      </c>
      <c r="Y29" s="143"/>
      <c r="Z29" s="112"/>
    </row>
    <row r="30" spans="1:26" s="79" customFormat="1" ht="29.25" thickBot="1" x14ac:dyDescent="0.3">
      <c r="A30" s="654"/>
      <c r="B30" s="145" t="s">
        <v>344</v>
      </c>
      <c r="C30" s="411">
        <v>58</v>
      </c>
      <c r="D30" s="146" t="str">
        <f>+IFERROR(INDEX(PROPONENTES!$D$4:$D$109,MATCH('EXP ESPEC. 33-40'!B30,PROPONENTES!$C$4:$C$109,0)),"")</f>
        <v>SMA S.A.</v>
      </c>
      <c r="E30" s="43" t="s">
        <v>436</v>
      </c>
      <c r="F30" s="222" t="s">
        <v>438</v>
      </c>
      <c r="G30" s="454" t="s">
        <v>5</v>
      </c>
      <c r="H30" s="454" t="s">
        <v>6</v>
      </c>
      <c r="I30" s="454" t="s">
        <v>5</v>
      </c>
      <c r="J30" s="454" t="s">
        <v>6</v>
      </c>
      <c r="K30" s="223">
        <v>0.45</v>
      </c>
      <c r="L30" s="224">
        <v>39125</v>
      </c>
      <c r="M30" s="224">
        <v>42012</v>
      </c>
      <c r="N30" s="225">
        <f t="shared" si="0"/>
        <v>2015</v>
      </c>
      <c r="O30" s="226">
        <f>+IFERROR(INDEX([12]PARÁMETROS!$B$11:$B$37,MATCH(N30,[12]PARÁMETROS!$A$11:$A$37,0)),"")</f>
        <v>644350</v>
      </c>
      <c r="P30" s="227">
        <v>15319357761</v>
      </c>
      <c r="Q30" s="228" t="s">
        <v>20</v>
      </c>
      <c r="R30" s="229" t="s">
        <v>54</v>
      </c>
      <c r="S30" s="230" t="s">
        <v>54</v>
      </c>
      <c r="T30" s="231">
        <v>1</v>
      </c>
      <c r="U30" s="226">
        <f t="shared" si="1"/>
        <v>15319357761</v>
      </c>
      <c r="V30" s="232">
        <f t="shared" si="2"/>
        <v>23774.901468146192</v>
      </c>
      <c r="W30" s="232">
        <f t="shared" si="3"/>
        <v>10698.705660665786</v>
      </c>
      <c r="X30" s="180" t="str">
        <f>+IF(W30="","",IF(W30&gt;=PARÁMETROS!$D$5,"CUMPLE","NO CUMPLE"))</f>
        <v>CUMPLE</v>
      </c>
      <c r="Y30" s="178"/>
      <c r="Z30" s="112"/>
    </row>
    <row r="31" spans="1:26" s="79" customFormat="1" ht="57" x14ac:dyDescent="0.25">
      <c r="A31" s="652" t="s">
        <v>381</v>
      </c>
      <c r="B31" s="125" t="s">
        <v>347</v>
      </c>
      <c r="C31" s="408">
        <v>4</v>
      </c>
      <c r="D31" s="127" t="str">
        <f>+IFERROR(INDEX(PROPONENTES!$D$4:$D$109,MATCH('EXP ESPEC. 33-40'!B31,PROPONENTES!$C$4:$C$109,0)),"")</f>
        <v>PLANES S.A.</v>
      </c>
      <c r="E31" s="128" t="s">
        <v>425</v>
      </c>
      <c r="F31" s="129" t="s">
        <v>449</v>
      </c>
      <c r="G31" s="181" t="s">
        <v>5</v>
      </c>
      <c r="H31" s="181" t="s">
        <v>6</v>
      </c>
      <c r="I31" s="181" t="s">
        <v>5</v>
      </c>
      <c r="J31" s="181" t="s">
        <v>6</v>
      </c>
      <c r="K31" s="233">
        <v>0.245</v>
      </c>
      <c r="L31" s="132">
        <v>40186</v>
      </c>
      <c r="M31" s="132">
        <v>41913</v>
      </c>
      <c r="N31" s="133">
        <f t="shared" si="0"/>
        <v>2014</v>
      </c>
      <c r="O31" s="134">
        <f>+IFERROR(INDEX(PARÁMETROS!$B$11:$B$37,MATCH(N31,PARÁMETROS!$A$11:$A$37,0)),"")</f>
        <v>616000</v>
      </c>
      <c r="P31" s="135">
        <v>10922423850.5</v>
      </c>
      <c r="Q31" s="136" t="s">
        <v>20</v>
      </c>
      <c r="R31" s="125" t="s">
        <v>54</v>
      </c>
      <c r="S31" s="137" t="s">
        <v>54</v>
      </c>
      <c r="T31" s="138">
        <v>1</v>
      </c>
      <c r="U31" s="134">
        <f t="shared" si="1"/>
        <v>10922423850.5</v>
      </c>
      <c r="V31" s="139">
        <f t="shared" si="2"/>
        <v>17731.207549512987</v>
      </c>
      <c r="W31" s="139">
        <f t="shared" si="3"/>
        <v>4344.1458496306814</v>
      </c>
      <c r="X31" s="176" t="str">
        <f>+IF(W31="","",IF(W31&gt;=PARÁMETROS!$D$5,"CUMPLE","NO CUMPLE"))</f>
        <v>CUMPLE</v>
      </c>
      <c r="Y31" s="142"/>
      <c r="Z31" s="112"/>
    </row>
    <row r="32" spans="1:26" s="79" customFormat="1" ht="57" x14ac:dyDescent="0.25">
      <c r="A32" s="653"/>
      <c r="B32" s="63" t="s">
        <v>347</v>
      </c>
      <c r="C32" s="409">
        <v>7</v>
      </c>
      <c r="D32" s="65" t="str">
        <f>+IFERROR(INDEX(PROPONENTES!$D$4:$D$109,MATCH('EXP ESPEC. 33-40'!B32,PROPONENTES!$C$4:$C$109,0)),"")</f>
        <v>PLANES S.A.</v>
      </c>
      <c r="E32" s="66" t="s">
        <v>446</v>
      </c>
      <c r="F32" s="67" t="s">
        <v>450</v>
      </c>
      <c r="G32" s="179" t="s">
        <v>5</v>
      </c>
      <c r="H32" s="179" t="s">
        <v>5</v>
      </c>
      <c r="I32" s="179" t="s">
        <v>5</v>
      </c>
      <c r="J32" s="179" t="s">
        <v>6</v>
      </c>
      <c r="K32" s="69">
        <v>0.25</v>
      </c>
      <c r="L32" s="70">
        <v>38718</v>
      </c>
      <c r="M32" s="70">
        <v>42063</v>
      </c>
      <c r="N32" s="71">
        <f t="shared" si="0"/>
        <v>2015</v>
      </c>
      <c r="O32" s="72">
        <f>+IFERROR(INDEX(PARÁMETROS!$B$11:$B$37,MATCH(N32,PARÁMETROS!$A$11:$A$37,0)),"")</f>
        <v>644350</v>
      </c>
      <c r="P32" s="73">
        <v>8567960679</v>
      </c>
      <c r="Q32" s="74" t="s">
        <v>20</v>
      </c>
      <c r="R32" s="63" t="s">
        <v>54</v>
      </c>
      <c r="S32" s="75" t="s">
        <v>54</v>
      </c>
      <c r="T32" s="76">
        <v>1</v>
      </c>
      <c r="U32" s="72">
        <f t="shared" si="1"/>
        <v>8567960679</v>
      </c>
      <c r="V32" s="60">
        <f t="shared" si="2"/>
        <v>13297.060105532708</v>
      </c>
      <c r="W32" s="60">
        <f t="shared" si="3"/>
        <v>3324.265026383177</v>
      </c>
      <c r="X32" s="78" t="str">
        <f>+IF(W32="","",IF(W32&gt;=PARÁMETROS!$D$5,"CUMPLE","NO CUMPLE"))</f>
        <v>CUMPLE</v>
      </c>
      <c r="Y32" s="143"/>
      <c r="Z32" s="112"/>
    </row>
    <row r="33" spans="1:26" s="79" customFormat="1" ht="71.25" x14ac:dyDescent="0.25">
      <c r="A33" s="653"/>
      <c r="B33" s="63" t="s">
        <v>347</v>
      </c>
      <c r="C33" s="409">
        <v>11</v>
      </c>
      <c r="D33" s="65" t="str">
        <f>+IFERROR(INDEX(PROPONENTES!$D$4:$D$109,MATCH('EXP ESPEC. 33-40'!B33,PROPONENTES!$C$4:$C$109,0)),"")</f>
        <v>PLANES S.A.</v>
      </c>
      <c r="E33" s="66" t="s">
        <v>445</v>
      </c>
      <c r="F33" s="67" t="s">
        <v>454</v>
      </c>
      <c r="G33" s="179" t="s">
        <v>5</v>
      </c>
      <c r="H33" s="179" t="s">
        <v>6</v>
      </c>
      <c r="I33" s="179" t="s">
        <v>5</v>
      </c>
      <c r="J33" s="179" t="s">
        <v>6</v>
      </c>
      <c r="K33" s="69">
        <v>0.5</v>
      </c>
      <c r="L33" s="70">
        <v>37288</v>
      </c>
      <c r="M33" s="70">
        <v>41779</v>
      </c>
      <c r="N33" s="71">
        <f t="shared" si="0"/>
        <v>2014</v>
      </c>
      <c r="O33" s="72">
        <f>+IFERROR(INDEX(PARÁMETROS!$B$11:$B$37,MATCH(N33,PARÁMETROS!$A$11:$A$37,0)),"")</f>
        <v>616000</v>
      </c>
      <c r="P33" s="73"/>
      <c r="Q33" s="74" t="s">
        <v>20</v>
      </c>
      <c r="R33" s="63" t="s">
        <v>54</v>
      </c>
      <c r="S33" s="75" t="s">
        <v>54</v>
      </c>
      <c r="T33" s="76">
        <v>1</v>
      </c>
      <c r="U33" s="72"/>
      <c r="V33" s="60">
        <v>15268.54</v>
      </c>
      <c r="W33" s="60">
        <f t="shared" si="3"/>
        <v>7634.27</v>
      </c>
      <c r="X33" s="78" t="str">
        <f>+IF(W33="","",IF(W33&gt;=PARÁMETROS!$D$5,"CUMPLE","NO CUMPLE"))</f>
        <v>CUMPLE</v>
      </c>
      <c r="Y33" s="143"/>
      <c r="Z33" s="112"/>
    </row>
    <row r="34" spans="1:26" s="79" customFormat="1" ht="43.5" thickBot="1" x14ac:dyDescent="0.3">
      <c r="A34" s="654"/>
      <c r="B34" s="63" t="s">
        <v>349</v>
      </c>
      <c r="C34" s="409">
        <v>13</v>
      </c>
      <c r="D34" s="65" t="str">
        <f>+IFERROR(INDEX(PROPONENTES!$D$4:$D$109,MATCH('EXP ESPEC. 33-40'!B34,PROPONENTES!$C$4:$C$109,0)),"")</f>
        <v>HIDROCONSULTA S.A.S.</v>
      </c>
      <c r="E34" s="66" t="s">
        <v>21</v>
      </c>
      <c r="F34" s="66" t="s">
        <v>452</v>
      </c>
      <c r="G34" s="179" t="s">
        <v>5</v>
      </c>
      <c r="H34" s="179" t="s">
        <v>6</v>
      </c>
      <c r="I34" s="179" t="s">
        <v>5</v>
      </c>
      <c r="J34" s="179" t="s">
        <v>6</v>
      </c>
      <c r="K34" s="80">
        <v>0.35</v>
      </c>
      <c r="L34" s="70">
        <v>40063</v>
      </c>
      <c r="M34" s="70">
        <v>42004</v>
      </c>
      <c r="N34" s="71">
        <f t="shared" si="0"/>
        <v>2014</v>
      </c>
      <c r="O34" s="72">
        <f>+IFERROR(INDEX(PARÁMETROS!$B$11:$B$37,MATCH(N34,PARÁMETROS!$A$11:$A$37,0)),"")</f>
        <v>616000</v>
      </c>
      <c r="P34" s="81">
        <v>7687232827</v>
      </c>
      <c r="Q34" s="72" t="s">
        <v>20</v>
      </c>
      <c r="R34" s="63" t="s">
        <v>54</v>
      </c>
      <c r="S34" s="75" t="s">
        <v>54</v>
      </c>
      <c r="T34" s="76">
        <v>1</v>
      </c>
      <c r="U34" s="72">
        <f>IF(T34&lt;&gt;"",P34*T34,"")</f>
        <v>7687232827</v>
      </c>
      <c r="V34" s="60">
        <f>+IFERROR(U34/O34,"")</f>
        <v>12479.274069805195</v>
      </c>
      <c r="W34" s="60">
        <f t="shared" si="3"/>
        <v>4367.7459244318179</v>
      </c>
      <c r="X34" s="159" t="str">
        <f>+IF(W34="","",IF(W34&gt;=PARÁMETROS!$D$5,"CUMPLE","NO CUMPLE"))</f>
        <v>CUMPLE</v>
      </c>
      <c r="Y34" s="143"/>
      <c r="Z34" s="112"/>
    </row>
    <row r="35" spans="1:26" s="79" customFormat="1" ht="30" customHeight="1" x14ac:dyDescent="0.25">
      <c r="A35" s="652"/>
      <c r="B35" s="125"/>
      <c r="C35" s="408"/>
      <c r="D35" s="127" t="str">
        <f>+IFERROR(INDEX(PROPONENTES!$D$4:$D$109,MATCH('EXP ESPEC. 33-40'!B35,PROPONENTES!$C$4:$C$109,0)),"")</f>
        <v/>
      </c>
      <c r="E35" s="128"/>
      <c r="F35" s="128"/>
      <c r="G35" s="130"/>
      <c r="H35" s="130"/>
      <c r="I35" s="130"/>
      <c r="J35" s="130"/>
      <c r="K35" s="170"/>
      <c r="L35" s="132"/>
      <c r="M35" s="132"/>
      <c r="N35" s="133" t="str">
        <f t="shared" si="0"/>
        <v/>
      </c>
      <c r="O35" s="134" t="str">
        <f>+IFERROR(INDEX(PARÁMETROS!$B$11:$B$37,MATCH(N35,PARÁMETROS!$A$11:$A$37,0)),"")</f>
        <v/>
      </c>
      <c r="P35" s="171"/>
      <c r="Q35" s="134"/>
      <c r="R35" s="125"/>
      <c r="S35" s="137"/>
      <c r="T35" s="138"/>
      <c r="U35" s="134" t="str">
        <f t="shared" si="1"/>
        <v/>
      </c>
      <c r="V35" s="139" t="str">
        <f t="shared" si="2"/>
        <v/>
      </c>
      <c r="W35" s="139" t="str">
        <f t="shared" si="3"/>
        <v/>
      </c>
      <c r="X35" s="176" t="str">
        <f>+IF(W35="","",IF(W35&gt;=PARÁMETROS!$D$5,"CUMPLE","NO CUMPLE"))</f>
        <v/>
      </c>
      <c r="Y35" s="142"/>
      <c r="Z35" s="112"/>
    </row>
    <row r="36" spans="1:26" s="79" customFormat="1" ht="30" customHeight="1" x14ac:dyDescent="0.25">
      <c r="A36" s="653"/>
      <c r="B36" s="63"/>
      <c r="C36" s="409"/>
      <c r="D36" s="65" t="str">
        <f>+IFERROR(INDEX(PROPONENTES!$D$4:$D$109,MATCH('EXP ESPEC. 33-40'!B36,PROPONENTES!$C$4:$C$109,0)),"")</f>
        <v/>
      </c>
      <c r="E36" s="66"/>
      <c r="F36" s="66"/>
      <c r="G36" s="68"/>
      <c r="H36" s="68"/>
      <c r="I36" s="68"/>
      <c r="J36" s="68"/>
      <c r="K36" s="80"/>
      <c r="L36" s="70"/>
      <c r="M36" s="70"/>
      <c r="N36" s="71" t="str">
        <f t="shared" si="0"/>
        <v/>
      </c>
      <c r="O36" s="72" t="str">
        <f>+IFERROR(INDEX(PARÁMETROS!$B$11:$B$37,MATCH(N36,PARÁMETROS!$A$11:$A$37,0)),"")</f>
        <v/>
      </c>
      <c r="P36" s="81"/>
      <c r="Q36" s="72"/>
      <c r="R36" s="63"/>
      <c r="S36" s="75"/>
      <c r="T36" s="76"/>
      <c r="U36" s="72" t="str">
        <f t="shared" si="1"/>
        <v/>
      </c>
      <c r="V36" s="60" t="str">
        <f t="shared" si="2"/>
        <v/>
      </c>
      <c r="W36" s="60" t="str">
        <f t="shared" si="3"/>
        <v/>
      </c>
      <c r="X36" s="78" t="str">
        <f>+IF(W36="","",IF(W36&gt;=PARÁMETROS!$D$5,"CUMPLE","NO CUMPLE"))</f>
        <v/>
      </c>
      <c r="Y36" s="143"/>
      <c r="Z36" s="112"/>
    </row>
    <row r="37" spans="1:26" s="79" customFormat="1" ht="30" customHeight="1" x14ac:dyDescent="0.25">
      <c r="A37" s="653"/>
      <c r="B37" s="63"/>
      <c r="C37" s="409"/>
      <c r="D37" s="65" t="str">
        <f>+IFERROR(INDEX(PROPONENTES!$D$4:$D$109,MATCH('EXP ESPEC. 33-40'!B37,PROPONENTES!$C$4:$C$109,0)),"")</f>
        <v/>
      </c>
      <c r="E37" s="66"/>
      <c r="F37" s="66"/>
      <c r="G37" s="68"/>
      <c r="H37" s="68"/>
      <c r="I37" s="68"/>
      <c r="J37" s="68"/>
      <c r="K37" s="80"/>
      <c r="L37" s="70"/>
      <c r="M37" s="70"/>
      <c r="N37" s="71" t="str">
        <f t="shared" si="0"/>
        <v/>
      </c>
      <c r="O37" s="72" t="str">
        <f>+IFERROR(INDEX(PARÁMETROS!$B$11:$B$37,MATCH(N37,PARÁMETROS!$A$11:$A$37,0)),"")</f>
        <v/>
      </c>
      <c r="P37" s="81"/>
      <c r="Q37" s="72"/>
      <c r="R37" s="63"/>
      <c r="S37" s="75"/>
      <c r="T37" s="76"/>
      <c r="U37" s="72" t="str">
        <f t="shared" si="1"/>
        <v/>
      </c>
      <c r="V37" s="60" t="str">
        <f t="shared" si="2"/>
        <v/>
      </c>
      <c r="W37" s="60" t="str">
        <f t="shared" si="3"/>
        <v/>
      </c>
      <c r="X37" s="78" t="str">
        <f>+IF(W37="","",IF(W37&gt;=PARÁMETROS!$D$5,"CUMPLE","NO CUMPLE"))</f>
        <v/>
      </c>
      <c r="Y37" s="143"/>
      <c r="Z37" s="112"/>
    </row>
    <row r="38" spans="1:26" s="79" customFormat="1" ht="30" customHeight="1" thickBot="1" x14ac:dyDescent="0.3">
      <c r="A38" s="653"/>
      <c r="B38" s="63"/>
      <c r="C38" s="409"/>
      <c r="D38" s="65" t="str">
        <f>+IFERROR(INDEX(PROPONENTES!$D$4:$D$109,MATCH('EXP ESPEC. 33-40'!B38,PROPONENTES!$C$4:$C$109,0)),"")</f>
        <v/>
      </c>
      <c r="E38" s="66"/>
      <c r="F38" s="66"/>
      <c r="G38" s="68"/>
      <c r="H38" s="68"/>
      <c r="I38" s="68"/>
      <c r="J38" s="68"/>
      <c r="K38" s="80"/>
      <c r="L38" s="70"/>
      <c r="M38" s="70"/>
      <c r="N38" s="71" t="str">
        <f t="shared" si="0"/>
        <v/>
      </c>
      <c r="O38" s="72" t="str">
        <f>+IFERROR(INDEX(PARÁMETROS!$B$11:$B$37,MATCH(N38,PARÁMETROS!$A$11:$A$37,0)),"")</f>
        <v/>
      </c>
      <c r="P38" s="81"/>
      <c r="Q38" s="72"/>
      <c r="R38" s="63"/>
      <c r="S38" s="75"/>
      <c r="T38" s="76"/>
      <c r="U38" s="72" t="str">
        <f t="shared" si="1"/>
        <v/>
      </c>
      <c r="V38" s="60" t="str">
        <f t="shared" si="2"/>
        <v/>
      </c>
      <c r="W38" s="60" t="str">
        <f t="shared" si="3"/>
        <v/>
      </c>
      <c r="X38" s="159" t="str">
        <f>+IF(W38="","",IF(W38&gt;=PARÁMETROS!$D$5,"CUMPLE","NO CUMPLE"))</f>
        <v/>
      </c>
      <c r="Y38" s="143"/>
      <c r="Z38" s="112"/>
    </row>
    <row r="39" spans="1:26" s="79" customFormat="1" ht="30" customHeight="1" x14ac:dyDescent="0.25">
      <c r="A39" s="652"/>
      <c r="B39" s="125"/>
      <c r="C39" s="408"/>
      <c r="D39" s="127" t="str">
        <f>+IFERROR(INDEX(PROPONENTES!$D$4:$D$109,MATCH('EXP ESPEC. 33-40'!B39,PROPONENTES!$C$4:$C$109,0)),"")</f>
        <v/>
      </c>
      <c r="E39" s="128"/>
      <c r="F39" s="128"/>
      <c r="G39" s="130"/>
      <c r="H39" s="130"/>
      <c r="I39" s="130"/>
      <c r="J39" s="130"/>
      <c r="K39" s="170"/>
      <c r="L39" s="132"/>
      <c r="M39" s="132"/>
      <c r="N39" s="133" t="str">
        <f t="shared" si="0"/>
        <v/>
      </c>
      <c r="O39" s="134" t="str">
        <f>+IFERROR(INDEX(PARÁMETROS!$B$11:$B$37,MATCH(N39,PARÁMETROS!$A$11:$A$37,0)),"")</f>
        <v/>
      </c>
      <c r="P39" s="171"/>
      <c r="Q39" s="134"/>
      <c r="R39" s="125"/>
      <c r="S39" s="137"/>
      <c r="T39" s="138"/>
      <c r="U39" s="134" t="str">
        <f t="shared" si="1"/>
        <v/>
      </c>
      <c r="V39" s="139" t="str">
        <f t="shared" si="2"/>
        <v/>
      </c>
      <c r="W39" s="139" t="str">
        <f t="shared" si="3"/>
        <v/>
      </c>
      <c r="X39" s="176" t="str">
        <f>+IF(W39="","",IF(W39&gt;=PARÁMETROS!$D$5,"CUMPLE","NO CUMPLE"))</f>
        <v/>
      </c>
      <c r="Y39" s="142"/>
      <c r="Z39" s="112"/>
    </row>
    <row r="40" spans="1:26" s="79" customFormat="1" ht="30" customHeight="1" x14ac:dyDescent="0.25">
      <c r="A40" s="653"/>
      <c r="B40" s="63"/>
      <c r="C40" s="409"/>
      <c r="D40" s="65" t="str">
        <f>+IFERROR(INDEX(PROPONENTES!$D$4:$D$109,MATCH('EXP ESPEC. 33-40'!B40,PROPONENTES!$C$4:$C$109,0)),"")</f>
        <v/>
      </c>
      <c r="E40" s="66"/>
      <c r="F40" s="66"/>
      <c r="G40" s="68"/>
      <c r="H40" s="68"/>
      <c r="I40" s="68"/>
      <c r="J40" s="68"/>
      <c r="K40" s="80"/>
      <c r="L40" s="70"/>
      <c r="M40" s="70"/>
      <c r="N40" s="71" t="str">
        <f t="shared" si="0"/>
        <v/>
      </c>
      <c r="O40" s="72" t="str">
        <f>+IFERROR(INDEX(PARÁMETROS!$B$11:$B$37,MATCH(N40,PARÁMETROS!$A$11:$A$37,0)),"")</f>
        <v/>
      </c>
      <c r="P40" s="81"/>
      <c r="Q40" s="72"/>
      <c r="R40" s="63"/>
      <c r="S40" s="75"/>
      <c r="T40" s="76"/>
      <c r="U40" s="72" t="str">
        <f t="shared" si="1"/>
        <v/>
      </c>
      <c r="V40" s="60" t="str">
        <f t="shared" si="2"/>
        <v/>
      </c>
      <c r="W40" s="60" t="str">
        <f t="shared" si="3"/>
        <v/>
      </c>
      <c r="X40" s="78" t="str">
        <f>+IF(W40="","",IF(W40&gt;=PARÁMETROS!$D$5,"CUMPLE","NO CUMPLE"))</f>
        <v/>
      </c>
      <c r="Y40" s="143"/>
      <c r="Z40" s="112"/>
    </row>
    <row r="41" spans="1:26" s="79" customFormat="1" ht="30" customHeight="1" x14ac:dyDescent="0.25">
      <c r="A41" s="653"/>
      <c r="B41" s="63"/>
      <c r="C41" s="409"/>
      <c r="D41" s="65" t="str">
        <f>+IFERROR(INDEX(PROPONENTES!$D$4:$D$109,MATCH('EXP ESPEC. 33-40'!B41,PROPONENTES!$C$4:$C$109,0)),"")</f>
        <v/>
      </c>
      <c r="E41" s="66"/>
      <c r="F41" s="66"/>
      <c r="G41" s="68"/>
      <c r="H41" s="68"/>
      <c r="I41" s="68"/>
      <c r="J41" s="68"/>
      <c r="K41" s="80"/>
      <c r="L41" s="70"/>
      <c r="M41" s="70"/>
      <c r="N41" s="71" t="str">
        <f t="shared" si="0"/>
        <v/>
      </c>
      <c r="O41" s="72" t="str">
        <f>+IFERROR(INDEX(PARÁMETROS!$B$11:$B$37,MATCH(N41,PARÁMETROS!$A$11:$A$37,0)),"")</f>
        <v/>
      </c>
      <c r="P41" s="81"/>
      <c r="Q41" s="72"/>
      <c r="R41" s="63"/>
      <c r="S41" s="75"/>
      <c r="T41" s="76"/>
      <c r="U41" s="72" t="str">
        <f t="shared" si="1"/>
        <v/>
      </c>
      <c r="V41" s="60" t="str">
        <f t="shared" si="2"/>
        <v/>
      </c>
      <c r="W41" s="60" t="str">
        <f t="shared" si="3"/>
        <v/>
      </c>
      <c r="X41" s="78" t="str">
        <f>+IF(W41="","",IF(W41&gt;=PARÁMETROS!$D$5,"CUMPLE","NO CUMPLE"))</f>
        <v/>
      </c>
      <c r="Y41" s="143"/>
      <c r="Z41" s="112"/>
    </row>
    <row r="42" spans="1:26" s="79" customFormat="1" ht="30" customHeight="1" thickBot="1" x14ac:dyDescent="0.3">
      <c r="A42" s="653"/>
      <c r="B42" s="63"/>
      <c r="C42" s="409"/>
      <c r="D42" s="65" t="str">
        <f>+IFERROR(INDEX(PROPONENTES!$D$4:$D$109,MATCH('EXP ESPEC. 33-40'!B42,PROPONENTES!$C$4:$C$109,0)),"")</f>
        <v/>
      </c>
      <c r="E42" s="66"/>
      <c r="F42" s="66"/>
      <c r="G42" s="68"/>
      <c r="H42" s="68"/>
      <c r="I42" s="68"/>
      <c r="J42" s="68"/>
      <c r="K42" s="80"/>
      <c r="L42" s="70"/>
      <c r="M42" s="70"/>
      <c r="N42" s="71" t="str">
        <f t="shared" si="0"/>
        <v/>
      </c>
      <c r="O42" s="72" t="str">
        <f>+IFERROR(INDEX(PARÁMETROS!$B$11:$B$37,MATCH(N42,PARÁMETROS!$A$11:$A$37,0)),"")</f>
        <v/>
      </c>
      <c r="P42" s="81"/>
      <c r="Q42" s="72"/>
      <c r="R42" s="63"/>
      <c r="S42" s="75"/>
      <c r="T42" s="76"/>
      <c r="U42" s="72" t="str">
        <f t="shared" si="1"/>
        <v/>
      </c>
      <c r="V42" s="60" t="str">
        <f t="shared" si="2"/>
        <v/>
      </c>
      <c r="W42" s="60" t="str">
        <f t="shared" si="3"/>
        <v/>
      </c>
      <c r="X42" s="159" t="str">
        <f>+IF(W42="","",IF(W42&gt;=PARÁMETROS!$D$5,"CUMPLE","NO CUMPLE"))</f>
        <v/>
      </c>
      <c r="Y42" s="143"/>
      <c r="Z42" s="112"/>
    </row>
    <row r="43" spans="1:26" s="79" customFormat="1" ht="30" customHeight="1" x14ac:dyDescent="0.25">
      <c r="A43" s="652"/>
      <c r="B43" s="125"/>
      <c r="C43" s="408"/>
      <c r="D43" s="127" t="str">
        <f>+IFERROR(INDEX(PROPONENTES!$D$4:$D$109,MATCH('EXP ESPEC. 33-40'!B43,PROPONENTES!$C$4:$C$109,0)),"")</f>
        <v/>
      </c>
      <c r="E43" s="128"/>
      <c r="F43" s="128"/>
      <c r="G43" s="130"/>
      <c r="H43" s="130"/>
      <c r="I43" s="130"/>
      <c r="J43" s="130"/>
      <c r="K43" s="170"/>
      <c r="L43" s="132"/>
      <c r="M43" s="132"/>
      <c r="N43" s="133" t="str">
        <f t="shared" si="0"/>
        <v/>
      </c>
      <c r="O43" s="134" t="str">
        <f>+IFERROR(INDEX(PARÁMETROS!$B$11:$B$37,MATCH(N43,PARÁMETROS!$A$11:$A$37,0)),"")</f>
        <v/>
      </c>
      <c r="P43" s="171"/>
      <c r="Q43" s="134"/>
      <c r="R43" s="125"/>
      <c r="S43" s="137"/>
      <c r="T43" s="138"/>
      <c r="U43" s="134" t="str">
        <f t="shared" si="1"/>
        <v/>
      </c>
      <c r="V43" s="139" t="str">
        <f t="shared" si="2"/>
        <v/>
      </c>
      <c r="W43" s="139" t="str">
        <f t="shared" si="3"/>
        <v/>
      </c>
      <c r="X43" s="176" t="str">
        <f>+IF(W43="","",IF(W43&gt;=PARÁMETROS!$D$5,"CUMPLE","NO CUMPLE"))</f>
        <v/>
      </c>
      <c r="Y43" s="142"/>
      <c r="Z43" s="112"/>
    </row>
    <row r="44" spans="1:26" s="79" customFormat="1" ht="30" customHeight="1" x14ac:dyDescent="0.25">
      <c r="A44" s="653"/>
      <c r="B44" s="63"/>
      <c r="C44" s="409"/>
      <c r="D44" s="65" t="str">
        <f>+IFERROR(INDEX(PROPONENTES!$D$4:$D$109,MATCH('EXP ESPEC. 33-40'!B44,PROPONENTES!$C$4:$C$109,0)),"")</f>
        <v/>
      </c>
      <c r="E44" s="66"/>
      <c r="F44" s="66"/>
      <c r="G44" s="68"/>
      <c r="H44" s="68"/>
      <c r="I44" s="68"/>
      <c r="J44" s="68"/>
      <c r="K44" s="80"/>
      <c r="L44" s="70"/>
      <c r="M44" s="70"/>
      <c r="N44" s="71" t="str">
        <f t="shared" si="0"/>
        <v/>
      </c>
      <c r="O44" s="72" t="str">
        <f>+IFERROR(INDEX(PARÁMETROS!$B$11:$B$37,MATCH(N44,PARÁMETROS!$A$11:$A$37,0)),"")</f>
        <v/>
      </c>
      <c r="P44" s="81"/>
      <c r="Q44" s="72"/>
      <c r="R44" s="63"/>
      <c r="S44" s="75"/>
      <c r="T44" s="76"/>
      <c r="U44" s="72" t="str">
        <f t="shared" si="1"/>
        <v/>
      </c>
      <c r="V44" s="60" t="str">
        <f t="shared" si="2"/>
        <v/>
      </c>
      <c r="W44" s="60" t="str">
        <f t="shared" si="3"/>
        <v/>
      </c>
      <c r="X44" s="78" t="str">
        <f>+IF(W44="","",IF(W44&gt;=PARÁMETROS!$D$5,"CUMPLE","NO CUMPLE"))</f>
        <v/>
      </c>
      <c r="Y44" s="143"/>
      <c r="Z44" s="112"/>
    </row>
    <row r="45" spans="1:26" s="79" customFormat="1" ht="30" customHeight="1" x14ac:dyDescent="0.25">
      <c r="A45" s="653"/>
      <c r="B45" s="63"/>
      <c r="C45" s="409"/>
      <c r="D45" s="65" t="str">
        <f>+IFERROR(INDEX(PROPONENTES!$D$4:$D$109,MATCH('EXP ESPEC. 33-40'!B45,PROPONENTES!$C$4:$C$109,0)),"")</f>
        <v/>
      </c>
      <c r="E45" s="66"/>
      <c r="F45" s="66"/>
      <c r="G45" s="68"/>
      <c r="H45" s="68"/>
      <c r="I45" s="68"/>
      <c r="J45" s="68"/>
      <c r="K45" s="80"/>
      <c r="L45" s="70"/>
      <c r="M45" s="70"/>
      <c r="N45" s="71" t="str">
        <f t="shared" si="0"/>
        <v/>
      </c>
      <c r="O45" s="72" t="str">
        <f>+IFERROR(INDEX(PARÁMETROS!$B$11:$B$37,MATCH(N45,PARÁMETROS!$A$11:$A$37,0)),"")</f>
        <v/>
      </c>
      <c r="P45" s="81"/>
      <c r="Q45" s="72"/>
      <c r="R45" s="63"/>
      <c r="S45" s="75"/>
      <c r="T45" s="76"/>
      <c r="U45" s="72" t="str">
        <f t="shared" si="1"/>
        <v/>
      </c>
      <c r="V45" s="60" t="str">
        <f t="shared" si="2"/>
        <v/>
      </c>
      <c r="W45" s="60" t="str">
        <f t="shared" si="3"/>
        <v/>
      </c>
      <c r="X45" s="78" t="str">
        <f>+IF(W45="","",IF(W45&gt;=PARÁMETROS!$D$5,"CUMPLE","NO CUMPLE"))</f>
        <v/>
      </c>
      <c r="Y45" s="143"/>
      <c r="Z45" s="112"/>
    </row>
    <row r="46" spans="1:26" s="79" customFormat="1" ht="30" customHeight="1" thickBot="1" x14ac:dyDescent="0.3">
      <c r="A46" s="653"/>
      <c r="B46" s="63"/>
      <c r="C46" s="409"/>
      <c r="D46" s="65" t="str">
        <f>+IFERROR(INDEX(PROPONENTES!$D$4:$D$109,MATCH('EXP ESPEC. 33-40'!B46,PROPONENTES!$C$4:$C$109,0)),"")</f>
        <v/>
      </c>
      <c r="E46" s="66"/>
      <c r="F46" s="66"/>
      <c r="G46" s="68"/>
      <c r="H46" s="68"/>
      <c r="I46" s="68"/>
      <c r="J46" s="68"/>
      <c r="K46" s="80"/>
      <c r="L46" s="70"/>
      <c r="M46" s="70"/>
      <c r="N46" s="71" t="str">
        <f t="shared" si="0"/>
        <v/>
      </c>
      <c r="O46" s="72" t="str">
        <f>+IFERROR(INDEX(PARÁMETROS!$B$11:$B$37,MATCH(N46,PARÁMETROS!$A$11:$A$37,0)),"")</f>
        <v/>
      </c>
      <c r="P46" s="81"/>
      <c r="Q46" s="72"/>
      <c r="R46" s="63"/>
      <c r="S46" s="75"/>
      <c r="T46" s="76"/>
      <c r="U46" s="72" t="str">
        <f t="shared" si="1"/>
        <v/>
      </c>
      <c r="V46" s="60" t="str">
        <f t="shared" si="2"/>
        <v/>
      </c>
      <c r="W46" s="60" t="str">
        <f t="shared" si="3"/>
        <v/>
      </c>
      <c r="X46" s="159" t="str">
        <f>+IF(W46="","",IF(W46&gt;=PARÁMETROS!$D$5,"CUMPLE","NO CUMPLE"))</f>
        <v/>
      </c>
      <c r="Y46" s="143"/>
      <c r="Z46" s="112"/>
    </row>
    <row r="47" spans="1:26" s="79" customFormat="1" ht="30" customHeight="1" x14ac:dyDescent="0.25">
      <c r="A47" s="652"/>
      <c r="B47" s="125"/>
      <c r="C47" s="408"/>
      <c r="D47" s="127" t="str">
        <f>+IFERROR(INDEX(PROPONENTES!$D$4:$D$109,MATCH('EXP ESPEC. 33-40'!B47,PROPONENTES!$C$4:$C$109,0)),"")</f>
        <v/>
      </c>
      <c r="E47" s="128"/>
      <c r="F47" s="128"/>
      <c r="G47" s="130"/>
      <c r="H47" s="130"/>
      <c r="I47" s="130"/>
      <c r="J47" s="130"/>
      <c r="K47" s="170"/>
      <c r="L47" s="132"/>
      <c r="M47" s="132"/>
      <c r="N47" s="133" t="str">
        <f t="shared" ref="N47:N54" si="4">IF(M47="","",YEAR(M47))</f>
        <v/>
      </c>
      <c r="O47" s="134" t="str">
        <f>+IFERROR(INDEX(PARÁMETROS!$B$11:$B$37,MATCH(N47,PARÁMETROS!$A$11:$A$37,0)),"")</f>
        <v/>
      </c>
      <c r="P47" s="171"/>
      <c r="Q47" s="134"/>
      <c r="R47" s="125"/>
      <c r="S47" s="137"/>
      <c r="T47" s="138"/>
      <c r="U47" s="134" t="str">
        <f t="shared" ref="U47:U54" si="5">IF(T47&lt;&gt;"",P47*T47,"")</f>
        <v/>
      </c>
      <c r="V47" s="139" t="str">
        <f t="shared" ref="V47:V54" si="6">+IFERROR(U47/O47,"")</f>
        <v/>
      </c>
      <c r="W47" s="139" t="str">
        <f t="shared" ref="W47:W54" si="7">IFERROR(V47*K47,"")</f>
        <v/>
      </c>
      <c r="X47" s="176" t="str">
        <f>+IF(W47="","",IF(W47&gt;=PARÁMETROS!$D$5,"CUMPLE","NO CUMPLE"))</f>
        <v/>
      </c>
      <c r="Y47" s="142"/>
      <c r="Z47" s="112"/>
    </row>
    <row r="48" spans="1:26" s="79" customFormat="1" ht="30" customHeight="1" x14ac:dyDescent="0.25">
      <c r="A48" s="653"/>
      <c r="B48" s="63"/>
      <c r="C48" s="409"/>
      <c r="D48" s="65" t="str">
        <f>+IFERROR(INDEX(PROPONENTES!$D$4:$D$109,MATCH('EXP ESPEC. 33-40'!B48,PROPONENTES!$C$4:$C$109,0)),"")</f>
        <v/>
      </c>
      <c r="E48" s="66"/>
      <c r="F48" s="66"/>
      <c r="G48" s="68"/>
      <c r="H48" s="68"/>
      <c r="I48" s="68"/>
      <c r="J48" s="68"/>
      <c r="K48" s="80"/>
      <c r="L48" s="70"/>
      <c r="M48" s="70"/>
      <c r="N48" s="71" t="str">
        <f t="shared" si="4"/>
        <v/>
      </c>
      <c r="O48" s="72" t="str">
        <f>+IFERROR(INDEX(PARÁMETROS!$B$11:$B$37,MATCH(N48,PARÁMETROS!$A$11:$A$37,0)),"")</f>
        <v/>
      </c>
      <c r="P48" s="81"/>
      <c r="Q48" s="72"/>
      <c r="R48" s="63"/>
      <c r="S48" s="75"/>
      <c r="T48" s="76"/>
      <c r="U48" s="72" t="str">
        <f t="shared" si="5"/>
        <v/>
      </c>
      <c r="V48" s="60" t="str">
        <f t="shared" si="6"/>
        <v/>
      </c>
      <c r="W48" s="60" t="str">
        <f t="shared" si="7"/>
        <v/>
      </c>
      <c r="X48" s="78" t="str">
        <f>+IF(W48="","",IF(W48&gt;=PARÁMETROS!$D$5,"CUMPLE","NO CUMPLE"))</f>
        <v/>
      </c>
      <c r="Y48" s="143"/>
      <c r="Z48" s="112"/>
    </row>
    <row r="49" spans="1:26" s="79" customFormat="1" ht="30" customHeight="1" x14ac:dyDescent="0.25">
      <c r="A49" s="653"/>
      <c r="B49" s="63"/>
      <c r="C49" s="409"/>
      <c r="D49" s="65" t="str">
        <f>+IFERROR(INDEX(PROPONENTES!$D$4:$D$109,MATCH('EXP ESPEC. 33-40'!B49,PROPONENTES!$C$4:$C$109,0)),"")</f>
        <v/>
      </c>
      <c r="E49" s="66"/>
      <c r="F49" s="66"/>
      <c r="G49" s="68"/>
      <c r="H49" s="68"/>
      <c r="I49" s="68"/>
      <c r="J49" s="68"/>
      <c r="K49" s="80"/>
      <c r="L49" s="70"/>
      <c r="M49" s="70"/>
      <c r="N49" s="71" t="str">
        <f t="shared" si="4"/>
        <v/>
      </c>
      <c r="O49" s="72" t="str">
        <f>+IFERROR(INDEX(PARÁMETROS!$B$11:$B$37,MATCH(N49,PARÁMETROS!$A$11:$A$37,0)),"")</f>
        <v/>
      </c>
      <c r="P49" s="81"/>
      <c r="Q49" s="72"/>
      <c r="R49" s="63"/>
      <c r="S49" s="75"/>
      <c r="T49" s="76"/>
      <c r="U49" s="72" t="str">
        <f t="shared" si="5"/>
        <v/>
      </c>
      <c r="V49" s="60" t="str">
        <f t="shared" si="6"/>
        <v/>
      </c>
      <c r="W49" s="60" t="str">
        <f t="shared" si="7"/>
        <v/>
      </c>
      <c r="X49" s="78" t="str">
        <f>+IF(W49="","",IF(W49&gt;=PARÁMETROS!$D$5,"CUMPLE","NO CUMPLE"))</f>
        <v/>
      </c>
      <c r="Y49" s="143"/>
      <c r="Z49" s="112"/>
    </row>
    <row r="50" spans="1:26" s="79" customFormat="1" ht="30" customHeight="1" thickBot="1" x14ac:dyDescent="0.3">
      <c r="A50" s="653"/>
      <c r="B50" s="63"/>
      <c r="C50" s="409"/>
      <c r="D50" s="65" t="str">
        <f>+IFERROR(INDEX(PROPONENTES!$D$4:$D$109,MATCH('EXP ESPEC. 33-40'!B50,PROPONENTES!$C$4:$C$109,0)),"")</f>
        <v/>
      </c>
      <c r="E50" s="66"/>
      <c r="F50" s="66"/>
      <c r="G50" s="68"/>
      <c r="H50" s="68"/>
      <c r="I50" s="68"/>
      <c r="J50" s="68"/>
      <c r="K50" s="80"/>
      <c r="L50" s="70"/>
      <c r="M50" s="70"/>
      <c r="N50" s="71" t="str">
        <f t="shared" si="4"/>
        <v/>
      </c>
      <c r="O50" s="72" t="str">
        <f>+IFERROR(INDEX(PARÁMETROS!$B$11:$B$37,MATCH(N50,PARÁMETROS!$A$11:$A$37,0)),"")</f>
        <v/>
      </c>
      <c r="P50" s="81"/>
      <c r="Q50" s="72"/>
      <c r="R50" s="63"/>
      <c r="S50" s="75"/>
      <c r="T50" s="76"/>
      <c r="U50" s="72" t="str">
        <f t="shared" si="5"/>
        <v/>
      </c>
      <c r="V50" s="60" t="str">
        <f t="shared" si="6"/>
        <v/>
      </c>
      <c r="W50" s="60" t="str">
        <f t="shared" si="7"/>
        <v/>
      </c>
      <c r="X50" s="159" t="str">
        <f>+IF(W50="","",IF(W50&gt;=PARÁMETROS!$D$5,"CUMPLE","NO CUMPLE"))</f>
        <v/>
      </c>
      <c r="Y50" s="143"/>
      <c r="Z50" s="112"/>
    </row>
    <row r="51" spans="1:26" s="79" customFormat="1" ht="30" customHeight="1" x14ac:dyDescent="0.25">
      <c r="A51" s="652"/>
      <c r="B51" s="125"/>
      <c r="C51" s="408"/>
      <c r="D51" s="127" t="str">
        <f>+IFERROR(INDEX(PROPONENTES!$D$4:$D$109,MATCH('EXP ESPEC. 33-40'!B51,PROPONENTES!$C$4:$C$109,0)),"")</f>
        <v/>
      </c>
      <c r="E51" s="128"/>
      <c r="F51" s="128"/>
      <c r="G51" s="130"/>
      <c r="H51" s="130"/>
      <c r="I51" s="130"/>
      <c r="J51" s="130"/>
      <c r="K51" s="170"/>
      <c r="L51" s="132"/>
      <c r="M51" s="132"/>
      <c r="N51" s="133" t="str">
        <f t="shared" si="4"/>
        <v/>
      </c>
      <c r="O51" s="134" t="str">
        <f>+IFERROR(INDEX(PARÁMETROS!$B$11:$B$37,MATCH(N51,PARÁMETROS!$A$11:$A$37,0)),"")</f>
        <v/>
      </c>
      <c r="P51" s="171"/>
      <c r="Q51" s="134"/>
      <c r="R51" s="125"/>
      <c r="S51" s="137"/>
      <c r="T51" s="138"/>
      <c r="U51" s="134" t="str">
        <f t="shared" si="5"/>
        <v/>
      </c>
      <c r="V51" s="139" t="str">
        <f t="shared" si="6"/>
        <v/>
      </c>
      <c r="W51" s="139" t="str">
        <f t="shared" si="7"/>
        <v/>
      </c>
      <c r="X51" s="176" t="str">
        <f>+IF(W51="","",IF(W51&gt;=PARÁMETROS!$D$5,"CUMPLE","NO CUMPLE"))</f>
        <v/>
      </c>
      <c r="Y51" s="142"/>
      <c r="Z51" s="112"/>
    </row>
    <row r="52" spans="1:26" s="79" customFormat="1" ht="30" customHeight="1" x14ac:dyDescent="0.25">
      <c r="A52" s="653"/>
      <c r="B52" s="63"/>
      <c r="C52" s="409"/>
      <c r="D52" s="65" t="str">
        <f>+IFERROR(INDEX(PROPONENTES!$D$4:$D$109,MATCH('EXP ESPEC. 33-40'!B52,PROPONENTES!$C$4:$C$109,0)),"")</f>
        <v/>
      </c>
      <c r="E52" s="66"/>
      <c r="F52" s="66"/>
      <c r="G52" s="68"/>
      <c r="H52" s="68"/>
      <c r="I52" s="68"/>
      <c r="J52" s="68"/>
      <c r="K52" s="80"/>
      <c r="L52" s="70"/>
      <c r="M52" s="70"/>
      <c r="N52" s="71" t="str">
        <f t="shared" si="4"/>
        <v/>
      </c>
      <c r="O52" s="72" t="str">
        <f>+IFERROR(INDEX(PARÁMETROS!$B$11:$B$37,MATCH(N52,PARÁMETROS!$A$11:$A$37,0)),"")</f>
        <v/>
      </c>
      <c r="P52" s="81"/>
      <c r="Q52" s="72"/>
      <c r="R52" s="63"/>
      <c r="S52" s="75"/>
      <c r="T52" s="76"/>
      <c r="U52" s="72" t="str">
        <f t="shared" si="5"/>
        <v/>
      </c>
      <c r="V52" s="60" t="str">
        <f t="shared" si="6"/>
        <v/>
      </c>
      <c r="W52" s="60" t="str">
        <f t="shared" si="7"/>
        <v/>
      </c>
      <c r="X52" s="78" t="str">
        <f>+IF(W52="","",IF(W52&gt;=PARÁMETROS!$D$5,"CUMPLE","NO CUMPLE"))</f>
        <v/>
      </c>
      <c r="Y52" s="143"/>
      <c r="Z52" s="112"/>
    </row>
    <row r="53" spans="1:26" s="79" customFormat="1" ht="30" customHeight="1" x14ac:dyDescent="0.25">
      <c r="A53" s="653"/>
      <c r="B53" s="63"/>
      <c r="C53" s="409"/>
      <c r="D53" s="65" t="str">
        <f>+IFERROR(INDEX(PROPONENTES!$D$4:$D$109,MATCH('EXP ESPEC. 33-40'!B53,PROPONENTES!$C$4:$C$109,0)),"")</f>
        <v/>
      </c>
      <c r="E53" s="66"/>
      <c r="F53" s="66"/>
      <c r="G53" s="68"/>
      <c r="H53" s="68"/>
      <c r="I53" s="68"/>
      <c r="J53" s="68"/>
      <c r="K53" s="80"/>
      <c r="L53" s="70"/>
      <c r="M53" s="70"/>
      <c r="N53" s="71" t="str">
        <f t="shared" si="4"/>
        <v/>
      </c>
      <c r="O53" s="72" t="str">
        <f>+IFERROR(INDEX(PARÁMETROS!$B$11:$B$37,MATCH(N53,PARÁMETROS!$A$11:$A$37,0)),"")</f>
        <v/>
      </c>
      <c r="P53" s="81"/>
      <c r="Q53" s="72"/>
      <c r="R53" s="63"/>
      <c r="S53" s="75"/>
      <c r="T53" s="76"/>
      <c r="U53" s="72" t="str">
        <f t="shared" si="5"/>
        <v/>
      </c>
      <c r="V53" s="60" t="str">
        <f t="shared" si="6"/>
        <v/>
      </c>
      <c r="W53" s="60" t="str">
        <f t="shared" si="7"/>
        <v/>
      </c>
      <c r="X53" s="78" t="str">
        <f>+IF(W53="","",IF(W53&gt;=PARÁMETROS!$D$5,"CUMPLE","NO CUMPLE"))</f>
        <v/>
      </c>
      <c r="Y53" s="143"/>
      <c r="Z53" s="112"/>
    </row>
    <row r="54" spans="1:26" s="79" customFormat="1" ht="30" customHeight="1" thickBot="1" x14ac:dyDescent="0.3">
      <c r="A54" s="654"/>
      <c r="B54" s="145"/>
      <c r="C54" s="411"/>
      <c r="D54" s="146" t="str">
        <f>+IFERROR(INDEX(PROPONENTES!$D$4:$D$109,MATCH('EXP ESPEC. 33-40'!B54,PROPONENTES!$C$4:$C$109,0)),"")</f>
        <v/>
      </c>
      <c r="E54" s="147"/>
      <c r="F54" s="147"/>
      <c r="G54" s="149"/>
      <c r="H54" s="149"/>
      <c r="I54" s="149"/>
      <c r="J54" s="149"/>
      <c r="K54" s="172"/>
      <c r="L54" s="151"/>
      <c r="M54" s="151"/>
      <c r="N54" s="152" t="str">
        <f t="shared" si="4"/>
        <v/>
      </c>
      <c r="O54" s="153" t="str">
        <f>+IFERROR(INDEX(PARÁMETROS!$B$11:$B$37,MATCH(N54,PARÁMETROS!$A$11:$A$37,0)),"")</f>
        <v/>
      </c>
      <c r="P54" s="173"/>
      <c r="Q54" s="153"/>
      <c r="R54" s="145"/>
      <c r="S54" s="156"/>
      <c r="T54" s="157"/>
      <c r="U54" s="153" t="str">
        <f t="shared" si="5"/>
        <v/>
      </c>
      <c r="V54" s="158" t="str">
        <f t="shared" si="6"/>
        <v/>
      </c>
      <c r="W54" s="158" t="str">
        <f t="shared" si="7"/>
        <v/>
      </c>
      <c r="X54" s="159" t="str">
        <f>+IF(W54="","",IF(W54&gt;=PARÁMETROS!$D$5,"CUMPLE","NO CUMPLE"))</f>
        <v/>
      </c>
      <c r="Y54" s="160"/>
      <c r="Z54" s="112"/>
    </row>
    <row r="55" spans="1:26" s="79" customFormat="1" ht="30" customHeight="1" x14ac:dyDescent="0.25">
      <c r="A55" s="113"/>
      <c r="B55" s="113"/>
      <c r="C55" s="414"/>
      <c r="D55" s="114"/>
      <c r="E55" s="115"/>
      <c r="F55" s="115"/>
      <c r="G55" s="115"/>
      <c r="H55" s="115"/>
      <c r="I55" s="115"/>
      <c r="J55" s="115"/>
      <c r="K55" s="167"/>
      <c r="L55" s="118"/>
      <c r="M55" s="118"/>
      <c r="N55" s="168"/>
      <c r="O55" s="119"/>
      <c r="P55" s="169"/>
      <c r="Q55" s="119"/>
      <c r="R55" s="113"/>
      <c r="S55" s="121"/>
      <c r="T55" s="122"/>
      <c r="U55" s="119"/>
      <c r="V55" s="123"/>
      <c r="W55" s="123"/>
      <c r="X55" s="124"/>
      <c r="Y55" s="115"/>
    </row>
    <row r="56" spans="1:26" s="79" customFormat="1" ht="30" customHeight="1" x14ac:dyDescent="0.25">
      <c r="A56" s="63"/>
      <c r="B56" s="63"/>
      <c r="C56" s="409"/>
      <c r="D56" s="65"/>
      <c r="E56" s="66"/>
      <c r="F56" s="66"/>
      <c r="G56" s="66"/>
      <c r="H56" s="66"/>
      <c r="I56" s="66"/>
      <c r="J56" s="66"/>
      <c r="K56" s="80"/>
      <c r="L56" s="70"/>
      <c r="M56" s="70"/>
      <c r="N56" s="71"/>
      <c r="O56" s="72"/>
      <c r="P56" s="81"/>
      <c r="Q56" s="72"/>
      <c r="R56" s="63"/>
      <c r="S56" s="75"/>
      <c r="T56" s="76"/>
      <c r="U56" s="72"/>
      <c r="V56" s="60"/>
      <c r="W56" s="60"/>
      <c r="X56" s="78"/>
      <c r="Y56" s="66"/>
    </row>
    <row r="57" spans="1:26" s="79" customFormat="1" ht="30" customHeight="1" x14ac:dyDescent="0.25">
      <c r="A57" s="63"/>
      <c r="B57" s="63"/>
      <c r="C57" s="409"/>
      <c r="D57" s="65"/>
      <c r="E57" s="66"/>
      <c r="F57" s="66"/>
      <c r="G57" s="66"/>
      <c r="H57" s="66"/>
      <c r="I57" s="66"/>
      <c r="J57" s="66"/>
      <c r="K57" s="80"/>
      <c r="L57" s="70"/>
      <c r="M57" s="70"/>
      <c r="N57" s="71"/>
      <c r="O57" s="72"/>
      <c r="P57" s="81"/>
      <c r="Q57" s="72"/>
      <c r="R57" s="63"/>
      <c r="S57" s="75"/>
      <c r="T57" s="76"/>
      <c r="U57" s="72"/>
      <c r="V57" s="60"/>
      <c r="W57" s="60"/>
      <c r="X57" s="78"/>
      <c r="Y57" s="66"/>
    </row>
    <row r="58" spans="1:26" s="79" customFormat="1" ht="30" customHeight="1" x14ac:dyDescent="0.25">
      <c r="A58" s="63"/>
      <c r="B58" s="63"/>
      <c r="C58" s="409"/>
      <c r="D58" s="65"/>
      <c r="E58" s="66"/>
      <c r="F58" s="66"/>
      <c r="G58" s="66"/>
      <c r="H58" s="66"/>
      <c r="I58" s="66"/>
      <c r="J58" s="66"/>
      <c r="K58" s="80"/>
      <c r="L58" s="70"/>
      <c r="M58" s="70"/>
      <c r="N58" s="71"/>
      <c r="O58" s="72"/>
      <c r="P58" s="81"/>
      <c r="Q58" s="72"/>
      <c r="R58" s="63"/>
      <c r="S58" s="75"/>
      <c r="T58" s="76"/>
      <c r="U58" s="72"/>
      <c r="V58" s="60"/>
      <c r="W58" s="60"/>
      <c r="X58" s="78"/>
      <c r="Y58" s="66"/>
    </row>
    <row r="59" spans="1:26" s="79" customFormat="1" ht="30" customHeight="1" x14ac:dyDescent="0.25">
      <c r="A59" s="63"/>
      <c r="B59" s="63"/>
      <c r="C59" s="409"/>
      <c r="D59" s="65"/>
      <c r="E59" s="66"/>
      <c r="F59" s="66"/>
      <c r="G59" s="66"/>
      <c r="H59" s="66"/>
      <c r="I59" s="66"/>
      <c r="J59" s="66"/>
      <c r="K59" s="80"/>
      <c r="L59" s="70"/>
      <c r="M59" s="70"/>
      <c r="N59" s="71"/>
      <c r="O59" s="72"/>
      <c r="P59" s="81"/>
      <c r="Q59" s="72"/>
      <c r="R59" s="63"/>
      <c r="S59" s="75"/>
      <c r="T59" s="76"/>
      <c r="U59" s="72"/>
      <c r="V59" s="60"/>
      <c r="W59" s="60"/>
      <c r="X59" s="78"/>
      <c r="Y59" s="66"/>
    </row>
    <row r="60" spans="1:26" s="79" customFormat="1" ht="30" customHeight="1" x14ac:dyDescent="0.25">
      <c r="A60" s="63"/>
      <c r="B60" s="63"/>
      <c r="C60" s="409"/>
      <c r="D60" s="65"/>
      <c r="E60" s="66"/>
      <c r="F60" s="66"/>
      <c r="G60" s="66"/>
      <c r="H60" s="66"/>
      <c r="I60" s="66"/>
      <c r="J60" s="66"/>
      <c r="K60" s="80"/>
      <c r="L60" s="70"/>
      <c r="M60" s="70"/>
      <c r="N60" s="71"/>
      <c r="O60" s="72"/>
      <c r="P60" s="81"/>
      <c r="Q60" s="72"/>
      <c r="R60" s="63"/>
      <c r="S60" s="75"/>
      <c r="T60" s="76"/>
      <c r="U60" s="72"/>
      <c r="V60" s="60"/>
      <c r="W60" s="60"/>
      <c r="X60" s="78"/>
      <c r="Y60" s="66"/>
    </row>
    <row r="61" spans="1:26" s="79" customFormat="1" ht="30" customHeight="1" x14ac:dyDescent="0.25">
      <c r="A61" s="63"/>
      <c r="B61" s="63"/>
      <c r="C61" s="409"/>
      <c r="D61" s="65"/>
      <c r="E61" s="66"/>
      <c r="F61" s="66"/>
      <c r="G61" s="66"/>
      <c r="H61" s="66"/>
      <c r="I61" s="66"/>
      <c r="J61" s="66"/>
      <c r="K61" s="80"/>
      <c r="L61" s="70"/>
      <c r="M61" s="70"/>
      <c r="N61" s="71"/>
      <c r="O61" s="72"/>
      <c r="P61" s="81"/>
      <c r="Q61" s="72"/>
      <c r="R61" s="63"/>
      <c r="S61" s="75"/>
      <c r="T61" s="76"/>
      <c r="U61" s="72"/>
      <c r="V61" s="60"/>
      <c r="W61" s="60"/>
      <c r="X61" s="78"/>
      <c r="Y61" s="66"/>
    </row>
    <row r="62" spans="1:26" s="79" customFormat="1" ht="30" customHeight="1" x14ac:dyDescent="0.25">
      <c r="A62" s="63"/>
      <c r="B62" s="63"/>
      <c r="C62" s="409"/>
      <c r="D62" s="65"/>
      <c r="E62" s="66"/>
      <c r="F62" s="66"/>
      <c r="G62" s="66"/>
      <c r="H62" s="66"/>
      <c r="I62" s="66"/>
      <c r="J62" s="66"/>
      <c r="K62" s="80"/>
      <c r="L62" s="70"/>
      <c r="M62" s="70"/>
      <c r="N62" s="71"/>
      <c r="O62" s="72"/>
      <c r="P62" s="81"/>
      <c r="Q62" s="72"/>
      <c r="R62" s="63"/>
      <c r="S62" s="75"/>
      <c r="T62" s="76"/>
      <c r="U62" s="72"/>
      <c r="V62" s="60"/>
      <c r="W62" s="60"/>
      <c r="X62" s="78"/>
      <c r="Y62" s="66"/>
    </row>
    <row r="63" spans="1:26" s="79" customFormat="1" ht="30" customHeight="1" x14ac:dyDescent="0.25">
      <c r="A63" s="63"/>
      <c r="B63" s="63"/>
      <c r="C63" s="409"/>
      <c r="D63" s="65"/>
      <c r="E63" s="66"/>
      <c r="F63" s="66"/>
      <c r="G63" s="66"/>
      <c r="H63" s="66"/>
      <c r="I63" s="66"/>
      <c r="J63" s="66"/>
      <c r="K63" s="80"/>
      <c r="L63" s="70"/>
      <c r="M63" s="70"/>
      <c r="N63" s="71"/>
      <c r="O63" s="72"/>
      <c r="P63" s="81"/>
      <c r="Q63" s="72"/>
      <c r="R63" s="63"/>
      <c r="S63" s="75"/>
      <c r="T63" s="76"/>
      <c r="U63" s="72"/>
      <c r="V63" s="60"/>
      <c r="W63" s="60"/>
      <c r="X63" s="78"/>
      <c r="Y63" s="66"/>
    </row>
    <row r="64" spans="1:26" s="79" customFormat="1" ht="30" customHeight="1" x14ac:dyDescent="0.25">
      <c r="A64" s="63"/>
      <c r="B64" s="63"/>
      <c r="C64" s="409"/>
      <c r="D64" s="65"/>
      <c r="E64" s="66"/>
      <c r="F64" s="66"/>
      <c r="G64" s="66"/>
      <c r="H64" s="66"/>
      <c r="I64" s="66"/>
      <c r="J64" s="66"/>
      <c r="K64" s="80"/>
      <c r="L64" s="70"/>
      <c r="M64" s="70"/>
      <c r="N64" s="71"/>
      <c r="O64" s="72"/>
      <c r="P64" s="81"/>
      <c r="Q64" s="72"/>
      <c r="R64" s="63"/>
      <c r="S64" s="75"/>
      <c r="T64" s="76"/>
      <c r="U64" s="72"/>
      <c r="V64" s="60"/>
      <c r="W64" s="60"/>
      <c r="X64" s="78"/>
      <c r="Y64" s="66"/>
    </row>
    <row r="65" spans="1:25" s="79" customFormat="1" ht="30" customHeight="1" x14ac:dyDescent="0.25">
      <c r="A65" s="63"/>
      <c r="B65" s="63"/>
      <c r="C65" s="409"/>
      <c r="D65" s="65"/>
      <c r="E65" s="66"/>
      <c r="F65" s="66"/>
      <c r="G65" s="66"/>
      <c r="H65" s="66"/>
      <c r="I65" s="66"/>
      <c r="J65" s="66"/>
      <c r="K65" s="80"/>
      <c r="L65" s="70"/>
      <c r="M65" s="70"/>
      <c r="N65" s="71"/>
      <c r="O65" s="72"/>
      <c r="P65" s="81"/>
      <c r="Q65" s="72"/>
      <c r="R65" s="63"/>
      <c r="S65" s="75"/>
      <c r="T65" s="76"/>
      <c r="U65" s="72"/>
      <c r="V65" s="60"/>
      <c r="W65" s="60"/>
      <c r="X65" s="78"/>
      <c r="Y65" s="66"/>
    </row>
    <row r="66" spans="1:25" s="79" customFormat="1" ht="30" customHeight="1" x14ac:dyDescent="0.25">
      <c r="A66" s="63"/>
      <c r="B66" s="63"/>
      <c r="C66" s="409"/>
      <c r="D66" s="65"/>
      <c r="E66" s="66"/>
      <c r="F66" s="66"/>
      <c r="G66" s="66"/>
      <c r="H66" s="66"/>
      <c r="I66" s="66"/>
      <c r="J66" s="66"/>
      <c r="K66" s="80"/>
      <c r="L66" s="70"/>
      <c r="M66" s="70"/>
      <c r="N66" s="71"/>
      <c r="O66" s="72"/>
      <c r="P66" s="81"/>
      <c r="Q66" s="72"/>
      <c r="R66" s="63"/>
      <c r="S66" s="75"/>
      <c r="T66" s="76"/>
      <c r="U66" s="72"/>
      <c r="V66" s="60"/>
      <c r="W66" s="60"/>
      <c r="X66" s="78"/>
      <c r="Y66" s="66"/>
    </row>
    <row r="67" spans="1:25" s="103" customFormat="1" ht="30" customHeight="1" x14ac:dyDescent="0.25">
      <c r="A67" s="94"/>
      <c r="B67" s="94"/>
      <c r="C67" s="413"/>
      <c r="D67" s="95"/>
      <c r="E67" s="96"/>
      <c r="F67" s="96"/>
      <c r="G67" s="96"/>
      <c r="H67" s="96"/>
      <c r="I67" s="96"/>
      <c r="J67" s="96"/>
      <c r="K67" s="97"/>
      <c r="L67" s="98"/>
      <c r="M67" s="98"/>
      <c r="N67" s="99"/>
      <c r="O67" s="72"/>
      <c r="P67" s="100"/>
      <c r="Q67" s="101"/>
      <c r="R67" s="63"/>
      <c r="S67" s="75"/>
      <c r="T67" s="76"/>
      <c r="U67" s="72"/>
      <c r="V67" s="60"/>
      <c r="W67" s="60"/>
      <c r="X67" s="78"/>
      <c r="Y67" s="96"/>
    </row>
    <row r="68" spans="1:25" s="103" customFormat="1" ht="30" customHeight="1" x14ac:dyDescent="0.25">
      <c r="A68" s="94"/>
      <c r="B68" s="94"/>
      <c r="C68" s="413"/>
      <c r="D68" s="95"/>
      <c r="E68" s="96"/>
      <c r="F68" s="96"/>
      <c r="G68" s="96"/>
      <c r="H68" s="96"/>
      <c r="I68" s="96"/>
      <c r="J68" s="96"/>
      <c r="K68" s="97"/>
      <c r="L68" s="98"/>
      <c r="M68" s="98"/>
      <c r="N68" s="99"/>
      <c r="O68" s="72"/>
      <c r="P68" s="100"/>
      <c r="Q68" s="101"/>
      <c r="R68" s="63"/>
      <c r="S68" s="75"/>
      <c r="T68" s="76"/>
      <c r="U68" s="72"/>
      <c r="V68" s="60"/>
      <c r="W68" s="60"/>
      <c r="X68" s="78"/>
      <c r="Y68" s="96"/>
    </row>
    <row r="69" spans="1:25" s="103" customFormat="1" ht="30" customHeight="1" x14ac:dyDescent="0.25">
      <c r="A69" s="94"/>
      <c r="B69" s="94"/>
      <c r="C69" s="413"/>
      <c r="D69" s="95"/>
      <c r="E69" s="96"/>
      <c r="F69" s="96"/>
      <c r="G69" s="96"/>
      <c r="H69" s="96"/>
      <c r="I69" s="96"/>
      <c r="J69" s="96"/>
      <c r="K69" s="97"/>
      <c r="L69" s="98"/>
      <c r="M69" s="98"/>
      <c r="N69" s="99"/>
      <c r="O69" s="72"/>
      <c r="P69" s="100"/>
      <c r="Q69" s="101"/>
      <c r="R69" s="63"/>
      <c r="S69" s="75"/>
      <c r="T69" s="76"/>
      <c r="U69" s="72"/>
      <c r="V69" s="60"/>
      <c r="W69" s="60"/>
      <c r="X69" s="78"/>
      <c r="Y69" s="96"/>
    </row>
    <row r="70" spans="1:25" s="103" customFormat="1" ht="30" customHeight="1" x14ac:dyDescent="0.25">
      <c r="A70" s="94"/>
      <c r="B70" s="94"/>
      <c r="C70" s="413"/>
      <c r="D70" s="95"/>
      <c r="E70" s="96"/>
      <c r="F70" s="96"/>
      <c r="G70" s="96"/>
      <c r="H70" s="96"/>
      <c r="I70" s="96"/>
      <c r="J70" s="96"/>
      <c r="K70" s="97"/>
      <c r="L70" s="98"/>
      <c r="M70" s="98"/>
      <c r="N70" s="99"/>
      <c r="O70" s="72"/>
      <c r="P70" s="100"/>
      <c r="Q70" s="101"/>
      <c r="R70" s="63"/>
      <c r="S70" s="75"/>
      <c r="T70" s="76"/>
      <c r="U70" s="72"/>
      <c r="V70" s="60"/>
      <c r="W70" s="60"/>
      <c r="X70" s="78"/>
      <c r="Y70" s="96"/>
    </row>
    <row r="71" spans="1:25" s="103" customFormat="1" ht="30" customHeight="1" x14ac:dyDescent="0.25">
      <c r="A71" s="94"/>
      <c r="B71" s="94"/>
      <c r="C71" s="413"/>
      <c r="D71" s="95"/>
      <c r="E71" s="96"/>
      <c r="F71" s="96"/>
      <c r="G71" s="96"/>
      <c r="H71" s="96"/>
      <c r="I71" s="96"/>
      <c r="J71" s="96"/>
      <c r="K71" s="97"/>
      <c r="L71" s="98"/>
      <c r="M71" s="98"/>
      <c r="N71" s="99"/>
      <c r="O71" s="72"/>
      <c r="P71" s="100"/>
      <c r="Q71" s="101"/>
      <c r="R71" s="63"/>
      <c r="S71" s="75"/>
      <c r="T71" s="76"/>
      <c r="U71" s="72"/>
      <c r="V71" s="60"/>
      <c r="W71" s="60"/>
      <c r="X71" s="78"/>
      <c r="Y71" s="96"/>
    </row>
    <row r="72" spans="1:25" s="103" customFormat="1" ht="30" customHeight="1" x14ac:dyDescent="0.25">
      <c r="A72" s="94"/>
      <c r="B72" s="94"/>
      <c r="C72" s="413"/>
      <c r="D72" s="95"/>
      <c r="E72" s="96"/>
      <c r="F72" s="96"/>
      <c r="G72" s="96"/>
      <c r="H72" s="96"/>
      <c r="I72" s="96"/>
      <c r="J72" s="96"/>
      <c r="K72" s="97"/>
      <c r="L72" s="98"/>
      <c r="M72" s="98"/>
      <c r="N72" s="99"/>
      <c r="O72" s="72"/>
      <c r="P72" s="100"/>
      <c r="Q72" s="101"/>
      <c r="R72" s="63"/>
      <c r="S72" s="75"/>
      <c r="T72" s="76"/>
      <c r="U72" s="72"/>
      <c r="V72" s="60"/>
      <c r="W72" s="60"/>
      <c r="X72" s="78"/>
      <c r="Y72" s="96"/>
    </row>
    <row r="73" spans="1:25" s="103" customFormat="1" ht="30" customHeight="1" x14ac:dyDescent="0.25">
      <c r="A73" s="94"/>
      <c r="B73" s="94"/>
      <c r="C73" s="413"/>
      <c r="D73" s="95"/>
      <c r="E73" s="96"/>
      <c r="F73" s="96"/>
      <c r="G73" s="96"/>
      <c r="H73" s="96"/>
      <c r="I73" s="96"/>
      <c r="J73" s="96"/>
      <c r="K73" s="97"/>
      <c r="L73" s="98"/>
      <c r="M73" s="98"/>
      <c r="N73" s="99"/>
      <c r="O73" s="72"/>
      <c r="P73" s="100"/>
      <c r="Q73" s="101"/>
      <c r="R73" s="63"/>
      <c r="S73" s="75"/>
      <c r="T73" s="76"/>
      <c r="U73" s="72"/>
      <c r="V73" s="60"/>
      <c r="W73" s="60"/>
      <c r="X73" s="78"/>
      <c r="Y73" s="96"/>
    </row>
    <row r="74" spans="1:25" s="103" customFormat="1" ht="30" customHeight="1" x14ac:dyDescent="0.25">
      <c r="A74" s="94"/>
      <c r="B74" s="94"/>
      <c r="C74" s="413"/>
      <c r="D74" s="95"/>
      <c r="E74" s="96"/>
      <c r="F74" s="96"/>
      <c r="G74" s="96"/>
      <c r="H74" s="96"/>
      <c r="I74" s="96"/>
      <c r="J74" s="96"/>
      <c r="K74" s="97"/>
      <c r="L74" s="98"/>
      <c r="M74" s="98"/>
      <c r="N74" s="99"/>
      <c r="O74" s="72"/>
      <c r="P74" s="100"/>
      <c r="Q74" s="101"/>
      <c r="R74" s="63"/>
      <c r="S74" s="75"/>
      <c r="T74" s="76"/>
      <c r="U74" s="72"/>
      <c r="V74" s="60"/>
      <c r="W74" s="60"/>
      <c r="X74" s="78"/>
      <c r="Y74" s="96"/>
    </row>
    <row r="75" spans="1:25" s="103" customFormat="1" ht="30" customHeight="1" x14ac:dyDescent="0.25">
      <c r="A75" s="94"/>
      <c r="B75" s="94"/>
      <c r="C75" s="413"/>
      <c r="D75" s="95"/>
      <c r="E75" s="96"/>
      <c r="F75" s="96"/>
      <c r="G75" s="96"/>
      <c r="H75" s="96"/>
      <c r="I75" s="96"/>
      <c r="J75" s="96"/>
      <c r="K75" s="97"/>
      <c r="L75" s="98"/>
      <c r="M75" s="98"/>
      <c r="N75" s="99"/>
      <c r="O75" s="72"/>
      <c r="P75" s="100"/>
      <c r="Q75" s="101"/>
      <c r="R75" s="63"/>
      <c r="S75" s="75"/>
      <c r="T75" s="76"/>
      <c r="U75" s="72"/>
      <c r="V75" s="60"/>
      <c r="W75" s="60"/>
      <c r="X75" s="78"/>
      <c r="Y75" s="96"/>
    </row>
    <row r="76" spans="1:25" s="103" customFormat="1" ht="30" customHeight="1" x14ac:dyDescent="0.25">
      <c r="A76" s="94"/>
      <c r="B76" s="94"/>
      <c r="C76" s="413"/>
      <c r="D76" s="95"/>
      <c r="E76" s="96"/>
      <c r="F76" s="96"/>
      <c r="G76" s="96"/>
      <c r="H76" s="96"/>
      <c r="I76" s="96"/>
      <c r="J76" s="96"/>
      <c r="K76" s="97"/>
      <c r="L76" s="98"/>
      <c r="M76" s="98"/>
      <c r="N76" s="99"/>
      <c r="O76" s="72"/>
      <c r="P76" s="100"/>
      <c r="Q76" s="101"/>
      <c r="R76" s="63"/>
      <c r="S76" s="75"/>
      <c r="T76" s="76"/>
      <c r="U76" s="72"/>
      <c r="V76" s="60"/>
      <c r="W76" s="60"/>
      <c r="X76" s="78"/>
      <c r="Y76" s="96"/>
    </row>
    <row r="77" spans="1:25" s="103" customFormat="1" ht="30" customHeight="1" x14ac:dyDescent="0.25">
      <c r="A77" s="94"/>
      <c r="B77" s="94"/>
      <c r="C77" s="413"/>
      <c r="D77" s="95"/>
      <c r="E77" s="96"/>
      <c r="F77" s="96"/>
      <c r="G77" s="96"/>
      <c r="H77" s="96"/>
      <c r="I77" s="96"/>
      <c r="J77" s="96"/>
      <c r="K77" s="97"/>
      <c r="L77" s="98"/>
      <c r="M77" s="98"/>
      <c r="N77" s="99"/>
      <c r="O77" s="72"/>
      <c r="P77" s="100"/>
      <c r="Q77" s="101"/>
      <c r="R77" s="63"/>
      <c r="S77" s="75"/>
      <c r="T77" s="76"/>
      <c r="U77" s="72"/>
      <c r="V77" s="60"/>
      <c r="W77" s="60"/>
      <c r="X77" s="78"/>
      <c r="Y77" s="96"/>
    </row>
    <row r="78" spans="1:25" s="103" customFormat="1" ht="30" customHeight="1" x14ac:dyDescent="0.25">
      <c r="A78" s="94"/>
      <c r="B78" s="94"/>
      <c r="C78" s="413"/>
      <c r="D78" s="95"/>
      <c r="E78" s="96"/>
      <c r="F78" s="96"/>
      <c r="G78" s="96"/>
      <c r="H78" s="96"/>
      <c r="I78" s="96"/>
      <c r="J78" s="96"/>
      <c r="K78" s="97"/>
      <c r="L78" s="98"/>
      <c r="M78" s="98"/>
      <c r="N78" s="99"/>
      <c r="O78" s="72"/>
      <c r="P78" s="100"/>
      <c r="Q78" s="101"/>
      <c r="R78" s="63"/>
      <c r="S78" s="75"/>
      <c r="T78" s="76"/>
      <c r="U78" s="72"/>
      <c r="V78" s="60"/>
      <c r="W78" s="60"/>
      <c r="X78" s="78"/>
      <c r="Y78" s="96"/>
    </row>
    <row r="79" spans="1:25" s="103" customFormat="1" ht="30" customHeight="1" x14ac:dyDescent="0.25">
      <c r="A79" s="94"/>
      <c r="B79" s="94"/>
      <c r="C79" s="413"/>
      <c r="D79" s="95"/>
      <c r="E79" s="96"/>
      <c r="F79" s="96"/>
      <c r="G79" s="96"/>
      <c r="H79" s="96"/>
      <c r="I79" s="96"/>
      <c r="J79" s="96"/>
      <c r="K79" s="97"/>
      <c r="L79" s="98"/>
      <c r="M79" s="98"/>
      <c r="N79" s="99"/>
      <c r="O79" s="72"/>
      <c r="P79" s="100"/>
      <c r="Q79" s="101"/>
      <c r="R79" s="63"/>
      <c r="S79" s="75"/>
      <c r="T79" s="76"/>
      <c r="U79" s="72"/>
      <c r="V79" s="60"/>
      <c r="W79" s="60"/>
      <c r="X79" s="78"/>
      <c r="Y79" s="96"/>
    </row>
    <row r="80" spans="1:25" s="103" customFormat="1" ht="30" customHeight="1" x14ac:dyDescent="0.25">
      <c r="A80" s="94"/>
      <c r="B80" s="94"/>
      <c r="C80" s="413"/>
      <c r="D80" s="95"/>
      <c r="E80" s="96"/>
      <c r="F80" s="96"/>
      <c r="G80" s="96"/>
      <c r="H80" s="96"/>
      <c r="I80" s="96"/>
      <c r="J80" s="96"/>
      <c r="K80" s="97"/>
      <c r="L80" s="98"/>
      <c r="M80" s="98"/>
      <c r="N80" s="99"/>
      <c r="O80" s="72"/>
      <c r="P80" s="100"/>
      <c r="Q80" s="101"/>
      <c r="R80" s="63"/>
      <c r="S80" s="75"/>
      <c r="T80" s="76"/>
      <c r="U80" s="72"/>
      <c r="V80" s="60"/>
      <c r="W80" s="60"/>
      <c r="X80" s="78"/>
      <c r="Y80" s="96"/>
    </row>
    <row r="81" spans="1:25" s="103" customFormat="1" ht="30" customHeight="1" x14ac:dyDescent="0.25">
      <c r="A81" s="94"/>
      <c r="B81" s="94"/>
      <c r="C81" s="413"/>
      <c r="D81" s="95"/>
      <c r="E81" s="96"/>
      <c r="F81" s="96"/>
      <c r="G81" s="96"/>
      <c r="H81" s="96"/>
      <c r="I81" s="96"/>
      <c r="J81" s="96"/>
      <c r="K81" s="97"/>
      <c r="L81" s="98"/>
      <c r="M81" s="98"/>
      <c r="N81" s="99"/>
      <c r="O81" s="72"/>
      <c r="P81" s="100"/>
      <c r="Q81" s="101"/>
      <c r="R81" s="63"/>
      <c r="S81" s="75"/>
      <c r="T81" s="76"/>
      <c r="U81" s="72"/>
      <c r="V81" s="60"/>
      <c r="W81" s="60"/>
      <c r="X81" s="78"/>
      <c r="Y81" s="96"/>
    </row>
    <row r="82" spans="1:25" s="103" customFormat="1" ht="30" customHeight="1" x14ac:dyDescent="0.25">
      <c r="A82" s="94"/>
      <c r="B82" s="94"/>
      <c r="C82" s="413"/>
      <c r="D82" s="95"/>
      <c r="E82" s="96"/>
      <c r="F82" s="96"/>
      <c r="G82" s="96"/>
      <c r="H82" s="96"/>
      <c r="I82" s="96"/>
      <c r="J82" s="96"/>
      <c r="K82" s="97"/>
      <c r="L82" s="98"/>
      <c r="M82" s="98"/>
      <c r="N82" s="99"/>
      <c r="O82" s="72"/>
      <c r="P82" s="100"/>
      <c r="Q82" s="101"/>
      <c r="R82" s="63"/>
      <c r="S82" s="75"/>
      <c r="T82" s="76"/>
      <c r="U82" s="72"/>
      <c r="V82" s="60"/>
      <c r="W82" s="60"/>
      <c r="X82" s="78"/>
      <c r="Y82" s="96"/>
    </row>
    <row r="83" spans="1:25" s="103" customFormat="1" ht="30" customHeight="1" x14ac:dyDescent="0.25">
      <c r="A83" s="94"/>
      <c r="B83" s="94"/>
      <c r="C83" s="413"/>
      <c r="D83" s="95"/>
      <c r="E83" s="96"/>
      <c r="F83" s="96"/>
      <c r="G83" s="96"/>
      <c r="H83" s="96"/>
      <c r="I83" s="96"/>
      <c r="J83" s="96"/>
      <c r="K83" s="97"/>
      <c r="L83" s="98"/>
      <c r="M83" s="98"/>
      <c r="N83" s="99"/>
      <c r="O83" s="72"/>
      <c r="P83" s="100"/>
      <c r="Q83" s="101"/>
      <c r="R83" s="63"/>
      <c r="S83" s="75"/>
      <c r="T83" s="76"/>
      <c r="U83" s="72"/>
      <c r="V83" s="60"/>
      <c r="W83" s="60"/>
      <c r="X83" s="78"/>
      <c r="Y83" s="96"/>
    </row>
    <row r="84" spans="1:25" s="103" customFormat="1" ht="30" customHeight="1" x14ac:dyDescent="0.25">
      <c r="A84" s="94"/>
      <c r="B84" s="94"/>
      <c r="C84" s="413"/>
      <c r="D84" s="95"/>
      <c r="E84" s="96"/>
      <c r="F84" s="96"/>
      <c r="G84" s="96"/>
      <c r="H84" s="96"/>
      <c r="I84" s="96"/>
      <c r="J84" s="96"/>
      <c r="K84" s="97"/>
      <c r="L84" s="98"/>
      <c r="M84" s="98"/>
      <c r="N84" s="99"/>
      <c r="O84" s="72"/>
      <c r="P84" s="100"/>
      <c r="Q84" s="101"/>
      <c r="R84" s="63"/>
      <c r="S84" s="75"/>
      <c r="T84" s="76"/>
      <c r="U84" s="72"/>
      <c r="V84" s="60"/>
      <c r="W84" s="60"/>
      <c r="X84" s="78"/>
      <c r="Y84" s="96"/>
    </row>
    <row r="85" spans="1:25" s="103" customFormat="1" ht="30" customHeight="1" x14ac:dyDescent="0.25">
      <c r="A85" s="94"/>
      <c r="B85" s="94"/>
      <c r="C85" s="413"/>
      <c r="D85" s="95"/>
      <c r="E85" s="96"/>
      <c r="F85" s="96"/>
      <c r="G85" s="96"/>
      <c r="H85" s="96"/>
      <c r="I85" s="96"/>
      <c r="J85" s="96"/>
      <c r="K85" s="97"/>
      <c r="L85" s="98"/>
      <c r="M85" s="98"/>
      <c r="N85" s="99"/>
      <c r="O85" s="72"/>
      <c r="P85" s="100"/>
      <c r="Q85" s="101"/>
      <c r="R85" s="63"/>
      <c r="S85" s="75"/>
      <c r="T85" s="76"/>
      <c r="U85" s="72"/>
      <c r="V85" s="60"/>
      <c r="W85" s="60"/>
      <c r="X85" s="78"/>
      <c r="Y85" s="96"/>
    </row>
    <row r="86" spans="1:25" s="103" customFormat="1" ht="30" customHeight="1" x14ac:dyDescent="0.25">
      <c r="A86" s="94"/>
      <c r="B86" s="94"/>
      <c r="C86" s="413"/>
      <c r="D86" s="95"/>
      <c r="E86" s="96"/>
      <c r="F86" s="96"/>
      <c r="G86" s="96"/>
      <c r="H86" s="96"/>
      <c r="I86" s="96"/>
      <c r="J86" s="96"/>
      <c r="K86" s="97"/>
      <c r="L86" s="98"/>
      <c r="M86" s="98"/>
      <c r="N86" s="99"/>
      <c r="O86" s="72"/>
      <c r="P86" s="100"/>
      <c r="Q86" s="101"/>
      <c r="R86" s="63"/>
      <c r="S86" s="75"/>
      <c r="T86" s="76"/>
      <c r="U86" s="72"/>
      <c r="V86" s="60"/>
      <c r="W86" s="60"/>
      <c r="X86" s="78"/>
      <c r="Y86" s="96"/>
    </row>
    <row r="87" spans="1:25" s="103" customFormat="1" ht="30" customHeight="1" x14ac:dyDescent="0.25">
      <c r="A87" s="94"/>
      <c r="B87" s="94"/>
      <c r="C87" s="413"/>
      <c r="D87" s="95"/>
      <c r="E87" s="96"/>
      <c r="F87" s="96"/>
      <c r="G87" s="96"/>
      <c r="H87" s="96"/>
      <c r="I87" s="96"/>
      <c r="J87" s="96"/>
      <c r="K87" s="97"/>
      <c r="L87" s="98"/>
      <c r="M87" s="98"/>
      <c r="N87" s="99"/>
      <c r="O87" s="72"/>
      <c r="P87" s="100"/>
      <c r="Q87" s="101"/>
      <c r="R87" s="63"/>
      <c r="S87" s="75"/>
      <c r="T87" s="76"/>
      <c r="U87" s="72"/>
      <c r="V87" s="60"/>
      <c r="W87" s="60"/>
      <c r="X87" s="78"/>
      <c r="Y87" s="96"/>
    </row>
    <row r="88" spans="1:25" s="103" customFormat="1" ht="30" customHeight="1" x14ac:dyDescent="0.25">
      <c r="A88" s="94"/>
      <c r="B88" s="94"/>
      <c r="C88" s="413"/>
      <c r="D88" s="95"/>
      <c r="E88" s="96"/>
      <c r="F88" s="96"/>
      <c r="G88" s="96"/>
      <c r="H88" s="96"/>
      <c r="I88" s="96"/>
      <c r="J88" s="96"/>
      <c r="K88" s="97"/>
      <c r="L88" s="98"/>
      <c r="M88" s="98"/>
      <c r="N88" s="99"/>
      <c r="O88" s="72"/>
      <c r="P88" s="100"/>
      <c r="Q88" s="101"/>
      <c r="R88" s="63"/>
      <c r="S88" s="75"/>
      <c r="T88" s="76"/>
      <c r="U88" s="72"/>
      <c r="V88" s="60"/>
      <c r="W88" s="60"/>
      <c r="X88" s="78"/>
      <c r="Y88" s="96"/>
    </row>
    <row r="89" spans="1:25" s="103" customFormat="1" ht="30" customHeight="1" x14ac:dyDescent="0.25">
      <c r="A89" s="94"/>
      <c r="B89" s="94"/>
      <c r="C89" s="413"/>
      <c r="D89" s="95"/>
      <c r="E89" s="96"/>
      <c r="F89" s="96"/>
      <c r="G89" s="96"/>
      <c r="H89" s="96"/>
      <c r="I89" s="96"/>
      <c r="J89" s="96"/>
      <c r="K89" s="97"/>
      <c r="L89" s="98"/>
      <c r="M89" s="98"/>
      <c r="N89" s="99"/>
      <c r="O89" s="72"/>
      <c r="P89" s="100"/>
      <c r="Q89" s="101"/>
      <c r="R89" s="63"/>
      <c r="S89" s="75"/>
      <c r="T89" s="76"/>
      <c r="U89" s="72"/>
      <c r="V89" s="60"/>
      <c r="W89" s="60"/>
      <c r="X89" s="78"/>
      <c r="Y89" s="96"/>
    </row>
    <row r="90" spans="1:25" s="103" customFormat="1" ht="30" customHeight="1" x14ac:dyDescent="0.25">
      <c r="A90" s="94"/>
      <c r="B90" s="94"/>
      <c r="C90" s="413"/>
      <c r="D90" s="95"/>
      <c r="E90" s="96"/>
      <c r="F90" s="96"/>
      <c r="G90" s="96"/>
      <c r="H90" s="96"/>
      <c r="I90" s="96"/>
      <c r="J90" s="96"/>
      <c r="K90" s="97"/>
      <c r="L90" s="98"/>
      <c r="M90" s="98"/>
      <c r="N90" s="99"/>
      <c r="O90" s="72"/>
      <c r="P90" s="100"/>
      <c r="Q90" s="101"/>
      <c r="R90" s="63"/>
      <c r="S90" s="75"/>
      <c r="T90" s="76"/>
      <c r="U90" s="72"/>
      <c r="V90" s="60"/>
      <c r="W90" s="60"/>
      <c r="X90" s="78"/>
      <c r="Y90" s="96"/>
    </row>
    <row r="91" spans="1:25" s="103" customFormat="1" ht="30" customHeight="1" x14ac:dyDescent="0.25">
      <c r="A91" s="94"/>
      <c r="B91" s="94"/>
      <c r="C91" s="413"/>
      <c r="D91" s="95"/>
      <c r="E91" s="96"/>
      <c r="F91" s="96"/>
      <c r="G91" s="96"/>
      <c r="H91" s="96"/>
      <c r="I91" s="96"/>
      <c r="J91" s="96"/>
      <c r="K91" s="97"/>
      <c r="L91" s="98"/>
      <c r="M91" s="98"/>
      <c r="N91" s="99"/>
      <c r="O91" s="72"/>
      <c r="P91" s="100"/>
      <c r="Q91" s="101"/>
      <c r="R91" s="63"/>
      <c r="S91" s="75"/>
      <c r="T91" s="76"/>
      <c r="U91" s="72"/>
      <c r="V91" s="60"/>
      <c r="W91" s="60"/>
      <c r="X91" s="78"/>
      <c r="Y91" s="96"/>
    </row>
    <row r="92" spans="1:25" s="103" customFormat="1" ht="30" customHeight="1" x14ac:dyDescent="0.25">
      <c r="A92" s="94"/>
      <c r="B92" s="94"/>
      <c r="C92" s="413"/>
      <c r="D92" s="95"/>
      <c r="E92" s="96"/>
      <c r="F92" s="96"/>
      <c r="G92" s="96"/>
      <c r="H92" s="96"/>
      <c r="I92" s="96"/>
      <c r="J92" s="96"/>
      <c r="K92" s="97"/>
      <c r="L92" s="98"/>
      <c r="M92" s="98"/>
      <c r="N92" s="99"/>
      <c r="O92" s="72"/>
      <c r="P92" s="100"/>
      <c r="Q92" s="101"/>
      <c r="R92" s="63"/>
      <c r="S92" s="75"/>
      <c r="T92" s="76"/>
      <c r="U92" s="72"/>
      <c r="V92" s="60"/>
      <c r="W92" s="60"/>
      <c r="X92" s="78"/>
      <c r="Y92" s="96"/>
    </row>
    <row r="93" spans="1:25" s="103" customFormat="1" ht="30" customHeight="1" x14ac:dyDescent="0.25">
      <c r="A93" s="94"/>
      <c r="B93" s="94"/>
      <c r="C93" s="413"/>
      <c r="D93" s="95"/>
      <c r="E93" s="96"/>
      <c r="F93" s="96"/>
      <c r="G93" s="96"/>
      <c r="H93" s="96"/>
      <c r="I93" s="96"/>
      <c r="J93" s="96"/>
      <c r="K93" s="97"/>
      <c r="L93" s="98"/>
      <c r="M93" s="98"/>
      <c r="N93" s="99"/>
      <c r="O93" s="72"/>
      <c r="P93" s="100"/>
      <c r="Q93" s="101"/>
      <c r="R93" s="63"/>
      <c r="S93" s="75"/>
      <c r="T93" s="76"/>
      <c r="U93" s="72"/>
      <c r="V93" s="60"/>
      <c r="W93" s="60"/>
      <c r="X93" s="78"/>
      <c r="Y93" s="96"/>
    </row>
    <row r="94" spans="1:25" s="103" customFormat="1" ht="30" customHeight="1" x14ac:dyDescent="0.25">
      <c r="A94" s="94"/>
      <c r="B94" s="94"/>
      <c r="C94" s="413"/>
      <c r="D94" s="95"/>
      <c r="E94" s="96"/>
      <c r="F94" s="96"/>
      <c r="G94" s="96"/>
      <c r="H94" s="96"/>
      <c r="I94" s="96"/>
      <c r="J94" s="96"/>
      <c r="K94" s="97"/>
      <c r="L94" s="98"/>
      <c r="M94" s="98"/>
      <c r="N94" s="99"/>
      <c r="O94" s="72"/>
      <c r="P94" s="100"/>
      <c r="Q94" s="101"/>
      <c r="R94" s="63"/>
      <c r="S94" s="75"/>
      <c r="T94" s="76"/>
      <c r="U94" s="72"/>
      <c r="V94" s="60"/>
      <c r="W94" s="60"/>
      <c r="X94" s="78"/>
      <c r="Y94" s="96"/>
    </row>
    <row r="95" spans="1:25" s="103" customFormat="1" ht="30" customHeight="1" x14ac:dyDescent="0.25">
      <c r="A95" s="94"/>
      <c r="B95" s="94"/>
      <c r="C95" s="413"/>
      <c r="D95" s="95"/>
      <c r="E95" s="96"/>
      <c r="F95" s="96"/>
      <c r="G95" s="96"/>
      <c r="H95" s="96"/>
      <c r="I95" s="96"/>
      <c r="J95" s="96"/>
      <c r="K95" s="97"/>
      <c r="L95" s="98"/>
      <c r="M95" s="98"/>
      <c r="N95" s="99"/>
      <c r="O95" s="72"/>
      <c r="P95" s="100"/>
      <c r="Q95" s="101"/>
      <c r="R95" s="63"/>
      <c r="S95" s="75"/>
      <c r="T95" s="76"/>
      <c r="U95" s="72"/>
      <c r="V95" s="60"/>
      <c r="W95" s="60"/>
      <c r="X95" s="78"/>
      <c r="Y95" s="96"/>
    </row>
    <row r="96" spans="1:25" s="103" customFormat="1" ht="30" customHeight="1" x14ac:dyDescent="0.25">
      <c r="A96" s="94"/>
      <c r="B96" s="94"/>
      <c r="C96" s="413"/>
      <c r="D96" s="95"/>
      <c r="E96" s="96"/>
      <c r="F96" s="96"/>
      <c r="G96" s="96"/>
      <c r="H96" s="96"/>
      <c r="I96" s="96"/>
      <c r="J96" s="96"/>
      <c r="K96" s="97"/>
      <c r="L96" s="98"/>
      <c r="M96" s="98"/>
      <c r="N96" s="99"/>
      <c r="O96" s="72"/>
      <c r="P96" s="100"/>
      <c r="Q96" s="101"/>
      <c r="R96" s="63"/>
      <c r="S96" s="75"/>
      <c r="T96" s="76"/>
      <c r="U96" s="72"/>
      <c r="V96" s="60"/>
      <c r="W96" s="60"/>
      <c r="X96" s="78"/>
      <c r="Y96" s="96"/>
    </row>
    <row r="97" spans="1:25" s="103" customFormat="1" ht="30" customHeight="1" x14ac:dyDescent="0.25">
      <c r="A97" s="94"/>
      <c r="B97" s="94"/>
      <c r="C97" s="413"/>
      <c r="D97" s="95"/>
      <c r="E97" s="96"/>
      <c r="F97" s="96"/>
      <c r="G97" s="96"/>
      <c r="H97" s="96"/>
      <c r="I97" s="96"/>
      <c r="J97" s="96"/>
      <c r="K97" s="97"/>
      <c r="L97" s="98"/>
      <c r="M97" s="98"/>
      <c r="N97" s="99"/>
      <c r="O97" s="72"/>
      <c r="P97" s="100"/>
      <c r="Q97" s="101"/>
      <c r="R97" s="63"/>
      <c r="S97" s="75"/>
      <c r="T97" s="76"/>
      <c r="U97" s="72"/>
      <c r="V97" s="60"/>
      <c r="W97" s="60"/>
      <c r="X97" s="78"/>
      <c r="Y97" s="96"/>
    </row>
    <row r="98" spans="1:25" s="103" customFormat="1" ht="30" customHeight="1" x14ac:dyDescent="0.25">
      <c r="A98" s="94"/>
      <c r="B98" s="94"/>
      <c r="C98" s="413"/>
      <c r="D98" s="95"/>
      <c r="E98" s="96"/>
      <c r="F98" s="96"/>
      <c r="G98" s="96"/>
      <c r="H98" s="96"/>
      <c r="I98" s="96"/>
      <c r="J98" s="96"/>
      <c r="K98" s="97"/>
      <c r="L98" s="98"/>
      <c r="M98" s="98"/>
      <c r="N98" s="99"/>
      <c r="O98" s="72"/>
      <c r="P98" s="100"/>
      <c r="Q98" s="101"/>
      <c r="R98" s="63"/>
      <c r="S98" s="75"/>
      <c r="T98" s="76"/>
      <c r="U98" s="72"/>
      <c r="V98" s="60"/>
      <c r="W98" s="60"/>
      <c r="X98" s="78"/>
      <c r="Y98" s="96"/>
    </row>
    <row r="99" spans="1:25" s="103" customFormat="1" ht="30" customHeight="1" x14ac:dyDescent="0.25">
      <c r="A99" s="94"/>
      <c r="B99" s="94"/>
      <c r="C99" s="413"/>
      <c r="D99" s="95"/>
      <c r="E99" s="96"/>
      <c r="F99" s="96"/>
      <c r="G99" s="96"/>
      <c r="H99" s="96"/>
      <c r="I99" s="96"/>
      <c r="J99" s="96"/>
      <c r="K99" s="97"/>
      <c r="L99" s="98"/>
      <c r="M99" s="98"/>
      <c r="N99" s="99"/>
      <c r="O99" s="72"/>
      <c r="P99" s="100"/>
      <c r="Q99" s="101"/>
      <c r="R99" s="63"/>
      <c r="S99" s="75"/>
      <c r="T99" s="76"/>
      <c r="U99" s="72"/>
      <c r="V99" s="60"/>
      <c r="W99" s="60"/>
      <c r="X99" s="78"/>
      <c r="Y99" s="96"/>
    </row>
    <row r="100" spans="1:25" s="103" customFormat="1" ht="30" customHeight="1" x14ac:dyDescent="0.25">
      <c r="A100" s="94"/>
      <c r="B100" s="94"/>
      <c r="C100" s="413"/>
      <c r="D100" s="95"/>
      <c r="E100" s="96"/>
      <c r="F100" s="96"/>
      <c r="G100" s="96"/>
      <c r="H100" s="96"/>
      <c r="I100" s="96"/>
      <c r="J100" s="96"/>
      <c r="K100" s="97"/>
      <c r="L100" s="98"/>
      <c r="M100" s="98"/>
      <c r="N100" s="99"/>
      <c r="O100" s="72"/>
      <c r="P100" s="100"/>
      <c r="Q100" s="101"/>
      <c r="R100" s="63"/>
      <c r="S100" s="75"/>
      <c r="T100" s="76"/>
      <c r="U100" s="72"/>
      <c r="V100" s="60"/>
      <c r="W100" s="60"/>
      <c r="X100" s="78"/>
      <c r="Y100" s="96"/>
    </row>
    <row r="101" spans="1:25" s="103" customFormat="1" ht="30" customHeight="1" x14ac:dyDescent="0.25">
      <c r="A101" s="94"/>
      <c r="B101" s="94"/>
      <c r="C101" s="413"/>
      <c r="D101" s="95"/>
      <c r="E101" s="96"/>
      <c r="F101" s="96"/>
      <c r="G101" s="96"/>
      <c r="H101" s="96"/>
      <c r="I101" s="96"/>
      <c r="J101" s="96"/>
      <c r="K101" s="97"/>
      <c r="L101" s="98"/>
      <c r="M101" s="98"/>
      <c r="N101" s="99"/>
      <c r="O101" s="72"/>
      <c r="P101" s="100"/>
      <c r="Q101" s="101"/>
      <c r="R101" s="63"/>
      <c r="S101" s="75"/>
      <c r="T101" s="76"/>
      <c r="U101" s="72"/>
      <c r="V101" s="60"/>
      <c r="W101" s="60"/>
      <c r="X101" s="78"/>
      <c r="Y101" s="96"/>
    </row>
    <row r="102" spans="1:25" s="103" customFormat="1" ht="30" customHeight="1" x14ac:dyDescent="0.25">
      <c r="A102" s="94"/>
      <c r="B102" s="94"/>
      <c r="C102" s="413"/>
      <c r="D102" s="95"/>
      <c r="E102" s="96"/>
      <c r="F102" s="96"/>
      <c r="G102" s="96"/>
      <c r="H102" s="96"/>
      <c r="I102" s="96"/>
      <c r="J102" s="96"/>
      <c r="K102" s="97"/>
      <c r="L102" s="98"/>
      <c r="M102" s="98"/>
      <c r="N102" s="99"/>
      <c r="O102" s="72"/>
      <c r="P102" s="100"/>
      <c r="Q102" s="101"/>
      <c r="R102" s="63"/>
      <c r="S102" s="75"/>
      <c r="T102" s="76"/>
      <c r="U102" s="72"/>
      <c r="V102" s="60"/>
      <c r="W102" s="60"/>
      <c r="X102" s="78"/>
      <c r="Y102" s="96"/>
    </row>
    <row r="103" spans="1:25" s="103" customFormat="1" ht="30" customHeight="1" x14ac:dyDescent="0.25">
      <c r="A103" s="94"/>
      <c r="B103" s="94"/>
      <c r="C103" s="413"/>
      <c r="D103" s="95"/>
      <c r="E103" s="96"/>
      <c r="F103" s="96"/>
      <c r="G103" s="96"/>
      <c r="H103" s="96"/>
      <c r="I103" s="96"/>
      <c r="J103" s="96"/>
      <c r="K103" s="97"/>
      <c r="L103" s="98"/>
      <c r="M103" s="98"/>
      <c r="N103" s="99"/>
      <c r="O103" s="72"/>
      <c r="P103" s="100"/>
      <c r="Q103" s="101"/>
      <c r="R103" s="63"/>
      <c r="S103" s="75"/>
      <c r="T103" s="76"/>
      <c r="U103" s="72"/>
      <c r="V103" s="60"/>
      <c r="W103" s="60"/>
      <c r="X103" s="78"/>
      <c r="Y103" s="96"/>
    </row>
    <row r="104" spans="1:25" s="103" customFormat="1" ht="30" customHeight="1" x14ac:dyDescent="0.25">
      <c r="A104" s="94"/>
      <c r="B104" s="94"/>
      <c r="C104" s="413"/>
      <c r="D104" s="95"/>
      <c r="E104" s="96"/>
      <c r="F104" s="96"/>
      <c r="G104" s="96"/>
      <c r="H104" s="96"/>
      <c r="I104" s="96"/>
      <c r="J104" s="96"/>
      <c r="K104" s="97"/>
      <c r="L104" s="98"/>
      <c r="M104" s="98"/>
      <c r="N104" s="99"/>
      <c r="O104" s="72"/>
      <c r="P104" s="100"/>
      <c r="Q104" s="101"/>
      <c r="R104" s="63"/>
      <c r="S104" s="75"/>
      <c r="T104" s="76"/>
      <c r="U104" s="72"/>
      <c r="V104" s="60"/>
      <c r="W104" s="60"/>
      <c r="X104" s="78"/>
      <c r="Y104" s="96"/>
    </row>
    <row r="105" spans="1:25" s="103" customFormat="1" ht="30" customHeight="1" x14ac:dyDescent="0.25">
      <c r="A105" s="94"/>
      <c r="B105" s="94"/>
      <c r="C105" s="413"/>
      <c r="D105" s="95"/>
      <c r="E105" s="96"/>
      <c r="F105" s="96"/>
      <c r="G105" s="96"/>
      <c r="H105" s="96"/>
      <c r="I105" s="96"/>
      <c r="J105" s="96"/>
      <c r="K105" s="97"/>
      <c r="L105" s="98"/>
      <c r="M105" s="98"/>
      <c r="N105" s="99"/>
      <c r="O105" s="72"/>
      <c r="P105" s="100"/>
      <c r="Q105" s="101"/>
      <c r="R105" s="63"/>
      <c r="S105" s="75"/>
      <c r="T105" s="76"/>
      <c r="U105" s="72"/>
      <c r="V105" s="60"/>
      <c r="W105" s="60"/>
      <c r="X105" s="78"/>
      <c r="Y105" s="96"/>
    </row>
    <row r="106" spans="1:25" s="103" customFormat="1" ht="30" customHeight="1" x14ac:dyDescent="0.25">
      <c r="A106" s="94"/>
      <c r="B106" s="94"/>
      <c r="C106" s="413"/>
      <c r="D106" s="95"/>
      <c r="E106" s="96"/>
      <c r="F106" s="96"/>
      <c r="G106" s="96"/>
      <c r="H106" s="96"/>
      <c r="I106" s="96"/>
      <c r="J106" s="96"/>
      <c r="K106" s="97"/>
      <c r="L106" s="98"/>
      <c r="M106" s="98"/>
      <c r="N106" s="99"/>
      <c r="O106" s="72"/>
      <c r="P106" s="100"/>
      <c r="Q106" s="101"/>
      <c r="R106" s="63"/>
      <c r="S106" s="75"/>
      <c r="T106" s="76"/>
      <c r="U106" s="72"/>
      <c r="V106" s="60"/>
      <c r="W106" s="60"/>
      <c r="X106" s="78"/>
      <c r="Y106" s="96"/>
    </row>
    <row r="107" spans="1:25" s="103" customFormat="1" ht="30" customHeight="1" x14ac:dyDescent="0.25">
      <c r="A107" s="94"/>
      <c r="B107" s="94"/>
      <c r="C107" s="413"/>
      <c r="D107" s="95"/>
      <c r="E107" s="96"/>
      <c r="F107" s="96"/>
      <c r="G107" s="96"/>
      <c r="H107" s="96"/>
      <c r="I107" s="96"/>
      <c r="J107" s="96"/>
      <c r="K107" s="97"/>
      <c r="L107" s="98"/>
      <c r="M107" s="98"/>
      <c r="N107" s="99"/>
      <c r="O107" s="72"/>
      <c r="P107" s="100"/>
      <c r="Q107" s="101"/>
      <c r="R107" s="63"/>
      <c r="S107" s="75"/>
      <c r="T107" s="76"/>
      <c r="U107" s="72"/>
      <c r="V107" s="60"/>
      <c r="W107" s="60"/>
      <c r="X107" s="78"/>
      <c r="Y107" s="96"/>
    </row>
    <row r="108" spans="1:25" s="103" customFormat="1" ht="30" customHeight="1" x14ac:dyDescent="0.25">
      <c r="A108" s="94"/>
      <c r="B108" s="94"/>
      <c r="C108" s="413"/>
      <c r="D108" s="95"/>
      <c r="E108" s="96"/>
      <c r="F108" s="96"/>
      <c r="G108" s="96"/>
      <c r="H108" s="96"/>
      <c r="I108" s="96"/>
      <c r="J108" s="96"/>
      <c r="K108" s="97"/>
      <c r="L108" s="98"/>
      <c r="M108" s="98"/>
      <c r="N108" s="99"/>
      <c r="O108" s="72"/>
      <c r="P108" s="100"/>
      <c r="Q108" s="101"/>
      <c r="R108" s="63"/>
      <c r="S108" s="75"/>
      <c r="T108" s="76"/>
      <c r="U108" s="72"/>
      <c r="V108" s="60"/>
      <c r="W108" s="60"/>
      <c r="X108" s="78"/>
      <c r="Y108" s="96"/>
    </row>
    <row r="109" spans="1:25" s="103" customFormat="1" ht="30" customHeight="1" x14ac:dyDescent="0.25">
      <c r="A109" s="94"/>
      <c r="B109" s="94"/>
      <c r="C109" s="413"/>
      <c r="D109" s="95"/>
      <c r="E109" s="96"/>
      <c r="F109" s="96"/>
      <c r="G109" s="96"/>
      <c r="H109" s="96"/>
      <c r="I109" s="96"/>
      <c r="J109" s="96"/>
      <c r="K109" s="97"/>
      <c r="L109" s="98"/>
      <c r="M109" s="98"/>
      <c r="N109" s="99"/>
      <c r="O109" s="72"/>
      <c r="P109" s="100"/>
      <c r="Q109" s="101"/>
      <c r="R109" s="63"/>
      <c r="S109" s="75"/>
      <c r="T109" s="76"/>
      <c r="U109" s="72"/>
      <c r="V109" s="60"/>
      <c r="W109" s="60"/>
      <c r="X109" s="78"/>
      <c r="Y109" s="96"/>
    </row>
    <row r="110" spans="1:25" s="103" customFormat="1" ht="65.099999999999994" customHeight="1" x14ac:dyDescent="0.25">
      <c r="A110" s="94"/>
      <c r="B110" s="94"/>
      <c r="C110" s="413"/>
      <c r="D110" s="95"/>
      <c r="E110" s="96"/>
      <c r="F110" s="96"/>
      <c r="G110" s="96"/>
      <c r="H110" s="96"/>
      <c r="I110" s="96"/>
      <c r="J110" s="96"/>
      <c r="K110" s="97"/>
      <c r="L110" s="98"/>
      <c r="M110" s="98"/>
      <c r="N110" s="99"/>
      <c r="O110" s="72"/>
      <c r="P110" s="100"/>
      <c r="Q110" s="101"/>
      <c r="R110" s="63"/>
      <c r="S110" s="75"/>
      <c r="T110" s="76"/>
      <c r="U110" s="72"/>
      <c r="V110" s="60"/>
      <c r="W110" s="60"/>
      <c r="X110" s="78"/>
      <c r="Y110" s="96"/>
    </row>
    <row r="111" spans="1:25" s="103" customFormat="1" ht="65.099999999999994" customHeight="1" x14ac:dyDescent="0.25">
      <c r="A111" s="94"/>
      <c r="B111" s="94"/>
      <c r="C111" s="413"/>
      <c r="D111" s="95"/>
      <c r="E111" s="96"/>
      <c r="F111" s="96"/>
      <c r="G111" s="96"/>
      <c r="H111" s="96"/>
      <c r="I111" s="96"/>
      <c r="J111" s="96"/>
      <c r="K111" s="97"/>
      <c r="L111" s="98"/>
      <c r="M111" s="98"/>
      <c r="N111" s="99"/>
      <c r="O111" s="72"/>
      <c r="P111" s="100"/>
      <c r="Q111" s="101"/>
      <c r="R111" s="63"/>
      <c r="S111" s="75"/>
      <c r="T111" s="76"/>
      <c r="U111" s="72"/>
      <c r="V111" s="60"/>
      <c r="W111" s="60"/>
      <c r="X111" s="78"/>
      <c r="Y111" s="96"/>
    </row>
    <row r="112" spans="1:25" s="103" customFormat="1" ht="65.099999999999994" customHeight="1" x14ac:dyDescent="0.25">
      <c r="A112" s="94"/>
      <c r="B112" s="94"/>
      <c r="C112" s="413"/>
      <c r="D112" s="95"/>
      <c r="E112" s="96"/>
      <c r="F112" s="96"/>
      <c r="G112" s="96"/>
      <c r="H112" s="96"/>
      <c r="I112" s="96"/>
      <c r="J112" s="96"/>
      <c r="K112" s="97"/>
      <c r="L112" s="98"/>
      <c r="M112" s="98"/>
      <c r="N112" s="99"/>
      <c r="O112" s="72"/>
      <c r="P112" s="100"/>
      <c r="Q112" s="101"/>
      <c r="R112" s="63"/>
      <c r="S112" s="75"/>
      <c r="T112" s="76"/>
      <c r="U112" s="72"/>
      <c r="V112" s="60"/>
      <c r="W112" s="60"/>
      <c r="X112" s="78"/>
      <c r="Y112" s="96"/>
    </row>
    <row r="113" spans="1:25" s="103" customFormat="1" ht="65.099999999999994" customHeight="1" x14ac:dyDescent="0.25">
      <c r="A113" s="94"/>
      <c r="B113" s="94"/>
      <c r="C113" s="413"/>
      <c r="D113" s="95"/>
      <c r="E113" s="96"/>
      <c r="F113" s="96"/>
      <c r="G113" s="96"/>
      <c r="H113" s="96"/>
      <c r="I113" s="96"/>
      <c r="J113" s="96"/>
      <c r="K113" s="97"/>
      <c r="L113" s="98"/>
      <c r="M113" s="98"/>
      <c r="N113" s="99"/>
      <c r="O113" s="72"/>
      <c r="P113" s="100"/>
      <c r="Q113" s="101"/>
      <c r="R113" s="63"/>
      <c r="S113" s="75"/>
      <c r="T113" s="76"/>
      <c r="U113" s="72"/>
      <c r="V113" s="60"/>
      <c r="W113" s="60"/>
      <c r="X113" s="78"/>
      <c r="Y113" s="96"/>
    </row>
    <row r="114" spans="1:25" s="103" customFormat="1" ht="65.099999999999994" customHeight="1" x14ac:dyDescent="0.25">
      <c r="A114" s="94"/>
      <c r="B114" s="94"/>
      <c r="C114" s="413"/>
      <c r="D114" s="95"/>
      <c r="E114" s="96"/>
      <c r="F114" s="96"/>
      <c r="G114" s="96"/>
      <c r="H114" s="96"/>
      <c r="I114" s="96"/>
      <c r="J114" s="96"/>
      <c r="K114" s="97"/>
      <c r="L114" s="98"/>
      <c r="M114" s="98"/>
      <c r="N114" s="99"/>
      <c r="O114" s="72"/>
      <c r="P114" s="100"/>
      <c r="Q114" s="101"/>
      <c r="R114" s="63"/>
      <c r="S114" s="75"/>
      <c r="T114" s="76"/>
      <c r="U114" s="72"/>
      <c r="V114" s="60"/>
      <c r="W114" s="60"/>
      <c r="X114" s="78"/>
      <c r="Y114" s="96"/>
    </row>
    <row r="115" spans="1:25" s="103" customFormat="1" ht="65.099999999999994" customHeight="1" x14ac:dyDescent="0.25">
      <c r="A115" s="94"/>
      <c r="B115" s="94"/>
      <c r="C115" s="413"/>
      <c r="D115" s="95"/>
      <c r="E115" s="96"/>
      <c r="F115" s="96"/>
      <c r="G115" s="96"/>
      <c r="H115" s="96"/>
      <c r="I115" s="96"/>
      <c r="J115" s="96"/>
      <c r="K115" s="97"/>
      <c r="L115" s="98"/>
      <c r="M115" s="98"/>
      <c r="N115" s="99"/>
      <c r="O115" s="72"/>
      <c r="P115" s="100"/>
      <c r="Q115" s="101"/>
      <c r="R115" s="63"/>
      <c r="S115" s="75"/>
      <c r="T115" s="76"/>
      <c r="U115" s="72"/>
      <c r="V115" s="60"/>
      <c r="W115" s="60"/>
      <c r="X115" s="78"/>
      <c r="Y115" s="96"/>
    </row>
    <row r="116" spans="1:25" s="103" customFormat="1" ht="65.099999999999994" customHeight="1" x14ac:dyDescent="0.25">
      <c r="A116" s="94"/>
      <c r="B116" s="94"/>
      <c r="C116" s="413"/>
      <c r="D116" s="95"/>
      <c r="E116" s="96"/>
      <c r="F116" s="96"/>
      <c r="G116" s="96"/>
      <c r="H116" s="96"/>
      <c r="I116" s="96"/>
      <c r="J116" s="96"/>
      <c r="K116" s="97"/>
      <c r="L116" s="98"/>
      <c r="M116" s="98"/>
      <c r="N116" s="99"/>
      <c r="O116" s="72"/>
      <c r="P116" s="100"/>
      <c r="Q116" s="101"/>
      <c r="R116" s="63"/>
      <c r="S116" s="75"/>
      <c r="T116" s="76"/>
      <c r="U116" s="72"/>
      <c r="V116" s="60"/>
      <c r="W116" s="60"/>
      <c r="X116" s="78"/>
      <c r="Y116" s="96"/>
    </row>
    <row r="117" spans="1:25" s="103" customFormat="1" ht="65.099999999999994" customHeight="1" x14ac:dyDescent="0.25">
      <c r="A117" s="94"/>
      <c r="B117" s="94"/>
      <c r="C117" s="413"/>
      <c r="D117" s="95"/>
      <c r="E117" s="96"/>
      <c r="F117" s="96"/>
      <c r="G117" s="96"/>
      <c r="H117" s="96"/>
      <c r="I117" s="96"/>
      <c r="J117" s="96"/>
      <c r="K117" s="97"/>
      <c r="L117" s="98"/>
      <c r="M117" s="98"/>
      <c r="N117" s="99"/>
      <c r="O117" s="72"/>
      <c r="P117" s="100"/>
      <c r="Q117" s="101"/>
      <c r="R117" s="63"/>
      <c r="S117" s="75"/>
      <c r="T117" s="76"/>
      <c r="U117" s="72"/>
      <c r="V117" s="60"/>
      <c r="W117" s="60"/>
      <c r="X117" s="78"/>
      <c r="Y117" s="96"/>
    </row>
    <row r="118" spans="1:25" s="103" customFormat="1" ht="65.099999999999994" customHeight="1" x14ac:dyDescent="0.25">
      <c r="A118" s="94"/>
      <c r="B118" s="94"/>
      <c r="C118" s="413"/>
      <c r="D118" s="95"/>
      <c r="E118" s="96"/>
      <c r="F118" s="96"/>
      <c r="G118" s="96"/>
      <c r="H118" s="96"/>
      <c r="I118" s="96"/>
      <c r="J118" s="96"/>
      <c r="K118" s="97"/>
      <c r="L118" s="98"/>
      <c r="M118" s="98"/>
      <c r="N118" s="99"/>
      <c r="O118" s="72"/>
      <c r="P118" s="100"/>
      <c r="Q118" s="101"/>
      <c r="R118" s="63"/>
      <c r="S118" s="75"/>
      <c r="T118" s="76"/>
      <c r="U118" s="72"/>
      <c r="V118" s="60"/>
      <c r="W118" s="60"/>
      <c r="X118" s="78"/>
      <c r="Y118" s="96"/>
    </row>
    <row r="119" spans="1:25" s="103" customFormat="1" ht="65.099999999999994" customHeight="1" x14ac:dyDescent="0.25">
      <c r="A119" s="94"/>
      <c r="B119" s="94"/>
      <c r="C119" s="413"/>
      <c r="D119" s="95"/>
      <c r="E119" s="96"/>
      <c r="F119" s="96"/>
      <c r="G119" s="96"/>
      <c r="H119" s="96"/>
      <c r="I119" s="96"/>
      <c r="J119" s="96"/>
      <c r="K119" s="97"/>
      <c r="L119" s="98"/>
      <c r="M119" s="98"/>
      <c r="N119" s="99"/>
      <c r="O119" s="72"/>
      <c r="P119" s="100"/>
      <c r="Q119" s="101"/>
      <c r="R119" s="63"/>
      <c r="S119" s="75"/>
      <c r="T119" s="76"/>
      <c r="U119" s="72"/>
      <c r="V119" s="60"/>
      <c r="W119" s="60"/>
      <c r="X119" s="78"/>
      <c r="Y119" s="96"/>
    </row>
    <row r="120" spans="1:25" s="103" customFormat="1" ht="65.099999999999994" customHeight="1" x14ac:dyDescent="0.25">
      <c r="A120" s="94"/>
      <c r="B120" s="94"/>
      <c r="C120" s="413"/>
      <c r="D120" s="95"/>
      <c r="E120" s="96"/>
      <c r="F120" s="96"/>
      <c r="G120" s="96"/>
      <c r="H120" s="96"/>
      <c r="I120" s="96"/>
      <c r="J120" s="96"/>
      <c r="K120" s="97"/>
      <c r="L120" s="98"/>
      <c r="M120" s="98"/>
      <c r="N120" s="99"/>
      <c r="O120" s="72"/>
      <c r="P120" s="100"/>
      <c r="Q120" s="101"/>
      <c r="R120" s="63"/>
      <c r="S120" s="75"/>
      <c r="T120" s="76"/>
      <c r="U120" s="72"/>
      <c r="V120" s="60"/>
      <c r="W120" s="60"/>
      <c r="X120" s="78"/>
      <c r="Y120" s="96"/>
    </row>
    <row r="121" spans="1:25" s="103" customFormat="1" ht="65.099999999999994" customHeight="1" x14ac:dyDescent="0.25">
      <c r="A121" s="94"/>
      <c r="B121" s="94"/>
      <c r="C121" s="413"/>
      <c r="D121" s="95"/>
      <c r="E121" s="96"/>
      <c r="F121" s="96"/>
      <c r="G121" s="96"/>
      <c r="H121" s="96"/>
      <c r="I121" s="96"/>
      <c r="J121" s="96"/>
      <c r="K121" s="97"/>
      <c r="L121" s="98"/>
      <c r="M121" s="98"/>
      <c r="N121" s="99"/>
      <c r="O121" s="72"/>
      <c r="P121" s="100"/>
      <c r="Q121" s="101"/>
      <c r="R121" s="63"/>
      <c r="S121" s="75"/>
      <c r="T121" s="76"/>
      <c r="U121" s="72"/>
      <c r="V121" s="60"/>
      <c r="W121" s="60"/>
      <c r="X121" s="78"/>
      <c r="Y121" s="96"/>
    </row>
    <row r="122" spans="1:25" s="103" customFormat="1" ht="65.099999999999994" customHeight="1" x14ac:dyDescent="0.25">
      <c r="A122" s="94"/>
      <c r="B122" s="94"/>
      <c r="C122" s="413"/>
      <c r="D122" s="95"/>
      <c r="E122" s="96"/>
      <c r="F122" s="96"/>
      <c r="G122" s="96"/>
      <c r="H122" s="96"/>
      <c r="I122" s="96"/>
      <c r="J122" s="96"/>
      <c r="K122" s="97"/>
      <c r="L122" s="98"/>
      <c r="M122" s="98"/>
      <c r="N122" s="99"/>
      <c r="O122" s="72"/>
      <c r="P122" s="100"/>
      <c r="Q122" s="101"/>
      <c r="R122" s="63"/>
      <c r="S122" s="75"/>
      <c r="T122" s="76"/>
      <c r="U122" s="72"/>
      <c r="V122" s="60"/>
      <c r="W122" s="60"/>
      <c r="X122" s="78"/>
      <c r="Y122" s="96"/>
    </row>
    <row r="123" spans="1:25" s="103" customFormat="1" ht="65.099999999999994" customHeight="1" x14ac:dyDescent="0.25">
      <c r="A123" s="94"/>
      <c r="B123" s="94"/>
      <c r="C123" s="413"/>
      <c r="D123" s="95"/>
      <c r="E123" s="96"/>
      <c r="F123" s="96"/>
      <c r="G123" s="96"/>
      <c r="H123" s="96"/>
      <c r="I123" s="96"/>
      <c r="J123" s="96"/>
      <c r="K123" s="97"/>
      <c r="L123" s="98"/>
      <c r="M123" s="98"/>
      <c r="N123" s="99"/>
      <c r="O123" s="72"/>
      <c r="P123" s="100"/>
      <c r="Q123" s="101"/>
      <c r="R123" s="63"/>
      <c r="S123" s="75"/>
      <c r="T123" s="76"/>
      <c r="U123" s="72"/>
      <c r="V123" s="60"/>
      <c r="W123" s="60"/>
      <c r="X123" s="78"/>
      <c r="Y123" s="96"/>
    </row>
    <row r="124" spans="1:25" s="103" customFormat="1" ht="65.099999999999994" customHeight="1" x14ac:dyDescent="0.25">
      <c r="A124" s="94"/>
      <c r="B124" s="94"/>
      <c r="C124" s="413"/>
      <c r="D124" s="95"/>
      <c r="E124" s="96"/>
      <c r="F124" s="96"/>
      <c r="G124" s="96"/>
      <c r="H124" s="96"/>
      <c r="I124" s="96"/>
      <c r="J124" s="96"/>
      <c r="K124" s="97"/>
      <c r="L124" s="98"/>
      <c r="M124" s="98"/>
      <c r="N124" s="99"/>
      <c r="O124" s="72"/>
      <c r="P124" s="100"/>
      <c r="Q124" s="101"/>
      <c r="R124" s="63"/>
      <c r="S124" s="75"/>
      <c r="T124" s="76"/>
      <c r="U124" s="72"/>
      <c r="V124" s="60"/>
      <c r="W124" s="60"/>
      <c r="X124" s="78"/>
      <c r="Y124" s="96"/>
    </row>
    <row r="125" spans="1:25" s="103" customFormat="1" ht="65.099999999999994" customHeight="1" x14ac:dyDescent="0.25">
      <c r="A125" s="94"/>
      <c r="B125" s="94"/>
      <c r="C125" s="413"/>
      <c r="D125" s="95"/>
      <c r="E125" s="96"/>
      <c r="F125" s="96"/>
      <c r="G125" s="96"/>
      <c r="H125" s="96"/>
      <c r="I125" s="96"/>
      <c r="J125" s="96"/>
      <c r="K125" s="97"/>
      <c r="L125" s="98"/>
      <c r="M125" s="98"/>
      <c r="N125" s="99"/>
      <c r="O125" s="72"/>
      <c r="P125" s="100"/>
      <c r="Q125" s="101"/>
      <c r="R125" s="63"/>
      <c r="S125" s="75"/>
      <c r="T125" s="76"/>
      <c r="U125" s="72"/>
      <c r="V125" s="60"/>
      <c r="W125" s="60"/>
      <c r="X125" s="78"/>
      <c r="Y125" s="96"/>
    </row>
    <row r="126" spans="1:25" s="103" customFormat="1" ht="65.099999999999994" customHeight="1" x14ac:dyDescent="0.25">
      <c r="A126" s="94"/>
      <c r="B126" s="94"/>
      <c r="C126" s="413"/>
      <c r="D126" s="95"/>
      <c r="E126" s="96"/>
      <c r="F126" s="96"/>
      <c r="G126" s="96"/>
      <c r="H126" s="96"/>
      <c r="I126" s="96"/>
      <c r="J126" s="96"/>
      <c r="K126" s="97"/>
      <c r="L126" s="98"/>
      <c r="M126" s="98"/>
      <c r="N126" s="99"/>
      <c r="O126" s="72"/>
      <c r="P126" s="100"/>
      <c r="Q126" s="101"/>
      <c r="R126" s="63"/>
      <c r="S126" s="75"/>
      <c r="T126" s="76"/>
      <c r="U126" s="72"/>
      <c r="V126" s="60"/>
      <c r="W126" s="60"/>
      <c r="X126" s="78"/>
      <c r="Y126" s="96"/>
    </row>
    <row r="127" spans="1:25" s="103" customFormat="1" ht="65.099999999999994" customHeight="1" x14ac:dyDescent="0.25">
      <c r="A127" s="94"/>
      <c r="B127" s="94"/>
      <c r="C127" s="413"/>
      <c r="D127" s="95"/>
      <c r="E127" s="96"/>
      <c r="F127" s="96"/>
      <c r="G127" s="96"/>
      <c r="H127" s="96"/>
      <c r="I127" s="96"/>
      <c r="J127" s="96"/>
      <c r="K127" s="97"/>
      <c r="L127" s="98"/>
      <c r="M127" s="98"/>
      <c r="N127" s="99"/>
      <c r="O127" s="72"/>
      <c r="P127" s="100"/>
      <c r="Q127" s="101"/>
      <c r="R127" s="63"/>
      <c r="S127" s="75"/>
      <c r="T127" s="76"/>
      <c r="U127" s="72"/>
      <c r="V127" s="60"/>
      <c r="W127" s="60"/>
      <c r="X127" s="78"/>
      <c r="Y127" s="96"/>
    </row>
    <row r="128" spans="1:25" s="103" customFormat="1" ht="65.099999999999994" customHeight="1" x14ac:dyDescent="0.25">
      <c r="A128" s="94"/>
      <c r="B128" s="94"/>
      <c r="C128" s="413"/>
      <c r="D128" s="95"/>
      <c r="E128" s="96"/>
      <c r="F128" s="96"/>
      <c r="G128" s="96"/>
      <c r="H128" s="96"/>
      <c r="I128" s="96"/>
      <c r="J128" s="96"/>
      <c r="K128" s="97"/>
      <c r="L128" s="98"/>
      <c r="M128" s="98"/>
      <c r="N128" s="99"/>
      <c r="O128" s="72"/>
      <c r="P128" s="100"/>
      <c r="Q128" s="101"/>
      <c r="R128" s="63"/>
      <c r="S128" s="75"/>
      <c r="T128" s="76"/>
      <c r="U128" s="72"/>
      <c r="V128" s="60"/>
      <c r="W128" s="60"/>
      <c r="X128" s="78"/>
      <c r="Y128" s="96"/>
    </row>
    <row r="129" spans="1:25" s="103" customFormat="1" ht="65.099999999999994" customHeight="1" x14ac:dyDescent="0.25">
      <c r="A129" s="94"/>
      <c r="B129" s="94"/>
      <c r="C129" s="413"/>
      <c r="D129" s="95"/>
      <c r="E129" s="96"/>
      <c r="F129" s="96"/>
      <c r="G129" s="96"/>
      <c r="H129" s="96"/>
      <c r="I129" s="96"/>
      <c r="J129" s="96"/>
      <c r="K129" s="97"/>
      <c r="L129" s="98"/>
      <c r="M129" s="98"/>
      <c r="N129" s="99"/>
      <c r="O129" s="72"/>
      <c r="P129" s="100"/>
      <c r="Q129" s="101"/>
      <c r="R129" s="63"/>
      <c r="S129" s="75"/>
      <c r="T129" s="76"/>
      <c r="U129" s="72"/>
      <c r="V129" s="60"/>
      <c r="W129" s="60"/>
      <c r="X129" s="78"/>
      <c r="Y129" s="96"/>
    </row>
    <row r="130" spans="1:25" s="103" customFormat="1" ht="65.099999999999994" customHeight="1" x14ac:dyDescent="0.25">
      <c r="A130" s="94"/>
      <c r="B130" s="94"/>
      <c r="C130" s="413"/>
      <c r="D130" s="95"/>
      <c r="E130" s="96"/>
      <c r="F130" s="96"/>
      <c r="G130" s="96"/>
      <c r="H130" s="96"/>
      <c r="I130" s="96"/>
      <c r="J130" s="96"/>
      <c r="K130" s="97"/>
      <c r="L130" s="98"/>
      <c r="M130" s="98"/>
      <c r="N130" s="99"/>
      <c r="O130" s="72"/>
      <c r="P130" s="100"/>
      <c r="Q130" s="101"/>
      <c r="R130" s="63"/>
      <c r="S130" s="75"/>
      <c r="T130" s="76"/>
      <c r="U130" s="72"/>
      <c r="V130" s="60"/>
      <c r="W130" s="60"/>
      <c r="X130" s="78"/>
      <c r="Y130" s="96"/>
    </row>
    <row r="131" spans="1:25" s="103" customFormat="1" ht="65.099999999999994" customHeight="1" x14ac:dyDescent="0.25">
      <c r="A131" s="94"/>
      <c r="B131" s="94"/>
      <c r="C131" s="413"/>
      <c r="D131" s="95"/>
      <c r="E131" s="96"/>
      <c r="F131" s="96"/>
      <c r="G131" s="96"/>
      <c r="H131" s="96"/>
      <c r="I131" s="96"/>
      <c r="J131" s="96"/>
      <c r="K131" s="97"/>
      <c r="L131" s="98"/>
      <c r="M131" s="98"/>
      <c r="N131" s="99"/>
      <c r="O131" s="72"/>
      <c r="P131" s="100"/>
      <c r="Q131" s="101"/>
      <c r="R131" s="63"/>
      <c r="S131" s="75"/>
      <c r="T131" s="76"/>
      <c r="U131" s="72"/>
      <c r="V131" s="60"/>
      <c r="W131" s="60"/>
      <c r="X131" s="78"/>
      <c r="Y131" s="96"/>
    </row>
    <row r="132" spans="1:25" s="103" customFormat="1" ht="65.099999999999994" customHeight="1" x14ac:dyDescent="0.25">
      <c r="A132" s="94"/>
      <c r="B132" s="94"/>
      <c r="C132" s="413"/>
      <c r="D132" s="95"/>
      <c r="E132" s="96"/>
      <c r="F132" s="96"/>
      <c r="G132" s="96"/>
      <c r="H132" s="96"/>
      <c r="I132" s="96"/>
      <c r="J132" s="96"/>
      <c r="K132" s="97"/>
      <c r="L132" s="98"/>
      <c r="M132" s="98"/>
      <c r="N132" s="99"/>
      <c r="O132" s="72"/>
      <c r="P132" s="100"/>
      <c r="Q132" s="101"/>
      <c r="R132" s="63"/>
      <c r="S132" s="75"/>
      <c r="T132" s="76"/>
      <c r="U132" s="72"/>
      <c r="V132" s="60"/>
      <c r="W132" s="60"/>
      <c r="X132" s="78"/>
      <c r="Y132" s="96"/>
    </row>
    <row r="133" spans="1:25" s="103" customFormat="1" ht="65.099999999999994" customHeight="1" x14ac:dyDescent="0.25">
      <c r="A133" s="94"/>
      <c r="B133" s="94"/>
      <c r="C133" s="413"/>
      <c r="D133" s="95"/>
      <c r="E133" s="96"/>
      <c r="F133" s="96"/>
      <c r="G133" s="96"/>
      <c r="H133" s="96"/>
      <c r="I133" s="96"/>
      <c r="J133" s="96"/>
      <c r="K133" s="97"/>
      <c r="L133" s="98"/>
      <c r="M133" s="98"/>
      <c r="N133" s="99"/>
      <c r="O133" s="72"/>
      <c r="P133" s="100"/>
      <c r="Q133" s="101"/>
      <c r="R133" s="63"/>
      <c r="S133" s="75"/>
      <c r="T133" s="76"/>
      <c r="U133" s="72"/>
      <c r="V133" s="60"/>
      <c r="W133" s="60"/>
      <c r="X133" s="78"/>
      <c r="Y133" s="96"/>
    </row>
    <row r="134" spans="1:25" s="103" customFormat="1" ht="65.099999999999994" customHeight="1" x14ac:dyDescent="0.25">
      <c r="A134" s="94"/>
      <c r="B134" s="94"/>
      <c r="C134" s="413"/>
      <c r="D134" s="95"/>
      <c r="E134" s="96"/>
      <c r="F134" s="96"/>
      <c r="G134" s="96"/>
      <c r="H134" s="96"/>
      <c r="I134" s="96"/>
      <c r="J134" s="96"/>
      <c r="K134" s="97"/>
      <c r="L134" s="98"/>
      <c r="M134" s="98"/>
      <c r="N134" s="99"/>
      <c r="O134" s="72"/>
      <c r="P134" s="100"/>
      <c r="Q134" s="101"/>
      <c r="R134" s="63"/>
      <c r="S134" s="75"/>
      <c r="T134" s="76"/>
      <c r="U134" s="72"/>
      <c r="V134" s="60"/>
      <c r="W134" s="60"/>
      <c r="X134" s="78"/>
      <c r="Y134" s="96"/>
    </row>
    <row r="135" spans="1:25" s="103" customFormat="1" ht="65.099999999999994" customHeight="1" x14ac:dyDescent="0.25">
      <c r="A135" s="94"/>
      <c r="B135" s="94"/>
      <c r="C135" s="413"/>
      <c r="D135" s="95"/>
      <c r="E135" s="96"/>
      <c r="F135" s="96"/>
      <c r="G135" s="96"/>
      <c r="H135" s="96"/>
      <c r="I135" s="96"/>
      <c r="J135" s="96"/>
      <c r="K135" s="97"/>
      <c r="L135" s="98"/>
      <c r="M135" s="98"/>
      <c r="N135" s="99"/>
      <c r="O135" s="72"/>
      <c r="P135" s="100"/>
      <c r="Q135" s="101"/>
      <c r="R135" s="63"/>
      <c r="S135" s="75"/>
      <c r="T135" s="76"/>
      <c r="U135" s="72"/>
      <c r="V135" s="60"/>
      <c r="W135" s="60"/>
      <c r="X135" s="78"/>
      <c r="Y135" s="96"/>
    </row>
    <row r="136" spans="1:25" s="103" customFormat="1" ht="65.099999999999994" customHeight="1" x14ac:dyDescent="0.25">
      <c r="A136" s="94"/>
      <c r="B136" s="94"/>
      <c r="C136" s="413"/>
      <c r="D136" s="95"/>
      <c r="E136" s="96"/>
      <c r="F136" s="96"/>
      <c r="G136" s="96"/>
      <c r="H136" s="96"/>
      <c r="I136" s="96"/>
      <c r="J136" s="96"/>
      <c r="K136" s="97"/>
      <c r="L136" s="98"/>
      <c r="M136" s="98"/>
      <c r="N136" s="99"/>
      <c r="O136" s="72"/>
      <c r="P136" s="100"/>
      <c r="Q136" s="101"/>
      <c r="R136" s="63"/>
      <c r="S136" s="75"/>
      <c r="T136" s="76"/>
      <c r="U136" s="72"/>
      <c r="V136" s="60"/>
      <c r="W136" s="60"/>
      <c r="X136" s="78"/>
      <c r="Y136" s="96"/>
    </row>
    <row r="137" spans="1:25" s="103" customFormat="1" ht="65.099999999999994" customHeight="1" x14ac:dyDescent="0.25">
      <c r="A137" s="94"/>
      <c r="B137" s="94"/>
      <c r="C137" s="413"/>
      <c r="D137" s="95"/>
      <c r="E137" s="96"/>
      <c r="F137" s="96"/>
      <c r="G137" s="96"/>
      <c r="H137" s="96"/>
      <c r="I137" s="96"/>
      <c r="J137" s="96"/>
      <c r="K137" s="97"/>
      <c r="L137" s="98"/>
      <c r="M137" s="98"/>
      <c r="N137" s="99"/>
      <c r="O137" s="72"/>
      <c r="P137" s="100"/>
      <c r="Q137" s="101"/>
      <c r="R137" s="63"/>
      <c r="S137" s="75"/>
      <c r="T137" s="76"/>
      <c r="U137" s="72"/>
      <c r="V137" s="60"/>
      <c r="W137" s="60"/>
      <c r="X137" s="78"/>
      <c r="Y137" s="96"/>
    </row>
    <row r="138" spans="1:25" s="103" customFormat="1" ht="65.099999999999994" customHeight="1" x14ac:dyDescent="0.25">
      <c r="A138" s="94"/>
      <c r="B138" s="94"/>
      <c r="C138" s="413"/>
      <c r="D138" s="95"/>
      <c r="E138" s="96"/>
      <c r="F138" s="96"/>
      <c r="G138" s="96"/>
      <c r="H138" s="96"/>
      <c r="I138" s="96"/>
      <c r="J138" s="96"/>
      <c r="K138" s="97"/>
      <c r="L138" s="98"/>
      <c r="M138" s="98"/>
      <c r="N138" s="99"/>
      <c r="O138" s="72"/>
      <c r="P138" s="100"/>
      <c r="Q138" s="101"/>
      <c r="R138" s="63"/>
      <c r="S138" s="75"/>
      <c r="T138" s="76"/>
      <c r="U138" s="72"/>
      <c r="V138" s="60"/>
      <c r="W138" s="60"/>
      <c r="X138" s="78"/>
      <c r="Y138" s="96"/>
    </row>
    <row r="139" spans="1:25" s="103" customFormat="1" ht="65.099999999999994" customHeight="1" x14ac:dyDescent="0.25">
      <c r="A139" s="94"/>
      <c r="B139" s="94"/>
      <c r="C139" s="413"/>
      <c r="D139" s="95"/>
      <c r="E139" s="96"/>
      <c r="F139" s="96"/>
      <c r="G139" s="96"/>
      <c r="H139" s="96"/>
      <c r="I139" s="96"/>
      <c r="J139" s="96"/>
      <c r="K139" s="97"/>
      <c r="L139" s="98"/>
      <c r="M139" s="98"/>
      <c r="N139" s="99"/>
      <c r="O139" s="72"/>
      <c r="P139" s="100"/>
      <c r="Q139" s="101"/>
      <c r="R139" s="63"/>
      <c r="S139" s="75"/>
      <c r="T139" s="76"/>
      <c r="U139" s="72"/>
      <c r="V139" s="60"/>
      <c r="W139" s="60"/>
      <c r="X139" s="78"/>
      <c r="Y139" s="96"/>
    </row>
    <row r="140" spans="1:25" s="103" customFormat="1" ht="65.099999999999994" customHeight="1" x14ac:dyDescent="0.25">
      <c r="A140" s="94"/>
      <c r="B140" s="94"/>
      <c r="C140" s="413"/>
      <c r="D140" s="95"/>
      <c r="E140" s="96"/>
      <c r="F140" s="96"/>
      <c r="G140" s="96"/>
      <c r="H140" s="96"/>
      <c r="I140" s="96"/>
      <c r="J140" s="96"/>
      <c r="K140" s="97"/>
      <c r="L140" s="98"/>
      <c r="M140" s="98"/>
      <c r="N140" s="99"/>
      <c r="O140" s="72"/>
      <c r="P140" s="100"/>
      <c r="Q140" s="101"/>
      <c r="R140" s="63"/>
      <c r="S140" s="75"/>
      <c r="T140" s="76"/>
      <c r="U140" s="72"/>
      <c r="V140" s="60"/>
      <c r="W140" s="60"/>
      <c r="X140" s="78"/>
      <c r="Y140" s="96"/>
    </row>
    <row r="141" spans="1:25" s="103" customFormat="1" ht="65.099999999999994" customHeight="1" x14ac:dyDescent="0.25">
      <c r="A141" s="94"/>
      <c r="B141" s="94"/>
      <c r="C141" s="413"/>
      <c r="D141" s="95"/>
      <c r="E141" s="96"/>
      <c r="F141" s="96"/>
      <c r="G141" s="96"/>
      <c r="H141" s="96"/>
      <c r="I141" s="96"/>
      <c r="J141" s="96"/>
      <c r="K141" s="97"/>
      <c r="L141" s="98"/>
      <c r="M141" s="98"/>
      <c r="N141" s="99"/>
      <c r="O141" s="72"/>
      <c r="P141" s="100"/>
      <c r="Q141" s="101"/>
      <c r="R141" s="63"/>
      <c r="S141" s="75"/>
      <c r="T141" s="76"/>
      <c r="U141" s="72"/>
      <c r="V141" s="60"/>
      <c r="W141" s="60"/>
      <c r="X141" s="78"/>
      <c r="Y141" s="96"/>
    </row>
    <row r="142" spans="1:25" s="103" customFormat="1" ht="65.099999999999994" customHeight="1" x14ac:dyDescent="0.25">
      <c r="A142" s="94"/>
      <c r="B142" s="94"/>
      <c r="C142" s="413"/>
      <c r="D142" s="95"/>
      <c r="E142" s="96"/>
      <c r="F142" s="96"/>
      <c r="G142" s="96"/>
      <c r="H142" s="96"/>
      <c r="I142" s="96"/>
      <c r="J142" s="96"/>
      <c r="K142" s="97"/>
      <c r="L142" s="98"/>
      <c r="M142" s="98"/>
      <c r="N142" s="99"/>
      <c r="O142" s="72"/>
      <c r="P142" s="100"/>
      <c r="Q142" s="101"/>
      <c r="R142" s="63"/>
      <c r="S142" s="75"/>
      <c r="T142" s="76"/>
      <c r="U142" s="72"/>
      <c r="V142" s="60"/>
      <c r="W142" s="60"/>
      <c r="X142" s="78"/>
      <c r="Y142" s="96"/>
    </row>
    <row r="143" spans="1:25" s="103" customFormat="1" ht="65.099999999999994" customHeight="1" x14ac:dyDescent="0.25">
      <c r="A143" s="94"/>
      <c r="B143" s="94"/>
      <c r="C143" s="413"/>
      <c r="D143" s="95"/>
      <c r="E143" s="96"/>
      <c r="F143" s="96"/>
      <c r="G143" s="96"/>
      <c r="H143" s="96"/>
      <c r="I143" s="96"/>
      <c r="J143" s="96"/>
      <c r="K143" s="97"/>
      <c r="L143" s="98"/>
      <c r="M143" s="98"/>
      <c r="N143" s="99"/>
      <c r="O143" s="72"/>
      <c r="P143" s="100"/>
      <c r="Q143" s="101"/>
      <c r="R143" s="63"/>
      <c r="S143" s="75"/>
      <c r="T143" s="76"/>
      <c r="U143" s="72"/>
      <c r="V143" s="60"/>
      <c r="W143" s="60"/>
      <c r="X143" s="78"/>
      <c r="Y143" s="96"/>
    </row>
    <row r="144" spans="1:25" s="103" customFormat="1" ht="65.099999999999994" customHeight="1" x14ac:dyDescent="0.25">
      <c r="A144" s="94"/>
      <c r="B144" s="94"/>
      <c r="C144" s="413"/>
      <c r="D144" s="95"/>
      <c r="E144" s="96"/>
      <c r="F144" s="96"/>
      <c r="G144" s="96"/>
      <c r="H144" s="96"/>
      <c r="I144" s="96"/>
      <c r="J144" s="96"/>
      <c r="K144" s="97"/>
      <c r="L144" s="98"/>
      <c r="M144" s="98"/>
      <c r="N144" s="99"/>
      <c r="O144" s="72"/>
      <c r="P144" s="100"/>
      <c r="Q144" s="101"/>
      <c r="R144" s="63"/>
      <c r="S144" s="75"/>
      <c r="T144" s="76"/>
      <c r="U144" s="72"/>
      <c r="V144" s="60"/>
      <c r="W144" s="60"/>
      <c r="X144" s="78"/>
      <c r="Y144" s="96"/>
    </row>
    <row r="145" spans="1:25" s="103" customFormat="1" ht="65.099999999999994" customHeight="1" x14ac:dyDescent="0.25">
      <c r="A145" s="94"/>
      <c r="B145" s="94"/>
      <c r="C145" s="413"/>
      <c r="D145" s="95"/>
      <c r="E145" s="96"/>
      <c r="F145" s="96"/>
      <c r="G145" s="96"/>
      <c r="H145" s="96"/>
      <c r="I145" s="96"/>
      <c r="J145" s="96"/>
      <c r="K145" s="97"/>
      <c r="L145" s="98"/>
      <c r="M145" s="98"/>
      <c r="N145" s="99"/>
      <c r="O145" s="72"/>
      <c r="P145" s="100"/>
      <c r="Q145" s="101"/>
      <c r="R145" s="63"/>
      <c r="S145" s="75"/>
      <c r="T145" s="76"/>
      <c r="U145" s="72"/>
      <c r="V145" s="60"/>
      <c r="W145" s="60"/>
      <c r="X145" s="78"/>
      <c r="Y145" s="96"/>
    </row>
    <row r="146" spans="1:25" s="103" customFormat="1" ht="65.099999999999994" customHeight="1" x14ac:dyDescent="0.25">
      <c r="A146" s="94"/>
      <c r="B146" s="94"/>
      <c r="C146" s="413"/>
      <c r="D146" s="95"/>
      <c r="E146" s="96"/>
      <c r="F146" s="96"/>
      <c r="G146" s="96"/>
      <c r="H146" s="96"/>
      <c r="I146" s="96"/>
      <c r="J146" s="96"/>
      <c r="K146" s="97"/>
      <c r="L146" s="98"/>
      <c r="M146" s="98"/>
      <c r="N146" s="99"/>
      <c r="O146" s="72"/>
      <c r="P146" s="100"/>
      <c r="Q146" s="101"/>
      <c r="R146" s="63"/>
      <c r="S146" s="75"/>
      <c r="T146" s="76"/>
      <c r="U146" s="72"/>
      <c r="V146" s="60"/>
      <c r="W146" s="60"/>
      <c r="X146" s="78"/>
      <c r="Y146" s="96"/>
    </row>
    <row r="147" spans="1:25" s="103" customFormat="1" ht="65.099999999999994" customHeight="1" x14ac:dyDescent="0.25">
      <c r="A147" s="94"/>
      <c r="B147" s="94"/>
      <c r="C147" s="413"/>
      <c r="D147" s="95"/>
      <c r="E147" s="96"/>
      <c r="F147" s="96"/>
      <c r="G147" s="96"/>
      <c r="H147" s="96"/>
      <c r="I147" s="96"/>
      <c r="J147" s="96"/>
      <c r="K147" s="97"/>
      <c r="L147" s="98"/>
      <c r="M147" s="98"/>
      <c r="N147" s="99"/>
      <c r="O147" s="72"/>
      <c r="P147" s="100"/>
      <c r="Q147" s="101"/>
      <c r="R147" s="63"/>
      <c r="S147" s="75"/>
      <c r="T147" s="76"/>
      <c r="U147" s="72"/>
      <c r="V147" s="60"/>
      <c r="W147" s="60"/>
      <c r="X147" s="78"/>
      <c r="Y147" s="96"/>
    </row>
    <row r="148" spans="1:25" s="103" customFormat="1" ht="65.099999999999994" customHeight="1" x14ac:dyDescent="0.25">
      <c r="A148" s="94"/>
      <c r="B148" s="94"/>
      <c r="C148" s="413"/>
      <c r="D148" s="95"/>
      <c r="E148" s="96"/>
      <c r="F148" s="96"/>
      <c r="G148" s="96"/>
      <c r="H148" s="96"/>
      <c r="I148" s="96"/>
      <c r="J148" s="96"/>
      <c r="K148" s="97"/>
      <c r="L148" s="98"/>
      <c r="M148" s="98"/>
      <c r="N148" s="99"/>
      <c r="O148" s="72"/>
      <c r="P148" s="100"/>
      <c r="Q148" s="101"/>
      <c r="R148" s="63"/>
      <c r="S148" s="75"/>
      <c r="T148" s="76"/>
      <c r="U148" s="72"/>
      <c r="V148" s="60"/>
      <c r="W148" s="60"/>
      <c r="X148" s="78"/>
      <c r="Y148" s="96"/>
    </row>
    <row r="149" spans="1:25" s="103" customFormat="1" ht="65.099999999999994" customHeight="1" x14ac:dyDescent="0.25">
      <c r="A149" s="94"/>
      <c r="B149" s="94"/>
      <c r="C149" s="413"/>
      <c r="D149" s="95"/>
      <c r="E149" s="96"/>
      <c r="F149" s="96"/>
      <c r="G149" s="96"/>
      <c r="H149" s="96"/>
      <c r="I149" s="96"/>
      <c r="J149" s="96"/>
      <c r="K149" s="97"/>
      <c r="L149" s="98"/>
      <c r="M149" s="98"/>
      <c r="N149" s="99"/>
      <c r="O149" s="72"/>
      <c r="P149" s="100"/>
      <c r="Q149" s="101"/>
      <c r="R149" s="63"/>
      <c r="S149" s="75"/>
      <c r="T149" s="76"/>
      <c r="U149" s="72"/>
      <c r="V149" s="60"/>
      <c r="W149" s="60"/>
      <c r="X149" s="78"/>
      <c r="Y149" s="96"/>
    </row>
    <row r="150" spans="1:25" s="103" customFormat="1" ht="65.099999999999994" customHeight="1" x14ac:dyDescent="0.25">
      <c r="A150" s="94"/>
      <c r="B150" s="94"/>
      <c r="C150" s="413"/>
      <c r="D150" s="95"/>
      <c r="E150" s="96"/>
      <c r="F150" s="96"/>
      <c r="G150" s="96"/>
      <c r="H150" s="96"/>
      <c r="I150" s="96"/>
      <c r="J150" s="96"/>
      <c r="K150" s="97"/>
      <c r="L150" s="98"/>
      <c r="M150" s="98"/>
      <c r="N150" s="99"/>
      <c r="O150" s="72"/>
      <c r="P150" s="100"/>
      <c r="Q150" s="101"/>
      <c r="R150" s="63"/>
      <c r="S150" s="75"/>
      <c r="T150" s="76"/>
      <c r="U150" s="72"/>
      <c r="V150" s="60"/>
      <c r="W150" s="60"/>
      <c r="X150" s="78"/>
      <c r="Y150" s="96"/>
    </row>
    <row r="151" spans="1:25" s="103" customFormat="1" ht="65.099999999999994" customHeight="1" x14ac:dyDescent="0.25">
      <c r="A151" s="94"/>
      <c r="B151" s="94"/>
      <c r="C151" s="413"/>
      <c r="D151" s="95"/>
      <c r="E151" s="96"/>
      <c r="F151" s="96"/>
      <c r="G151" s="96"/>
      <c r="H151" s="96"/>
      <c r="I151" s="96"/>
      <c r="J151" s="96"/>
      <c r="K151" s="97"/>
      <c r="L151" s="98"/>
      <c r="M151" s="98"/>
      <c r="N151" s="99"/>
      <c r="O151" s="72"/>
      <c r="P151" s="100"/>
      <c r="Q151" s="101"/>
      <c r="R151" s="63"/>
      <c r="S151" s="75"/>
      <c r="T151" s="76"/>
      <c r="U151" s="72"/>
      <c r="V151" s="60"/>
      <c r="W151" s="60"/>
      <c r="X151" s="78"/>
      <c r="Y151" s="96"/>
    </row>
    <row r="152" spans="1:25" s="103" customFormat="1" ht="65.099999999999994" customHeight="1" x14ac:dyDescent="0.25">
      <c r="A152" s="94"/>
      <c r="B152" s="94"/>
      <c r="C152" s="413"/>
      <c r="D152" s="95"/>
      <c r="E152" s="96"/>
      <c r="F152" s="96"/>
      <c r="G152" s="96"/>
      <c r="H152" s="96"/>
      <c r="I152" s="96"/>
      <c r="J152" s="96"/>
      <c r="K152" s="97"/>
      <c r="L152" s="98"/>
      <c r="M152" s="98"/>
      <c r="N152" s="99"/>
      <c r="O152" s="72"/>
      <c r="P152" s="100"/>
      <c r="Q152" s="101"/>
      <c r="R152" s="63"/>
      <c r="S152" s="75"/>
      <c r="T152" s="76"/>
      <c r="U152" s="72"/>
      <c r="V152" s="60"/>
      <c r="W152" s="60"/>
      <c r="X152" s="78"/>
      <c r="Y152" s="96"/>
    </row>
    <row r="153" spans="1:25" s="103" customFormat="1" ht="65.099999999999994" customHeight="1" x14ac:dyDescent="0.25">
      <c r="A153" s="94"/>
      <c r="B153" s="94"/>
      <c r="C153" s="413"/>
      <c r="D153" s="95"/>
      <c r="E153" s="96"/>
      <c r="F153" s="96"/>
      <c r="G153" s="96"/>
      <c r="H153" s="96"/>
      <c r="I153" s="96"/>
      <c r="J153" s="96"/>
      <c r="K153" s="97"/>
      <c r="L153" s="98"/>
      <c r="M153" s="98"/>
      <c r="N153" s="99"/>
      <c r="O153" s="72"/>
      <c r="P153" s="100"/>
      <c r="Q153" s="101"/>
      <c r="R153" s="63"/>
      <c r="S153" s="75"/>
      <c r="T153" s="76"/>
      <c r="U153" s="72"/>
      <c r="V153" s="60"/>
      <c r="W153" s="60"/>
      <c r="X153" s="78"/>
      <c r="Y153" s="96"/>
    </row>
    <row r="154" spans="1:25" s="103" customFormat="1" ht="65.099999999999994" customHeight="1" x14ac:dyDescent="0.25">
      <c r="A154" s="94"/>
      <c r="B154" s="94"/>
      <c r="C154" s="413"/>
      <c r="D154" s="95"/>
      <c r="E154" s="96"/>
      <c r="F154" s="96"/>
      <c r="G154" s="96"/>
      <c r="H154" s="96"/>
      <c r="I154" s="96"/>
      <c r="J154" s="96"/>
      <c r="K154" s="97"/>
      <c r="L154" s="98"/>
      <c r="M154" s="98"/>
      <c r="N154" s="99"/>
      <c r="O154" s="72"/>
      <c r="P154" s="100"/>
      <c r="Q154" s="101"/>
      <c r="R154" s="63"/>
      <c r="S154" s="75"/>
      <c r="T154" s="76"/>
      <c r="U154" s="72"/>
      <c r="V154" s="60"/>
      <c r="W154" s="60"/>
      <c r="X154" s="78"/>
      <c r="Y154" s="96"/>
    </row>
    <row r="155" spans="1:25" s="103" customFormat="1" ht="65.099999999999994" customHeight="1" x14ac:dyDescent="0.25">
      <c r="A155" s="94"/>
      <c r="B155" s="94"/>
      <c r="C155" s="413"/>
      <c r="D155" s="95"/>
      <c r="E155" s="96"/>
      <c r="F155" s="96"/>
      <c r="G155" s="96"/>
      <c r="H155" s="96"/>
      <c r="I155" s="96"/>
      <c r="J155" s="96"/>
      <c r="K155" s="97"/>
      <c r="L155" s="98"/>
      <c r="M155" s="98"/>
      <c r="N155" s="99"/>
      <c r="O155" s="72"/>
      <c r="P155" s="100"/>
      <c r="Q155" s="101"/>
      <c r="R155" s="63"/>
      <c r="S155" s="75"/>
      <c r="T155" s="76"/>
      <c r="U155" s="72"/>
      <c r="V155" s="60"/>
      <c r="W155" s="60"/>
      <c r="X155" s="78"/>
      <c r="Y155" s="96"/>
    </row>
    <row r="156" spans="1:25" s="103" customFormat="1" ht="65.099999999999994" customHeight="1" x14ac:dyDescent="0.25">
      <c r="A156" s="94"/>
      <c r="B156" s="94"/>
      <c r="C156" s="413"/>
      <c r="D156" s="95"/>
      <c r="E156" s="96"/>
      <c r="F156" s="96"/>
      <c r="G156" s="96"/>
      <c r="H156" s="96"/>
      <c r="I156" s="96"/>
      <c r="J156" s="96"/>
      <c r="K156" s="97"/>
      <c r="L156" s="98"/>
      <c r="M156" s="98"/>
      <c r="N156" s="99"/>
      <c r="O156" s="72"/>
      <c r="P156" s="100"/>
      <c r="Q156" s="101"/>
      <c r="R156" s="63"/>
      <c r="S156" s="75"/>
      <c r="T156" s="76"/>
      <c r="U156" s="72"/>
      <c r="V156" s="60"/>
      <c r="W156" s="60"/>
      <c r="X156" s="78"/>
      <c r="Y156" s="96"/>
    </row>
    <row r="157" spans="1:25" s="103" customFormat="1" ht="65.099999999999994" customHeight="1" x14ac:dyDescent="0.25">
      <c r="A157" s="94"/>
      <c r="B157" s="94"/>
      <c r="C157" s="413"/>
      <c r="D157" s="95"/>
      <c r="E157" s="96"/>
      <c r="F157" s="96"/>
      <c r="G157" s="96"/>
      <c r="H157" s="96"/>
      <c r="I157" s="96"/>
      <c r="J157" s="96"/>
      <c r="K157" s="97"/>
      <c r="L157" s="98"/>
      <c r="M157" s="98"/>
      <c r="N157" s="99"/>
      <c r="O157" s="72"/>
      <c r="P157" s="100"/>
      <c r="Q157" s="101"/>
      <c r="R157" s="63"/>
      <c r="S157" s="75"/>
      <c r="T157" s="76"/>
      <c r="U157" s="72"/>
      <c r="V157" s="60"/>
      <c r="W157" s="60"/>
      <c r="X157" s="78"/>
      <c r="Y157" s="96"/>
    </row>
    <row r="158" spans="1:25" s="103" customFormat="1" ht="65.099999999999994" customHeight="1" x14ac:dyDescent="0.25">
      <c r="A158" s="94"/>
      <c r="B158" s="94"/>
      <c r="C158" s="413"/>
      <c r="D158" s="95"/>
      <c r="E158" s="96"/>
      <c r="F158" s="96"/>
      <c r="G158" s="96"/>
      <c r="H158" s="96"/>
      <c r="I158" s="96"/>
      <c r="J158" s="96"/>
      <c r="K158" s="97"/>
      <c r="L158" s="98"/>
      <c r="M158" s="98"/>
      <c r="N158" s="99"/>
      <c r="O158" s="72"/>
      <c r="P158" s="100"/>
      <c r="Q158" s="101"/>
      <c r="R158" s="63"/>
      <c r="S158" s="75"/>
      <c r="T158" s="76"/>
      <c r="U158" s="72"/>
      <c r="V158" s="60"/>
      <c r="W158" s="60"/>
      <c r="X158" s="78"/>
      <c r="Y158" s="96"/>
    </row>
    <row r="159" spans="1:25" s="103" customFormat="1" ht="65.099999999999994" customHeight="1" x14ac:dyDescent="0.25">
      <c r="A159" s="94"/>
      <c r="B159" s="94"/>
      <c r="C159" s="413"/>
      <c r="D159" s="95"/>
      <c r="E159" s="96"/>
      <c r="F159" s="96"/>
      <c r="G159" s="96"/>
      <c r="H159" s="96"/>
      <c r="I159" s="96"/>
      <c r="J159" s="96"/>
      <c r="K159" s="97"/>
      <c r="L159" s="98"/>
      <c r="M159" s="98"/>
      <c r="N159" s="99"/>
      <c r="O159" s="72"/>
      <c r="P159" s="100"/>
      <c r="Q159" s="101"/>
      <c r="R159" s="63"/>
      <c r="S159" s="75"/>
      <c r="T159" s="76"/>
      <c r="U159" s="72"/>
      <c r="V159" s="60"/>
      <c r="W159" s="60"/>
      <c r="X159" s="78"/>
      <c r="Y159" s="96"/>
    </row>
    <row r="160" spans="1:25" s="103" customFormat="1" ht="65.099999999999994" customHeight="1" x14ac:dyDescent="0.25">
      <c r="A160" s="94"/>
      <c r="B160" s="94"/>
      <c r="C160" s="413"/>
      <c r="D160" s="95"/>
      <c r="E160" s="96"/>
      <c r="F160" s="96"/>
      <c r="G160" s="96"/>
      <c r="H160" s="96"/>
      <c r="I160" s="96"/>
      <c r="J160" s="96"/>
      <c r="K160" s="97"/>
      <c r="L160" s="98"/>
      <c r="M160" s="98"/>
      <c r="N160" s="99"/>
      <c r="O160" s="72"/>
      <c r="P160" s="100"/>
      <c r="Q160" s="101"/>
      <c r="R160" s="63"/>
      <c r="S160" s="75"/>
      <c r="T160" s="76"/>
      <c r="U160" s="72"/>
      <c r="V160" s="60"/>
      <c r="W160" s="60"/>
      <c r="X160" s="78"/>
      <c r="Y160" s="96"/>
    </row>
    <row r="161" spans="1:25" s="103" customFormat="1" ht="65.099999999999994" customHeight="1" x14ac:dyDescent="0.25">
      <c r="A161" s="94"/>
      <c r="B161" s="94"/>
      <c r="C161" s="413"/>
      <c r="D161" s="95"/>
      <c r="E161" s="96"/>
      <c r="F161" s="96"/>
      <c r="G161" s="96"/>
      <c r="H161" s="96"/>
      <c r="I161" s="96"/>
      <c r="J161" s="96"/>
      <c r="K161" s="97"/>
      <c r="L161" s="98"/>
      <c r="M161" s="98"/>
      <c r="N161" s="99"/>
      <c r="O161" s="72"/>
      <c r="P161" s="100"/>
      <c r="Q161" s="101"/>
      <c r="R161" s="63"/>
      <c r="S161" s="75"/>
      <c r="T161" s="76"/>
      <c r="U161" s="72"/>
      <c r="V161" s="60"/>
      <c r="W161" s="60"/>
      <c r="X161" s="78"/>
      <c r="Y161" s="96"/>
    </row>
    <row r="162" spans="1:25" s="103" customFormat="1" ht="65.099999999999994" customHeight="1" x14ac:dyDescent="0.25">
      <c r="A162" s="94"/>
      <c r="B162" s="94"/>
      <c r="C162" s="413"/>
      <c r="D162" s="95"/>
      <c r="E162" s="96"/>
      <c r="F162" s="96"/>
      <c r="G162" s="96"/>
      <c r="H162" s="96"/>
      <c r="I162" s="96"/>
      <c r="J162" s="96"/>
      <c r="K162" s="97"/>
      <c r="L162" s="98"/>
      <c r="M162" s="98"/>
      <c r="N162" s="99"/>
      <c r="O162" s="72"/>
      <c r="P162" s="100"/>
      <c r="Q162" s="101"/>
      <c r="R162" s="63"/>
      <c r="S162" s="75"/>
      <c r="T162" s="76"/>
      <c r="U162" s="72"/>
      <c r="V162" s="60"/>
      <c r="W162" s="60"/>
      <c r="X162" s="78"/>
      <c r="Y162" s="96"/>
    </row>
    <row r="163" spans="1:25" s="103" customFormat="1" ht="65.099999999999994" customHeight="1" x14ac:dyDescent="0.25">
      <c r="A163" s="94"/>
      <c r="B163" s="94"/>
      <c r="C163" s="413"/>
      <c r="D163" s="95"/>
      <c r="E163" s="96"/>
      <c r="F163" s="96"/>
      <c r="G163" s="96"/>
      <c r="H163" s="96"/>
      <c r="I163" s="96"/>
      <c r="J163" s="96"/>
      <c r="K163" s="97"/>
      <c r="L163" s="98"/>
      <c r="M163" s="98"/>
      <c r="N163" s="99"/>
      <c r="O163" s="72"/>
      <c r="P163" s="100"/>
      <c r="Q163" s="101"/>
      <c r="R163" s="63"/>
      <c r="S163" s="75"/>
      <c r="T163" s="76"/>
      <c r="U163" s="72"/>
      <c r="V163" s="60"/>
      <c r="W163" s="60"/>
      <c r="X163" s="78"/>
      <c r="Y163" s="96"/>
    </row>
    <row r="164" spans="1:25" s="103" customFormat="1" ht="65.099999999999994" customHeight="1" x14ac:dyDescent="0.25">
      <c r="A164" s="94"/>
      <c r="B164" s="94"/>
      <c r="C164" s="413"/>
      <c r="D164" s="95"/>
      <c r="E164" s="96"/>
      <c r="F164" s="96"/>
      <c r="G164" s="96"/>
      <c r="H164" s="96"/>
      <c r="I164" s="96"/>
      <c r="J164" s="96"/>
      <c r="K164" s="97"/>
      <c r="L164" s="98"/>
      <c r="M164" s="98"/>
      <c r="N164" s="99"/>
      <c r="O164" s="72"/>
      <c r="P164" s="100"/>
      <c r="Q164" s="101"/>
      <c r="R164" s="63"/>
      <c r="S164" s="75"/>
      <c r="T164" s="76"/>
      <c r="U164" s="72"/>
      <c r="V164" s="60"/>
      <c r="W164" s="60"/>
      <c r="X164" s="78"/>
      <c r="Y164" s="96"/>
    </row>
    <row r="165" spans="1:25" s="103" customFormat="1" ht="65.099999999999994" customHeight="1" x14ac:dyDescent="0.25">
      <c r="A165" s="94"/>
      <c r="B165" s="94"/>
      <c r="C165" s="413"/>
      <c r="D165" s="95"/>
      <c r="E165" s="96"/>
      <c r="F165" s="96"/>
      <c r="G165" s="96"/>
      <c r="H165" s="96"/>
      <c r="I165" s="96"/>
      <c r="J165" s="96"/>
      <c r="K165" s="97"/>
      <c r="L165" s="98"/>
      <c r="M165" s="98"/>
      <c r="N165" s="99"/>
      <c r="O165" s="72"/>
      <c r="P165" s="100"/>
      <c r="Q165" s="101"/>
      <c r="R165" s="63"/>
      <c r="S165" s="75"/>
      <c r="T165" s="76"/>
      <c r="U165" s="72"/>
      <c r="V165" s="60"/>
      <c r="W165" s="60"/>
      <c r="X165" s="78"/>
      <c r="Y165" s="96"/>
    </row>
    <row r="166" spans="1:25" s="103" customFormat="1" ht="65.099999999999994" customHeight="1" x14ac:dyDescent="0.25">
      <c r="A166" s="94"/>
      <c r="B166" s="94"/>
      <c r="C166" s="413"/>
      <c r="D166" s="95"/>
      <c r="E166" s="96"/>
      <c r="F166" s="96"/>
      <c r="G166" s="96"/>
      <c r="H166" s="96"/>
      <c r="I166" s="96"/>
      <c r="J166" s="96"/>
      <c r="K166" s="97"/>
      <c r="L166" s="98"/>
      <c r="M166" s="98"/>
      <c r="N166" s="99"/>
      <c r="O166" s="72"/>
      <c r="P166" s="100"/>
      <c r="Q166" s="101"/>
      <c r="R166" s="63"/>
      <c r="S166" s="75"/>
      <c r="T166" s="76"/>
      <c r="U166" s="72"/>
      <c r="V166" s="60"/>
      <c r="W166" s="60"/>
      <c r="X166" s="78"/>
      <c r="Y166" s="96"/>
    </row>
    <row r="167" spans="1:25" s="103" customFormat="1" ht="65.099999999999994" customHeight="1" x14ac:dyDescent="0.25">
      <c r="A167" s="94"/>
      <c r="B167" s="94"/>
      <c r="C167" s="413"/>
      <c r="D167" s="95"/>
      <c r="E167" s="96"/>
      <c r="F167" s="96"/>
      <c r="G167" s="96"/>
      <c r="H167" s="96"/>
      <c r="I167" s="96"/>
      <c r="J167" s="96"/>
      <c r="K167" s="97"/>
      <c r="L167" s="98"/>
      <c r="M167" s="98"/>
      <c r="N167" s="99"/>
      <c r="O167" s="72"/>
      <c r="P167" s="100"/>
      <c r="Q167" s="101"/>
      <c r="R167" s="63"/>
      <c r="S167" s="75"/>
      <c r="T167" s="76"/>
      <c r="U167" s="72"/>
      <c r="V167" s="60"/>
      <c r="W167" s="60"/>
      <c r="X167" s="78"/>
      <c r="Y167" s="96"/>
    </row>
    <row r="168" spans="1:25" s="103" customFormat="1" ht="65.099999999999994" customHeight="1" x14ac:dyDescent="0.25">
      <c r="A168" s="94"/>
      <c r="B168" s="94"/>
      <c r="C168" s="413"/>
      <c r="D168" s="95"/>
      <c r="E168" s="96"/>
      <c r="F168" s="96"/>
      <c r="G168" s="96"/>
      <c r="H168" s="96"/>
      <c r="I168" s="96"/>
      <c r="J168" s="96"/>
      <c r="K168" s="97"/>
      <c r="L168" s="98"/>
      <c r="M168" s="98"/>
      <c r="N168" s="99"/>
      <c r="O168" s="72"/>
      <c r="P168" s="100"/>
      <c r="Q168" s="101"/>
      <c r="R168" s="63"/>
      <c r="S168" s="75"/>
      <c r="T168" s="76"/>
      <c r="U168" s="72"/>
      <c r="V168" s="60"/>
      <c r="W168" s="60"/>
      <c r="X168" s="78"/>
      <c r="Y168" s="96"/>
    </row>
    <row r="169" spans="1:25" s="103" customFormat="1" ht="65.099999999999994" customHeight="1" x14ac:dyDescent="0.25">
      <c r="A169" s="94"/>
      <c r="B169" s="94"/>
      <c r="C169" s="413"/>
      <c r="D169" s="95"/>
      <c r="E169" s="96"/>
      <c r="F169" s="96"/>
      <c r="G169" s="96"/>
      <c r="H169" s="96"/>
      <c r="I169" s="96"/>
      <c r="J169" s="96"/>
      <c r="K169" s="97"/>
      <c r="L169" s="98"/>
      <c r="M169" s="98"/>
      <c r="N169" s="99"/>
      <c r="O169" s="72"/>
      <c r="P169" s="100"/>
      <c r="Q169" s="101"/>
      <c r="R169" s="63"/>
      <c r="S169" s="75"/>
      <c r="T169" s="76"/>
      <c r="U169" s="72"/>
      <c r="V169" s="60"/>
      <c r="W169" s="60"/>
      <c r="X169" s="78"/>
      <c r="Y169" s="96"/>
    </row>
    <row r="170" spans="1:25" s="103" customFormat="1" ht="65.099999999999994" customHeight="1" x14ac:dyDescent="0.25">
      <c r="A170" s="94"/>
      <c r="B170" s="94"/>
      <c r="C170" s="413"/>
      <c r="D170" s="95"/>
      <c r="E170" s="96"/>
      <c r="F170" s="96"/>
      <c r="G170" s="96"/>
      <c r="H170" s="96"/>
      <c r="I170" s="96"/>
      <c r="J170" s="96"/>
      <c r="K170" s="97"/>
      <c r="L170" s="98"/>
      <c r="M170" s="98"/>
      <c r="N170" s="99"/>
      <c r="O170" s="72"/>
      <c r="P170" s="100"/>
      <c r="Q170" s="101"/>
      <c r="R170" s="63"/>
      <c r="S170" s="75"/>
      <c r="T170" s="76"/>
      <c r="U170" s="72"/>
      <c r="V170" s="60"/>
      <c r="W170" s="60"/>
      <c r="X170" s="78"/>
      <c r="Y170" s="96"/>
    </row>
    <row r="171" spans="1:25" s="103" customFormat="1" ht="65.099999999999994" customHeight="1" x14ac:dyDescent="0.25">
      <c r="A171" s="94"/>
      <c r="B171" s="94"/>
      <c r="C171" s="413"/>
      <c r="D171" s="95"/>
      <c r="E171" s="96"/>
      <c r="F171" s="96"/>
      <c r="G171" s="96"/>
      <c r="H171" s="96"/>
      <c r="I171" s="96"/>
      <c r="J171" s="96"/>
      <c r="K171" s="97"/>
      <c r="L171" s="98"/>
      <c r="M171" s="98"/>
      <c r="N171" s="99"/>
      <c r="O171" s="72"/>
      <c r="P171" s="100"/>
      <c r="Q171" s="101"/>
      <c r="R171" s="63"/>
      <c r="S171" s="75"/>
      <c r="T171" s="76"/>
      <c r="U171" s="72"/>
      <c r="V171" s="60"/>
      <c r="W171" s="60"/>
      <c r="X171" s="78"/>
      <c r="Y171" s="96"/>
    </row>
    <row r="172" spans="1:25" s="103" customFormat="1" ht="65.099999999999994" customHeight="1" x14ac:dyDescent="0.25">
      <c r="A172" s="94"/>
      <c r="B172" s="94"/>
      <c r="C172" s="413"/>
      <c r="D172" s="95"/>
      <c r="E172" s="96"/>
      <c r="F172" s="96"/>
      <c r="G172" s="96"/>
      <c r="H172" s="96"/>
      <c r="I172" s="96"/>
      <c r="J172" s="96"/>
      <c r="K172" s="97"/>
      <c r="L172" s="98"/>
      <c r="M172" s="98"/>
      <c r="N172" s="99"/>
      <c r="O172" s="72"/>
      <c r="P172" s="100"/>
      <c r="Q172" s="101"/>
      <c r="R172" s="63"/>
      <c r="S172" s="75"/>
      <c r="T172" s="76"/>
      <c r="U172" s="72"/>
      <c r="V172" s="60"/>
      <c r="W172" s="60"/>
      <c r="X172" s="78"/>
      <c r="Y172" s="96"/>
    </row>
    <row r="173" spans="1:25" s="103" customFormat="1" ht="65.099999999999994" customHeight="1" x14ac:dyDescent="0.25">
      <c r="A173" s="94"/>
      <c r="B173" s="94"/>
      <c r="C173" s="413"/>
      <c r="D173" s="95"/>
      <c r="E173" s="96"/>
      <c r="F173" s="96"/>
      <c r="G173" s="96"/>
      <c r="H173" s="96"/>
      <c r="I173" s="96"/>
      <c r="J173" s="96"/>
      <c r="K173" s="97"/>
      <c r="L173" s="98"/>
      <c r="M173" s="98"/>
      <c r="N173" s="99"/>
      <c r="O173" s="72"/>
      <c r="P173" s="100"/>
      <c r="Q173" s="101"/>
      <c r="R173" s="63"/>
      <c r="S173" s="75"/>
      <c r="T173" s="76"/>
      <c r="U173" s="72"/>
      <c r="V173" s="60"/>
      <c r="W173" s="60"/>
      <c r="X173" s="78"/>
      <c r="Y173" s="96"/>
    </row>
    <row r="174" spans="1:25" s="103" customFormat="1" ht="65.099999999999994" customHeight="1" x14ac:dyDescent="0.25">
      <c r="A174" s="94"/>
      <c r="B174" s="94"/>
      <c r="C174" s="413"/>
      <c r="D174" s="95"/>
      <c r="E174" s="96"/>
      <c r="F174" s="96"/>
      <c r="G174" s="96"/>
      <c r="H174" s="96"/>
      <c r="I174" s="96"/>
      <c r="J174" s="96"/>
      <c r="K174" s="97"/>
      <c r="L174" s="98"/>
      <c r="M174" s="98"/>
      <c r="N174" s="99"/>
      <c r="O174" s="72"/>
      <c r="P174" s="100"/>
      <c r="Q174" s="101"/>
      <c r="R174" s="63"/>
      <c r="S174" s="75"/>
      <c r="T174" s="76"/>
      <c r="U174" s="72"/>
      <c r="V174" s="60"/>
      <c r="W174" s="60"/>
      <c r="X174" s="78"/>
      <c r="Y174" s="96"/>
    </row>
    <row r="175" spans="1:25" s="103" customFormat="1" ht="65.099999999999994" customHeight="1" x14ac:dyDescent="0.25">
      <c r="A175" s="94"/>
      <c r="B175" s="94"/>
      <c r="C175" s="413"/>
      <c r="D175" s="95"/>
      <c r="E175" s="96"/>
      <c r="F175" s="96"/>
      <c r="G175" s="96"/>
      <c r="H175" s="96"/>
      <c r="I175" s="96"/>
      <c r="J175" s="96"/>
      <c r="K175" s="97"/>
      <c r="L175" s="98"/>
      <c r="M175" s="98"/>
      <c r="N175" s="99"/>
      <c r="O175" s="72"/>
      <c r="P175" s="100"/>
      <c r="Q175" s="101"/>
      <c r="R175" s="63"/>
      <c r="S175" s="75"/>
      <c r="T175" s="76"/>
      <c r="U175" s="72"/>
      <c r="V175" s="60"/>
      <c r="W175" s="60"/>
      <c r="X175" s="78"/>
      <c r="Y175" s="96"/>
    </row>
    <row r="176" spans="1:25" s="103" customFormat="1" ht="65.099999999999994" customHeight="1" x14ac:dyDescent="0.25">
      <c r="A176" s="94"/>
      <c r="B176" s="94"/>
      <c r="C176" s="413"/>
      <c r="D176" s="95"/>
      <c r="E176" s="96"/>
      <c r="F176" s="96"/>
      <c r="G176" s="96"/>
      <c r="H176" s="96"/>
      <c r="I176" s="96"/>
      <c r="J176" s="96"/>
      <c r="K176" s="97"/>
      <c r="L176" s="98"/>
      <c r="M176" s="98"/>
      <c r="N176" s="99"/>
      <c r="O176" s="72"/>
      <c r="P176" s="100"/>
      <c r="Q176" s="101"/>
      <c r="R176" s="63"/>
      <c r="S176" s="75"/>
      <c r="T176" s="76"/>
      <c r="U176" s="72"/>
      <c r="V176" s="60"/>
      <c r="W176" s="60"/>
      <c r="X176" s="78"/>
      <c r="Y176" s="96"/>
    </row>
    <row r="177" spans="1:25" s="103" customFormat="1" ht="65.099999999999994" customHeight="1" x14ac:dyDescent="0.25">
      <c r="A177" s="94"/>
      <c r="B177" s="94"/>
      <c r="C177" s="413"/>
      <c r="D177" s="95"/>
      <c r="E177" s="96"/>
      <c r="F177" s="96"/>
      <c r="G177" s="96"/>
      <c r="H177" s="96"/>
      <c r="I177" s="96"/>
      <c r="J177" s="96"/>
      <c r="K177" s="97"/>
      <c r="L177" s="98"/>
      <c r="M177" s="98"/>
      <c r="N177" s="99"/>
      <c r="O177" s="72"/>
      <c r="P177" s="100"/>
      <c r="Q177" s="101"/>
      <c r="R177" s="63"/>
      <c r="S177" s="75"/>
      <c r="T177" s="76"/>
      <c r="U177" s="72"/>
      <c r="V177" s="60"/>
      <c r="W177" s="60"/>
      <c r="X177" s="78"/>
      <c r="Y177" s="96"/>
    </row>
    <row r="178" spans="1:25" s="103" customFormat="1" ht="65.099999999999994" customHeight="1" x14ac:dyDescent="0.25">
      <c r="A178" s="94"/>
      <c r="B178" s="94"/>
      <c r="C178" s="413"/>
      <c r="D178" s="95"/>
      <c r="E178" s="96"/>
      <c r="F178" s="96"/>
      <c r="G178" s="96"/>
      <c r="H178" s="96"/>
      <c r="I178" s="96"/>
      <c r="J178" s="96"/>
      <c r="K178" s="97"/>
      <c r="L178" s="98"/>
      <c r="M178" s="98"/>
      <c r="N178" s="99"/>
      <c r="O178" s="72"/>
      <c r="P178" s="100"/>
      <c r="Q178" s="101"/>
      <c r="R178" s="63"/>
      <c r="S178" s="75"/>
      <c r="T178" s="76"/>
      <c r="U178" s="72"/>
      <c r="V178" s="60"/>
      <c r="W178" s="60"/>
      <c r="X178" s="78"/>
      <c r="Y178" s="96"/>
    </row>
    <row r="179" spans="1:25" s="103" customFormat="1" ht="65.099999999999994" customHeight="1" x14ac:dyDescent="0.25">
      <c r="A179" s="94"/>
      <c r="B179" s="94"/>
      <c r="C179" s="413"/>
      <c r="D179" s="95"/>
      <c r="E179" s="96"/>
      <c r="F179" s="96"/>
      <c r="G179" s="96"/>
      <c r="H179" s="96"/>
      <c r="I179" s="96"/>
      <c r="J179" s="96"/>
      <c r="K179" s="97"/>
      <c r="L179" s="98"/>
      <c r="M179" s="98"/>
      <c r="N179" s="99"/>
      <c r="O179" s="72"/>
      <c r="P179" s="100"/>
      <c r="Q179" s="101"/>
      <c r="R179" s="63"/>
      <c r="S179" s="75"/>
      <c r="T179" s="76"/>
      <c r="U179" s="72"/>
      <c r="V179" s="60"/>
      <c r="W179" s="60"/>
      <c r="X179" s="78"/>
      <c r="Y179" s="96"/>
    </row>
    <row r="180" spans="1:25" s="103" customFormat="1" ht="65.099999999999994" customHeight="1" x14ac:dyDescent="0.25">
      <c r="A180" s="94"/>
      <c r="B180" s="94"/>
      <c r="C180" s="413"/>
      <c r="D180" s="95"/>
      <c r="E180" s="96"/>
      <c r="F180" s="96"/>
      <c r="G180" s="96"/>
      <c r="H180" s="96"/>
      <c r="I180" s="96"/>
      <c r="J180" s="96"/>
      <c r="K180" s="97"/>
      <c r="L180" s="98"/>
      <c r="M180" s="98"/>
      <c r="N180" s="99"/>
      <c r="O180" s="72"/>
      <c r="P180" s="100"/>
      <c r="Q180" s="101"/>
      <c r="R180" s="63"/>
      <c r="S180" s="75"/>
      <c r="T180" s="76"/>
      <c r="U180" s="72"/>
      <c r="V180" s="60"/>
      <c r="W180" s="60"/>
      <c r="X180" s="78"/>
      <c r="Y180" s="96"/>
    </row>
    <row r="181" spans="1:25" s="103" customFormat="1" ht="65.099999999999994" customHeight="1" x14ac:dyDescent="0.25">
      <c r="A181" s="94"/>
      <c r="B181" s="94"/>
      <c r="C181" s="413"/>
      <c r="D181" s="95"/>
      <c r="E181" s="96"/>
      <c r="F181" s="96"/>
      <c r="G181" s="96"/>
      <c r="H181" s="96"/>
      <c r="I181" s="96"/>
      <c r="J181" s="96"/>
      <c r="K181" s="97"/>
      <c r="L181" s="98"/>
      <c r="M181" s="98"/>
      <c r="N181" s="99"/>
      <c r="O181" s="72"/>
      <c r="P181" s="100"/>
      <c r="Q181" s="101"/>
      <c r="R181" s="63"/>
      <c r="S181" s="75"/>
      <c r="T181" s="76"/>
      <c r="U181" s="72"/>
      <c r="V181" s="60"/>
      <c r="W181" s="60"/>
      <c r="X181" s="78"/>
      <c r="Y181" s="96"/>
    </row>
    <row r="182" spans="1:25" s="103" customFormat="1" ht="65.099999999999994" customHeight="1" x14ac:dyDescent="0.25">
      <c r="A182" s="94"/>
      <c r="B182" s="94"/>
      <c r="C182" s="413"/>
      <c r="D182" s="95"/>
      <c r="E182" s="96"/>
      <c r="F182" s="96"/>
      <c r="G182" s="96"/>
      <c r="H182" s="96"/>
      <c r="I182" s="96"/>
      <c r="J182" s="96"/>
      <c r="K182" s="97"/>
      <c r="L182" s="98"/>
      <c r="M182" s="98"/>
      <c r="N182" s="99"/>
      <c r="O182" s="72"/>
      <c r="P182" s="100"/>
      <c r="Q182" s="101"/>
      <c r="R182" s="63"/>
      <c r="S182" s="75"/>
      <c r="T182" s="76"/>
      <c r="U182" s="72"/>
      <c r="V182" s="60"/>
      <c r="W182" s="60"/>
      <c r="X182" s="78"/>
      <c r="Y182" s="96"/>
    </row>
    <row r="183" spans="1:25" s="103" customFormat="1" ht="65.099999999999994" customHeight="1" x14ac:dyDescent="0.25">
      <c r="A183" s="94"/>
      <c r="B183" s="94"/>
      <c r="C183" s="413"/>
      <c r="D183" s="95"/>
      <c r="E183" s="96"/>
      <c r="F183" s="96"/>
      <c r="G183" s="96"/>
      <c r="H183" s="96"/>
      <c r="I183" s="96"/>
      <c r="J183" s="96"/>
      <c r="K183" s="97"/>
      <c r="L183" s="98"/>
      <c r="M183" s="98"/>
      <c r="N183" s="99"/>
      <c r="O183" s="72"/>
      <c r="P183" s="100"/>
      <c r="Q183" s="101"/>
      <c r="R183" s="63"/>
      <c r="S183" s="75"/>
      <c r="T183" s="76"/>
      <c r="U183" s="72"/>
      <c r="V183" s="60"/>
      <c r="W183" s="60"/>
      <c r="X183" s="78"/>
      <c r="Y183" s="96"/>
    </row>
    <row r="184" spans="1:25" s="103" customFormat="1" ht="65.099999999999994" customHeight="1" x14ac:dyDescent="0.25">
      <c r="A184" s="94"/>
      <c r="B184" s="94"/>
      <c r="C184" s="413"/>
      <c r="D184" s="95"/>
      <c r="E184" s="96"/>
      <c r="F184" s="96"/>
      <c r="G184" s="96"/>
      <c r="H184" s="96"/>
      <c r="I184" s="96"/>
      <c r="J184" s="96"/>
      <c r="K184" s="97"/>
      <c r="L184" s="98"/>
      <c r="M184" s="98"/>
      <c r="N184" s="99"/>
      <c r="O184" s="72"/>
      <c r="P184" s="100"/>
      <c r="Q184" s="101"/>
      <c r="R184" s="63"/>
      <c r="S184" s="75"/>
      <c r="T184" s="76"/>
      <c r="U184" s="72"/>
      <c r="V184" s="60"/>
      <c r="W184" s="60"/>
      <c r="X184" s="78"/>
      <c r="Y184" s="96"/>
    </row>
    <row r="185" spans="1:25" s="103" customFormat="1" ht="65.099999999999994" customHeight="1" x14ac:dyDescent="0.25">
      <c r="A185" s="94"/>
      <c r="B185" s="94"/>
      <c r="C185" s="413"/>
      <c r="D185" s="95"/>
      <c r="E185" s="96"/>
      <c r="F185" s="96"/>
      <c r="G185" s="96"/>
      <c r="H185" s="96"/>
      <c r="I185" s="96"/>
      <c r="J185" s="96"/>
      <c r="K185" s="97"/>
      <c r="L185" s="98"/>
      <c r="M185" s="98"/>
      <c r="N185" s="99"/>
      <c r="O185" s="72"/>
      <c r="P185" s="100"/>
      <c r="Q185" s="101"/>
      <c r="R185" s="63"/>
      <c r="S185" s="75"/>
      <c r="T185" s="76"/>
      <c r="U185" s="72"/>
      <c r="V185" s="60"/>
      <c r="W185" s="60"/>
      <c r="X185" s="78"/>
      <c r="Y185" s="96"/>
    </row>
    <row r="186" spans="1:25" s="103" customFormat="1" ht="65.099999999999994" customHeight="1" x14ac:dyDescent="0.25">
      <c r="A186" s="94"/>
      <c r="B186" s="94"/>
      <c r="C186" s="413"/>
      <c r="D186" s="95"/>
      <c r="E186" s="96"/>
      <c r="F186" s="96"/>
      <c r="G186" s="96"/>
      <c r="H186" s="96"/>
      <c r="I186" s="96"/>
      <c r="J186" s="96"/>
      <c r="K186" s="97"/>
      <c r="L186" s="98"/>
      <c r="M186" s="98"/>
      <c r="N186" s="99"/>
      <c r="O186" s="72"/>
      <c r="P186" s="100"/>
      <c r="Q186" s="101"/>
      <c r="R186" s="63"/>
      <c r="S186" s="75"/>
      <c r="T186" s="76"/>
      <c r="U186" s="72"/>
      <c r="V186" s="60"/>
      <c r="W186" s="60"/>
      <c r="X186" s="78"/>
      <c r="Y186" s="96"/>
    </row>
    <row r="187" spans="1:25" s="103" customFormat="1" ht="65.099999999999994" customHeight="1" x14ac:dyDescent="0.25">
      <c r="A187" s="94"/>
      <c r="B187" s="94"/>
      <c r="C187" s="413"/>
      <c r="D187" s="95"/>
      <c r="E187" s="96"/>
      <c r="F187" s="96"/>
      <c r="G187" s="96"/>
      <c r="H187" s="96"/>
      <c r="I187" s="96"/>
      <c r="J187" s="96"/>
      <c r="K187" s="97"/>
      <c r="L187" s="98"/>
      <c r="M187" s="98"/>
      <c r="N187" s="99"/>
      <c r="O187" s="72"/>
      <c r="P187" s="100"/>
      <c r="Q187" s="101"/>
      <c r="R187" s="63"/>
      <c r="S187" s="75"/>
      <c r="T187" s="76"/>
      <c r="U187" s="72"/>
      <c r="V187" s="60"/>
      <c r="W187" s="60"/>
      <c r="X187" s="78"/>
      <c r="Y187" s="96"/>
    </row>
    <row r="188" spans="1:25" s="103" customFormat="1" ht="65.099999999999994" customHeight="1" x14ac:dyDescent="0.25">
      <c r="A188" s="94"/>
      <c r="B188" s="94"/>
      <c r="C188" s="413"/>
      <c r="D188" s="95"/>
      <c r="E188" s="96"/>
      <c r="F188" s="96"/>
      <c r="G188" s="96"/>
      <c r="H188" s="96"/>
      <c r="I188" s="96"/>
      <c r="J188" s="96"/>
      <c r="K188" s="97"/>
      <c r="L188" s="98"/>
      <c r="M188" s="98"/>
      <c r="N188" s="99"/>
      <c r="O188" s="72"/>
      <c r="P188" s="100"/>
      <c r="Q188" s="101"/>
      <c r="R188" s="63"/>
      <c r="S188" s="75"/>
      <c r="T188" s="76"/>
      <c r="U188" s="72"/>
      <c r="V188" s="60"/>
      <c r="W188" s="60"/>
      <c r="X188" s="78"/>
      <c r="Y188" s="96"/>
    </row>
    <row r="189" spans="1:25" s="103" customFormat="1" ht="65.099999999999994" customHeight="1" x14ac:dyDescent="0.25">
      <c r="A189" s="94"/>
      <c r="B189" s="94"/>
      <c r="C189" s="413"/>
      <c r="D189" s="95"/>
      <c r="E189" s="96"/>
      <c r="F189" s="96"/>
      <c r="G189" s="96"/>
      <c r="H189" s="96"/>
      <c r="I189" s="96"/>
      <c r="J189" s="96"/>
      <c r="K189" s="97"/>
      <c r="L189" s="98"/>
      <c r="M189" s="98"/>
      <c r="N189" s="99"/>
      <c r="O189" s="72"/>
      <c r="P189" s="100"/>
      <c r="Q189" s="101"/>
      <c r="R189" s="63"/>
      <c r="S189" s="75"/>
      <c r="T189" s="76"/>
      <c r="U189" s="72"/>
      <c r="V189" s="60"/>
      <c r="W189" s="60"/>
      <c r="X189" s="78"/>
      <c r="Y189" s="96"/>
    </row>
    <row r="190" spans="1:25" s="103" customFormat="1" ht="65.099999999999994" customHeight="1" x14ac:dyDescent="0.25">
      <c r="A190" s="94"/>
      <c r="B190" s="94"/>
      <c r="C190" s="413"/>
      <c r="D190" s="95"/>
      <c r="E190" s="96"/>
      <c r="F190" s="96"/>
      <c r="G190" s="96"/>
      <c r="H190" s="96"/>
      <c r="I190" s="96"/>
      <c r="J190" s="96"/>
      <c r="K190" s="97"/>
      <c r="L190" s="98"/>
      <c r="M190" s="98"/>
      <c r="N190" s="99"/>
      <c r="O190" s="72"/>
      <c r="P190" s="100"/>
      <c r="Q190" s="101"/>
      <c r="R190" s="63"/>
      <c r="S190" s="75"/>
      <c r="T190" s="76"/>
      <c r="U190" s="72"/>
      <c r="V190" s="60"/>
      <c r="W190" s="60"/>
      <c r="X190" s="78"/>
      <c r="Y190" s="96"/>
    </row>
    <row r="191" spans="1:25" s="103" customFormat="1" ht="65.099999999999994" customHeight="1" x14ac:dyDescent="0.25">
      <c r="A191" s="94"/>
      <c r="B191" s="94"/>
      <c r="C191" s="413"/>
      <c r="D191" s="95"/>
      <c r="E191" s="96"/>
      <c r="F191" s="96"/>
      <c r="G191" s="96"/>
      <c r="H191" s="96"/>
      <c r="I191" s="96"/>
      <c r="J191" s="96"/>
      <c r="K191" s="97"/>
      <c r="L191" s="98"/>
      <c r="M191" s="98"/>
      <c r="N191" s="99"/>
      <c r="O191" s="72"/>
      <c r="P191" s="100"/>
      <c r="Q191" s="101"/>
      <c r="R191" s="63"/>
      <c r="S191" s="75"/>
      <c r="T191" s="76"/>
      <c r="U191" s="72"/>
      <c r="V191" s="60"/>
      <c r="W191" s="60"/>
      <c r="X191" s="78"/>
      <c r="Y191" s="96"/>
    </row>
    <row r="192" spans="1:25" s="103" customFormat="1" ht="65.099999999999994" customHeight="1" x14ac:dyDescent="0.25">
      <c r="A192" s="94"/>
      <c r="B192" s="94"/>
      <c r="C192" s="413"/>
      <c r="D192" s="95"/>
      <c r="E192" s="96"/>
      <c r="F192" s="96"/>
      <c r="G192" s="96"/>
      <c r="H192" s="96"/>
      <c r="I192" s="96"/>
      <c r="J192" s="96"/>
      <c r="K192" s="97"/>
      <c r="L192" s="98"/>
      <c r="M192" s="98"/>
      <c r="N192" s="99"/>
      <c r="O192" s="72"/>
      <c r="P192" s="100"/>
      <c r="Q192" s="101"/>
      <c r="R192" s="63"/>
      <c r="S192" s="75"/>
      <c r="T192" s="76"/>
      <c r="U192" s="72"/>
      <c r="V192" s="60"/>
      <c r="W192" s="60"/>
      <c r="X192" s="78"/>
      <c r="Y192" s="96"/>
    </row>
    <row r="193" spans="1:25" s="103" customFormat="1" ht="65.099999999999994" customHeight="1" x14ac:dyDescent="0.25">
      <c r="A193" s="94"/>
      <c r="B193" s="94"/>
      <c r="C193" s="413"/>
      <c r="D193" s="95"/>
      <c r="E193" s="96"/>
      <c r="F193" s="96"/>
      <c r="G193" s="96"/>
      <c r="H193" s="96"/>
      <c r="I193" s="96"/>
      <c r="J193" s="96"/>
      <c r="K193" s="97"/>
      <c r="L193" s="98"/>
      <c r="M193" s="98"/>
      <c r="N193" s="99"/>
      <c r="O193" s="72"/>
      <c r="P193" s="100"/>
      <c r="Q193" s="101"/>
      <c r="R193" s="63"/>
      <c r="S193" s="75"/>
      <c r="T193" s="76"/>
      <c r="U193" s="72"/>
      <c r="V193" s="60"/>
      <c r="W193" s="60"/>
      <c r="X193" s="78"/>
      <c r="Y193" s="96"/>
    </row>
    <row r="194" spans="1:25" s="103" customFormat="1" ht="65.099999999999994" customHeight="1" x14ac:dyDescent="0.25">
      <c r="A194" s="94"/>
      <c r="B194" s="94"/>
      <c r="C194" s="413"/>
      <c r="D194" s="95"/>
      <c r="E194" s="96"/>
      <c r="F194" s="96"/>
      <c r="G194" s="96"/>
      <c r="H194" s="96"/>
      <c r="I194" s="96"/>
      <c r="J194" s="96"/>
      <c r="K194" s="97"/>
      <c r="L194" s="98"/>
      <c r="M194" s="98"/>
      <c r="N194" s="99"/>
      <c r="O194" s="72"/>
      <c r="P194" s="100"/>
      <c r="Q194" s="101"/>
      <c r="R194" s="63"/>
      <c r="S194" s="75"/>
      <c r="T194" s="76"/>
      <c r="U194" s="72"/>
      <c r="V194" s="60"/>
      <c r="W194" s="60"/>
      <c r="X194" s="78"/>
      <c r="Y194" s="96"/>
    </row>
    <row r="195" spans="1:25" s="103" customFormat="1" ht="65.099999999999994" customHeight="1" x14ac:dyDescent="0.25">
      <c r="A195" s="94"/>
      <c r="B195" s="94"/>
      <c r="C195" s="413"/>
      <c r="D195" s="95"/>
      <c r="E195" s="96"/>
      <c r="F195" s="96"/>
      <c r="G195" s="96"/>
      <c r="H195" s="96"/>
      <c r="I195" s="96"/>
      <c r="J195" s="96"/>
      <c r="K195" s="97"/>
      <c r="L195" s="98"/>
      <c r="M195" s="98"/>
      <c r="N195" s="99"/>
      <c r="O195" s="72"/>
      <c r="P195" s="100"/>
      <c r="Q195" s="101"/>
      <c r="R195" s="63"/>
      <c r="S195" s="75"/>
      <c r="T195" s="76"/>
      <c r="U195" s="72"/>
      <c r="V195" s="60"/>
      <c r="W195" s="60"/>
      <c r="X195" s="78"/>
      <c r="Y195" s="96"/>
    </row>
    <row r="196" spans="1:25" s="103" customFormat="1" ht="65.099999999999994" customHeight="1" x14ac:dyDescent="0.25">
      <c r="A196" s="94"/>
      <c r="B196" s="94"/>
      <c r="C196" s="413"/>
      <c r="D196" s="95"/>
      <c r="E196" s="96"/>
      <c r="F196" s="96"/>
      <c r="G196" s="96"/>
      <c r="H196" s="96"/>
      <c r="I196" s="96"/>
      <c r="J196" s="96"/>
      <c r="K196" s="97"/>
      <c r="L196" s="98"/>
      <c r="M196" s="98"/>
      <c r="N196" s="99"/>
      <c r="O196" s="72"/>
      <c r="P196" s="100"/>
      <c r="Q196" s="101"/>
      <c r="R196" s="63"/>
      <c r="S196" s="75"/>
      <c r="T196" s="76"/>
      <c r="U196" s="72"/>
      <c r="V196" s="60"/>
      <c r="W196" s="60"/>
      <c r="X196" s="78"/>
      <c r="Y196" s="96"/>
    </row>
    <row r="197" spans="1:25" s="103" customFormat="1" ht="65.099999999999994" customHeight="1" x14ac:dyDescent="0.25">
      <c r="A197" s="94"/>
      <c r="B197" s="94"/>
      <c r="C197" s="413"/>
      <c r="D197" s="95"/>
      <c r="E197" s="96"/>
      <c r="F197" s="96"/>
      <c r="G197" s="96"/>
      <c r="H197" s="96"/>
      <c r="I197" s="96"/>
      <c r="J197" s="96"/>
      <c r="K197" s="97"/>
      <c r="L197" s="98"/>
      <c r="M197" s="98"/>
      <c r="N197" s="99"/>
      <c r="O197" s="72"/>
      <c r="P197" s="100"/>
      <c r="Q197" s="101"/>
      <c r="R197" s="63"/>
      <c r="S197" s="75"/>
      <c r="T197" s="76"/>
      <c r="U197" s="72"/>
      <c r="V197" s="60"/>
      <c r="W197" s="60"/>
      <c r="X197" s="78"/>
      <c r="Y197" s="96"/>
    </row>
    <row r="198" spans="1:25" s="103" customFormat="1" ht="65.099999999999994" customHeight="1" x14ac:dyDescent="0.25">
      <c r="A198" s="94"/>
      <c r="B198" s="94"/>
      <c r="C198" s="413"/>
      <c r="D198" s="95"/>
      <c r="E198" s="96"/>
      <c r="F198" s="96"/>
      <c r="G198" s="96"/>
      <c r="H198" s="96"/>
      <c r="I198" s="96"/>
      <c r="J198" s="96"/>
      <c r="K198" s="97"/>
      <c r="L198" s="98"/>
      <c r="M198" s="98"/>
      <c r="N198" s="99"/>
      <c r="O198" s="72"/>
      <c r="P198" s="100"/>
      <c r="Q198" s="101"/>
      <c r="R198" s="63"/>
      <c r="S198" s="75"/>
      <c r="T198" s="76"/>
      <c r="U198" s="72"/>
      <c r="V198" s="60"/>
      <c r="W198" s="60"/>
      <c r="X198" s="78"/>
      <c r="Y198" s="96"/>
    </row>
  </sheetData>
  <autoFilter ref="A1:Y17"/>
  <mergeCells count="39">
    <mergeCell ref="Y21:Y22"/>
    <mergeCell ref="A11:A14"/>
    <mergeCell ref="A7:A10"/>
    <mergeCell ref="A31:A34"/>
    <mergeCell ref="A27:A30"/>
    <mergeCell ref="A23:A26"/>
    <mergeCell ref="A19:A22"/>
    <mergeCell ref="A15:A18"/>
    <mergeCell ref="A51:A54"/>
    <mergeCell ref="A47:A50"/>
    <mergeCell ref="A43:A46"/>
    <mergeCell ref="A39:A42"/>
    <mergeCell ref="A35:A38"/>
    <mergeCell ref="Y1:Y2"/>
    <mergeCell ref="A3:A6"/>
    <mergeCell ref="X1:X2"/>
    <mergeCell ref="U1:U2"/>
    <mergeCell ref="V1:V2"/>
    <mergeCell ref="W1:W2"/>
    <mergeCell ref="O1:O2"/>
    <mergeCell ref="P1:P2"/>
    <mergeCell ref="Q1:Q2"/>
    <mergeCell ref="R1:R2"/>
    <mergeCell ref="S1:S2"/>
    <mergeCell ref="T1:T2"/>
    <mergeCell ref="G1:G2"/>
    <mergeCell ref="H1:H2"/>
    <mergeCell ref="K1:K2"/>
    <mergeCell ref="L1:L2"/>
    <mergeCell ref="M1:M2"/>
    <mergeCell ref="N1:N2"/>
    <mergeCell ref="A1:A2"/>
    <mergeCell ref="B1:B2"/>
    <mergeCell ref="C1:C2"/>
    <mergeCell ref="D1:D2"/>
    <mergeCell ref="E1:E2"/>
    <mergeCell ref="F1:F2"/>
    <mergeCell ref="I1:I2"/>
    <mergeCell ref="J1:J2"/>
  </mergeCells>
  <conditionalFormatting sqref="X3">
    <cfRule type="containsText" dxfId="32" priority="10" operator="containsText" text="NO CUMPLE">
      <formula>NOT(ISERROR(SEARCH("NO CUMPLE",X3)))</formula>
    </cfRule>
  </conditionalFormatting>
  <conditionalFormatting sqref="X4">
    <cfRule type="containsText" dxfId="31" priority="9" operator="containsText" text="NO CUMPLE">
      <formula>NOT(ISERROR(SEARCH("NO CUMPLE",X4)))</formula>
    </cfRule>
  </conditionalFormatting>
  <conditionalFormatting sqref="X5">
    <cfRule type="containsText" dxfId="30" priority="8" operator="containsText" text="NO CUMPLE">
      <formula>NOT(ISERROR(SEARCH("NO CUMPLE",X5)))</formula>
    </cfRule>
  </conditionalFormatting>
  <conditionalFormatting sqref="X6">
    <cfRule type="containsText" dxfId="29" priority="7" operator="containsText" text="NO CUMPLE">
      <formula>NOT(ISERROR(SEARCH("NO CUMPLE",X6)))</formula>
    </cfRule>
  </conditionalFormatting>
  <conditionalFormatting sqref="X10 X14 X18 X22 X26 X30 X34 X38 X42 X46 X50 X54">
    <cfRule type="containsText" dxfId="28" priority="6" operator="containsText" text="NO CUMPLE">
      <formula>NOT(ISERROR(SEARCH("NO CUMPLE",X10)))</formula>
    </cfRule>
  </conditionalFormatting>
  <conditionalFormatting sqref="X8:X9 X12:X13 X16:X17 X20:X21 X24:X25 X28:X29 X32:X33 X36:X37 X40:X41 X44:X45 X48:X49 X52:X53">
    <cfRule type="containsText" dxfId="27" priority="5" operator="containsText" text="NO CUMPLE">
      <formula>NOT(ISERROR(SEARCH("NO CUMPLE",X8)))</formula>
    </cfRule>
  </conditionalFormatting>
  <conditionalFormatting sqref="X7 X11 X15 X19 X23 X27 X31 X35 X39 X43 X47 X51">
    <cfRule type="containsText" dxfId="26" priority="4" operator="containsText" text="NO CUMPLE">
      <formula>NOT(ISERROR(SEARCH("NO CUMPLE",X7)))</formula>
    </cfRule>
  </conditionalFormatting>
  <conditionalFormatting sqref="X7">
    <cfRule type="containsText" dxfId="25" priority="3" operator="containsText" text="NO CUMPLE">
      <formula>NOT(ISERROR(SEARCH("NO CUMPLE",X7)))</formula>
    </cfRule>
  </conditionalFormatting>
  <conditionalFormatting sqref="X10">
    <cfRule type="containsText" dxfId="24" priority="2" operator="containsText" text="NO CUMPLE">
      <formula>NOT(ISERROR(SEARCH("NO CUMPLE",X10)))</formula>
    </cfRule>
  </conditionalFormatting>
  <dataValidations count="1">
    <dataValidation type="list" allowBlank="1" showInputMessage="1" showErrorMessage="1" sqref="G3:J54">
      <formula1>$AA$1:$AB$1</formula1>
    </dataValidation>
  </dataValidations>
  <pageMargins left="0.75" right="0.75" top="1" bottom="1" header="0.5" footer="0.5"/>
  <pageSetup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M215"/>
  <sheetViews>
    <sheetView zoomScale="60" zoomScaleNormal="60" zoomScalePageLayoutView="75" workbookViewId="0">
      <pane xSplit="1" ySplit="2" topLeftCell="P45" activePane="bottomRight" state="frozen"/>
      <selection pane="topRight" activeCell="B1" sqref="B1"/>
      <selection pane="bottomLeft" activeCell="A3" sqref="A3"/>
      <selection pane="bottomRight" activeCell="AI33" sqref="AI33"/>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12.5" style="104" customWidth="1"/>
    <col min="9" max="9" width="13.625" style="105" customWidth="1"/>
    <col min="10" max="10" width="10.625" style="106" customWidth="1"/>
    <col min="11" max="11" width="11" style="107" customWidth="1"/>
    <col min="12" max="12" width="11" style="108" customWidth="1"/>
    <col min="13" max="13" width="11" style="74" customWidth="1"/>
    <col min="14" max="14" width="19.625" style="109" customWidth="1"/>
    <col min="15" max="15" width="8.75" style="109" customWidth="1"/>
    <col min="16" max="16" width="9.5" style="74" bestFit="1" customWidth="1"/>
    <col min="17" max="17" width="12.5" style="74" customWidth="1"/>
    <col min="18" max="18" width="9.625" style="74" bestFit="1" customWidth="1"/>
    <col min="19" max="20" width="15.5" style="74" customWidth="1"/>
    <col min="21" max="21" width="18.375" style="87" customWidth="1"/>
    <col min="22" max="22" width="16.5" style="87" customWidth="1"/>
    <col min="23" max="23" width="10" style="94" customWidth="1"/>
    <col min="24" max="24" width="7.875" style="110" customWidth="1"/>
    <col min="25" max="25" width="8.875" style="110" customWidth="1"/>
    <col min="26" max="26" width="10" style="94" customWidth="1"/>
    <col min="27" max="27" width="7.875" style="110" customWidth="1"/>
    <col min="28" max="28" width="8.875" style="110" customWidth="1"/>
    <col min="29" max="29" width="10" style="110" bestFit="1" customWidth="1"/>
    <col min="30" max="30" width="7.375" style="110" bestFit="1" customWidth="1"/>
    <col min="31" max="31" width="6.375" style="110" customWidth="1"/>
    <col min="32" max="35" width="19.5" style="377" customWidth="1"/>
    <col min="36" max="36" width="59.125" style="96" customWidth="1"/>
    <col min="37" max="39" width="10.875" style="111"/>
    <col min="40" max="41" width="15.125" style="111" bestFit="1" customWidth="1"/>
    <col min="42" max="16384" width="10.875" style="111"/>
  </cols>
  <sheetData>
    <row r="1" spans="1:39" s="61" customFormat="1" ht="15" customHeight="1" x14ac:dyDescent="0.25">
      <c r="A1" s="661" t="s">
        <v>2</v>
      </c>
      <c r="B1" s="661" t="s">
        <v>1</v>
      </c>
      <c r="C1" s="676" t="s">
        <v>369</v>
      </c>
      <c r="D1" s="661" t="s">
        <v>7</v>
      </c>
      <c r="E1" s="667" t="s">
        <v>8</v>
      </c>
      <c r="F1" s="661" t="s">
        <v>9</v>
      </c>
      <c r="G1" s="662" t="s">
        <v>57</v>
      </c>
      <c r="H1" s="662" t="s">
        <v>383</v>
      </c>
      <c r="I1" s="670" t="s">
        <v>56</v>
      </c>
      <c r="J1" s="672" t="s">
        <v>10</v>
      </c>
      <c r="K1" s="672" t="s">
        <v>443</v>
      </c>
      <c r="L1" s="674" t="s">
        <v>65</v>
      </c>
      <c r="M1" s="661" t="s">
        <v>64</v>
      </c>
      <c r="N1" s="661" t="s">
        <v>11</v>
      </c>
      <c r="O1" s="661" t="s">
        <v>12</v>
      </c>
      <c r="P1" s="662" t="s">
        <v>13</v>
      </c>
      <c r="Q1" s="662" t="s">
        <v>14</v>
      </c>
      <c r="R1" s="662" t="s">
        <v>15</v>
      </c>
      <c r="S1" s="662" t="s">
        <v>16</v>
      </c>
      <c r="T1" s="661" t="s">
        <v>17</v>
      </c>
      <c r="U1" s="662" t="s">
        <v>385</v>
      </c>
      <c r="V1" s="668" t="s">
        <v>55</v>
      </c>
      <c r="W1" s="661" t="s">
        <v>27</v>
      </c>
      <c r="X1" s="661"/>
      <c r="Y1" s="661"/>
      <c r="Z1" s="661" t="s">
        <v>28</v>
      </c>
      <c r="AA1" s="661"/>
      <c r="AB1" s="661"/>
      <c r="AC1" s="661" t="s">
        <v>29</v>
      </c>
      <c r="AD1" s="661"/>
      <c r="AE1" s="661"/>
      <c r="AF1" s="662" t="s">
        <v>30</v>
      </c>
      <c r="AG1" s="664" t="s">
        <v>374</v>
      </c>
      <c r="AH1" s="665" t="s">
        <v>618</v>
      </c>
      <c r="AI1" s="664" t="s">
        <v>619</v>
      </c>
      <c r="AJ1" s="659" t="s">
        <v>0</v>
      </c>
      <c r="AL1" s="62" t="s">
        <v>5</v>
      </c>
      <c r="AM1" s="62" t="s">
        <v>6</v>
      </c>
    </row>
    <row r="2" spans="1:39" s="61" customFormat="1" ht="62.25" customHeight="1" thickBot="1" x14ac:dyDescent="0.3">
      <c r="A2" s="667"/>
      <c r="B2" s="667"/>
      <c r="C2" s="677"/>
      <c r="D2" s="667"/>
      <c r="E2" s="708"/>
      <c r="F2" s="667"/>
      <c r="G2" s="663"/>
      <c r="H2" s="663"/>
      <c r="I2" s="671"/>
      <c r="J2" s="673"/>
      <c r="K2" s="673"/>
      <c r="L2" s="675"/>
      <c r="M2" s="667"/>
      <c r="N2" s="667"/>
      <c r="O2" s="667"/>
      <c r="P2" s="663"/>
      <c r="Q2" s="663"/>
      <c r="R2" s="663"/>
      <c r="S2" s="663"/>
      <c r="T2" s="667"/>
      <c r="U2" s="663"/>
      <c r="V2" s="669"/>
      <c r="W2" s="372" t="s">
        <v>31</v>
      </c>
      <c r="X2" s="372" t="s">
        <v>32</v>
      </c>
      <c r="Y2" s="372" t="s">
        <v>33</v>
      </c>
      <c r="Z2" s="372" t="s">
        <v>34</v>
      </c>
      <c r="AA2" s="372" t="s">
        <v>32</v>
      </c>
      <c r="AB2" s="372" t="s">
        <v>35</v>
      </c>
      <c r="AC2" s="372" t="s">
        <v>34</v>
      </c>
      <c r="AD2" s="372" t="s">
        <v>32</v>
      </c>
      <c r="AE2" s="372" t="s">
        <v>36</v>
      </c>
      <c r="AF2" s="663"/>
      <c r="AG2" s="665"/>
      <c r="AH2" s="666"/>
      <c r="AI2" s="665"/>
      <c r="AJ2" s="660"/>
    </row>
    <row r="3" spans="1:39" s="79" customFormat="1" ht="156" customHeight="1" x14ac:dyDescent="0.25">
      <c r="A3" s="652" t="s">
        <v>271</v>
      </c>
      <c r="B3" s="125" t="s">
        <v>350</v>
      </c>
      <c r="C3" s="477">
        <v>163</v>
      </c>
      <c r="D3" s="406" t="str">
        <f>+IFERROR(INDEX(PROPONENTES!$D$4:$D$109,MATCH('EXP GEN. 41-50'!B3,PROPONENTES!$C$4:$C$109,0)),"")</f>
        <v>ECOVIAS S.A.S.</v>
      </c>
      <c r="E3" s="407" t="s">
        <v>843</v>
      </c>
      <c r="F3" s="128" t="s">
        <v>844</v>
      </c>
      <c r="G3" s="444" t="s">
        <v>5</v>
      </c>
      <c r="H3" s="444" t="s">
        <v>5</v>
      </c>
      <c r="I3" s="170">
        <v>0.5</v>
      </c>
      <c r="J3" s="132">
        <v>36752</v>
      </c>
      <c r="K3" s="132">
        <v>42109</v>
      </c>
      <c r="L3" s="133">
        <f t="shared" ref="L3:L8" si="0">IF(K3="","",YEAR(K3))</f>
        <v>2015</v>
      </c>
      <c r="M3" s="134">
        <f>+IFERROR(INDEX([13]PARÁMETROS!$B$11:$B$37,MATCH(L3,[13]PARÁMETROS!$A$11:$A$37,0)),"")</f>
        <v>644350</v>
      </c>
      <c r="N3" s="294">
        <v>5014683563</v>
      </c>
      <c r="O3" s="134" t="s">
        <v>20</v>
      </c>
      <c r="P3" s="125" t="s">
        <v>54</v>
      </c>
      <c r="Q3" s="137" t="s">
        <v>54</v>
      </c>
      <c r="R3" s="138">
        <v>1</v>
      </c>
      <c r="S3" s="134">
        <f t="shared" ref="S3:S8" si="1">IF(R3&lt;&gt;"",N3*R3,"")</f>
        <v>5014683563</v>
      </c>
      <c r="T3" s="139">
        <f t="shared" ref="T3:T8" si="2">+IFERROR(S3/M3,"")</f>
        <v>7782.546074338481</v>
      </c>
      <c r="U3" s="139">
        <f t="shared" ref="U3:U8" si="3">IFERROR(T3*I3,"")</f>
        <v>3891.2730371692405</v>
      </c>
      <c r="V3" s="200" t="s">
        <v>620</v>
      </c>
      <c r="W3" s="649"/>
      <c r="X3" s="649"/>
      <c r="Y3" s="649"/>
      <c r="Z3" s="649"/>
      <c r="AA3" s="649"/>
      <c r="AB3" s="649"/>
      <c r="AC3" s="649"/>
      <c r="AD3" s="649"/>
      <c r="AE3" s="649"/>
      <c r="AF3" s="444"/>
      <c r="AG3" s="649" t="str">
        <f>IF(U3="","",IF(SUM(U3:U8)&gt;=[13]PARÁMETROS!$H$5,"CUMPLE","NO CUMPLE"))</f>
        <v>CUMPLE</v>
      </c>
      <c r="AH3" s="649" t="str">
        <f>IF(U3="","",IF(U3+U4+U5+U6&gt;=[13]PARÁMETROS!$F$5,"CUMPLE","NO CUMPLE"))</f>
        <v>CUMPLE</v>
      </c>
      <c r="AI3" s="444" t="str">
        <f>+IF(U3="","",IF(U3&gt;=[14]PARÁMETROS!$D$5,"CUMPLE","NO CUMPLE"))</f>
        <v>CUMPLE</v>
      </c>
      <c r="AJ3" s="142"/>
      <c r="AK3" s="112"/>
    </row>
    <row r="4" spans="1:39" s="79" customFormat="1" ht="72.75" customHeight="1" x14ac:dyDescent="0.25">
      <c r="A4" s="653"/>
      <c r="B4" s="448" t="s">
        <v>350</v>
      </c>
      <c r="C4" s="475">
        <v>174</v>
      </c>
      <c r="D4" s="65" t="str">
        <f>+IFERROR(INDEX(PROPONENTES!$D$4:$D$109,MATCH('EXP GEN. 41-50'!B4,PROPONENTES!$C$4:$C$109,0)),"")</f>
        <v>ECOVIAS S.A.S.</v>
      </c>
      <c r="E4" s="66" t="s">
        <v>845</v>
      </c>
      <c r="F4" s="66" t="s">
        <v>846</v>
      </c>
      <c r="G4" s="443" t="s">
        <v>5</v>
      </c>
      <c r="H4" s="443" t="s">
        <v>5</v>
      </c>
      <c r="I4" s="80">
        <v>0.5</v>
      </c>
      <c r="J4" s="70">
        <v>40099</v>
      </c>
      <c r="K4" s="70">
        <v>40558</v>
      </c>
      <c r="L4" s="71">
        <f t="shared" si="0"/>
        <v>2011</v>
      </c>
      <c r="M4" s="72">
        <f>+IFERROR(INDEX([13]PARÁMETROS!$B$11:$B$37,MATCH(L4,[13]PARÁMETROS!$A$11:$A$37,0)),"")</f>
        <v>535600</v>
      </c>
      <c r="N4" s="286">
        <v>4561047955</v>
      </c>
      <c r="O4" s="72" t="s">
        <v>20</v>
      </c>
      <c r="P4" s="448" t="s">
        <v>54</v>
      </c>
      <c r="Q4" s="75" t="s">
        <v>54</v>
      </c>
      <c r="R4" s="76">
        <v>1</v>
      </c>
      <c r="S4" s="72">
        <f t="shared" si="1"/>
        <v>4561047955</v>
      </c>
      <c r="T4" s="60">
        <f t="shared" si="2"/>
        <v>8515.7728808812553</v>
      </c>
      <c r="U4" s="60">
        <f t="shared" si="3"/>
        <v>4257.8864404406277</v>
      </c>
      <c r="V4" s="201">
        <v>17</v>
      </c>
      <c r="W4" s="650" t="s">
        <v>5</v>
      </c>
      <c r="X4" s="650"/>
      <c r="Y4" s="650"/>
      <c r="Z4" s="650" t="s">
        <v>5</v>
      </c>
      <c r="AA4" s="650"/>
      <c r="AB4" s="650"/>
      <c r="AC4" s="650" t="s">
        <v>5</v>
      </c>
      <c r="AD4" s="650"/>
      <c r="AE4" s="650"/>
      <c r="AF4" s="443" t="s">
        <v>5</v>
      </c>
      <c r="AG4" s="650"/>
      <c r="AH4" s="650"/>
      <c r="AI4" s="443" t="str">
        <f>+IF(U4="","",IF(U4&gt;=[14]PARÁMETROS!$D$5,"CUMPLE","NO CUMPLE"))</f>
        <v>CUMPLE</v>
      </c>
      <c r="AJ4" s="143"/>
      <c r="AK4" s="112"/>
    </row>
    <row r="5" spans="1:39" s="79" customFormat="1" ht="136.5" customHeight="1" x14ac:dyDescent="0.25">
      <c r="A5" s="653"/>
      <c r="B5" s="448" t="s">
        <v>350</v>
      </c>
      <c r="C5" s="475">
        <v>193</v>
      </c>
      <c r="D5" s="65" t="str">
        <f>+IFERROR(INDEX(PROPONENTES!$D$4:$D$109,MATCH('EXP GEN. 41-50'!B5,PROPONENTES!$C$4:$C$109,0)),"")</f>
        <v>ECOVIAS S.A.S.</v>
      </c>
      <c r="E5" s="66" t="s">
        <v>847</v>
      </c>
      <c r="F5" s="66" t="s">
        <v>848</v>
      </c>
      <c r="G5" s="443" t="s">
        <v>5</v>
      </c>
      <c r="H5" s="443" t="s">
        <v>5</v>
      </c>
      <c r="I5" s="80">
        <v>0.75</v>
      </c>
      <c r="J5" s="70">
        <v>38733</v>
      </c>
      <c r="K5" s="70">
        <v>39950</v>
      </c>
      <c r="L5" s="71">
        <f t="shared" si="0"/>
        <v>2009</v>
      </c>
      <c r="M5" s="72">
        <f>+IFERROR(INDEX([13]PARÁMETROS!$B$11:$B$37,MATCH(L5,[13]PARÁMETROS!$A$11:$A$37,0)),"")</f>
        <v>496900</v>
      </c>
      <c r="N5" s="286">
        <v>1837600645</v>
      </c>
      <c r="O5" s="72" t="s">
        <v>20</v>
      </c>
      <c r="P5" s="448" t="s">
        <v>54</v>
      </c>
      <c r="Q5" s="75" t="s">
        <v>54</v>
      </c>
      <c r="R5" s="76">
        <v>1</v>
      </c>
      <c r="S5" s="72">
        <f t="shared" si="1"/>
        <v>1837600645</v>
      </c>
      <c r="T5" s="60">
        <f t="shared" si="2"/>
        <v>3698.1296941034411</v>
      </c>
      <c r="U5" s="60">
        <f t="shared" si="3"/>
        <v>2773.5972705775807</v>
      </c>
      <c r="V5" s="201">
        <v>28</v>
      </c>
      <c r="W5" s="650" t="s">
        <v>5</v>
      </c>
      <c r="X5" s="650"/>
      <c r="Y5" s="650"/>
      <c r="Z5" s="650" t="s">
        <v>5</v>
      </c>
      <c r="AA5" s="650"/>
      <c r="AB5" s="650"/>
      <c r="AC5" s="650" t="s">
        <v>5</v>
      </c>
      <c r="AD5" s="650"/>
      <c r="AE5" s="650"/>
      <c r="AF5" s="443" t="s">
        <v>5</v>
      </c>
      <c r="AG5" s="650"/>
      <c r="AH5" s="650"/>
      <c r="AI5" s="443" t="str">
        <f>+IF(U5="","",IF(U5&gt;=[14]PARÁMETROS!$D$5,"CUMPLE","NO CUMPLE"))</f>
        <v>CUMPLE</v>
      </c>
      <c r="AJ5" s="144"/>
      <c r="AK5" s="112"/>
    </row>
    <row r="6" spans="1:39" s="79" customFormat="1" ht="65.099999999999994" customHeight="1" x14ac:dyDescent="0.25">
      <c r="A6" s="653"/>
      <c r="B6" s="448" t="s">
        <v>350</v>
      </c>
      <c r="C6" s="475">
        <v>200</v>
      </c>
      <c r="D6" s="65" t="str">
        <f>+IFERROR(INDEX(PROPONENTES!$D$4:$D$109,MATCH('EXP GEN. 41-50'!B6,PROPONENTES!$C$4:$C$109,0)),"")</f>
        <v>ECOVIAS S.A.S.</v>
      </c>
      <c r="E6" s="66" t="s">
        <v>849</v>
      </c>
      <c r="F6" s="66" t="s">
        <v>850</v>
      </c>
      <c r="G6" s="443" t="s">
        <v>5</v>
      </c>
      <c r="H6" s="443" t="s">
        <v>5</v>
      </c>
      <c r="I6" s="80">
        <v>1</v>
      </c>
      <c r="J6" s="70">
        <v>40779</v>
      </c>
      <c r="K6" s="70">
        <v>41327</v>
      </c>
      <c r="L6" s="71">
        <f t="shared" si="0"/>
        <v>2013</v>
      </c>
      <c r="M6" s="72">
        <f>+IFERROR(INDEX([13]PARÁMETROS!$B$11:$B$37,MATCH(L6,[13]PARÁMETROS!$A$11:$A$37,0)),"")</f>
        <v>589500</v>
      </c>
      <c r="N6" s="286">
        <v>1484896904</v>
      </c>
      <c r="O6" s="72" t="s">
        <v>20</v>
      </c>
      <c r="P6" s="448" t="s">
        <v>54</v>
      </c>
      <c r="Q6" s="75" t="s">
        <v>54</v>
      </c>
      <c r="R6" s="76">
        <v>1</v>
      </c>
      <c r="S6" s="72">
        <f t="shared" si="1"/>
        <v>1484896904</v>
      </c>
      <c r="T6" s="60">
        <f t="shared" si="2"/>
        <v>2518.9090822731127</v>
      </c>
      <c r="U6" s="60">
        <f t="shared" si="3"/>
        <v>2518.9090822731127</v>
      </c>
      <c r="V6" s="201">
        <v>12</v>
      </c>
      <c r="W6" s="650" t="s">
        <v>5</v>
      </c>
      <c r="X6" s="650"/>
      <c r="Y6" s="650"/>
      <c r="Z6" s="650" t="s">
        <v>5</v>
      </c>
      <c r="AA6" s="650"/>
      <c r="AB6" s="650"/>
      <c r="AC6" s="650" t="s">
        <v>5</v>
      </c>
      <c r="AD6" s="650"/>
      <c r="AE6" s="650"/>
      <c r="AF6" s="443" t="s">
        <v>5</v>
      </c>
      <c r="AG6" s="650"/>
      <c r="AH6" s="650"/>
      <c r="AI6" s="443" t="str">
        <f>+IF(U6="","",IF(U6&gt;=[14]PARÁMETROS!$D$5,"CUMPLE","NO CUMPLE"))</f>
        <v>CUMPLE</v>
      </c>
      <c r="AJ6" s="144"/>
      <c r="AK6" s="112"/>
    </row>
    <row r="7" spans="1:39" s="79" customFormat="1" ht="65.099999999999994" customHeight="1" x14ac:dyDescent="0.25">
      <c r="A7" s="653"/>
      <c r="B7" s="448" t="s">
        <v>348</v>
      </c>
      <c r="C7" s="475">
        <v>174</v>
      </c>
      <c r="D7" s="65" t="str">
        <f>+IFERROR(INDEX(PROPONENTES!$D$4:$D$109,MATCH('EXP GEN. 41-50'!B7,PROPONENTES!$C$4:$C$109,0)),"")</f>
        <v>BATEMAN INGENIERIA S.A.</v>
      </c>
      <c r="E7" s="66" t="s">
        <v>845</v>
      </c>
      <c r="F7" s="66" t="s">
        <v>851</v>
      </c>
      <c r="G7" s="443" t="s">
        <v>5</v>
      </c>
      <c r="H7" s="443" t="s">
        <v>5</v>
      </c>
      <c r="I7" s="80">
        <v>0.5</v>
      </c>
      <c r="J7" s="70">
        <v>40099</v>
      </c>
      <c r="K7" s="70">
        <v>40558</v>
      </c>
      <c r="L7" s="71">
        <f t="shared" si="0"/>
        <v>2011</v>
      </c>
      <c r="M7" s="72">
        <f>+IFERROR(INDEX([13]PARÁMETROS!$B$11:$B$37,MATCH(L7,[13]PARÁMETROS!$A$11:$A$37,0)),"")</f>
        <v>535600</v>
      </c>
      <c r="N7" s="286">
        <v>4561047955</v>
      </c>
      <c r="O7" s="72" t="s">
        <v>20</v>
      </c>
      <c r="P7" s="448" t="s">
        <v>54</v>
      </c>
      <c r="Q7" s="75" t="s">
        <v>54</v>
      </c>
      <c r="R7" s="76">
        <v>1</v>
      </c>
      <c r="S7" s="72">
        <f t="shared" si="1"/>
        <v>4561047955</v>
      </c>
      <c r="T7" s="60">
        <f t="shared" si="2"/>
        <v>8515.7728808812553</v>
      </c>
      <c r="U7" s="60">
        <f t="shared" si="3"/>
        <v>4257.8864404406277</v>
      </c>
      <c r="V7" s="201">
        <v>20</v>
      </c>
      <c r="W7" s="650" t="s">
        <v>5</v>
      </c>
      <c r="X7" s="650"/>
      <c r="Y7" s="650"/>
      <c r="Z7" s="650" t="s">
        <v>5</v>
      </c>
      <c r="AA7" s="650"/>
      <c r="AB7" s="650"/>
      <c r="AC7" s="650" t="s">
        <v>5</v>
      </c>
      <c r="AD7" s="650"/>
      <c r="AE7" s="650"/>
      <c r="AF7" s="443" t="s">
        <v>5</v>
      </c>
      <c r="AG7" s="650"/>
      <c r="AH7" s="650"/>
      <c r="AI7" s="443" t="str">
        <f>+IF(U7="","",IF(U7&gt;=[14]PARÁMETROS!$D$5,"CUMPLE","NO CUMPLE"))</f>
        <v>CUMPLE</v>
      </c>
      <c r="AJ7" s="144"/>
      <c r="AK7" s="112"/>
    </row>
    <row r="8" spans="1:39" s="79" customFormat="1" ht="65.099999999999994" customHeight="1" thickBot="1" x14ac:dyDescent="0.3">
      <c r="A8" s="654"/>
      <c r="B8" s="145" t="s">
        <v>348</v>
      </c>
      <c r="C8" s="476">
        <v>216</v>
      </c>
      <c r="D8" s="146" t="str">
        <f>+IFERROR(INDEX(PROPONENTES!$D$4:$D$109,MATCH('EXP GEN. 41-50'!B8,PROPONENTES!$C$4:$C$109,0)),"")</f>
        <v>BATEMAN INGENIERIA S.A.</v>
      </c>
      <c r="E8" s="147" t="s">
        <v>533</v>
      </c>
      <c r="F8" s="147" t="s">
        <v>852</v>
      </c>
      <c r="G8" s="445" t="s">
        <v>5</v>
      </c>
      <c r="H8" s="445" t="s">
        <v>5</v>
      </c>
      <c r="I8" s="172">
        <v>0.75</v>
      </c>
      <c r="J8" s="151">
        <v>38343</v>
      </c>
      <c r="K8" s="151">
        <v>39804</v>
      </c>
      <c r="L8" s="152">
        <f t="shared" si="0"/>
        <v>2008</v>
      </c>
      <c r="M8" s="153">
        <f>+IFERROR(INDEX([13]PARÁMETROS!$B$11:$B$37,MATCH(L8,[13]PARÁMETROS!$A$11:$A$37,0)),"")</f>
        <v>461500</v>
      </c>
      <c r="N8" s="295">
        <v>2538978678</v>
      </c>
      <c r="O8" s="153" t="s">
        <v>20</v>
      </c>
      <c r="P8" s="145" t="s">
        <v>54</v>
      </c>
      <c r="Q8" s="156" t="s">
        <v>54</v>
      </c>
      <c r="R8" s="157">
        <v>1</v>
      </c>
      <c r="S8" s="153">
        <f t="shared" si="1"/>
        <v>2538978678</v>
      </c>
      <c r="T8" s="158">
        <f t="shared" si="2"/>
        <v>5501.5789339111589</v>
      </c>
      <c r="U8" s="158">
        <f t="shared" si="3"/>
        <v>4126.1842004333694</v>
      </c>
      <c r="V8" s="190">
        <v>66</v>
      </c>
      <c r="W8" s="651" t="s">
        <v>5</v>
      </c>
      <c r="X8" s="651"/>
      <c r="Y8" s="651"/>
      <c r="Z8" s="651" t="s">
        <v>5</v>
      </c>
      <c r="AA8" s="651"/>
      <c r="AB8" s="651"/>
      <c r="AC8" s="651" t="s">
        <v>5</v>
      </c>
      <c r="AD8" s="651"/>
      <c r="AE8" s="651"/>
      <c r="AF8" s="445" t="s">
        <v>5</v>
      </c>
      <c r="AG8" s="651"/>
      <c r="AH8" s="651"/>
      <c r="AI8" s="445" t="str">
        <f>+IF(U8="","",IF(U8&gt;=[14]PARÁMETROS!$D$5,"CUMPLE","NO CUMPLE"))</f>
        <v>CUMPLE</v>
      </c>
      <c r="AJ8" s="160"/>
      <c r="AK8" s="112"/>
    </row>
    <row r="9" spans="1:39" s="79" customFormat="1" ht="71.25" x14ac:dyDescent="0.25">
      <c r="A9" s="683" t="s">
        <v>272</v>
      </c>
      <c r="B9" s="115" t="s">
        <v>351</v>
      </c>
      <c r="C9" s="478">
        <v>164</v>
      </c>
      <c r="D9" s="114" t="str">
        <f>+IFERROR(INDEX([14]CONSOLIDADO!$D$4:$D$108,MATCH('EXP GEN. 41-50'!B9,[14]CONSOLIDADO!$C$4:$C$108,0)),"")</f>
        <v>3 B PROYECTOS S.A.S.</v>
      </c>
      <c r="E9" s="115" t="s">
        <v>373</v>
      </c>
      <c r="F9" s="115" t="s">
        <v>371</v>
      </c>
      <c r="G9" s="446" t="s">
        <v>5</v>
      </c>
      <c r="H9" s="446" t="s">
        <v>5</v>
      </c>
      <c r="I9" s="117">
        <v>0.5</v>
      </c>
      <c r="J9" s="118">
        <v>39694</v>
      </c>
      <c r="K9" s="118">
        <v>40283</v>
      </c>
      <c r="L9" s="168">
        <f t="shared" ref="L9" si="4">IF(K9="","",YEAR(K9))</f>
        <v>2010</v>
      </c>
      <c r="M9" s="119">
        <f>+IFERROR(INDEX([14]PARÁMETROS!$B$11:$B$37,MATCH(L9,[14]PARÁMETROS!$A$11:$A$37,0)),"")</f>
        <v>515000</v>
      </c>
      <c r="N9" s="120">
        <v>3136622318</v>
      </c>
      <c r="O9" s="265" t="s">
        <v>20</v>
      </c>
      <c r="P9" s="113" t="s">
        <v>54</v>
      </c>
      <c r="Q9" s="121" t="s">
        <v>54</v>
      </c>
      <c r="R9" s="122">
        <v>1</v>
      </c>
      <c r="S9" s="119">
        <f t="shared" ref="S9" si="5">IF(R9&lt;&gt;"",N9*R9,"")</f>
        <v>3136622318</v>
      </c>
      <c r="T9" s="123">
        <f t="shared" ref="T9" si="6">+IFERROR(S9/M9,"")</f>
        <v>6090.5287728155336</v>
      </c>
      <c r="U9" s="123">
        <f t="shared" ref="U9" si="7">IFERROR(T9*I9,"")</f>
        <v>3045.2643864077668</v>
      </c>
      <c r="V9" s="479">
        <v>2</v>
      </c>
      <c r="W9" s="682" t="s">
        <v>5</v>
      </c>
      <c r="X9" s="682"/>
      <c r="Y9" s="682"/>
      <c r="Z9" s="682" t="s">
        <v>5</v>
      </c>
      <c r="AA9" s="682"/>
      <c r="AB9" s="682"/>
      <c r="AC9" s="682" t="s">
        <v>5</v>
      </c>
      <c r="AD9" s="682"/>
      <c r="AE9" s="682"/>
      <c r="AF9" s="446" t="s">
        <v>5</v>
      </c>
      <c r="AG9" s="682" t="str">
        <f>IF(U9="","",IF(SUM(U9:U12)&gt;=[14]PARÁMETROS!$H$5,"CUMPLE","NO CUMPLE"))</f>
        <v>CUMPLE</v>
      </c>
      <c r="AH9" s="682" t="s">
        <v>620</v>
      </c>
      <c r="AI9" s="446" t="str">
        <f>+IF(U9="","",IF(U9&gt;=[14]PARÁMETROS!$D$5,"CUMPLE","NO CUMPLE"))</f>
        <v>CUMPLE</v>
      </c>
      <c r="AJ9" s="175" t="s">
        <v>690</v>
      </c>
      <c r="AK9" s="112"/>
    </row>
    <row r="10" spans="1:39" s="79" customFormat="1" ht="57" x14ac:dyDescent="0.25">
      <c r="A10" s="653"/>
      <c r="B10" s="66" t="s">
        <v>351</v>
      </c>
      <c r="C10" s="64">
        <v>170</v>
      </c>
      <c r="D10" s="65" t="str">
        <f>+D9</f>
        <v>3 B PROYECTOS S.A.S.</v>
      </c>
      <c r="E10" s="66" t="s">
        <v>691</v>
      </c>
      <c r="F10" s="66" t="s">
        <v>692</v>
      </c>
      <c r="G10" s="369" t="s">
        <v>5</v>
      </c>
      <c r="H10" s="369" t="s">
        <v>5</v>
      </c>
      <c r="I10" s="80">
        <v>1</v>
      </c>
      <c r="J10" s="70">
        <v>38929</v>
      </c>
      <c r="K10" s="70">
        <v>39553</v>
      </c>
      <c r="L10" s="71">
        <f t="shared" ref="L10:L21" si="8">IF(K10="","",YEAR(K10))</f>
        <v>2008</v>
      </c>
      <c r="M10" s="72">
        <f>+IFERROR(INDEX([14]PARÁMETROS!$B$11:$B$37,MATCH(L10,[14]PARÁMETROS!$A$11:$A$37,0)),"")</f>
        <v>461500</v>
      </c>
      <c r="N10" s="81">
        <v>3010928835</v>
      </c>
      <c r="O10" s="72" t="s">
        <v>20</v>
      </c>
      <c r="P10" s="377" t="s">
        <v>54</v>
      </c>
      <c r="Q10" s="75" t="s">
        <v>54</v>
      </c>
      <c r="R10" s="76">
        <v>1</v>
      </c>
      <c r="S10" s="72">
        <f t="shared" ref="S10:S53" si="9">IF(R10&lt;&gt;"",N10*R10,"")</f>
        <v>3010928835</v>
      </c>
      <c r="T10" s="60">
        <f t="shared" ref="T10:T53" si="10">+IFERROR(S10/M10,"")</f>
        <v>6524.2228277356444</v>
      </c>
      <c r="U10" s="60">
        <f t="shared" ref="U10:U53" si="11">IFERROR(T10*I10,"")</f>
        <v>6524.2228277356444</v>
      </c>
      <c r="V10" s="77">
        <v>43</v>
      </c>
      <c r="W10" s="650" t="s">
        <v>5</v>
      </c>
      <c r="X10" s="650"/>
      <c r="Y10" s="650"/>
      <c r="Z10" s="650" t="s">
        <v>5</v>
      </c>
      <c r="AA10" s="650"/>
      <c r="AB10" s="650"/>
      <c r="AC10" s="650" t="s">
        <v>5</v>
      </c>
      <c r="AD10" s="650"/>
      <c r="AE10" s="650"/>
      <c r="AF10" s="369" t="s">
        <v>5</v>
      </c>
      <c r="AG10" s="650"/>
      <c r="AH10" s="650"/>
      <c r="AI10" s="369" t="str">
        <f>+IF(U10="","",IF(U10&gt;=[14]PARÁMETROS!$D$5,"CUMPLE","NO CUMPLE"))</f>
        <v>CUMPLE</v>
      </c>
      <c r="AJ10" s="143" t="s">
        <v>690</v>
      </c>
      <c r="AK10" s="112"/>
    </row>
    <row r="11" spans="1:39" s="79" customFormat="1" ht="128.25" x14ac:dyDescent="0.25">
      <c r="A11" s="653"/>
      <c r="B11" s="66" t="s">
        <v>351</v>
      </c>
      <c r="C11" s="64">
        <v>173</v>
      </c>
      <c r="D11" s="65" t="str">
        <f>+D10</f>
        <v>3 B PROYECTOS S.A.S.</v>
      </c>
      <c r="E11" s="66" t="s">
        <v>22</v>
      </c>
      <c r="F11" s="67" t="s">
        <v>693</v>
      </c>
      <c r="G11" s="369" t="s">
        <v>5</v>
      </c>
      <c r="H11" s="369" t="s">
        <v>5</v>
      </c>
      <c r="I11" s="378">
        <v>0.83499999999999996</v>
      </c>
      <c r="J11" s="70">
        <v>38337</v>
      </c>
      <c r="K11" s="70">
        <v>41440</v>
      </c>
      <c r="L11" s="71">
        <f t="shared" si="8"/>
        <v>2013</v>
      </c>
      <c r="M11" s="72">
        <f>+IFERROR(INDEX([14]PARÁMETROS!$B$11:$B$37,MATCH(L11,[14]PARÁMETROS!$A$11:$A$37,0)),"")</f>
        <v>589500</v>
      </c>
      <c r="N11" s="73">
        <v>9865877743</v>
      </c>
      <c r="O11" s="74" t="s">
        <v>20</v>
      </c>
      <c r="P11" s="377" t="s">
        <v>54</v>
      </c>
      <c r="Q11" s="75" t="s">
        <v>54</v>
      </c>
      <c r="R11" s="76">
        <v>1</v>
      </c>
      <c r="S11" s="72">
        <f t="shared" si="9"/>
        <v>9865877743</v>
      </c>
      <c r="T11" s="60">
        <f t="shared" si="10"/>
        <v>16736.009742154369</v>
      </c>
      <c r="U11" s="60">
        <f t="shared" si="11"/>
        <v>13974.568134698897</v>
      </c>
      <c r="V11" s="77">
        <v>29</v>
      </c>
      <c r="W11" s="650" t="s">
        <v>5</v>
      </c>
      <c r="X11" s="650"/>
      <c r="Y11" s="650"/>
      <c r="Z11" s="650" t="s">
        <v>5</v>
      </c>
      <c r="AA11" s="650"/>
      <c r="AB11" s="650"/>
      <c r="AC11" s="650" t="s">
        <v>5</v>
      </c>
      <c r="AD11" s="650"/>
      <c r="AE11" s="650"/>
      <c r="AF11" s="369" t="s">
        <v>5</v>
      </c>
      <c r="AG11" s="650"/>
      <c r="AH11" s="650"/>
      <c r="AI11" s="369" t="str">
        <f>+IF(U11="","",IF(U11&gt;=[14]PARÁMETROS!$D$5,"CUMPLE","NO CUMPLE"))</f>
        <v>CUMPLE</v>
      </c>
      <c r="AJ11" s="144" t="s">
        <v>690</v>
      </c>
      <c r="AK11" s="112"/>
    </row>
    <row r="12" spans="1:39" s="79" customFormat="1" ht="72" thickBot="1" x14ac:dyDescent="0.3">
      <c r="A12" s="654"/>
      <c r="B12" s="147" t="s">
        <v>351</v>
      </c>
      <c r="C12" s="177">
        <v>176</v>
      </c>
      <c r="D12" s="146" t="str">
        <f>+D11</f>
        <v>3 B PROYECTOS S.A.S.</v>
      </c>
      <c r="E12" s="147" t="s">
        <v>23</v>
      </c>
      <c r="F12" s="148" t="s">
        <v>694</v>
      </c>
      <c r="G12" s="370" t="s">
        <v>5</v>
      </c>
      <c r="H12" s="370" t="s">
        <v>5</v>
      </c>
      <c r="I12" s="150">
        <v>1</v>
      </c>
      <c r="J12" s="151">
        <v>39148</v>
      </c>
      <c r="K12" s="151">
        <v>40072</v>
      </c>
      <c r="L12" s="152">
        <f t="shared" si="8"/>
        <v>2009</v>
      </c>
      <c r="M12" s="153">
        <f>+IFERROR(INDEX([14]PARÁMETROS!$B$11:$B$37,MATCH(L12,[14]PARÁMETROS!$A$11:$A$37,0)),"")</f>
        <v>496900</v>
      </c>
      <c r="N12" s="154">
        <f>1690448539+901877829</f>
        <v>2592326368</v>
      </c>
      <c r="O12" s="155" t="s">
        <v>20</v>
      </c>
      <c r="P12" s="145" t="s">
        <v>54</v>
      </c>
      <c r="Q12" s="156" t="s">
        <v>54</v>
      </c>
      <c r="R12" s="157">
        <v>1</v>
      </c>
      <c r="S12" s="153">
        <f t="shared" si="9"/>
        <v>2592326368</v>
      </c>
      <c r="T12" s="158">
        <f t="shared" si="10"/>
        <v>5216.9981243711009</v>
      </c>
      <c r="U12" s="158">
        <f t="shared" si="11"/>
        <v>5216.9981243711009</v>
      </c>
      <c r="V12" s="329">
        <v>45</v>
      </c>
      <c r="W12" s="651" t="s">
        <v>5</v>
      </c>
      <c r="X12" s="651"/>
      <c r="Y12" s="651"/>
      <c r="Z12" s="651" t="s">
        <v>5</v>
      </c>
      <c r="AA12" s="651"/>
      <c r="AB12" s="651"/>
      <c r="AC12" s="651" t="s">
        <v>5</v>
      </c>
      <c r="AD12" s="651"/>
      <c r="AE12" s="651"/>
      <c r="AF12" s="370" t="s">
        <v>5</v>
      </c>
      <c r="AG12" s="651"/>
      <c r="AH12" s="651"/>
      <c r="AI12" s="370" t="str">
        <f>+IF(U12="","",IF(U12&gt;=[14]PARÁMETROS!$D$5,"CUMPLE","NO CUMPLE"))</f>
        <v>CUMPLE</v>
      </c>
      <c r="AJ12" s="178" t="s">
        <v>690</v>
      </c>
      <c r="AK12" s="112"/>
    </row>
    <row r="13" spans="1:39" s="79" customFormat="1" ht="57" x14ac:dyDescent="0.25">
      <c r="A13" s="652" t="s">
        <v>273</v>
      </c>
      <c r="B13" s="125" t="s">
        <v>353</v>
      </c>
      <c r="C13" s="408">
        <v>102</v>
      </c>
      <c r="D13" s="127" t="str">
        <f>+IFERROR(INDEX([14]CONSOLIDADO!$D$4:$D$108,MATCH('EXP GEN. 41-50'!B13,[14]CONSOLIDADO!$C$4:$C$108,0)),"")</f>
        <v>CANO JIMENEZ ESTUDIOS S.A.</v>
      </c>
      <c r="E13" s="128" t="s">
        <v>26</v>
      </c>
      <c r="F13" s="129" t="s">
        <v>695</v>
      </c>
      <c r="G13" s="368" t="s">
        <v>5</v>
      </c>
      <c r="H13" s="368" t="s">
        <v>5</v>
      </c>
      <c r="I13" s="131">
        <v>1</v>
      </c>
      <c r="J13" s="132">
        <v>38622</v>
      </c>
      <c r="K13" s="132">
        <v>39930</v>
      </c>
      <c r="L13" s="133">
        <f t="shared" si="8"/>
        <v>2009</v>
      </c>
      <c r="M13" s="134">
        <f>+IFERROR(INDEX([14]PARÁMETROS!$B$11:$B$37,MATCH(L13,[14]PARÁMETROS!$A$11:$A$37,0)),"")</f>
        <v>496900</v>
      </c>
      <c r="N13" s="135">
        <v>7034470356</v>
      </c>
      <c r="O13" s="136" t="s">
        <v>20</v>
      </c>
      <c r="P13" s="125" t="s">
        <v>54</v>
      </c>
      <c r="Q13" s="137" t="s">
        <v>54</v>
      </c>
      <c r="R13" s="138">
        <v>1</v>
      </c>
      <c r="S13" s="134">
        <f t="shared" si="9"/>
        <v>7034470356</v>
      </c>
      <c r="T13" s="139">
        <f t="shared" si="10"/>
        <v>14156.712328436304</v>
      </c>
      <c r="U13" s="139">
        <f t="shared" si="11"/>
        <v>14156.712328436304</v>
      </c>
      <c r="V13" s="139">
        <v>1</v>
      </c>
      <c r="W13" s="649" t="s">
        <v>5</v>
      </c>
      <c r="X13" s="649"/>
      <c r="Y13" s="649"/>
      <c r="Z13" s="649" t="s">
        <v>5</v>
      </c>
      <c r="AA13" s="649"/>
      <c r="AB13" s="649"/>
      <c r="AC13" s="649" t="s">
        <v>5</v>
      </c>
      <c r="AD13" s="649"/>
      <c r="AE13" s="649"/>
      <c r="AF13" s="368" t="s">
        <v>5</v>
      </c>
      <c r="AG13" s="649" t="str">
        <f>IF(U13="","",IF(SUM(U13:U16)&gt;=[14]PARÁMETROS!$H$5,"CUMPLE","NO CUMPLE"))</f>
        <v>CUMPLE</v>
      </c>
      <c r="AH13" s="649" t="str">
        <f>IF(U13="","",IF((U13+U14+U15)&gt;=[14]PARÁMETROS!$F$5,"CUMPLE","NO CUMPLE"))</f>
        <v>CUMPLE</v>
      </c>
      <c r="AI13" s="368" t="str">
        <f>+IF(U13="","",IF(U13&gt;=[14]PARÁMETROS!$D$5,"CUMPLE","NO CUMPLE"))</f>
        <v>CUMPLE</v>
      </c>
      <c r="AJ13" s="142"/>
      <c r="AK13" s="112"/>
    </row>
    <row r="14" spans="1:39" s="79" customFormat="1" ht="57" x14ac:dyDescent="0.25">
      <c r="A14" s="653"/>
      <c r="B14" s="377" t="s">
        <v>353</v>
      </c>
      <c r="C14" s="409">
        <v>110</v>
      </c>
      <c r="D14" s="65" t="str">
        <f>+IFERROR(INDEX([14]CONSOLIDADO!$D$4:$D$108,MATCH('EXP GEN. 41-50'!B14,[14]CONSOLIDADO!$C$4:$C$108,0)),"")</f>
        <v>CANO JIMENEZ ESTUDIOS S.A.</v>
      </c>
      <c r="E14" s="66" t="s">
        <v>26</v>
      </c>
      <c r="F14" s="67" t="s">
        <v>696</v>
      </c>
      <c r="G14" s="369" t="s">
        <v>5</v>
      </c>
      <c r="H14" s="369" t="s">
        <v>5</v>
      </c>
      <c r="I14" s="69">
        <v>1</v>
      </c>
      <c r="J14" s="70">
        <v>39909</v>
      </c>
      <c r="K14" s="70">
        <v>41186</v>
      </c>
      <c r="L14" s="71">
        <f t="shared" si="8"/>
        <v>2012</v>
      </c>
      <c r="M14" s="72">
        <f>+IFERROR(INDEX([14]PARÁMETROS!$B$11:$B$37,MATCH(L14,[14]PARÁMETROS!$A$11:$A$37,0)),"")</f>
        <v>566700</v>
      </c>
      <c r="N14" s="73">
        <v>10196799946</v>
      </c>
      <c r="O14" s="74" t="s">
        <v>20</v>
      </c>
      <c r="P14" s="377" t="s">
        <v>54</v>
      </c>
      <c r="Q14" s="75" t="s">
        <v>54</v>
      </c>
      <c r="R14" s="76">
        <v>1</v>
      </c>
      <c r="S14" s="72">
        <f t="shared" si="9"/>
        <v>10196799946</v>
      </c>
      <c r="T14" s="60">
        <f t="shared" si="10"/>
        <v>17993.294416799014</v>
      </c>
      <c r="U14" s="60">
        <f t="shared" si="11"/>
        <v>17993.294416799014</v>
      </c>
      <c r="V14" s="60">
        <v>3</v>
      </c>
      <c r="W14" s="650" t="s">
        <v>5</v>
      </c>
      <c r="X14" s="650"/>
      <c r="Y14" s="650"/>
      <c r="Z14" s="650" t="s">
        <v>5</v>
      </c>
      <c r="AA14" s="650"/>
      <c r="AB14" s="650"/>
      <c r="AC14" s="650" t="s">
        <v>5</v>
      </c>
      <c r="AD14" s="650"/>
      <c r="AE14" s="650"/>
      <c r="AF14" s="369" t="s">
        <v>5</v>
      </c>
      <c r="AG14" s="650"/>
      <c r="AH14" s="650"/>
      <c r="AI14" s="369" t="str">
        <f>+IF(U14="","",IF(U14&gt;=[14]PARÁMETROS!$D$5,"CUMPLE","NO CUMPLE"))</f>
        <v>CUMPLE</v>
      </c>
      <c r="AJ14" s="143"/>
      <c r="AK14" s="112"/>
    </row>
    <row r="15" spans="1:39" s="79" customFormat="1" ht="57" x14ac:dyDescent="0.25">
      <c r="A15" s="653"/>
      <c r="B15" s="377" t="s">
        <v>353</v>
      </c>
      <c r="C15" s="409">
        <v>117</v>
      </c>
      <c r="D15" s="65" t="str">
        <f>+IFERROR(INDEX([14]CONSOLIDADO!$D$4:$D$108,MATCH('EXP GEN. 41-50'!B15,[14]CONSOLIDADO!$C$4:$C$108,0)),"")</f>
        <v>CANO JIMENEZ ESTUDIOS S.A.</v>
      </c>
      <c r="E15" s="66" t="s">
        <v>26</v>
      </c>
      <c r="F15" s="67" t="s">
        <v>697</v>
      </c>
      <c r="G15" s="369" t="s">
        <v>5</v>
      </c>
      <c r="H15" s="369" t="s">
        <v>5</v>
      </c>
      <c r="I15" s="69">
        <v>1</v>
      </c>
      <c r="J15" s="70">
        <v>39542</v>
      </c>
      <c r="K15" s="70">
        <v>40669</v>
      </c>
      <c r="L15" s="71">
        <f t="shared" si="8"/>
        <v>2011</v>
      </c>
      <c r="M15" s="72">
        <f>+IFERROR(INDEX([14]PARÁMETROS!$B$11:$B$37,MATCH(L15,[14]PARÁMETROS!$A$11:$A$37,0)),"")</f>
        <v>535600</v>
      </c>
      <c r="N15" s="73">
        <v>4384894733</v>
      </c>
      <c r="O15" s="74" t="s">
        <v>20</v>
      </c>
      <c r="P15" s="377" t="s">
        <v>54</v>
      </c>
      <c r="Q15" s="75" t="s">
        <v>54</v>
      </c>
      <c r="R15" s="76">
        <v>1</v>
      </c>
      <c r="S15" s="72">
        <f t="shared" si="9"/>
        <v>4384894733</v>
      </c>
      <c r="T15" s="60">
        <f t="shared" si="10"/>
        <v>8186.8833700522782</v>
      </c>
      <c r="U15" s="60">
        <f t="shared" si="11"/>
        <v>8186.8833700522782</v>
      </c>
      <c r="V15" s="60">
        <v>2</v>
      </c>
      <c r="W15" s="650" t="s">
        <v>5</v>
      </c>
      <c r="X15" s="650"/>
      <c r="Y15" s="650"/>
      <c r="Z15" s="650" t="s">
        <v>5</v>
      </c>
      <c r="AA15" s="650"/>
      <c r="AB15" s="650"/>
      <c r="AC15" s="650" t="s">
        <v>5</v>
      </c>
      <c r="AD15" s="650"/>
      <c r="AE15" s="650"/>
      <c r="AF15" s="369" t="s">
        <v>5</v>
      </c>
      <c r="AG15" s="650"/>
      <c r="AH15" s="650"/>
      <c r="AI15" s="369" t="str">
        <f>+IF(U15="","",IF(U15&gt;=[14]PARÁMETROS!$D$5,"CUMPLE","NO CUMPLE"))</f>
        <v>CUMPLE</v>
      </c>
      <c r="AJ15" s="143"/>
      <c r="AK15" s="112"/>
    </row>
    <row r="16" spans="1:39" s="79" customFormat="1" ht="257.25" thickBot="1" x14ac:dyDescent="0.3">
      <c r="A16" s="654"/>
      <c r="B16" s="145" t="s">
        <v>352</v>
      </c>
      <c r="C16" s="411">
        <v>120</v>
      </c>
      <c r="D16" s="146" t="str">
        <f>+IFERROR(INDEX([14]CONSOLIDADO!$D$4:$D$108,MATCH('EXP GEN. 41-50'!B16,[14]CONSOLIDADO!$C$4:$C$108,0)),"")</f>
        <v>INRAESTRUCTURA INTEGRAL S.A.S.</v>
      </c>
      <c r="E16" s="147" t="s">
        <v>23</v>
      </c>
      <c r="F16" s="148" t="s">
        <v>698</v>
      </c>
      <c r="G16" s="370" t="s">
        <v>5</v>
      </c>
      <c r="H16" s="370" t="s">
        <v>5</v>
      </c>
      <c r="I16" s="150">
        <v>0.2</v>
      </c>
      <c r="J16" s="151">
        <v>39615</v>
      </c>
      <c r="K16" s="151">
        <v>41502</v>
      </c>
      <c r="L16" s="152">
        <f t="shared" si="8"/>
        <v>2013</v>
      </c>
      <c r="M16" s="153">
        <f>+IFERROR(INDEX([14]PARÁMETROS!$B$11:$B$37,MATCH(L16,[14]PARÁMETROS!$A$11:$A$37,0)),"")</f>
        <v>589500</v>
      </c>
      <c r="N16" s="154">
        <v>28736581560</v>
      </c>
      <c r="O16" s="155" t="s">
        <v>20</v>
      </c>
      <c r="P16" s="145" t="s">
        <v>54</v>
      </c>
      <c r="Q16" s="156" t="s">
        <v>54</v>
      </c>
      <c r="R16" s="157">
        <v>1</v>
      </c>
      <c r="S16" s="153">
        <f t="shared" si="9"/>
        <v>28736581560</v>
      </c>
      <c r="T16" s="158">
        <f t="shared" si="10"/>
        <v>48747.381781170487</v>
      </c>
      <c r="U16" s="158">
        <f t="shared" si="11"/>
        <v>9749.4763562340977</v>
      </c>
      <c r="V16" s="158">
        <v>42</v>
      </c>
      <c r="W16" s="651" t="s">
        <v>5</v>
      </c>
      <c r="X16" s="651"/>
      <c r="Y16" s="651"/>
      <c r="Z16" s="651" t="s">
        <v>5</v>
      </c>
      <c r="AA16" s="651"/>
      <c r="AB16" s="651"/>
      <c r="AC16" s="651" t="s">
        <v>5</v>
      </c>
      <c r="AD16" s="651"/>
      <c r="AE16" s="651"/>
      <c r="AF16" s="370" t="s">
        <v>5</v>
      </c>
      <c r="AG16" s="651"/>
      <c r="AH16" s="651"/>
      <c r="AI16" s="370" t="str">
        <f>+IF(U16="","",IF(U16&gt;=[14]PARÁMETROS!$D$5,"CUMPLE","NO CUMPLE"))</f>
        <v>CUMPLE</v>
      </c>
      <c r="AJ16" s="160" t="s">
        <v>699</v>
      </c>
      <c r="AK16" s="112"/>
    </row>
    <row r="17" spans="1:37" s="79" customFormat="1" ht="71.25" x14ac:dyDescent="0.25">
      <c r="A17" s="652" t="s">
        <v>274</v>
      </c>
      <c r="B17" s="125" t="s">
        <v>354</v>
      </c>
      <c r="C17" s="408">
        <v>91</v>
      </c>
      <c r="D17" s="127" t="str">
        <f>+IFERROR(INDEX([14]CONSOLIDADO!$D$4:$D$108,MATCH('EXP GEN. 41-50'!B17,[14]CONSOLIDADO!$C$4:$C$108,0)),"")</f>
        <v>CONSULTORES TECNICOS Y ECONOMICOS S.A.</v>
      </c>
      <c r="E17" s="128" t="s">
        <v>473</v>
      </c>
      <c r="F17" s="129" t="s">
        <v>701</v>
      </c>
      <c r="G17" s="368" t="s">
        <v>5</v>
      </c>
      <c r="H17" s="368" t="s">
        <v>5</v>
      </c>
      <c r="I17" s="131">
        <v>0.5</v>
      </c>
      <c r="J17" s="132">
        <v>38034</v>
      </c>
      <c r="K17" s="132">
        <v>40770</v>
      </c>
      <c r="L17" s="133">
        <f t="shared" si="8"/>
        <v>2011</v>
      </c>
      <c r="M17" s="134">
        <f>+IFERROR(INDEX([14]PARÁMETROS!$B$11:$B$37,MATCH(L17,[14]PARÁMETROS!$A$11:$A$37,0)),"")</f>
        <v>535600</v>
      </c>
      <c r="N17" s="135">
        <v>9131630030</v>
      </c>
      <c r="O17" s="136" t="s">
        <v>20</v>
      </c>
      <c r="P17" s="125" t="s">
        <v>54</v>
      </c>
      <c r="Q17" s="137" t="s">
        <v>54</v>
      </c>
      <c r="R17" s="138">
        <v>1</v>
      </c>
      <c r="S17" s="134">
        <f t="shared" si="9"/>
        <v>9131630030</v>
      </c>
      <c r="T17" s="139">
        <f t="shared" si="10"/>
        <v>17049.346583271097</v>
      </c>
      <c r="U17" s="139">
        <f t="shared" si="11"/>
        <v>8524.6732916355486</v>
      </c>
      <c r="V17" s="139">
        <v>37</v>
      </c>
      <c r="W17" s="649" t="s">
        <v>5</v>
      </c>
      <c r="X17" s="649"/>
      <c r="Y17" s="649"/>
      <c r="Z17" s="649" t="s">
        <v>5</v>
      </c>
      <c r="AA17" s="649"/>
      <c r="AB17" s="649"/>
      <c r="AC17" s="649" t="s">
        <v>5</v>
      </c>
      <c r="AD17" s="649"/>
      <c r="AE17" s="649"/>
      <c r="AF17" s="368" t="s">
        <v>5</v>
      </c>
      <c r="AG17" s="679" t="str">
        <f>IF(U17="","",IF(SUM(U17:U22)&gt;=[14]PARÁMETROS!$H$5,"CUMPLE","NO CUMPLE"))</f>
        <v>CUMPLE</v>
      </c>
      <c r="AH17" s="679" t="str">
        <f>IF(U17="","",IF((U17+U18+U19+U20+U21)&gt;=[14]PARÁMETROS!$F$5,"CUMPLE","NO CUMPLE"))</f>
        <v>CUMPLE</v>
      </c>
      <c r="AI17" s="368" t="str">
        <f>+IF(U17="","",IF(U17&gt;=[14]PARÁMETROS!$D$5,"CUMPLE","NO CUMPLE"))</f>
        <v>CUMPLE</v>
      </c>
      <c r="AJ17" s="142"/>
      <c r="AK17" s="112"/>
    </row>
    <row r="18" spans="1:37" s="79" customFormat="1" ht="71.25" x14ac:dyDescent="0.25">
      <c r="A18" s="653"/>
      <c r="B18" s="377" t="s">
        <v>354</v>
      </c>
      <c r="C18" s="409">
        <v>96</v>
      </c>
      <c r="D18" s="65" t="str">
        <f>+IFERROR(INDEX([14]CONSOLIDADO!$D$4:$D$108,MATCH('EXP GEN. 41-50'!B18,[14]CONSOLIDADO!$C$4:$C$108,0)),"")</f>
        <v>CONSULTORES TECNICOS Y ECONOMICOS S.A.</v>
      </c>
      <c r="E18" s="66" t="s">
        <v>702</v>
      </c>
      <c r="F18" s="66" t="s">
        <v>703</v>
      </c>
      <c r="G18" s="369" t="s">
        <v>5</v>
      </c>
      <c r="H18" s="369" t="s">
        <v>5</v>
      </c>
      <c r="I18" s="80">
        <v>1</v>
      </c>
      <c r="J18" s="70">
        <v>38337</v>
      </c>
      <c r="K18" s="70">
        <v>39401</v>
      </c>
      <c r="L18" s="71">
        <f t="shared" si="8"/>
        <v>2007</v>
      </c>
      <c r="M18" s="72">
        <f>+IFERROR(INDEX([14]PARÁMETROS!$B$11:$B$37,MATCH(L18,[14]PARÁMETROS!$A$11:$A$37,0)),"")</f>
        <v>433700</v>
      </c>
      <c r="N18" s="81">
        <v>2544987926</v>
      </c>
      <c r="O18" s="74" t="s">
        <v>20</v>
      </c>
      <c r="P18" s="377" t="s">
        <v>54</v>
      </c>
      <c r="Q18" s="75" t="s">
        <v>54</v>
      </c>
      <c r="R18" s="76">
        <v>1</v>
      </c>
      <c r="S18" s="72">
        <f t="shared" si="9"/>
        <v>2544987926</v>
      </c>
      <c r="T18" s="60">
        <f t="shared" si="10"/>
        <v>5868.0837583583125</v>
      </c>
      <c r="U18" s="60">
        <f t="shared" si="11"/>
        <v>5868.0837583583125</v>
      </c>
      <c r="V18" s="60">
        <v>14</v>
      </c>
      <c r="W18" s="650" t="s">
        <v>5</v>
      </c>
      <c r="X18" s="650"/>
      <c r="Y18" s="650"/>
      <c r="Z18" s="650" t="s">
        <v>5</v>
      </c>
      <c r="AA18" s="650"/>
      <c r="AB18" s="650"/>
      <c r="AC18" s="650" t="s">
        <v>5</v>
      </c>
      <c r="AD18" s="650"/>
      <c r="AE18" s="650"/>
      <c r="AF18" s="369" t="s">
        <v>5</v>
      </c>
      <c r="AG18" s="680"/>
      <c r="AH18" s="680"/>
      <c r="AI18" s="369" t="str">
        <f>+IF(U18="","",IF(U18&gt;=[14]PARÁMETROS!$D$5,"CUMPLE","NO CUMPLE"))</f>
        <v>CUMPLE</v>
      </c>
      <c r="AJ18" s="143"/>
      <c r="AK18" s="112"/>
    </row>
    <row r="19" spans="1:37" s="79" customFormat="1" ht="99.75" x14ac:dyDescent="0.25">
      <c r="A19" s="653"/>
      <c r="B19" s="377" t="s">
        <v>354</v>
      </c>
      <c r="C19" s="409">
        <v>100</v>
      </c>
      <c r="D19" s="65" t="str">
        <f>+IFERROR(INDEX([14]CONSOLIDADO!$D$4:$D$108,MATCH('EXP GEN. 41-50'!B19,[14]CONSOLIDADO!$C$4:$C$108,0)),"")</f>
        <v>CONSULTORES TECNICOS Y ECONOMICOS S.A.</v>
      </c>
      <c r="E19" s="66" t="s">
        <v>533</v>
      </c>
      <c r="F19" s="67" t="s">
        <v>704</v>
      </c>
      <c r="G19" s="369" t="s">
        <v>5</v>
      </c>
      <c r="H19" s="369" t="s">
        <v>5</v>
      </c>
      <c r="I19" s="69">
        <v>0.75</v>
      </c>
      <c r="J19" s="70">
        <v>38177</v>
      </c>
      <c r="K19" s="70">
        <v>39760</v>
      </c>
      <c r="L19" s="71">
        <f t="shared" si="8"/>
        <v>2008</v>
      </c>
      <c r="M19" s="72">
        <f>+IFERROR(INDEX([14]PARÁMETROS!$B$11:$B$37,MATCH(L19,[14]PARÁMETROS!$A$11:$A$37,0)),"")</f>
        <v>461500</v>
      </c>
      <c r="N19" s="73">
        <v>2288853387</v>
      </c>
      <c r="O19" s="74" t="s">
        <v>20</v>
      </c>
      <c r="P19" s="377" t="s">
        <v>54</v>
      </c>
      <c r="Q19" s="75" t="s">
        <v>54</v>
      </c>
      <c r="R19" s="76">
        <v>1</v>
      </c>
      <c r="S19" s="72">
        <f t="shared" si="9"/>
        <v>2288853387</v>
      </c>
      <c r="T19" s="60">
        <f t="shared" si="10"/>
        <v>4959.5956381365113</v>
      </c>
      <c r="U19" s="60">
        <f t="shared" si="11"/>
        <v>3719.6967286023837</v>
      </c>
      <c r="V19" s="60">
        <v>25</v>
      </c>
      <c r="W19" s="650" t="s">
        <v>5</v>
      </c>
      <c r="X19" s="650"/>
      <c r="Y19" s="650"/>
      <c r="Z19" s="650" t="s">
        <v>5</v>
      </c>
      <c r="AA19" s="650"/>
      <c r="AB19" s="650"/>
      <c r="AC19" s="650" t="s">
        <v>5</v>
      </c>
      <c r="AD19" s="650"/>
      <c r="AE19" s="650"/>
      <c r="AF19" s="369" t="s">
        <v>5</v>
      </c>
      <c r="AG19" s="680"/>
      <c r="AH19" s="680"/>
      <c r="AI19" s="369" t="str">
        <f>+IF(U19="","",IF(U19&gt;=[14]PARÁMETROS!$D$5,"CUMPLE","NO CUMPLE"))</f>
        <v>CUMPLE</v>
      </c>
      <c r="AJ19" s="143"/>
      <c r="AK19" s="112"/>
    </row>
    <row r="20" spans="1:37" s="79" customFormat="1" ht="94.5" x14ac:dyDescent="0.25">
      <c r="A20" s="653"/>
      <c r="B20" s="377" t="s">
        <v>354</v>
      </c>
      <c r="C20" s="409">
        <v>111</v>
      </c>
      <c r="D20" s="65" t="str">
        <f>+IFERROR(INDEX([14]CONSOLIDADO!$D$4:$D$108,MATCH('EXP GEN. 41-50'!B20,[14]CONSOLIDADO!$C$4:$C$108,0)),"")</f>
        <v>CONSULTORES TECNICOS Y ECONOMICOS S.A.</v>
      </c>
      <c r="E20" s="66" t="s">
        <v>533</v>
      </c>
      <c r="F20" s="82" t="s">
        <v>705</v>
      </c>
      <c r="G20" s="369" t="s">
        <v>5</v>
      </c>
      <c r="H20" s="369" t="s">
        <v>5</v>
      </c>
      <c r="I20" s="69">
        <v>0.75</v>
      </c>
      <c r="J20" s="70">
        <v>38374</v>
      </c>
      <c r="K20" s="70">
        <v>39512</v>
      </c>
      <c r="L20" s="71">
        <f t="shared" si="8"/>
        <v>2008</v>
      </c>
      <c r="M20" s="72">
        <f>+IFERROR(INDEX([14]PARÁMETROS!$B$11:$B$37,MATCH(L20,[14]PARÁMETROS!$A$11:$A$37,0)),"")</f>
        <v>461500</v>
      </c>
      <c r="N20" s="73">
        <v>4505935152</v>
      </c>
      <c r="O20" s="74" t="s">
        <v>20</v>
      </c>
      <c r="P20" s="377" t="s">
        <v>54</v>
      </c>
      <c r="Q20" s="75" t="s">
        <v>54</v>
      </c>
      <c r="R20" s="76">
        <v>1</v>
      </c>
      <c r="S20" s="72">
        <f t="shared" si="9"/>
        <v>4505935152</v>
      </c>
      <c r="T20" s="60">
        <f t="shared" si="10"/>
        <v>9763.6731354279527</v>
      </c>
      <c r="U20" s="60">
        <f t="shared" si="11"/>
        <v>7322.7548515709641</v>
      </c>
      <c r="V20" s="60">
        <v>26</v>
      </c>
      <c r="W20" s="650" t="s">
        <v>5</v>
      </c>
      <c r="X20" s="650"/>
      <c r="Y20" s="650"/>
      <c r="Z20" s="650" t="s">
        <v>5</v>
      </c>
      <c r="AA20" s="650"/>
      <c r="AB20" s="650"/>
      <c r="AC20" s="650" t="s">
        <v>5</v>
      </c>
      <c r="AD20" s="650"/>
      <c r="AE20" s="650"/>
      <c r="AF20" s="369" t="s">
        <v>5</v>
      </c>
      <c r="AG20" s="680"/>
      <c r="AH20" s="680"/>
      <c r="AI20" s="369" t="str">
        <f>+IF(U20="","",IF(U20&gt;=[14]PARÁMETROS!$D$5,"CUMPLE","NO CUMPLE"))</f>
        <v>CUMPLE</v>
      </c>
      <c r="AJ20" s="143"/>
      <c r="AK20" s="112"/>
    </row>
    <row r="21" spans="1:37" s="79" customFormat="1" ht="63" x14ac:dyDescent="0.25">
      <c r="A21" s="653"/>
      <c r="B21" s="377" t="s">
        <v>354</v>
      </c>
      <c r="C21" s="409">
        <v>118</v>
      </c>
      <c r="D21" s="65" t="str">
        <f>+IFERROR(INDEX([14]CONSOLIDADO!$D$4:$D$108,MATCH('EXP GEN. 41-50'!B21,[14]CONSOLIDADO!$C$4:$C$108,0)),"")</f>
        <v>CONSULTORES TECNICOS Y ECONOMICOS S.A.</v>
      </c>
      <c r="E21" s="66" t="s">
        <v>706</v>
      </c>
      <c r="F21" s="67" t="s">
        <v>707</v>
      </c>
      <c r="G21" s="369" t="s">
        <v>5</v>
      </c>
      <c r="H21" s="369" t="s">
        <v>5</v>
      </c>
      <c r="I21" s="69">
        <v>0.5</v>
      </c>
      <c r="J21" s="70">
        <v>40329</v>
      </c>
      <c r="K21" s="70">
        <v>41076</v>
      </c>
      <c r="L21" s="71">
        <f t="shared" si="8"/>
        <v>2012</v>
      </c>
      <c r="M21" s="72">
        <f>+IFERROR(INDEX([14]PARÁMETROS!$B$11:$B$37,MATCH(L21,[14]PARÁMETROS!$A$11:$A$37,0)),"")</f>
        <v>566700</v>
      </c>
      <c r="N21" s="73">
        <v>4660189234</v>
      </c>
      <c r="O21" s="74" t="s">
        <v>20</v>
      </c>
      <c r="P21" s="377" t="s">
        <v>54</v>
      </c>
      <c r="Q21" s="75" t="s">
        <v>54</v>
      </c>
      <c r="R21" s="76">
        <v>1</v>
      </c>
      <c r="S21" s="72">
        <f t="shared" si="9"/>
        <v>4660189234</v>
      </c>
      <c r="T21" s="60">
        <f t="shared" si="10"/>
        <v>8223.3796259043593</v>
      </c>
      <c r="U21" s="60">
        <f t="shared" si="11"/>
        <v>4111.6898129521796</v>
      </c>
      <c r="V21" s="60">
        <v>46</v>
      </c>
      <c r="W21" s="650" t="s">
        <v>5</v>
      </c>
      <c r="X21" s="650"/>
      <c r="Y21" s="650"/>
      <c r="Z21" s="650" t="s">
        <v>5</v>
      </c>
      <c r="AA21" s="650"/>
      <c r="AB21" s="650"/>
      <c r="AC21" s="650" t="s">
        <v>5</v>
      </c>
      <c r="AD21" s="650"/>
      <c r="AE21" s="650"/>
      <c r="AF21" s="369" t="s">
        <v>5</v>
      </c>
      <c r="AG21" s="680"/>
      <c r="AH21" s="680"/>
      <c r="AI21" s="369" t="str">
        <f>+IF(U21="","",IF(U21&gt;=[14]PARÁMETROS!$D$5,"CUMPLE","NO CUMPLE"))</f>
        <v>CUMPLE</v>
      </c>
      <c r="AJ21" s="143"/>
      <c r="AK21" s="112"/>
    </row>
    <row r="22" spans="1:37" s="79" customFormat="1" ht="86.25" thickBot="1" x14ac:dyDescent="0.3">
      <c r="A22" s="654"/>
      <c r="B22" s="145" t="s">
        <v>355</v>
      </c>
      <c r="C22" s="411">
        <v>142</v>
      </c>
      <c r="D22" s="146" t="str">
        <f>+IFERROR(INDEX([14]CONSOLIDADO!$D$4:$D$108,MATCH('EXP GEN. 41-50'!B22,[14]CONSOLIDADO!$C$4:$C$108,0)),"")</f>
        <v>CONSULTORES E INTERVENTORES TECNICOS S.A.S</v>
      </c>
      <c r="E22" s="147" t="s">
        <v>702</v>
      </c>
      <c r="F22" s="148" t="s">
        <v>708</v>
      </c>
      <c r="G22" s="370" t="s">
        <v>5</v>
      </c>
      <c r="H22" s="370" t="s">
        <v>5</v>
      </c>
      <c r="I22" s="150">
        <v>0.4</v>
      </c>
      <c r="J22" s="151">
        <v>41109</v>
      </c>
      <c r="K22" s="151" t="s">
        <v>709</v>
      </c>
      <c r="L22" s="152">
        <v>2015</v>
      </c>
      <c r="M22" s="153">
        <f>+IFERROR(INDEX([14]PARÁMETROS!$B$11:$B$37,MATCH(L22,[14]PARÁMETROS!$A$11:$A$37,0)),"")</f>
        <v>644350</v>
      </c>
      <c r="N22" s="154">
        <v>5281678857</v>
      </c>
      <c r="O22" s="155" t="s">
        <v>20</v>
      </c>
      <c r="P22" s="145" t="s">
        <v>54</v>
      </c>
      <c r="Q22" s="156" t="s">
        <v>54</v>
      </c>
      <c r="R22" s="157">
        <v>1</v>
      </c>
      <c r="S22" s="153">
        <f t="shared" si="9"/>
        <v>5281678857</v>
      </c>
      <c r="T22" s="158">
        <f t="shared" si="10"/>
        <v>8196.9098424769145</v>
      </c>
      <c r="U22" s="158">
        <f t="shared" si="11"/>
        <v>3278.7639369907661</v>
      </c>
      <c r="V22" s="158" t="s">
        <v>710</v>
      </c>
      <c r="W22" s="698"/>
      <c r="X22" s="699"/>
      <c r="Y22" s="700"/>
      <c r="Z22" s="698"/>
      <c r="AA22" s="699"/>
      <c r="AB22" s="700"/>
      <c r="AC22" s="698"/>
      <c r="AD22" s="699"/>
      <c r="AE22" s="700"/>
      <c r="AF22" s="370"/>
      <c r="AG22" s="681"/>
      <c r="AH22" s="681"/>
      <c r="AI22" s="370" t="str">
        <f>+IF(U22="","",IF(U22&gt;=[14]PARÁMETROS!$D$5,"CUMPLE","NO CUMPLE"))</f>
        <v>CUMPLE</v>
      </c>
      <c r="AJ22" s="160"/>
      <c r="AK22" s="112"/>
    </row>
    <row r="23" spans="1:37" s="79" customFormat="1" ht="63" x14ac:dyDescent="0.25">
      <c r="A23" s="652" t="s">
        <v>275</v>
      </c>
      <c r="B23" s="125" t="s">
        <v>356</v>
      </c>
      <c r="C23" s="408">
        <v>70</v>
      </c>
      <c r="D23" s="127" t="str">
        <f>+IFERROR(INDEX([14]CONSOLIDADO!$D$4:$D$108,MATCH('EXP GEN. 41-50'!B23,[14]CONSOLIDADO!$C$4:$C$108,0)),"")</f>
        <v>INTEGRAL DISEÑOS E INTERVENTORIA S.A.S.</v>
      </c>
      <c r="E23" s="128" t="s">
        <v>702</v>
      </c>
      <c r="F23" s="129" t="s">
        <v>712</v>
      </c>
      <c r="G23" s="368" t="s">
        <v>5</v>
      </c>
      <c r="H23" s="368" t="s">
        <v>5</v>
      </c>
      <c r="I23" s="131">
        <v>1</v>
      </c>
      <c r="J23" s="132">
        <v>35688</v>
      </c>
      <c r="K23" s="132">
        <v>36556</v>
      </c>
      <c r="L23" s="133">
        <f t="shared" ref="L23:L35" si="12">IF(K23="","",YEAR(K23))</f>
        <v>2000</v>
      </c>
      <c r="M23" s="134">
        <f>+IFERROR(INDEX([14]PARÁMETROS!$B$11:$B$37,MATCH(L23,[14]PARÁMETROS!$A$11:$A$37,0)),"")</f>
        <v>260100</v>
      </c>
      <c r="N23" s="135">
        <v>2628692093</v>
      </c>
      <c r="O23" s="136" t="s">
        <v>20</v>
      </c>
      <c r="P23" s="125" t="s">
        <v>54</v>
      </c>
      <c r="Q23" s="137" t="s">
        <v>54</v>
      </c>
      <c r="R23" s="138">
        <v>1</v>
      </c>
      <c r="S23" s="134">
        <f t="shared" si="9"/>
        <v>2628692093</v>
      </c>
      <c r="T23" s="139">
        <f t="shared" si="10"/>
        <v>10106.467101114957</v>
      </c>
      <c r="U23" s="139">
        <f t="shared" si="11"/>
        <v>10106.467101114957</v>
      </c>
      <c r="V23" s="139">
        <v>17</v>
      </c>
      <c r="W23" s="649" t="s">
        <v>5</v>
      </c>
      <c r="X23" s="649"/>
      <c r="Y23" s="649"/>
      <c r="Z23" s="649" t="s">
        <v>5</v>
      </c>
      <c r="AA23" s="649"/>
      <c r="AB23" s="649"/>
      <c r="AC23" s="649" t="s">
        <v>5</v>
      </c>
      <c r="AD23" s="649"/>
      <c r="AE23" s="649"/>
      <c r="AF23" s="368" t="s">
        <v>5</v>
      </c>
      <c r="AG23" s="679" t="str">
        <f>IF(U23="","",IF(SUM(U23:U27)&gt;=[14]PARÁMETROS!$H$5,"CUMPLE","NO CUMPLE"))</f>
        <v>CUMPLE</v>
      </c>
      <c r="AH23" s="679" t="s">
        <v>620</v>
      </c>
      <c r="AI23" s="368" t="str">
        <f>+IF(U23="","",IF(U23&gt;=[14]PARÁMETROS!$D$5,"CUMPLE","NO CUMPLE"))</f>
        <v>CUMPLE</v>
      </c>
      <c r="AJ23" s="142"/>
      <c r="AK23" s="112"/>
    </row>
    <row r="24" spans="1:37" s="79" customFormat="1" ht="63" x14ac:dyDescent="0.25">
      <c r="A24" s="653"/>
      <c r="B24" s="377" t="s">
        <v>356</v>
      </c>
      <c r="C24" s="409">
        <v>76</v>
      </c>
      <c r="D24" s="65" t="str">
        <f>+IFERROR(INDEX([14]CONSOLIDADO!$D$4:$D$108,MATCH('EXP GEN. 41-50'!B24,[14]CONSOLIDADO!$C$4:$C$108,0)),"")</f>
        <v>INTEGRAL DISEÑOS E INTERVENTORIA S.A.S.</v>
      </c>
      <c r="E24" s="66" t="s">
        <v>702</v>
      </c>
      <c r="F24" s="67" t="s">
        <v>713</v>
      </c>
      <c r="G24" s="369" t="s">
        <v>5</v>
      </c>
      <c r="H24" s="369" t="s">
        <v>5</v>
      </c>
      <c r="I24" s="69">
        <v>1</v>
      </c>
      <c r="J24" s="70">
        <v>37792</v>
      </c>
      <c r="K24" s="70">
        <v>38429</v>
      </c>
      <c r="L24" s="71">
        <f t="shared" si="12"/>
        <v>2005</v>
      </c>
      <c r="M24" s="72">
        <f>+IFERROR(INDEX([14]PARÁMETROS!$B$11:$B$37,MATCH(L24,[14]PARÁMETROS!$A$11:$A$37,0)),"")</f>
        <v>381500</v>
      </c>
      <c r="N24" s="73">
        <v>1691644728</v>
      </c>
      <c r="O24" s="74" t="s">
        <v>20</v>
      </c>
      <c r="P24" s="377" t="s">
        <v>54</v>
      </c>
      <c r="Q24" s="75" t="s">
        <v>54</v>
      </c>
      <c r="R24" s="76">
        <v>1</v>
      </c>
      <c r="S24" s="72">
        <f t="shared" si="9"/>
        <v>1691644728</v>
      </c>
      <c r="T24" s="60">
        <f t="shared" si="10"/>
        <v>4434.1932581913497</v>
      </c>
      <c r="U24" s="60">
        <f t="shared" si="11"/>
        <v>4434.1932581913497</v>
      </c>
      <c r="V24" s="60">
        <v>9</v>
      </c>
      <c r="W24" s="650" t="s">
        <v>5</v>
      </c>
      <c r="X24" s="650"/>
      <c r="Y24" s="650"/>
      <c r="Z24" s="650" t="s">
        <v>5</v>
      </c>
      <c r="AA24" s="650"/>
      <c r="AB24" s="650"/>
      <c r="AC24" s="650" t="s">
        <v>5</v>
      </c>
      <c r="AD24" s="650"/>
      <c r="AE24" s="650"/>
      <c r="AF24" s="369" t="s">
        <v>5</v>
      </c>
      <c r="AG24" s="680"/>
      <c r="AH24" s="680"/>
      <c r="AI24" s="369" t="str">
        <f>+IF(U24="","",IF(U24&gt;=[14]PARÁMETROS!$D$5,"CUMPLE","NO CUMPLE"))</f>
        <v>CUMPLE</v>
      </c>
      <c r="AJ24" s="143"/>
      <c r="AK24" s="112"/>
    </row>
    <row r="25" spans="1:37" s="79" customFormat="1" ht="142.5" x14ac:dyDescent="0.25">
      <c r="A25" s="653"/>
      <c r="B25" s="377" t="s">
        <v>356</v>
      </c>
      <c r="C25" s="409">
        <v>85</v>
      </c>
      <c r="D25" s="65" t="str">
        <f>+IFERROR(INDEX([14]CONSOLIDADO!$D$4:$D$108,MATCH('EXP GEN. 41-50'!B25,[14]CONSOLIDADO!$C$4:$C$108,0)),"")</f>
        <v>INTEGRAL DISEÑOS E INTERVENTORIA S.A.S.</v>
      </c>
      <c r="E25" s="66" t="s">
        <v>714</v>
      </c>
      <c r="F25" s="67" t="s">
        <v>715</v>
      </c>
      <c r="G25" s="369" t="s">
        <v>5</v>
      </c>
      <c r="H25" s="369" t="s">
        <v>5</v>
      </c>
      <c r="I25" s="69">
        <v>1</v>
      </c>
      <c r="J25" s="70">
        <v>37453</v>
      </c>
      <c r="K25" s="70">
        <v>38087</v>
      </c>
      <c r="L25" s="71">
        <f t="shared" si="12"/>
        <v>2004</v>
      </c>
      <c r="M25" s="72">
        <f>+IFERROR(INDEX([14]PARÁMETROS!$B$11:$B$37,MATCH(L25,[14]PARÁMETROS!$A$11:$A$37,0)),"")</f>
        <v>358000</v>
      </c>
      <c r="N25" s="73">
        <v>2256694426</v>
      </c>
      <c r="O25" s="74" t="s">
        <v>20</v>
      </c>
      <c r="P25" s="377" t="s">
        <v>54</v>
      </c>
      <c r="Q25" s="75" t="s">
        <v>54</v>
      </c>
      <c r="R25" s="76">
        <v>1</v>
      </c>
      <c r="S25" s="72">
        <f t="shared" si="9"/>
        <v>2256694426</v>
      </c>
      <c r="T25" s="60">
        <f t="shared" si="10"/>
        <v>6303.6157150837989</v>
      </c>
      <c r="U25" s="60">
        <f t="shared" si="11"/>
        <v>6303.6157150837989</v>
      </c>
      <c r="V25" s="60">
        <v>11</v>
      </c>
      <c r="W25" s="650" t="s">
        <v>5</v>
      </c>
      <c r="X25" s="650"/>
      <c r="Y25" s="650"/>
      <c r="Z25" s="650" t="s">
        <v>5</v>
      </c>
      <c r="AA25" s="650"/>
      <c r="AB25" s="650"/>
      <c r="AC25" s="650" t="s">
        <v>5</v>
      </c>
      <c r="AD25" s="650"/>
      <c r="AE25" s="650"/>
      <c r="AF25" s="369" t="s">
        <v>5</v>
      </c>
      <c r="AG25" s="680"/>
      <c r="AH25" s="680"/>
      <c r="AI25" s="369" t="str">
        <f>+IF(U25="","",IF(U25&gt;=[14]PARÁMETROS!$D$5,"CUMPLE","NO CUMPLE"))</f>
        <v>CUMPLE</v>
      </c>
      <c r="AJ25" s="143"/>
      <c r="AK25" s="112"/>
    </row>
    <row r="26" spans="1:37" s="88" customFormat="1" ht="71.25" x14ac:dyDescent="0.25">
      <c r="A26" s="653"/>
      <c r="B26" s="377" t="s">
        <v>356</v>
      </c>
      <c r="C26" s="409">
        <v>93</v>
      </c>
      <c r="D26" s="65" t="str">
        <f>+IFERROR(INDEX([14]CONSOLIDADO!$D$4:$D$108,MATCH('EXP GEN. 41-50'!B26,[14]CONSOLIDADO!$C$4:$C$108,0)),"")</f>
        <v>INTEGRAL DISEÑOS E INTERVENTORIA S.A.S.</v>
      </c>
      <c r="E26" s="66" t="s">
        <v>716</v>
      </c>
      <c r="F26" s="67" t="s">
        <v>717</v>
      </c>
      <c r="G26" s="369" t="s">
        <v>5</v>
      </c>
      <c r="H26" s="369" t="s">
        <v>5</v>
      </c>
      <c r="I26" s="69">
        <v>1</v>
      </c>
      <c r="J26" s="70">
        <v>34731</v>
      </c>
      <c r="K26" s="70">
        <v>35869</v>
      </c>
      <c r="L26" s="71">
        <f t="shared" si="12"/>
        <v>1998</v>
      </c>
      <c r="M26" s="72">
        <f>+IFERROR(INDEX([14]PARÁMETROS!$B$11:$B$37,MATCH(L26,[14]PARÁMETROS!$A$11:$A$37,0)),"")</f>
        <v>203826</v>
      </c>
      <c r="N26" s="73">
        <v>1702457494</v>
      </c>
      <c r="O26" s="74" t="s">
        <v>20</v>
      </c>
      <c r="P26" s="377" t="s">
        <v>54</v>
      </c>
      <c r="Q26" s="75" t="s">
        <v>54</v>
      </c>
      <c r="R26" s="76">
        <v>1</v>
      </c>
      <c r="S26" s="72">
        <f t="shared" si="9"/>
        <v>1702457494</v>
      </c>
      <c r="T26" s="60">
        <f t="shared" si="10"/>
        <v>8352.5040671945681</v>
      </c>
      <c r="U26" s="60">
        <f t="shared" si="11"/>
        <v>8352.5040671945681</v>
      </c>
      <c r="V26" s="60">
        <v>16</v>
      </c>
      <c r="W26" s="650" t="s">
        <v>5</v>
      </c>
      <c r="X26" s="650"/>
      <c r="Y26" s="650"/>
      <c r="Z26" s="650" t="s">
        <v>5</v>
      </c>
      <c r="AA26" s="650"/>
      <c r="AB26" s="650"/>
      <c r="AC26" s="650" t="s">
        <v>5</v>
      </c>
      <c r="AD26" s="650"/>
      <c r="AE26" s="650"/>
      <c r="AF26" s="369" t="s">
        <v>5</v>
      </c>
      <c r="AG26" s="680"/>
      <c r="AH26" s="680"/>
      <c r="AI26" s="369" t="str">
        <f>+IF(U26="","",IF(U26&gt;=[14]PARÁMETROS!$D$5,"CUMPLE","NO CUMPLE"))</f>
        <v>CUMPLE</v>
      </c>
      <c r="AJ26" s="143"/>
      <c r="AK26" s="166"/>
    </row>
    <row r="27" spans="1:37" s="79" customFormat="1" ht="63.75" thickBot="1" x14ac:dyDescent="0.3">
      <c r="A27" s="654"/>
      <c r="B27" s="145" t="s">
        <v>356</v>
      </c>
      <c r="C27" s="411">
        <v>95</v>
      </c>
      <c r="D27" s="146" t="str">
        <f>+IFERROR(INDEX([14]CONSOLIDADO!$D$4:$D$108,MATCH('EXP GEN. 41-50'!B27,[14]CONSOLIDADO!$C$4:$C$108,0)),"")</f>
        <v>INTEGRAL DISEÑOS E INTERVENTORIA S.A.S.</v>
      </c>
      <c r="E27" s="147" t="s">
        <v>702</v>
      </c>
      <c r="F27" s="148" t="s">
        <v>718</v>
      </c>
      <c r="G27" s="370" t="s">
        <v>5</v>
      </c>
      <c r="H27" s="370" t="s">
        <v>5</v>
      </c>
      <c r="I27" s="150">
        <v>1</v>
      </c>
      <c r="J27" s="151">
        <v>37620</v>
      </c>
      <c r="K27" s="151">
        <v>38706</v>
      </c>
      <c r="L27" s="152">
        <f t="shared" si="12"/>
        <v>2005</v>
      </c>
      <c r="M27" s="153">
        <f>+IFERROR(INDEX([14]PARÁMETROS!$B$11:$B$37,MATCH(L27,[14]PARÁMETROS!$A$11:$A$37,0)),"")</f>
        <v>381500</v>
      </c>
      <c r="N27" s="154">
        <v>1000952439</v>
      </c>
      <c r="O27" s="155" t="s">
        <v>20</v>
      </c>
      <c r="P27" s="145" t="s">
        <v>54</v>
      </c>
      <c r="Q27" s="156" t="s">
        <v>54</v>
      </c>
      <c r="R27" s="157">
        <v>1</v>
      </c>
      <c r="S27" s="153">
        <f t="shared" si="9"/>
        <v>1000952439</v>
      </c>
      <c r="T27" s="158">
        <f t="shared" si="10"/>
        <v>2623.7285425950195</v>
      </c>
      <c r="U27" s="158">
        <f t="shared" si="11"/>
        <v>2623.7285425950195</v>
      </c>
      <c r="V27" s="158">
        <v>28</v>
      </c>
      <c r="W27" s="651" t="s">
        <v>5</v>
      </c>
      <c r="X27" s="651"/>
      <c r="Y27" s="651"/>
      <c r="Z27" s="651" t="s">
        <v>5</v>
      </c>
      <c r="AA27" s="651"/>
      <c r="AB27" s="651"/>
      <c r="AC27" s="651" t="s">
        <v>5</v>
      </c>
      <c r="AD27" s="651"/>
      <c r="AE27" s="651"/>
      <c r="AF27" s="370" t="s">
        <v>5</v>
      </c>
      <c r="AG27" s="681"/>
      <c r="AH27" s="681"/>
      <c r="AI27" s="370" t="str">
        <f>+IF(U27="","",IF(U27&gt;=[14]PARÁMETROS!$D$5,"CUMPLE","NO CUMPLE"))</f>
        <v>CUMPLE</v>
      </c>
      <c r="AJ27" s="160"/>
      <c r="AK27" s="112"/>
    </row>
    <row r="28" spans="1:37" s="79" customFormat="1" ht="42.75" x14ac:dyDescent="0.25">
      <c r="A28" s="652" t="s">
        <v>276</v>
      </c>
      <c r="B28" s="125" t="s">
        <v>357</v>
      </c>
      <c r="C28" s="408">
        <v>168</v>
      </c>
      <c r="D28" s="127" t="str">
        <f>+IFERROR(INDEX([14]CONSOLIDADO!$D$4:$D$108,MATCH('EXP GEN. 41-50'!B28,[14]CONSOLIDADO!$C$4:$C$108,0)),"")</f>
        <v>INGETEC G &amp; C</v>
      </c>
      <c r="E28" s="128" t="s">
        <v>702</v>
      </c>
      <c r="F28" s="129" t="s">
        <v>720</v>
      </c>
      <c r="G28" s="368" t="s">
        <v>5</v>
      </c>
      <c r="H28" s="368" t="s">
        <v>5</v>
      </c>
      <c r="I28" s="131">
        <v>1</v>
      </c>
      <c r="J28" s="132">
        <v>36523</v>
      </c>
      <c r="K28" s="132">
        <v>37769</v>
      </c>
      <c r="L28" s="133">
        <f t="shared" si="12"/>
        <v>2003</v>
      </c>
      <c r="M28" s="134">
        <f>+IFERROR(INDEX([14]PARÁMETROS!$B$11:$B$37,MATCH(L28,[14]PARÁMETROS!$A$11:$A$37,0)),"")</f>
        <v>332000</v>
      </c>
      <c r="N28" s="135">
        <v>2582274473</v>
      </c>
      <c r="O28" s="136" t="s">
        <v>20</v>
      </c>
      <c r="P28" s="125" t="s">
        <v>54</v>
      </c>
      <c r="Q28" s="137" t="s">
        <v>54</v>
      </c>
      <c r="R28" s="138">
        <v>1</v>
      </c>
      <c r="S28" s="134">
        <f t="shared" si="9"/>
        <v>2582274473</v>
      </c>
      <c r="T28" s="139">
        <f t="shared" si="10"/>
        <v>7777.9351596385541</v>
      </c>
      <c r="U28" s="139">
        <f t="shared" si="11"/>
        <v>7777.9351596385541</v>
      </c>
      <c r="V28" s="139">
        <v>52</v>
      </c>
      <c r="W28" s="692" t="s">
        <v>5</v>
      </c>
      <c r="X28" s="693"/>
      <c r="Y28" s="694"/>
      <c r="Z28" s="649" t="s">
        <v>5</v>
      </c>
      <c r="AA28" s="649"/>
      <c r="AB28" s="649"/>
      <c r="AC28" s="649" t="s">
        <v>5</v>
      </c>
      <c r="AD28" s="649"/>
      <c r="AE28" s="649"/>
      <c r="AF28" s="368" t="s">
        <v>5</v>
      </c>
      <c r="AG28" s="679" t="str">
        <f>IF(U28="","",IF(SUM(U28:U33)&gt;=[14]PARÁMETROS!$H$5,"CUMPLE","NO CUMPLE"))</f>
        <v>CUMPLE</v>
      </c>
      <c r="AH28" s="679" t="str">
        <f>IF(U28="","",IF(SUM(U28:U30)&gt;=[14]PARÁMETROS!$F$5,"CUMPLE","NO CUMPLE"))</f>
        <v>CUMPLE</v>
      </c>
      <c r="AI28" s="368" t="str">
        <f>+IF(U28="","",IF(U28&gt;=[14]PARÁMETROS!$D$5,"CUMPLE","NO CUMPLE"))</f>
        <v>CUMPLE</v>
      </c>
      <c r="AJ28" s="142"/>
      <c r="AK28" s="112"/>
    </row>
    <row r="29" spans="1:37" s="79" customFormat="1" ht="42.75" x14ac:dyDescent="0.25">
      <c r="A29" s="653"/>
      <c r="B29" s="377" t="s">
        <v>357</v>
      </c>
      <c r="C29" s="409">
        <v>172</v>
      </c>
      <c r="D29" s="65" t="str">
        <f>+IFERROR(INDEX([14]CONSOLIDADO!$D$4:$D$108,MATCH('EXP GEN. 41-50'!B29,[14]CONSOLIDADO!$C$4:$C$108,0)),"")</f>
        <v>INGETEC G &amp; C</v>
      </c>
      <c r="E29" s="66" t="s">
        <v>702</v>
      </c>
      <c r="F29" s="67" t="s">
        <v>721</v>
      </c>
      <c r="G29" s="369" t="s">
        <v>5</v>
      </c>
      <c r="H29" s="369" t="s">
        <v>5</v>
      </c>
      <c r="I29" s="69">
        <v>1</v>
      </c>
      <c r="J29" s="70">
        <v>38366</v>
      </c>
      <c r="K29" s="70">
        <v>39064</v>
      </c>
      <c r="L29" s="71">
        <f t="shared" si="12"/>
        <v>2006</v>
      </c>
      <c r="M29" s="72">
        <f>+IFERROR(INDEX([14]PARÁMETROS!$B$11:$B$37,MATCH(L29,[14]PARÁMETROS!$A$11:$A$37,0)),"")</f>
        <v>408000</v>
      </c>
      <c r="N29" s="73">
        <v>1473683024</v>
      </c>
      <c r="O29" s="74" t="s">
        <v>20</v>
      </c>
      <c r="P29" s="377" t="s">
        <v>54</v>
      </c>
      <c r="Q29" s="75" t="s">
        <v>54</v>
      </c>
      <c r="R29" s="76">
        <v>1</v>
      </c>
      <c r="S29" s="72">
        <f t="shared" si="9"/>
        <v>1473683024</v>
      </c>
      <c r="T29" s="60">
        <f t="shared" si="10"/>
        <v>3611.9681960784314</v>
      </c>
      <c r="U29" s="60">
        <f t="shared" si="11"/>
        <v>3611.9681960784314</v>
      </c>
      <c r="V29" s="60">
        <v>62</v>
      </c>
      <c r="W29" s="689" t="s">
        <v>5</v>
      </c>
      <c r="X29" s="690"/>
      <c r="Y29" s="691"/>
      <c r="Z29" s="650" t="s">
        <v>5</v>
      </c>
      <c r="AA29" s="650"/>
      <c r="AB29" s="650"/>
      <c r="AC29" s="650" t="s">
        <v>5</v>
      </c>
      <c r="AD29" s="650"/>
      <c r="AE29" s="650"/>
      <c r="AF29" s="369" t="s">
        <v>5</v>
      </c>
      <c r="AG29" s="680"/>
      <c r="AH29" s="680"/>
      <c r="AI29" s="369" t="str">
        <f>+IF(U29="","",IF(U29&gt;=[14]PARÁMETROS!$D$5,"CUMPLE","NO CUMPLE"))</f>
        <v>CUMPLE</v>
      </c>
      <c r="AJ29" s="143"/>
      <c r="AK29" s="112"/>
    </row>
    <row r="30" spans="1:37" s="79" customFormat="1" ht="63" x14ac:dyDescent="0.25">
      <c r="A30" s="653"/>
      <c r="B30" s="377" t="s">
        <v>357</v>
      </c>
      <c r="C30" s="409">
        <v>175</v>
      </c>
      <c r="D30" s="65" t="str">
        <f>+IFERROR(INDEX([14]CONSOLIDADO!$D$4:$D$108,MATCH('EXP GEN. 41-50'!B30,[14]CONSOLIDADO!$C$4:$C$108,0)),"")</f>
        <v>INGETEC G &amp; C</v>
      </c>
      <c r="E30" s="82" t="s">
        <v>473</v>
      </c>
      <c r="F30" s="82" t="s">
        <v>722</v>
      </c>
      <c r="G30" s="369" t="s">
        <v>5</v>
      </c>
      <c r="H30" s="369" t="s">
        <v>5</v>
      </c>
      <c r="I30" s="83">
        <v>0.65</v>
      </c>
      <c r="J30" s="70">
        <v>37986</v>
      </c>
      <c r="K30" s="70">
        <v>40748</v>
      </c>
      <c r="L30" s="71">
        <f t="shared" si="12"/>
        <v>2011</v>
      </c>
      <c r="M30" s="72">
        <f>+IFERROR(INDEX([14]PARÁMETROS!$B$11:$B$37,MATCH(L30,[14]PARÁMETROS!$A$11:$A$37,0)),"")</f>
        <v>535600</v>
      </c>
      <c r="N30" s="73">
        <v>6087540759</v>
      </c>
      <c r="O30" s="74" t="s">
        <v>20</v>
      </c>
      <c r="P30" s="377" t="s">
        <v>54</v>
      </c>
      <c r="Q30" s="75" t="s">
        <v>54</v>
      </c>
      <c r="R30" s="76">
        <v>1</v>
      </c>
      <c r="S30" s="72">
        <f t="shared" si="9"/>
        <v>6087540759</v>
      </c>
      <c r="T30" s="60">
        <f t="shared" si="10"/>
        <v>11365.834128080658</v>
      </c>
      <c r="U30" s="60">
        <f t="shared" si="11"/>
        <v>7387.792183252428</v>
      </c>
      <c r="V30" s="60">
        <v>67</v>
      </c>
      <c r="W30" s="689" t="s">
        <v>5</v>
      </c>
      <c r="X30" s="690"/>
      <c r="Y30" s="691"/>
      <c r="Z30" s="650" t="s">
        <v>5</v>
      </c>
      <c r="AA30" s="650"/>
      <c r="AB30" s="650"/>
      <c r="AC30" s="650" t="s">
        <v>5</v>
      </c>
      <c r="AD30" s="650"/>
      <c r="AE30" s="650"/>
      <c r="AF30" s="369" t="s">
        <v>5</v>
      </c>
      <c r="AG30" s="680"/>
      <c r="AH30" s="680"/>
      <c r="AI30" s="369" t="str">
        <f>+IF(U30="","",IF(U30&gt;=[14]PARÁMETROS!$D$5,"CUMPLE","NO CUMPLE"))</f>
        <v>CUMPLE</v>
      </c>
      <c r="AJ30" s="143"/>
      <c r="AK30" s="112"/>
    </row>
    <row r="31" spans="1:37" s="79" customFormat="1" ht="85.5" x14ac:dyDescent="0.25">
      <c r="A31" s="653"/>
      <c r="B31" s="377" t="s">
        <v>358</v>
      </c>
      <c r="C31" s="409">
        <v>181</v>
      </c>
      <c r="D31" s="65" t="str">
        <f>+IFERROR(INDEX([14]CONSOLIDADO!$D$4:$D$108,MATCH('EXP GEN. 41-50'!B31,[14]CONSOLIDADO!$C$4:$C$108,0)),"")</f>
        <v>CEAS</v>
      </c>
      <c r="E31" s="66" t="s">
        <v>702</v>
      </c>
      <c r="F31" s="67" t="s">
        <v>723</v>
      </c>
      <c r="G31" s="369" t="s">
        <v>5</v>
      </c>
      <c r="H31" s="369" t="s">
        <v>5</v>
      </c>
      <c r="I31" s="84">
        <v>0.75</v>
      </c>
      <c r="J31" s="85">
        <v>38678</v>
      </c>
      <c r="K31" s="86">
        <v>39690</v>
      </c>
      <c r="L31" s="71">
        <f t="shared" si="12"/>
        <v>2008</v>
      </c>
      <c r="M31" s="72">
        <f>+IFERROR(INDEX([14]PARÁMETROS!$B$11:$B$37,MATCH(L31,[14]PARÁMETROS!$A$11:$A$37,0)),"")</f>
        <v>461500</v>
      </c>
      <c r="N31" s="74">
        <v>1702409736</v>
      </c>
      <c r="O31" s="74" t="s">
        <v>20</v>
      </c>
      <c r="P31" s="74" t="s">
        <v>54</v>
      </c>
      <c r="Q31" s="74" t="s">
        <v>54</v>
      </c>
      <c r="R31" s="74">
        <v>1</v>
      </c>
      <c r="S31" s="72">
        <f t="shared" si="9"/>
        <v>1702409736</v>
      </c>
      <c r="T31" s="60">
        <f t="shared" si="10"/>
        <v>3688.8618331527628</v>
      </c>
      <c r="U31" s="60">
        <f t="shared" si="11"/>
        <v>2766.646374864572</v>
      </c>
      <c r="V31" s="87">
        <v>9</v>
      </c>
      <c r="W31" s="650" t="s">
        <v>5</v>
      </c>
      <c r="X31" s="650"/>
      <c r="Y31" s="650"/>
      <c r="Z31" s="650" t="s">
        <v>5</v>
      </c>
      <c r="AA31" s="650"/>
      <c r="AB31" s="650"/>
      <c r="AC31" s="650" t="s">
        <v>5</v>
      </c>
      <c r="AD31" s="650"/>
      <c r="AE31" s="650"/>
      <c r="AF31" s="369" t="s">
        <v>5</v>
      </c>
      <c r="AG31" s="680"/>
      <c r="AH31" s="680"/>
      <c r="AI31" s="369" t="str">
        <f>+IF(U31="","",IF(U31&gt;=[14]PARÁMETROS!$D$5,"CUMPLE","NO CUMPLE"))</f>
        <v>CUMPLE</v>
      </c>
      <c r="AJ31" s="143"/>
      <c r="AK31" s="112"/>
    </row>
    <row r="32" spans="1:37" s="79" customFormat="1" ht="30" customHeight="1" x14ac:dyDescent="0.25">
      <c r="A32" s="653"/>
      <c r="B32" s="377" t="s">
        <v>358</v>
      </c>
      <c r="C32" s="409">
        <v>184</v>
      </c>
      <c r="D32" s="65" t="str">
        <f>+IFERROR(INDEX([14]CONSOLIDADO!$D$4:$D$108,MATCH('EXP GEN. 41-50'!B32,[14]CONSOLIDADO!$C$4:$C$108,0)),"")</f>
        <v>CEAS</v>
      </c>
      <c r="E32" s="66" t="s">
        <v>724</v>
      </c>
      <c r="F32" s="67" t="s">
        <v>725</v>
      </c>
      <c r="G32" s="369" t="s">
        <v>5</v>
      </c>
      <c r="H32" s="369" t="s">
        <v>5</v>
      </c>
      <c r="I32" s="69">
        <v>1</v>
      </c>
      <c r="J32" s="70">
        <v>36628</v>
      </c>
      <c r="K32" s="70">
        <v>36961</v>
      </c>
      <c r="L32" s="71">
        <f t="shared" si="12"/>
        <v>2001</v>
      </c>
      <c r="M32" s="72">
        <f>+IFERROR(INDEX([14]PARÁMETROS!$B$11:$B$37,MATCH(L32,[14]PARÁMETROS!$A$11:$A$37,0)),"")</f>
        <v>286000</v>
      </c>
      <c r="N32" s="73">
        <v>751174268</v>
      </c>
      <c r="O32" s="74" t="s">
        <v>20</v>
      </c>
      <c r="P32" s="377" t="s">
        <v>54</v>
      </c>
      <c r="Q32" s="75" t="s">
        <v>54</v>
      </c>
      <c r="R32" s="76">
        <v>1</v>
      </c>
      <c r="S32" s="72">
        <f t="shared" si="9"/>
        <v>751174268</v>
      </c>
      <c r="T32" s="60">
        <f t="shared" si="10"/>
        <v>2626.4834545454546</v>
      </c>
      <c r="U32" s="60">
        <f t="shared" si="11"/>
        <v>2626.4834545454546</v>
      </c>
      <c r="V32" s="60">
        <v>14</v>
      </c>
      <c r="W32" s="650" t="s">
        <v>5</v>
      </c>
      <c r="X32" s="650"/>
      <c r="Y32" s="650"/>
      <c r="Z32" s="650" t="s">
        <v>5</v>
      </c>
      <c r="AA32" s="650"/>
      <c r="AB32" s="650"/>
      <c r="AC32" s="650" t="s">
        <v>5</v>
      </c>
      <c r="AD32" s="650"/>
      <c r="AE32" s="650"/>
      <c r="AF32" s="369" t="s">
        <v>5</v>
      </c>
      <c r="AG32" s="680"/>
      <c r="AH32" s="680"/>
      <c r="AI32" s="369" t="str">
        <f>+IF(U32="","",IF(U32&gt;=[14]PARÁMETROS!$D$5,"CUMPLE","NO CUMPLE"))</f>
        <v>CUMPLE</v>
      </c>
      <c r="AJ32" s="143"/>
      <c r="AK32" s="112"/>
    </row>
    <row r="33" spans="1:37" s="79" customFormat="1" ht="30" customHeight="1" thickBot="1" x14ac:dyDescent="0.3">
      <c r="A33" s="654"/>
      <c r="B33" s="145" t="s">
        <v>358</v>
      </c>
      <c r="C33" s="411">
        <v>186</v>
      </c>
      <c r="D33" s="146" t="str">
        <f>+IFERROR(INDEX([14]CONSOLIDADO!$D$4:$D$108,MATCH('EXP GEN. 41-50'!B33,[14]CONSOLIDADO!$C$4:$C$108,0)),"")</f>
        <v>CEAS</v>
      </c>
      <c r="E33" s="147" t="s">
        <v>419</v>
      </c>
      <c r="F33" s="148" t="s">
        <v>726</v>
      </c>
      <c r="G33" s="370" t="s">
        <v>5</v>
      </c>
      <c r="H33" s="370" t="s">
        <v>5</v>
      </c>
      <c r="I33" s="150">
        <v>0.3</v>
      </c>
      <c r="J33" s="151">
        <v>40504</v>
      </c>
      <c r="K33" s="151">
        <v>41287</v>
      </c>
      <c r="L33" s="152">
        <f t="shared" si="12"/>
        <v>2013</v>
      </c>
      <c r="M33" s="153">
        <f>+IFERROR(INDEX([14]PARÁMETROS!$B$11:$B$37,MATCH(L33,[14]PARÁMETROS!$A$11:$A$37,0)),"")</f>
        <v>589500</v>
      </c>
      <c r="N33" s="154">
        <v>3199078844.48</v>
      </c>
      <c r="O33" s="155" t="s">
        <v>20</v>
      </c>
      <c r="P33" s="145" t="s">
        <v>54</v>
      </c>
      <c r="Q33" s="156" t="s">
        <v>54</v>
      </c>
      <c r="R33" s="157">
        <v>1</v>
      </c>
      <c r="S33" s="153">
        <f t="shared" si="9"/>
        <v>3199078844.48</v>
      </c>
      <c r="T33" s="158">
        <f t="shared" si="10"/>
        <v>5426.7664876675153</v>
      </c>
      <c r="U33" s="158">
        <f t="shared" si="11"/>
        <v>1628.0299463002546</v>
      </c>
      <c r="V33" s="158">
        <v>18</v>
      </c>
      <c r="W33" s="651" t="s">
        <v>5</v>
      </c>
      <c r="X33" s="651"/>
      <c r="Y33" s="651"/>
      <c r="Z33" s="651" t="s">
        <v>5</v>
      </c>
      <c r="AA33" s="651"/>
      <c r="AB33" s="651"/>
      <c r="AC33" s="651" t="s">
        <v>5</v>
      </c>
      <c r="AD33" s="651"/>
      <c r="AE33" s="651"/>
      <c r="AF33" s="370" t="s">
        <v>5</v>
      </c>
      <c r="AG33" s="681"/>
      <c r="AH33" s="681"/>
      <c r="AI33" s="370" t="str">
        <f>+IF(U33="","",IF(U33&gt;=[14]PARÁMETROS!$D$5,"CUMPLE","NO CUMPLE"))</f>
        <v>NO CUMPLE</v>
      </c>
      <c r="AJ33" s="160"/>
      <c r="AK33" s="112"/>
    </row>
    <row r="34" spans="1:37" s="79" customFormat="1" ht="63" x14ac:dyDescent="0.25">
      <c r="A34" s="652" t="s">
        <v>277</v>
      </c>
      <c r="B34" s="125" t="s">
        <v>360</v>
      </c>
      <c r="C34" s="408">
        <v>445</v>
      </c>
      <c r="D34" s="127" t="str">
        <f>+IFERROR(INDEX([14]CONSOLIDADO!$D$4:$D$108,MATCH('EXP GEN. 41-50'!B34,[14]CONSOLIDADO!$C$4:$C$108,0)),"")</f>
        <v>SONDEOS ESTRUCTURAS Y GEOTECNIA SUCURSAL S.A.</v>
      </c>
      <c r="E34" s="128" t="s">
        <v>728</v>
      </c>
      <c r="F34" s="129" t="s">
        <v>729</v>
      </c>
      <c r="G34" s="368" t="s">
        <v>5</v>
      </c>
      <c r="H34" s="368" t="s">
        <v>5</v>
      </c>
      <c r="I34" s="131">
        <v>0.23</v>
      </c>
      <c r="J34" s="379">
        <v>35473</v>
      </c>
      <c r="K34" s="379">
        <v>36189</v>
      </c>
      <c r="L34" s="133">
        <f t="shared" si="12"/>
        <v>1999</v>
      </c>
      <c r="M34" s="134">
        <f>+IFERROR(INDEX([14]PARÁMETROS!$B$11:$B$37,MATCH(L34,[14]PARÁMETROS!$A$11:$A$37,0)),"")</f>
        <v>236460</v>
      </c>
      <c r="N34" s="380">
        <v>12660915758</v>
      </c>
      <c r="O34" s="136" t="s">
        <v>730</v>
      </c>
      <c r="P34" s="125">
        <v>1580.72</v>
      </c>
      <c r="Q34" s="137">
        <f>7035211.14*1.1385</f>
        <v>8009587.88289</v>
      </c>
      <c r="R34" s="138">
        <v>1</v>
      </c>
      <c r="S34" s="134">
        <f t="shared" si="9"/>
        <v>12660915758</v>
      </c>
      <c r="T34" s="139">
        <f t="shared" si="10"/>
        <v>53543.583515182268</v>
      </c>
      <c r="U34" s="139">
        <f t="shared" si="11"/>
        <v>12315.024208491923</v>
      </c>
      <c r="V34" s="139">
        <v>51</v>
      </c>
      <c r="W34" s="649" t="s">
        <v>5</v>
      </c>
      <c r="X34" s="649"/>
      <c r="Y34" s="649"/>
      <c r="Z34" s="649" t="s">
        <v>5</v>
      </c>
      <c r="AA34" s="649"/>
      <c r="AB34" s="649"/>
      <c r="AC34" s="649" t="s">
        <v>5</v>
      </c>
      <c r="AD34" s="649"/>
      <c r="AE34" s="649"/>
      <c r="AF34" s="368" t="s">
        <v>5</v>
      </c>
      <c r="AG34" s="679" t="str">
        <f>IF(U34="","",IF(SUM(U34:U37)&gt;=[14]PARÁMETROS!$H$5,"CUMPLE","NO CUMPLE"))</f>
        <v>CUMPLE</v>
      </c>
      <c r="AH34" s="679" t="str">
        <f>IF(U34="","",IF(U34+U35&gt;=[14]PARÁMETROS!$F$5,"CUMPLE","NO CUMPLE"))</f>
        <v>CUMPLE</v>
      </c>
      <c r="AI34" s="368" t="str">
        <f>+IF(U34="","",IF(U34&gt;=[14]PARÁMETROS!$D$5,"CUMPLE","NO CUMPLE"))</f>
        <v>CUMPLE</v>
      </c>
      <c r="AJ34" s="142"/>
      <c r="AK34" s="112"/>
    </row>
    <row r="35" spans="1:37" s="79" customFormat="1" ht="63" x14ac:dyDescent="0.25">
      <c r="A35" s="653"/>
      <c r="B35" s="377" t="s">
        <v>360</v>
      </c>
      <c r="C35" s="409">
        <v>465</v>
      </c>
      <c r="D35" s="65" t="str">
        <f>+IFERROR(INDEX([14]CONSOLIDADO!$D$4:$D$108,MATCH('EXP GEN. 41-50'!B35,[14]CONSOLIDADO!$C$4:$C$108,0)),"")</f>
        <v>SONDEOS ESTRUCTURAS Y GEOTECNIA SUCURSAL S.A.</v>
      </c>
      <c r="E35" s="66" t="s">
        <v>731</v>
      </c>
      <c r="F35" s="67" t="s">
        <v>732</v>
      </c>
      <c r="G35" s="369" t="s">
        <v>5</v>
      </c>
      <c r="H35" s="369" t="s">
        <v>5</v>
      </c>
      <c r="I35" s="69">
        <v>0.5</v>
      </c>
      <c r="J35" s="381">
        <v>38693</v>
      </c>
      <c r="K35" s="381">
        <v>40907</v>
      </c>
      <c r="L35" s="71">
        <f t="shared" si="12"/>
        <v>2011</v>
      </c>
      <c r="M35" s="72">
        <f>+IFERROR(INDEX([14]PARÁMETROS!$B$11:$B$37,MATCH(L35,[14]PARÁMETROS!$A$11:$A$37,0)),"")</f>
        <v>535600</v>
      </c>
      <c r="N35" s="382">
        <v>4587694911</v>
      </c>
      <c r="O35" s="74" t="s">
        <v>730</v>
      </c>
      <c r="P35" s="377">
        <v>1942.7</v>
      </c>
      <c r="Q35" s="75">
        <v>1827620.16</v>
      </c>
      <c r="R35" s="76">
        <v>1</v>
      </c>
      <c r="S35" s="72">
        <f t="shared" si="9"/>
        <v>4587694911</v>
      </c>
      <c r="T35" s="60">
        <f t="shared" si="10"/>
        <v>8565.5244790888719</v>
      </c>
      <c r="U35" s="60">
        <f t="shared" si="11"/>
        <v>4282.7622395444359</v>
      </c>
      <c r="V35" s="60">
        <v>78</v>
      </c>
      <c r="W35" s="650" t="s">
        <v>5</v>
      </c>
      <c r="X35" s="650"/>
      <c r="Y35" s="650"/>
      <c r="Z35" s="650" t="s">
        <v>5</v>
      </c>
      <c r="AA35" s="650"/>
      <c r="AB35" s="650"/>
      <c r="AC35" s="650" t="s">
        <v>5</v>
      </c>
      <c r="AD35" s="650"/>
      <c r="AE35" s="650"/>
      <c r="AF35" s="369" t="s">
        <v>5</v>
      </c>
      <c r="AG35" s="680"/>
      <c r="AH35" s="680"/>
      <c r="AI35" s="369" t="str">
        <f>+IF(U35="","",IF(U35&gt;=[14]PARÁMETROS!$D$5,"CUMPLE","NO CUMPLE"))</f>
        <v>CUMPLE</v>
      </c>
      <c r="AJ35" s="143"/>
      <c r="AK35" s="112"/>
    </row>
    <row r="36" spans="1:37" s="79" customFormat="1" ht="78.75" x14ac:dyDescent="0.25">
      <c r="A36" s="653"/>
      <c r="B36" s="377" t="s">
        <v>359</v>
      </c>
      <c r="C36" s="409">
        <v>483</v>
      </c>
      <c r="D36" s="65" t="str">
        <f>+IFERROR(INDEX([14]CONSOLIDADO!$D$4:$D$108,MATCH('EXP GEN. 41-50'!B36,[14]CONSOLIDADO!$C$4:$C$108,0)),"")</f>
        <v>INGENIERIA CONSULTORIA Y PLANEACION S.A. INCOPLAN S.A.</v>
      </c>
      <c r="E36" s="66" t="s">
        <v>733</v>
      </c>
      <c r="F36" s="67" t="s">
        <v>734</v>
      </c>
      <c r="G36" s="369" t="s">
        <v>5</v>
      </c>
      <c r="H36" s="369" t="s">
        <v>5</v>
      </c>
      <c r="I36" s="69">
        <v>0.6</v>
      </c>
      <c r="J36" s="381">
        <v>39997</v>
      </c>
      <c r="K36" s="70" t="s">
        <v>709</v>
      </c>
      <c r="L36" s="71">
        <v>2015</v>
      </c>
      <c r="M36" s="72">
        <f>+IFERROR(INDEX([14]PARÁMETROS!$B$11:$B$37,MATCH(L36,[14]PARÁMETROS!$A$11:$A$37,0)),"")</f>
        <v>644350</v>
      </c>
      <c r="N36" s="382">
        <v>6605610884</v>
      </c>
      <c r="O36" s="74" t="s">
        <v>20</v>
      </c>
      <c r="P36" s="377" t="s">
        <v>54</v>
      </c>
      <c r="Q36" s="75" t="s">
        <v>54</v>
      </c>
      <c r="R36" s="76">
        <v>1</v>
      </c>
      <c r="S36" s="72">
        <f t="shared" si="9"/>
        <v>6605610884</v>
      </c>
      <c r="T36" s="60">
        <f t="shared" si="10"/>
        <v>10251.588242414837</v>
      </c>
      <c r="U36" s="60">
        <f t="shared" si="11"/>
        <v>6150.952945448902</v>
      </c>
      <c r="V36" s="60" t="s">
        <v>710</v>
      </c>
      <c r="W36" s="650"/>
      <c r="X36" s="650"/>
      <c r="Y36" s="650"/>
      <c r="Z36" s="650"/>
      <c r="AA36" s="650"/>
      <c r="AB36" s="650"/>
      <c r="AC36" s="650"/>
      <c r="AD36" s="650"/>
      <c r="AE36" s="650"/>
      <c r="AF36" s="369" t="s">
        <v>5</v>
      </c>
      <c r="AG36" s="680"/>
      <c r="AH36" s="680"/>
      <c r="AI36" s="369" t="str">
        <f>+IF(U36="","",IF(U36&gt;=[14]PARÁMETROS!$D$5,"CUMPLE","NO CUMPLE"))</f>
        <v>CUMPLE</v>
      </c>
      <c r="AJ36" s="143"/>
      <c r="AK36" s="112"/>
    </row>
    <row r="37" spans="1:37" s="79" customFormat="1" ht="143.25" thickBot="1" x14ac:dyDescent="0.3">
      <c r="A37" s="654"/>
      <c r="B37" s="145" t="s">
        <v>359</v>
      </c>
      <c r="C37" s="411">
        <v>488</v>
      </c>
      <c r="D37" s="146" t="str">
        <f>+IFERROR(INDEX([14]CONSOLIDADO!$D$4:$D$108,MATCH('EXP GEN. 41-50'!B37,[14]CONSOLIDADO!$C$4:$C$108,0)),"")</f>
        <v>INGENIERIA CONSULTORIA Y PLANEACION S.A. INCOPLAN S.A.</v>
      </c>
      <c r="E37" s="147" t="s">
        <v>735</v>
      </c>
      <c r="F37" s="148" t="s">
        <v>736</v>
      </c>
      <c r="G37" s="370" t="s">
        <v>5</v>
      </c>
      <c r="H37" s="370" t="s">
        <v>5</v>
      </c>
      <c r="I37" s="150">
        <v>0.45</v>
      </c>
      <c r="J37" s="394">
        <v>40954</v>
      </c>
      <c r="K37" s="151" t="s">
        <v>709</v>
      </c>
      <c r="L37" s="152">
        <v>2015</v>
      </c>
      <c r="M37" s="153">
        <f>+IFERROR(INDEX([14]PARÁMETROS!$B$11:$B$37,MATCH(L37,[14]PARÁMETROS!$A$11:$A$37,0)),"")</f>
        <v>644350</v>
      </c>
      <c r="N37" s="395">
        <v>6670475572</v>
      </c>
      <c r="O37" s="155" t="s">
        <v>20</v>
      </c>
      <c r="P37" s="145" t="s">
        <v>54</v>
      </c>
      <c r="Q37" s="156" t="s">
        <v>54</v>
      </c>
      <c r="R37" s="157">
        <v>1</v>
      </c>
      <c r="S37" s="153">
        <f t="shared" si="9"/>
        <v>6670475572</v>
      </c>
      <c r="T37" s="158">
        <f t="shared" si="10"/>
        <v>10352.255097384961</v>
      </c>
      <c r="U37" s="158">
        <f t="shared" si="11"/>
        <v>4658.514793823233</v>
      </c>
      <c r="V37" s="158" t="s">
        <v>710</v>
      </c>
      <c r="W37" s="651"/>
      <c r="X37" s="651"/>
      <c r="Y37" s="651"/>
      <c r="Z37" s="651"/>
      <c r="AA37" s="651"/>
      <c r="AB37" s="651"/>
      <c r="AC37" s="651"/>
      <c r="AD37" s="651"/>
      <c r="AE37" s="651"/>
      <c r="AF37" s="370" t="s">
        <v>5</v>
      </c>
      <c r="AG37" s="681"/>
      <c r="AH37" s="681"/>
      <c r="AI37" s="370" t="str">
        <f>+IF(U37="","",IF(U37&gt;=[14]PARÁMETROS!$D$5,"CUMPLE","NO CUMPLE"))</f>
        <v>CUMPLE</v>
      </c>
      <c r="AJ37" s="160"/>
      <c r="AK37" s="112"/>
    </row>
    <row r="38" spans="1:37" s="79" customFormat="1" ht="57" x14ac:dyDescent="0.25">
      <c r="A38" s="652" t="s">
        <v>278</v>
      </c>
      <c r="B38" s="125" t="s">
        <v>361</v>
      </c>
      <c r="C38" s="408">
        <v>195</v>
      </c>
      <c r="D38" s="127" t="str">
        <f>+IFERROR(INDEX([14]CONSOLIDADO!$D$4:$D$108,MATCH('EXP GEN. 41-50'!B38,[14]CONSOLIDADO!$C$4:$C$108,0)),"")</f>
        <v>HMV CONSULTORIA</v>
      </c>
      <c r="E38" s="128" t="s">
        <v>738</v>
      </c>
      <c r="F38" s="129" t="s">
        <v>739</v>
      </c>
      <c r="G38" s="140" t="s">
        <v>5</v>
      </c>
      <c r="H38" s="368" t="s">
        <v>5</v>
      </c>
      <c r="I38" s="131">
        <v>1</v>
      </c>
      <c r="J38" s="383">
        <v>38323</v>
      </c>
      <c r="K38" s="383">
        <v>40694</v>
      </c>
      <c r="L38" s="133">
        <f t="shared" ref="L38:L53" si="13">IF(K38="","",YEAR(K38))</f>
        <v>2011</v>
      </c>
      <c r="M38" s="134">
        <f>+IFERROR(INDEX([14]PARÁMETROS!$B$11:$B$37,MATCH(L38,[14]PARÁMETROS!$A$11:$A$37,0)),"")</f>
        <v>535600</v>
      </c>
      <c r="N38" s="384">
        <v>8415351165</v>
      </c>
      <c r="O38" s="136" t="s">
        <v>20</v>
      </c>
      <c r="P38" s="125" t="s">
        <v>54</v>
      </c>
      <c r="Q38" s="137" t="s">
        <v>54</v>
      </c>
      <c r="R38" s="138">
        <v>1</v>
      </c>
      <c r="S38" s="134">
        <f t="shared" si="9"/>
        <v>8415351165</v>
      </c>
      <c r="T38" s="139">
        <f t="shared" si="10"/>
        <v>15712.007402912621</v>
      </c>
      <c r="U38" s="139">
        <f t="shared" si="11"/>
        <v>15712.007402912621</v>
      </c>
      <c r="V38" s="139">
        <v>13</v>
      </c>
      <c r="W38" s="649" t="s">
        <v>5</v>
      </c>
      <c r="X38" s="649"/>
      <c r="Y38" s="649"/>
      <c r="Z38" s="649" t="s">
        <v>5</v>
      </c>
      <c r="AA38" s="649"/>
      <c r="AB38" s="649"/>
      <c r="AC38" s="649" t="s">
        <v>5</v>
      </c>
      <c r="AD38" s="649"/>
      <c r="AE38" s="649"/>
      <c r="AF38" s="368" t="s">
        <v>5</v>
      </c>
      <c r="AG38" s="679" t="str">
        <f>IF(U38="","",IF(SUM(U38:U43)&gt;=[14]PARÁMETROS!$H$5,"CUMPLE","NO CUMPLE"))</f>
        <v>CUMPLE</v>
      </c>
      <c r="AH38" s="679" t="s">
        <v>620</v>
      </c>
      <c r="AI38" s="368" t="str">
        <f>+IF(U38="","",IF(U38&gt;=[14]PARÁMETROS!$D$5,"CUMPLE","NO CUMPLE"))</f>
        <v>CUMPLE</v>
      </c>
      <c r="AJ38" s="142"/>
      <c r="AK38" s="112"/>
    </row>
    <row r="39" spans="1:37" s="79" customFormat="1" ht="57" x14ac:dyDescent="0.25">
      <c r="A39" s="653"/>
      <c r="B39" s="377" t="s">
        <v>361</v>
      </c>
      <c r="C39" s="409">
        <v>202</v>
      </c>
      <c r="D39" s="65" t="str">
        <f>+IFERROR(INDEX([14]CONSOLIDADO!$D$4:$D$108,MATCH('EXP GEN. 41-50'!B39,[14]CONSOLIDADO!$C$4:$C$108,0)),"")</f>
        <v>HMV CONSULTORIA</v>
      </c>
      <c r="E39" s="66" t="s">
        <v>740</v>
      </c>
      <c r="F39" s="67" t="s">
        <v>741</v>
      </c>
      <c r="G39" s="77" t="s">
        <v>5</v>
      </c>
      <c r="H39" s="369" t="s">
        <v>5</v>
      </c>
      <c r="I39" s="69">
        <v>1</v>
      </c>
      <c r="J39" s="385">
        <v>39246</v>
      </c>
      <c r="K39" s="385">
        <v>40311</v>
      </c>
      <c r="L39" s="71">
        <f t="shared" si="13"/>
        <v>2010</v>
      </c>
      <c r="M39" s="72">
        <f>+IFERROR(INDEX([14]PARÁMETROS!$B$11:$B$37,MATCH(L39,[14]PARÁMETROS!$A$11:$A$37,0)),"")</f>
        <v>515000</v>
      </c>
      <c r="N39" s="386">
        <v>4653247126</v>
      </c>
      <c r="O39" s="74" t="s">
        <v>20</v>
      </c>
      <c r="P39" s="377" t="s">
        <v>54</v>
      </c>
      <c r="Q39" s="75" t="s">
        <v>54</v>
      </c>
      <c r="R39" s="76">
        <v>1</v>
      </c>
      <c r="S39" s="72">
        <f t="shared" si="9"/>
        <v>4653247126</v>
      </c>
      <c r="T39" s="60">
        <f t="shared" si="10"/>
        <v>9035.4313126213601</v>
      </c>
      <c r="U39" s="60">
        <f t="shared" si="11"/>
        <v>9035.4313126213601</v>
      </c>
      <c r="V39" s="60">
        <v>2</v>
      </c>
      <c r="W39" s="650" t="s">
        <v>5</v>
      </c>
      <c r="X39" s="650"/>
      <c r="Y39" s="650"/>
      <c r="Z39" s="650" t="s">
        <v>5</v>
      </c>
      <c r="AA39" s="650"/>
      <c r="AB39" s="650"/>
      <c r="AC39" s="650" t="s">
        <v>5</v>
      </c>
      <c r="AD39" s="650"/>
      <c r="AE39" s="650"/>
      <c r="AF39" s="369" t="s">
        <v>5</v>
      </c>
      <c r="AG39" s="680"/>
      <c r="AH39" s="680"/>
      <c r="AI39" s="369" t="str">
        <f>+IF(U39="","",IF(U39&gt;=[14]PARÁMETROS!$D$5,"CUMPLE","NO CUMPLE"))</f>
        <v>CUMPLE</v>
      </c>
      <c r="AJ39" s="143"/>
      <c r="AK39" s="112"/>
    </row>
    <row r="40" spans="1:37" s="79" customFormat="1" ht="42.75" x14ac:dyDescent="0.25">
      <c r="A40" s="653"/>
      <c r="B40" s="377" t="s">
        <v>361</v>
      </c>
      <c r="C40" s="409">
        <v>207</v>
      </c>
      <c r="D40" s="65" t="str">
        <f>+IFERROR(INDEX([14]CONSOLIDADO!$D$4:$D$108,MATCH('EXP GEN. 41-50'!B40,[14]CONSOLIDADO!$C$4:$C$108,0)),"")</f>
        <v>HMV CONSULTORIA</v>
      </c>
      <c r="E40" s="66" t="s">
        <v>740</v>
      </c>
      <c r="F40" s="67" t="s">
        <v>742</v>
      </c>
      <c r="G40" s="77" t="s">
        <v>5</v>
      </c>
      <c r="H40" s="369" t="s">
        <v>5</v>
      </c>
      <c r="I40" s="69">
        <v>1</v>
      </c>
      <c r="J40" s="385">
        <v>39153</v>
      </c>
      <c r="K40" s="385">
        <v>39867</v>
      </c>
      <c r="L40" s="71">
        <f t="shared" si="13"/>
        <v>2009</v>
      </c>
      <c r="M40" s="72">
        <f>+IFERROR(INDEX([14]PARÁMETROS!$B$11:$B$37,MATCH(L40,[14]PARÁMETROS!$A$11:$A$37,0)),"")</f>
        <v>496900</v>
      </c>
      <c r="N40" s="386">
        <v>1607052207</v>
      </c>
      <c r="O40" s="74" t="s">
        <v>20</v>
      </c>
      <c r="P40" s="377" t="s">
        <v>54</v>
      </c>
      <c r="Q40" s="75" t="s">
        <v>54</v>
      </c>
      <c r="R40" s="76">
        <v>1</v>
      </c>
      <c r="S40" s="72">
        <f t="shared" si="9"/>
        <v>1607052207</v>
      </c>
      <c r="T40" s="60">
        <f t="shared" si="10"/>
        <v>3234.1561823304487</v>
      </c>
      <c r="U40" s="60">
        <f t="shared" si="11"/>
        <v>3234.1561823304487</v>
      </c>
      <c r="V40" s="60">
        <v>24</v>
      </c>
      <c r="W40" s="650" t="s">
        <v>5</v>
      </c>
      <c r="X40" s="650"/>
      <c r="Y40" s="650"/>
      <c r="Z40" s="650" t="s">
        <v>5</v>
      </c>
      <c r="AA40" s="650"/>
      <c r="AB40" s="650"/>
      <c r="AC40" s="650" t="s">
        <v>5</v>
      </c>
      <c r="AD40" s="650"/>
      <c r="AE40" s="650"/>
      <c r="AF40" s="369" t="s">
        <v>5</v>
      </c>
      <c r="AG40" s="680"/>
      <c r="AH40" s="680"/>
      <c r="AI40" s="369" t="str">
        <f>+IF(U40="","",IF(U40&gt;=[14]PARÁMETROS!$D$5,"CUMPLE","NO CUMPLE"))</f>
        <v>CUMPLE</v>
      </c>
      <c r="AJ40" s="143"/>
      <c r="AK40" s="112"/>
    </row>
    <row r="41" spans="1:37" s="79" customFormat="1" ht="57" x14ac:dyDescent="0.25">
      <c r="A41" s="653"/>
      <c r="B41" s="377" t="s">
        <v>361</v>
      </c>
      <c r="C41" s="409">
        <v>216</v>
      </c>
      <c r="D41" s="65" t="str">
        <f>+IFERROR(INDEX([14]CONSOLIDADO!$D$4:$D$108,MATCH('EXP GEN. 41-50'!B41,[14]CONSOLIDADO!$C$4:$C$108,0)),"")</f>
        <v>HMV CONSULTORIA</v>
      </c>
      <c r="E41" s="89" t="s">
        <v>740</v>
      </c>
      <c r="F41" s="251" t="s">
        <v>743</v>
      </c>
      <c r="G41" s="77" t="s">
        <v>5</v>
      </c>
      <c r="H41" s="369" t="s">
        <v>5</v>
      </c>
      <c r="I41" s="90">
        <v>1</v>
      </c>
      <c r="J41" s="387">
        <v>38852</v>
      </c>
      <c r="K41" s="387">
        <v>39431</v>
      </c>
      <c r="L41" s="71">
        <f t="shared" si="13"/>
        <v>2007</v>
      </c>
      <c r="M41" s="72">
        <f>+IFERROR(INDEX([14]PARÁMETROS!$B$11:$B$37,MATCH(L41,[14]PARÁMETROS!$A$11:$A$37,0)),"")</f>
        <v>433700</v>
      </c>
      <c r="N41" s="388">
        <v>1681765496</v>
      </c>
      <c r="O41" s="93" t="s">
        <v>20</v>
      </c>
      <c r="P41" s="377" t="s">
        <v>54</v>
      </c>
      <c r="Q41" s="75" t="s">
        <v>54</v>
      </c>
      <c r="R41" s="76">
        <v>1</v>
      </c>
      <c r="S41" s="72">
        <f t="shared" si="9"/>
        <v>1681765496</v>
      </c>
      <c r="T41" s="60">
        <f t="shared" si="10"/>
        <v>3877.7161540235184</v>
      </c>
      <c r="U41" s="60">
        <f t="shared" si="11"/>
        <v>3877.7161540235184</v>
      </c>
      <c r="V41" s="60">
        <v>76</v>
      </c>
      <c r="W41" s="650" t="s">
        <v>5</v>
      </c>
      <c r="X41" s="650"/>
      <c r="Y41" s="650"/>
      <c r="Z41" s="650" t="s">
        <v>5</v>
      </c>
      <c r="AA41" s="650"/>
      <c r="AB41" s="650"/>
      <c r="AC41" s="650" t="s">
        <v>5</v>
      </c>
      <c r="AD41" s="650"/>
      <c r="AE41" s="650"/>
      <c r="AF41" s="369" t="s">
        <v>5</v>
      </c>
      <c r="AG41" s="680"/>
      <c r="AH41" s="680"/>
      <c r="AI41" s="369" t="str">
        <f>+IF(U41="","",IF(U41&gt;=[14]PARÁMETROS!$D$5,"CUMPLE","NO CUMPLE"))</f>
        <v>CUMPLE</v>
      </c>
      <c r="AJ41" s="144"/>
      <c r="AK41" s="112"/>
    </row>
    <row r="42" spans="1:37" s="79" customFormat="1" ht="57" x14ac:dyDescent="0.25">
      <c r="A42" s="653"/>
      <c r="B42" s="377" t="s">
        <v>361</v>
      </c>
      <c r="C42" s="409">
        <v>222</v>
      </c>
      <c r="D42" s="65" t="str">
        <f>+IFERROR(INDEX([14]CONSOLIDADO!$D$4:$D$108,MATCH('EXP GEN. 41-50'!B42,[14]CONSOLIDADO!$C$4:$C$108,0)),"")</f>
        <v>HMV CONSULTORIA</v>
      </c>
      <c r="E42" s="66" t="s">
        <v>738</v>
      </c>
      <c r="F42" s="67" t="s">
        <v>744</v>
      </c>
      <c r="G42" s="77" t="s">
        <v>5</v>
      </c>
      <c r="H42" s="369" t="s">
        <v>5</v>
      </c>
      <c r="I42" s="69">
        <v>0.5</v>
      </c>
      <c r="J42" s="385">
        <v>36161</v>
      </c>
      <c r="K42" s="385">
        <v>37833</v>
      </c>
      <c r="L42" s="71">
        <f t="shared" si="13"/>
        <v>2003</v>
      </c>
      <c r="M42" s="72">
        <f>+IFERROR(INDEX([14]PARÁMETROS!$B$11:$B$37,MATCH(L42,[14]PARÁMETROS!$A$11:$A$37,0)),"")</f>
        <v>332000</v>
      </c>
      <c r="N42" s="386">
        <v>5331439397</v>
      </c>
      <c r="O42" s="74" t="s">
        <v>20</v>
      </c>
      <c r="P42" s="377" t="s">
        <v>54</v>
      </c>
      <c r="Q42" s="75" t="s">
        <v>54</v>
      </c>
      <c r="R42" s="76">
        <v>1</v>
      </c>
      <c r="S42" s="72">
        <f t="shared" si="9"/>
        <v>5331439397</v>
      </c>
      <c r="T42" s="60">
        <f t="shared" si="10"/>
        <v>16058.55240060241</v>
      </c>
      <c r="U42" s="60">
        <f t="shared" si="11"/>
        <v>8029.2762003012049</v>
      </c>
      <c r="V42" s="60">
        <v>8</v>
      </c>
      <c r="W42" s="650" t="s">
        <v>5</v>
      </c>
      <c r="X42" s="650"/>
      <c r="Y42" s="650"/>
      <c r="Z42" s="650" t="s">
        <v>5</v>
      </c>
      <c r="AA42" s="650"/>
      <c r="AB42" s="650"/>
      <c r="AC42" s="650" t="s">
        <v>5</v>
      </c>
      <c r="AD42" s="650"/>
      <c r="AE42" s="650"/>
      <c r="AF42" s="369" t="s">
        <v>5</v>
      </c>
      <c r="AG42" s="680"/>
      <c r="AH42" s="680"/>
      <c r="AI42" s="369" t="str">
        <f>+IF(U42="","",IF(U42&gt;=[14]PARÁMETROS!$D$5,"CUMPLE","NO CUMPLE"))</f>
        <v>CUMPLE</v>
      </c>
      <c r="AJ42" s="143"/>
      <c r="AK42" s="112"/>
    </row>
    <row r="43" spans="1:37" s="79" customFormat="1" ht="43.5" thickBot="1" x14ac:dyDescent="0.3">
      <c r="A43" s="654"/>
      <c r="B43" s="145" t="s">
        <v>361</v>
      </c>
      <c r="C43" s="411">
        <v>228</v>
      </c>
      <c r="D43" s="146" t="str">
        <f>+IFERROR(INDEX([14]CONSOLIDADO!$D$4:$D$108,MATCH('EXP GEN. 41-50'!B43,[14]CONSOLIDADO!$C$4:$C$108,0)),"")</f>
        <v>HMV CONSULTORIA</v>
      </c>
      <c r="E43" s="147" t="s">
        <v>745</v>
      </c>
      <c r="F43" s="148" t="s">
        <v>746</v>
      </c>
      <c r="G43" s="329" t="s">
        <v>5</v>
      </c>
      <c r="H43" s="370" t="s">
        <v>5</v>
      </c>
      <c r="I43" s="150">
        <v>0.5</v>
      </c>
      <c r="J43" s="389">
        <v>35612</v>
      </c>
      <c r="K43" s="389">
        <v>36311</v>
      </c>
      <c r="L43" s="152">
        <f t="shared" si="13"/>
        <v>1999</v>
      </c>
      <c r="M43" s="153">
        <f>+IFERROR(INDEX([14]PARÁMETROS!$B$11:$B$37,MATCH(L43,[14]PARÁMETROS!$A$11:$A$37,0)),"")</f>
        <v>236460</v>
      </c>
      <c r="N43" s="390">
        <v>1549994366</v>
      </c>
      <c r="O43" s="155" t="s">
        <v>20</v>
      </c>
      <c r="P43" s="145" t="s">
        <v>54</v>
      </c>
      <c r="Q43" s="156" t="s">
        <v>54</v>
      </c>
      <c r="R43" s="157">
        <v>1</v>
      </c>
      <c r="S43" s="153">
        <f t="shared" si="9"/>
        <v>1549994366</v>
      </c>
      <c r="T43" s="158">
        <f t="shared" si="10"/>
        <v>6554.9960500718935</v>
      </c>
      <c r="U43" s="158">
        <f t="shared" si="11"/>
        <v>3277.4980250359467</v>
      </c>
      <c r="V43" s="158">
        <v>79</v>
      </c>
      <c r="W43" s="651" t="s">
        <v>5</v>
      </c>
      <c r="X43" s="651"/>
      <c r="Y43" s="651"/>
      <c r="Z43" s="651" t="s">
        <v>5</v>
      </c>
      <c r="AA43" s="651"/>
      <c r="AB43" s="651"/>
      <c r="AC43" s="651" t="s">
        <v>5</v>
      </c>
      <c r="AD43" s="651"/>
      <c r="AE43" s="651"/>
      <c r="AF43" s="370" t="s">
        <v>5</v>
      </c>
      <c r="AG43" s="681"/>
      <c r="AH43" s="681"/>
      <c r="AI43" s="370" t="str">
        <f>+IF(U43="","",IF(U43&gt;=[14]PARÁMETROS!$D$5,"CUMPLE","NO CUMPLE"))</f>
        <v>CUMPLE</v>
      </c>
      <c r="AJ43" s="160" t="s">
        <v>869</v>
      </c>
      <c r="AK43" s="112"/>
    </row>
    <row r="44" spans="1:37" s="79" customFormat="1" ht="57" x14ac:dyDescent="0.25">
      <c r="A44" s="652" t="s">
        <v>279</v>
      </c>
      <c r="B44" s="125" t="s">
        <v>362</v>
      </c>
      <c r="C44" s="420">
        <v>117</v>
      </c>
      <c r="D44" s="406" t="str">
        <f>+IFERROR(INDEX(PROPONENTES!$D$4:$D$109,MATCH('EXP GEN. 41-50'!B44,PROPONENTES!$C$4:$C$109,0)),"")</f>
        <v>LA VIALIDAD LIMITADA</v>
      </c>
      <c r="E44" s="407" t="s">
        <v>565</v>
      </c>
      <c r="F44" s="128" t="s">
        <v>594</v>
      </c>
      <c r="G44" s="368" t="s">
        <v>5</v>
      </c>
      <c r="H44" s="368" t="s">
        <v>5</v>
      </c>
      <c r="I44" s="170">
        <v>1</v>
      </c>
      <c r="J44" s="132">
        <v>38331</v>
      </c>
      <c r="K44" s="132">
        <v>40329</v>
      </c>
      <c r="L44" s="133">
        <f t="shared" si="13"/>
        <v>2010</v>
      </c>
      <c r="M44" s="134">
        <f>+IFERROR(INDEX([7]PARÁMETROS!$B$11:$B$37,MATCH(L44,[7]PARÁMETROS!$A$11:$A$37,0)),"")</f>
        <v>515000</v>
      </c>
      <c r="N44" s="294">
        <v>4862658335</v>
      </c>
      <c r="O44" s="134" t="s">
        <v>20</v>
      </c>
      <c r="P44" s="125" t="s">
        <v>54</v>
      </c>
      <c r="Q44" s="137" t="s">
        <v>54</v>
      </c>
      <c r="R44" s="138">
        <v>1</v>
      </c>
      <c r="S44" s="134">
        <f t="shared" si="9"/>
        <v>4862658335</v>
      </c>
      <c r="T44" s="139">
        <f t="shared" si="10"/>
        <v>9442.0550194174757</v>
      </c>
      <c r="U44" s="139">
        <f t="shared" si="11"/>
        <v>9442.0550194174757</v>
      </c>
      <c r="V44" s="200">
        <v>5</v>
      </c>
      <c r="W44" s="649" t="s">
        <v>6</v>
      </c>
      <c r="X44" s="649"/>
      <c r="Y44" s="649"/>
      <c r="Z44" s="649" t="s">
        <v>5</v>
      </c>
      <c r="AA44" s="649"/>
      <c r="AB44" s="649"/>
      <c r="AC44" s="649" t="s">
        <v>5</v>
      </c>
      <c r="AD44" s="649"/>
      <c r="AE44" s="649"/>
      <c r="AF44" s="368" t="s">
        <v>5</v>
      </c>
      <c r="AG44" s="649" t="str">
        <f>IF(U44="","",IF(SUM(U44:U49)&gt;=[7]PARÁMETROS!$H$5,"CUMPLE","NO CUMPLE"))</f>
        <v>CUMPLE</v>
      </c>
      <c r="AH44" s="649" t="str">
        <f>IF(U44="","",IF(U44+U45&gt;=[7]PARÁMETROS!$F$5,"CUMPLE","NO CUMPLE"))</f>
        <v>CUMPLE</v>
      </c>
      <c r="AI44" s="368" t="str">
        <f>+IF(U44="","",IF(U44&gt;=[7]PARÁMETROS!$D$5,"CUMPLE","NO CUMPLE"))</f>
        <v>CUMPLE</v>
      </c>
      <c r="AJ44" s="142"/>
      <c r="AK44" s="112"/>
    </row>
    <row r="45" spans="1:37" s="79" customFormat="1" ht="42.75" x14ac:dyDescent="0.25">
      <c r="A45" s="653"/>
      <c r="B45" s="377" t="s">
        <v>362</v>
      </c>
      <c r="C45" s="409">
        <v>127</v>
      </c>
      <c r="D45" s="65" t="str">
        <f>+IFERROR(INDEX(PROPONENTES!$D$4:$D$109,MATCH('EXP GEN. 41-50'!B45,PROPONENTES!$C$4:$C$109,0)),"")</f>
        <v>LA VIALIDAD LIMITADA</v>
      </c>
      <c r="E45" s="66" t="s">
        <v>565</v>
      </c>
      <c r="F45" s="66" t="s">
        <v>595</v>
      </c>
      <c r="G45" s="369" t="s">
        <v>5</v>
      </c>
      <c r="H45" s="369" t="s">
        <v>5</v>
      </c>
      <c r="I45" s="80">
        <v>1</v>
      </c>
      <c r="J45" s="70">
        <v>37271</v>
      </c>
      <c r="K45" s="70">
        <v>38292</v>
      </c>
      <c r="L45" s="71">
        <f t="shared" si="13"/>
        <v>2004</v>
      </c>
      <c r="M45" s="72">
        <f>+IFERROR(INDEX([7]PARÁMETROS!$B$11:$B$37,MATCH(L45,[7]PARÁMETROS!$A$11:$A$37,0)),"")</f>
        <v>358000</v>
      </c>
      <c r="N45" s="286">
        <v>2019668213</v>
      </c>
      <c r="O45" s="72" t="s">
        <v>20</v>
      </c>
      <c r="P45" s="377" t="s">
        <v>54</v>
      </c>
      <c r="Q45" s="75" t="s">
        <v>54</v>
      </c>
      <c r="R45" s="76">
        <v>1</v>
      </c>
      <c r="S45" s="72">
        <f t="shared" si="9"/>
        <v>2019668213</v>
      </c>
      <c r="T45" s="60">
        <f t="shared" si="10"/>
        <v>5641.5313212290503</v>
      </c>
      <c r="U45" s="60">
        <f t="shared" si="11"/>
        <v>5641.5313212290503</v>
      </c>
      <c r="V45" s="201">
        <v>18</v>
      </c>
      <c r="W45" s="650" t="s">
        <v>6</v>
      </c>
      <c r="X45" s="650"/>
      <c r="Y45" s="650"/>
      <c r="Z45" s="650" t="s">
        <v>5</v>
      </c>
      <c r="AA45" s="650"/>
      <c r="AB45" s="650"/>
      <c r="AC45" s="650" t="s">
        <v>5</v>
      </c>
      <c r="AD45" s="650"/>
      <c r="AE45" s="650"/>
      <c r="AF45" s="369" t="s">
        <v>5</v>
      </c>
      <c r="AG45" s="650"/>
      <c r="AH45" s="650"/>
      <c r="AI45" s="369" t="str">
        <f>+IF(U45="","",IF(U45&gt;=[7]PARÁMETROS!$D$5,"CUMPLE","NO CUMPLE"))</f>
        <v>CUMPLE</v>
      </c>
      <c r="AJ45" s="143"/>
      <c r="AK45" s="112"/>
    </row>
    <row r="46" spans="1:37" s="79" customFormat="1" ht="63" x14ac:dyDescent="0.25">
      <c r="A46" s="653"/>
      <c r="B46" s="377" t="s">
        <v>364</v>
      </c>
      <c r="C46" s="409">
        <v>149</v>
      </c>
      <c r="D46" s="65" t="str">
        <f>+IFERROR(INDEX(PROPONENTES!$D$4:$D$109,MATCH('EXP GEN. 41-50'!B46,PROPONENTES!$C$4:$C$109,0)),"")</f>
        <v>ARENAS DE LA HOZ CONSULTORES S.A.S.</v>
      </c>
      <c r="E46" s="66" t="s">
        <v>565</v>
      </c>
      <c r="F46" s="66" t="s">
        <v>596</v>
      </c>
      <c r="G46" s="369" t="s">
        <v>5</v>
      </c>
      <c r="H46" s="369" t="s">
        <v>5</v>
      </c>
      <c r="I46" s="80">
        <v>1</v>
      </c>
      <c r="J46" s="70">
        <v>41123</v>
      </c>
      <c r="K46" s="70">
        <v>41779</v>
      </c>
      <c r="L46" s="71">
        <f t="shared" si="13"/>
        <v>2014</v>
      </c>
      <c r="M46" s="72">
        <f>+IFERROR(INDEX([7]PARÁMETROS!$B$11:$B$37,MATCH(L46,[7]PARÁMETROS!$A$11:$A$37,0)),"")</f>
        <v>616000</v>
      </c>
      <c r="N46" s="286">
        <v>1605385195</v>
      </c>
      <c r="O46" s="72" t="s">
        <v>20</v>
      </c>
      <c r="P46" s="377" t="s">
        <v>54</v>
      </c>
      <c r="Q46" s="75" t="s">
        <v>54</v>
      </c>
      <c r="R46" s="76">
        <v>1</v>
      </c>
      <c r="S46" s="72">
        <f t="shared" si="9"/>
        <v>1605385195</v>
      </c>
      <c r="T46" s="60">
        <f t="shared" si="10"/>
        <v>2606.1447970779222</v>
      </c>
      <c r="U46" s="60">
        <f t="shared" si="11"/>
        <v>2606.1447970779222</v>
      </c>
      <c r="V46" s="201">
        <v>55</v>
      </c>
      <c r="W46" s="650" t="s">
        <v>5</v>
      </c>
      <c r="X46" s="650"/>
      <c r="Y46" s="650"/>
      <c r="Z46" s="650" t="s">
        <v>5</v>
      </c>
      <c r="AA46" s="650"/>
      <c r="AB46" s="650"/>
      <c r="AC46" s="650" t="s">
        <v>5</v>
      </c>
      <c r="AD46" s="650"/>
      <c r="AE46" s="650"/>
      <c r="AF46" s="369" t="s">
        <v>5</v>
      </c>
      <c r="AG46" s="650"/>
      <c r="AH46" s="650"/>
      <c r="AI46" s="369" t="str">
        <f>+IF(U46="","",IF(U46&gt;=[7]PARÁMETROS!$D$5,"CUMPLE","NO CUMPLE"))</f>
        <v>CUMPLE</v>
      </c>
      <c r="AJ46" s="143"/>
      <c r="AK46" s="112"/>
    </row>
    <row r="47" spans="1:37" s="79" customFormat="1" ht="63" x14ac:dyDescent="0.25">
      <c r="A47" s="653"/>
      <c r="B47" s="377" t="s">
        <v>364</v>
      </c>
      <c r="C47" s="409">
        <v>156</v>
      </c>
      <c r="D47" s="65" t="str">
        <f>+IFERROR(INDEX(PROPONENTES!$D$4:$D$109,MATCH('EXP GEN. 41-50'!B47,PROPONENTES!$C$4:$C$109,0)),"")</f>
        <v>ARENAS DE LA HOZ CONSULTORES S.A.S.</v>
      </c>
      <c r="E47" s="66" t="s">
        <v>597</v>
      </c>
      <c r="F47" s="66" t="s">
        <v>598</v>
      </c>
      <c r="G47" s="369" t="s">
        <v>5</v>
      </c>
      <c r="H47" s="369" t="s">
        <v>5</v>
      </c>
      <c r="I47" s="80">
        <v>1</v>
      </c>
      <c r="J47" s="70">
        <v>41632</v>
      </c>
      <c r="K47" s="70">
        <v>41632</v>
      </c>
      <c r="L47" s="71">
        <f t="shared" si="13"/>
        <v>2013</v>
      </c>
      <c r="M47" s="72">
        <f>+IFERROR(INDEX([7]PARÁMETROS!$B$11:$B$37,MATCH(L47,[7]PARÁMETROS!$A$11:$A$37,0)),"")</f>
        <v>589500</v>
      </c>
      <c r="N47" s="286">
        <v>958455800</v>
      </c>
      <c r="O47" s="72" t="s">
        <v>20</v>
      </c>
      <c r="P47" s="377" t="s">
        <v>54</v>
      </c>
      <c r="Q47" s="75" t="s">
        <v>54</v>
      </c>
      <c r="R47" s="76">
        <v>1</v>
      </c>
      <c r="S47" s="72">
        <f t="shared" si="9"/>
        <v>958455800</v>
      </c>
      <c r="T47" s="60">
        <f t="shared" si="10"/>
        <v>1625.8792196776931</v>
      </c>
      <c r="U47" s="60">
        <f t="shared" si="11"/>
        <v>1625.8792196776931</v>
      </c>
      <c r="V47" s="201">
        <v>46</v>
      </c>
      <c r="W47" s="650" t="s">
        <v>5</v>
      </c>
      <c r="X47" s="650"/>
      <c r="Y47" s="650"/>
      <c r="Z47" s="650" t="s">
        <v>5</v>
      </c>
      <c r="AA47" s="650"/>
      <c r="AB47" s="650"/>
      <c r="AC47" s="650" t="s">
        <v>5</v>
      </c>
      <c r="AD47" s="650"/>
      <c r="AE47" s="650"/>
      <c r="AF47" s="369" t="s">
        <v>5</v>
      </c>
      <c r="AG47" s="650"/>
      <c r="AH47" s="650"/>
      <c r="AI47" s="591" t="str">
        <f>+IF(U47="","",IF(U47&gt;=[7]PARÁMETROS!$D$5,"CUMPLE","NO CUMPLE"))</f>
        <v>NO CUMPLE</v>
      </c>
      <c r="AJ47" s="143"/>
      <c r="AK47" s="112"/>
    </row>
    <row r="48" spans="1:37" s="79" customFormat="1" ht="63" x14ac:dyDescent="0.25">
      <c r="A48" s="653"/>
      <c r="B48" s="377" t="s">
        <v>364</v>
      </c>
      <c r="C48" s="409">
        <v>157</v>
      </c>
      <c r="D48" s="65" t="str">
        <f>+IFERROR(INDEX(PROPONENTES!$D$4:$D$109,MATCH('EXP GEN. 41-50'!B48,PROPONENTES!$C$4:$C$109,0)),"")</f>
        <v>ARENAS DE LA HOZ CONSULTORES S.A.S.</v>
      </c>
      <c r="E48" s="66" t="s">
        <v>554</v>
      </c>
      <c r="F48" s="66" t="s">
        <v>599</v>
      </c>
      <c r="G48" s="369" t="s">
        <v>5</v>
      </c>
      <c r="H48" s="369" t="s">
        <v>5</v>
      </c>
      <c r="I48" s="80">
        <v>0.5</v>
      </c>
      <c r="J48" s="70">
        <v>37188</v>
      </c>
      <c r="K48" s="70">
        <v>37623</v>
      </c>
      <c r="L48" s="71">
        <f t="shared" si="13"/>
        <v>2003</v>
      </c>
      <c r="M48" s="72">
        <f>+IFERROR(INDEX([7]PARÁMETROS!$B$11:$B$37,MATCH(L48,[7]PARÁMETROS!$A$11:$A$37,0)),"")</f>
        <v>332000</v>
      </c>
      <c r="N48" s="286">
        <v>761649757</v>
      </c>
      <c r="O48" s="72" t="s">
        <v>20</v>
      </c>
      <c r="P48" s="377" t="s">
        <v>54</v>
      </c>
      <c r="Q48" s="75" t="s">
        <v>54</v>
      </c>
      <c r="R48" s="76">
        <v>1</v>
      </c>
      <c r="S48" s="72">
        <f t="shared" si="9"/>
        <v>761649757</v>
      </c>
      <c r="T48" s="60">
        <f t="shared" si="10"/>
        <v>2294.1257740963856</v>
      </c>
      <c r="U48" s="60">
        <f t="shared" si="11"/>
        <v>1147.0628870481928</v>
      </c>
      <c r="V48" s="201">
        <v>11</v>
      </c>
      <c r="W48" s="650" t="s">
        <v>5</v>
      </c>
      <c r="X48" s="650"/>
      <c r="Y48" s="650"/>
      <c r="Z48" s="650" t="s">
        <v>5</v>
      </c>
      <c r="AA48" s="650"/>
      <c r="AB48" s="650"/>
      <c r="AC48" s="650" t="s">
        <v>5</v>
      </c>
      <c r="AD48" s="650"/>
      <c r="AE48" s="650"/>
      <c r="AF48" s="369" t="s">
        <v>5</v>
      </c>
      <c r="AG48" s="650"/>
      <c r="AH48" s="650"/>
      <c r="AI48" s="591" t="str">
        <f>+IF(U48="","",IF(U48&gt;=[7]PARÁMETROS!$D$5,"CUMPLE","NO CUMPLE"))</f>
        <v>NO CUMPLE</v>
      </c>
      <c r="AJ48" s="143"/>
      <c r="AK48" s="112"/>
    </row>
    <row r="49" spans="1:37" s="79" customFormat="1" ht="48" thickBot="1" x14ac:dyDescent="0.3">
      <c r="A49" s="654"/>
      <c r="B49" s="145" t="s">
        <v>365</v>
      </c>
      <c r="C49" s="411">
        <v>158</v>
      </c>
      <c r="D49" s="146" t="str">
        <f>+IFERROR(INDEX(PROPONENTES!$D$4:$D$109,MATCH('EXP GEN. 41-50'!B49,PROPONENTES!$C$4:$C$109,0)),"")</f>
        <v>SILVA CARREÑO Y ASOCIADOS S.A.S.</v>
      </c>
      <c r="E49" s="147" t="s">
        <v>565</v>
      </c>
      <c r="F49" s="147" t="s">
        <v>600</v>
      </c>
      <c r="G49" s="370" t="s">
        <v>5</v>
      </c>
      <c r="H49" s="370" t="s">
        <v>5</v>
      </c>
      <c r="I49" s="172">
        <v>1</v>
      </c>
      <c r="J49" s="151">
        <v>36992</v>
      </c>
      <c r="K49" s="151">
        <v>37636</v>
      </c>
      <c r="L49" s="152">
        <f t="shared" si="13"/>
        <v>2003</v>
      </c>
      <c r="M49" s="153">
        <f>+IFERROR(INDEX([7]PARÁMETROS!$B$11:$B$37,MATCH(L49,[7]PARÁMETROS!$A$11:$A$37,0)),"")</f>
        <v>332000</v>
      </c>
      <c r="N49" s="295">
        <v>1135751411</v>
      </c>
      <c r="O49" s="153" t="s">
        <v>20</v>
      </c>
      <c r="P49" s="145" t="s">
        <v>54</v>
      </c>
      <c r="Q49" s="156" t="s">
        <v>54</v>
      </c>
      <c r="R49" s="157">
        <v>1</v>
      </c>
      <c r="S49" s="153">
        <f t="shared" si="9"/>
        <v>1135751411</v>
      </c>
      <c r="T49" s="158">
        <f t="shared" si="10"/>
        <v>3420.9379849397592</v>
      </c>
      <c r="U49" s="158">
        <f t="shared" si="11"/>
        <v>3420.9379849397592</v>
      </c>
      <c r="V49" s="190">
        <v>10</v>
      </c>
      <c r="W49" s="651" t="s">
        <v>6</v>
      </c>
      <c r="X49" s="651"/>
      <c r="Y49" s="651"/>
      <c r="Z49" s="651" t="s">
        <v>5</v>
      </c>
      <c r="AA49" s="651"/>
      <c r="AB49" s="651"/>
      <c r="AC49" s="651" t="s">
        <v>5</v>
      </c>
      <c r="AD49" s="651"/>
      <c r="AE49" s="651"/>
      <c r="AF49" s="370" t="s">
        <v>5</v>
      </c>
      <c r="AG49" s="651"/>
      <c r="AH49" s="651"/>
      <c r="AI49" s="370" t="str">
        <f>+IF(U49="","",IF(U49&gt;=[7]PARÁMETROS!$D$5,"CUMPLE","NO CUMPLE"))</f>
        <v>CUMPLE</v>
      </c>
      <c r="AJ49" s="160"/>
      <c r="AK49" s="112"/>
    </row>
    <row r="50" spans="1:37" s="79" customFormat="1" ht="71.25" x14ac:dyDescent="0.25">
      <c r="A50" s="683" t="s">
        <v>280</v>
      </c>
      <c r="B50" s="125" t="s">
        <v>363</v>
      </c>
      <c r="C50" s="408">
        <v>274</v>
      </c>
      <c r="D50" s="406" t="str">
        <f>+IFERROR(INDEX(PROPONENTES!$D$4:$D$109,MATCH('EXP GEN. 41-50'!B50,PROPONENTES!$C$4:$C$109,0)),"")</f>
        <v>TECNOLOGIAS Y CONSULTORIAS AMBIENTALES Y GESTION S.A.</v>
      </c>
      <c r="E50" s="128" t="s">
        <v>473</v>
      </c>
      <c r="F50" s="129" t="s">
        <v>530</v>
      </c>
      <c r="G50" s="368" t="s">
        <v>5</v>
      </c>
      <c r="H50" s="368" t="s">
        <v>5</v>
      </c>
      <c r="I50" s="131">
        <v>0.6</v>
      </c>
      <c r="J50" s="132">
        <v>39860</v>
      </c>
      <c r="K50" s="132">
        <v>41260</v>
      </c>
      <c r="L50" s="133">
        <f t="shared" si="13"/>
        <v>2012</v>
      </c>
      <c r="M50" s="134">
        <f>+IFERROR(INDEX([6]PARÁMETROS!$B$11:$B$37,MATCH(L50,[6]PARÁMETROS!$A$11:$A$37,0)),"")</f>
        <v>566700</v>
      </c>
      <c r="N50" s="135">
        <v>8593771469</v>
      </c>
      <c r="O50" s="136" t="s">
        <v>20</v>
      </c>
      <c r="P50" s="125" t="s">
        <v>54</v>
      </c>
      <c r="Q50" s="137" t="s">
        <v>54</v>
      </c>
      <c r="R50" s="138">
        <v>1</v>
      </c>
      <c r="S50" s="134">
        <f t="shared" si="9"/>
        <v>8593771469</v>
      </c>
      <c r="T50" s="139">
        <f t="shared" si="10"/>
        <v>15164.587028410093</v>
      </c>
      <c r="U50" s="139">
        <f t="shared" si="11"/>
        <v>9098.7522170460561</v>
      </c>
      <c r="V50" s="139">
        <v>18</v>
      </c>
      <c r="W50" s="649" t="s">
        <v>5</v>
      </c>
      <c r="X50" s="649"/>
      <c r="Y50" s="649"/>
      <c r="Z50" s="649" t="s">
        <v>5</v>
      </c>
      <c r="AA50" s="649"/>
      <c r="AB50" s="649"/>
      <c r="AC50" s="649" t="s">
        <v>6</v>
      </c>
      <c r="AD50" s="649"/>
      <c r="AE50" s="649"/>
      <c r="AF50" s="368" t="s">
        <v>5</v>
      </c>
      <c r="AG50" s="649" t="str">
        <f>IF(U50="","",IF(SUM(U50:U53)&gt;=[6]PARÁMETROS!$H$5,"CUMPLE","NO CUMPLE"))</f>
        <v>CUMPLE</v>
      </c>
      <c r="AH50" s="649" t="str">
        <f>IF(U50="","",IF((U50+U51)&gt;=[6]PARÁMETROS!$F$5,"CUMPLE","NO CUMPLE"))</f>
        <v>CUMPLE</v>
      </c>
      <c r="AI50" s="368" t="str">
        <f>+IF(U50="","",IF(U50&gt;=[6]PARÁMETROS!$D$5,"CUMPLE","NO CUMPLE"))</f>
        <v>CUMPLE</v>
      </c>
      <c r="AJ50" s="175"/>
      <c r="AK50" s="112"/>
    </row>
    <row r="51" spans="1:37" s="79" customFormat="1" ht="63" x14ac:dyDescent="0.25">
      <c r="A51" s="653"/>
      <c r="B51" s="377" t="s">
        <v>363</v>
      </c>
      <c r="C51" s="409">
        <v>277</v>
      </c>
      <c r="D51" s="65" t="str">
        <f>+IFERROR(INDEX(PROPONENTES!$D$4:$D$109,MATCH('EXP GEN. 41-50'!B51,PROPONENTES!$C$4:$C$109,0)),"")</f>
        <v>TECNOLOGIAS Y CONSULTORIAS AMBIENTALES Y GESTION S.A.</v>
      </c>
      <c r="E51" s="66" t="s">
        <v>531</v>
      </c>
      <c r="F51" s="67" t="s">
        <v>532</v>
      </c>
      <c r="G51" s="369" t="s">
        <v>5</v>
      </c>
      <c r="H51" s="369" t="s">
        <v>5</v>
      </c>
      <c r="I51" s="69">
        <v>0.7</v>
      </c>
      <c r="J51" s="70">
        <v>41404</v>
      </c>
      <c r="K51" s="70">
        <v>42137</v>
      </c>
      <c r="L51" s="71">
        <f t="shared" si="13"/>
        <v>2015</v>
      </c>
      <c r="M51" s="72">
        <f>+IFERROR(INDEX([6]PARÁMETROS!$B$11:$B$37,MATCH(L51,[6]PARÁMETROS!$A$11:$A$37,0)),"")</f>
        <v>644350</v>
      </c>
      <c r="N51" s="73">
        <v>5284171200</v>
      </c>
      <c r="O51" s="74" t="s">
        <v>20</v>
      </c>
      <c r="P51" s="377" t="s">
        <v>54</v>
      </c>
      <c r="Q51" s="75" t="s">
        <v>54</v>
      </c>
      <c r="R51" s="76">
        <v>1</v>
      </c>
      <c r="S51" s="72">
        <f t="shared" si="9"/>
        <v>5284171200</v>
      </c>
      <c r="T51" s="60">
        <f t="shared" si="10"/>
        <v>8200.7778381314511</v>
      </c>
      <c r="U51" s="60">
        <f t="shared" si="11"/>
        <v>5740.5444866920152</v>
      </c>
      <c r="V51" s="60">
        <v>47</v>
      </c>
      <c r="W51" s="650" t="s">
        <v>5</v>
      </c>
      <c r="X51" s="650"/>
      <c r="Y51" s="650"/>
      <c r="Z51" s="650" t="s">
        <v>5</v>
      </c>
      <c r="AA51" s="650"/>
      <c r="AB51" s="650"/>
      <c r="AC51" s="650" t="s">
        <v>5</v>
      </c>
      <c r="AD51" s="650"/>
      <c r="AE51" s="650"/>
      <c r="AF51" s="369" t="s">
        <v>5</v>
      </c>
      <c r="AG51" s="650"/>
      <c r="AH51" s="650"/>
      <c r="AI51" s="369" t="str">
        <f>+IF(U51="","",IF(U51&gt;=[6]PARÁMETROS!$D$5,"CUMPLE","NO CUMPLE"))</f>
        <v>CUMPLE</v>
      </c>
      <c r="AJ51" s="143"/>
      <c r="AK51" s="112"/>
    </row>
    <row r="52" spans="1:37" s="79" customFormat="1" ht="63" x14ac:dyDescent="0.25">
      <c r="A52" s="653"/>
      <c r="B52" s="377" t="s">
        <v>367</v>
      </c>
      <c r="C52" s="409">
        <v>279</v>
      </c>
      <c r="D52" s="65" t="str">
        <f>+IFERROR(INDEX(PROPONENTES!$D$4:$D$109,MATCH('EXP GEN. 41-50'!B52,PROPONENTES!$C$4:$C$109,0)),"")</f>
        <v>HORACIO FRANCISCO MENDOZA MARTINEZ</v>
      </c>
      <c r="E52" s="66" t="s">
        <v>533</v>
      </c>
      <c r="F52" s="67" t="s">
        <v>534</v>
      </c>
      <c r="G52" s="369" t="s">
        <v>5</v>
      </c>
      <c r="H52" s="369" t="s">
        <v>5</v>
      </c>
      <c r="I52" s="69">
        <v>0.1</v>
      </c>
      <c r="J52" s="70">
        <v>37229</v>
      </c>
      <c r="K52" s="70">
        <v>40168</v>
      </c>
      <c r="L52" s="71">
        <f t="shared" si="13"/>
        <v>2009</v>
      </c>
      <c r="M52" s="72">
        <f>+IFERROR(INDEX([6]PARÁMETROS!$B$11:$B$37,MATCH(L52,[6]PARÁMETROS!$A$11:$A$37,0)),"")</f>
        <v>496900</v>
      </c>
      <c r="N52" s="73">
        <f>23197769047.38+6341313646+1215568184.53</f>
        <v>30754650877.91</v>
      </c>
      <c r="O52" s="74" t="s">
        <v>20</v>
      </c>
      <c r="P52" s="377" t="s">
        <v>54</v>
      </c>
      <c r="Q52" s="75" t="s">
        <v>54</v>
      </c>
      <c r="R52" s="76">
        <v>1</v>
      </c>
      <c r="S52" s="72">
        <f t="shared" si="9"/>
        <v>30754650877.91</v>
      </c>
      <c r="T52" s="60">
        <f t="shared" si="10"/>
        <v>61893.038595109683</v>
      </c>
      <c r="U52" s="60">
        <f t="shared" si="11"/>
        <v>6189.3038595109683</v>
      </c>
      <c r="V52" s="60">
        <v>76</v>
      </c>
      <c r="W52" s="650" t="s">
        <v>5</v>
      </c>
      <c r="X52" s="650"/>
      <c r="Y52" s="650"/>
      <c r="Z52" s="650" t="s">
        <v>5</v>
      </c>
      <c r="AA52" s="650"/>
      <c r="AB52" s="650"/>
      <c r="AC52" s="650" t="s">
        <v>5</v>
      </c>
      <c r="AD52" s="650"/>
      <c r="AE52" s="650"/>
      <c r="AF52" s="369" t="s">
        <v>5</v>
      </c>
      <c r="AG52" s="650"/>
      <c r="AH52" s="650"/>
      <c r="AI52" s="369" t="str">
        <f>+IF(U52="","",IF(U52&gt;=[6]PARÁMETROS!$D$5,"CUMPLE","NO CUMPLE"))</f>
        <v>CUMPLE</v>
      </c>
      <c r="AJ52" s="143"/>
      <c r="AK52" s="112"/>
    </row>
    <row r="53" spans="1:37" s="79" customFormat="1" ht="72" thickBot="1" x14ac:dyDescent="0.3">
      <c r="A53" s="653"/>
      <c r="B53" s="145" t="s">
        <v>366</v>
      </c>
      <c r="C53" s="411">
        <v>286</v>
      </c>
      <c r="D53" s="65" t="str">
        <f>+IFERROR(INDEX(PROPONENTES!$D$4:$D$109,MATCH('EXP GEN. 41-50'!B53,PROPONENTES!$C$4:$C$109,0)),"")</f>
        <v>PROYECTOS TECNICOS DE COLOMBIA</v>
      </c>
      <c r="E53" s="147" t="s">
        <v>473</v>
      </c>
      <c r="F53" s="148" t="s">
        <v>535</v>
      </c>
      <c r="G53" s="370" t="s">
        <v>5</v>
      </c>
      <c r="H53" s="370" t="s">
        <v>5</v>
      </c>
      <c r="I53" s="150">
        <v>0.5</v>
      </c>
      <c r="J53" s="151">
        <v>39862</v>
      </c>
      <c r="K53" s="151">
        <v>40878</v>
      </c>
      <c r="L53" s="152">
        <f t="shared" si="13"/>
        <v>2011</v>
      </c>
      <c r="M53" s="153">
        <f>+IFERROR(INDEX([6]PARÁMETROS!$B$11:$B$37,MATCH(L53,[6]PARÁMETROS!$A$11:$A$37,0)),"")</f>
        <v>535600</v>
      </c>
      <c r="N53" s="154">
        <v>8675772032</v>
      </c>
      <c r="O53" s="155" t="s">
        <v>20</v>
      </c>
      <c r="P53" s="145" t="s">
        <v>54</v>
      </c>
      <c r="Q53" s="156" t="s">
        <v>54</v>
      </c>
      <c r="R53" s="157">
        <v>1</v>
      </c>
      <c r="S53" s="153">
        <f t="shared" si="9"/>
        <v>8675772032</v>
      </c>
      <c r="T53" s="158">
        <f t="shared" si="10"/>
        <v>16198.23008215086</v>
      </c>
      <c r="U53" s="158">
        <f t="shared" si="11"/>
        <v>8099.1150410754299</v>
      </c>
      <c r="V53" s="158">
        <v>16</v>
      </c>
      <c r="W53" s="651" t="s">
        <v>5</v>
      </c>
      <c r="X53" s="651"/>
      <c r="Y53" s="651"/>
      <c r="Z53" s="651" t="s">
        <v>6</v>
      </c>
      <c r="AA53" s="651"/>
      <c r="AB53" s="651"/>
      <c r="AC53" s="651" t="s">
        <v>5</v>
      </c>
      <c r="AD53" s="651"/>
      <c r="AE53" s="651"/>
      <c r="AF53" s="370" t="s">
        <v>5</v>
      </c>
      <c r="AG53" s="651"/>
      <c r="AH53" s="651"/>
      <c r="AI53" s="370" t="str">
        <f>+IF(U53="","",IF(U53&gt;=[6]PARÁMETROS!$D$5,"CUMPLE","NO CUMPLE"))</f>
        <v>CUMPLE</v>
      </c>
      <c r="AJ53" s="143"/>
      <c r="AK53" s="112"/>
    </row>
    <row r="54" spans="1:37" s="79" customFormat="1" ht="30" customHeight="1" x14ac:dyDescent="0.25">
      <c r="A54" s="652"/>
      <c r="B54" s="125"/>
      <c r="C54" s="408"/>
      <c r="D54" s="114" t="str">
        <f>+IFERROR(INDEX([14]CONSOLIDADO!$D$4:$D$108,MATCH('EXP GEN. 41-50'!B54,[14]CONSOLIDADO!$C$4:$C$108,0)),"")</f>
        <v/>
      </c>
      <c r="E54" s="128"/>
      <c r="F54" s="128"/>
      <c r="G54" s="368"/>
      <c r="H54" s="368"/>
      <c r="I54" s="170"/>
      <c r="J54" s="132"/>
      <c r="K54" s="132"/>
      <c r="L54" s="133" t="str">
        <f>IF(K54="","",YEAR(K54))</f>
        <v/>
      </c>
      <c r="M54" s="134" t="str">
        <f>+IFERROR(INDEX([14]PARÁMETROS!$B$11:$B$37,MATCH(L54,[14]PARÁMETROS!$A$11:$A$37,0)),"")</f>
        <v/>
      </c>
      <c r="N54" s="171"/>
      <c r="O54" s="134"/>
      <c r="P54" s="125"/>
      <c r="Q54" s="137"/>
      <c r="R54" s="138"/>
      <c r="S54" s="134" t="str">
        <f>IF(R54&lt;&gt;"",N54*R54,"")</f>
        <v/>
      </c>
      <c r="T54" s="139" t="str">
        <f>+IFERROR(S54/M54,"")</f>
        <v/>
      </c>
      <c r="U54" s="139" t="str">
        <f>IFERROR(T54*I54,"")</f>
        <v/>
      </c>
      <c r="V54" s="139"/>
      <c r="W54" s="649"/>
      <c r="X54" s="649"/>
      <c r="Y54" s="649"/>
      <c r="Z54" s="649"/>
      <c r="AA54" s="649"/>
      <c r="AB54" s="649"/>
      <c r="AC54" s="649"/>
      <c r="AD54" s="649"/>
      <c r="AE54" s="649"/>
      <c r="AF54" s="368"/>
      <c r="AG54" s="649" t="str">
        <f>IF(U54="","",IF(SUM(U54:U56)&gt;=[14]PARÁMETROS!$H$5,"CUMPLE","NO CUMPLE"))</f>
        <v/>
      </c>
      <c r="AH54" s="649" t="str">
        <f>IF(U54="","",IF(U54&gt;=[14]PARÁMETROS!$F$5,"CUMPLE","NO CUMPLE"))</f>
        <v/>
      </c>
      <c r="AI54" s="368" t="str">
        <f>+IF(U54="","",IF(U54&gt;=[14]PARÁMETROS!$D$5,"CUMPLE","NO CUMPLE"))</f>
        <v/>
      </c>
      <c r="AJ54" s="142"/>
      <c r="AK54" s="112"/>
    </row>
    <row r="55" spans="1:37" s="79" customFormat="1" ht="30" customHeight="1" x14ac:dyDescent="0.25">
      <c r="A55" s="653"/>
      <c r="B55" s="377"/>
      <c r="C55" s="409"/>
      <c r="D55" s="65" t="str">
        <f>+IFERROR(INDEX([14]CONSOLIDADO!$D$4:$D$108,MATCH('EXP GEN. 41-50'!B55,[14]CONSOLIDADO!$C$4:$C$108,0)),"")</f>
        <v/>
      </c>
      <c r="E55" s="66"/>
      <c r="F55" s="66"/>
      <c r="G55" s="369"/>
      <c r="H55" s="369"/>
      <c r="I55" s="80"/>
      <c r="J55" s="70"/>
      <c r="K55" s="70"/>
      <c r="L55" s="71" t="str">
        <f>IF(K55="","",YEAR(K55))</f>
        <v/>
      </c>
      <c r="M55" s="72" t="str">
        <f>+IFERROR(INDEX([14]PARÁMETROS!$B$11:$B$37,MATCH(L55,[14]PARÁMETROS!$A$11:$A$37,0)),"")</f>
        <v/>
      </c>
      <c r="N55" s="81"/>
      <c r="O55" s="72"/>
      <c r="P55" s="377"/>
      <c r="Q55" s="75"/>
      <c r="R55" s="76"/>
      <c r="S55" s="72" t="str">
        <f>IF(R55&lt;&gt;"",N55*R55,"")</f>
        <v/>
      </c>
      <c r="T55" s="60" t="str">
        <f>+IFERROR(S55/M55,"")</f>
        <v/>
      </c>
      <c r="U55" s="60" t="str">
        <f>IFERROR(T55*I55,"")</f>
        <v/>
      </c>
      <c r="V55" s="60"/>
      <c r="W55" s="650"/>
      <c r="X55" s="650"/>
      <c r="Y55" s="650"/>
      <c r="Z55" s="650"/>
      <c r="AA55" s="650"/>
      <c r="AB55" s="650"/>
      <c r="AC55" s="650"/>
      <c r="AD55" s="650"/>
      <c r="AE55" s="650"/>
      <c r="AF55" s="369"/>
      <c r="AG55" s="650"/>
      <c r="AH55" s="650"/>
      <c r="AI55" s="369" t="str">
        <f>+IF(U55="","",IF(U55&gt;=[14]PARÁMETROS!$D$5,"CUMPLE","NO CUMPLE"))</f>
        <v/>
      </c>
      <c r="AJ55" s="143"/>
      <c r="AK55" s="112"/>
    </row>
    <row r="56" spans="1:37" s="79" customFormat="1" ht="30" customHeight="1" x14ac:dyDescent="0.25">
      <c r="A56" s="653"/>
      <c r="B56" s="377"/>
      <c r="C56" s="409"/>
      <c r="D56" s="65" t="str">
        <f>+IFERROR(INDEX([14]CONSOLIDADO!$D$4:$D$108,MATCH('EXP GEN. 41-50'!B56,[14]CONSOLIDADO!$C$4:$C$108,0)),"")</f>
        <v/>
      </c>
      <c r="E56" s="66"/>
      <c r="F56" s="66"/>
      <c r="G56" s="369"/>
      <c r="H56" s="369"/>
      <c r="I56" s="80"/>
      <c r="J56" s="70"/>
      <c r="K56" s="70"/>
      <c r="L56" s="71" t="str">
        <f>IF(K56="","",YEAR(K56))</f>
        <v/>
      </c>
      <c r="M56" s="72" t="str">
        <f>+IFERROR(INDEX([14]PARÁMETROS!$B$11:$B$37,MATCH(L56,[14]PARÁMETROS!$A$11:$A$37,0)),"")</f>
        <v/>
      </c>
      <c r="N56" s="81"/>
      <c r="O56" s="72"/>
      <c r="P56" s="377"/>
      <c r="Q56" s="75"/>
      <c r="R56" s="76"/>
      <c r="S56" s="72" t="str">
        <f>IF(R56&lt;&gt;"",N56*R56,"")</f>
        <v/>
      </c>
      <c r="T56" s="60" t="str">
        <f>+IFERROR(S56/M56,"")</f>
        <v/>
      </c>
      <c r="U56" s="60" t="str">
        <f>IFERROR(T56*I56,"")</f>
        <v/>
      </c>
      <c r="V56" s="60"/>
      <c r="W56" s="650"/>
      <c r="X56" s="650"/>
      <c r="Y56" s="650"/>
      <c r="Z56" s="650"/>
      <c r="AA56" s="650"/>
      <c r="AB56" s="650"/>
      <c r="AC56" s="650"/>
      <c r="AD56" s="650"/>
      <c r="AE56" s="650"/>
      <c r="AF56" s="369"/>
      <c r="AG56" s="650"/>
      <c r="AH56" s="650"/>
      <c r="AI56" s="369" t="str">
        <f>+IF(U56="","",IF(U56&gt;=[14]PARÁMETROS!$D$5,"CUMPLE","NO CUMPLE"))</f>
        <v/>
      </c>
      <c r="AJ56" s="143"/>
      <c r="AK56" s="112"/>
    </row>
    <row r="57" spans="1:37" s="79" customFormat="1" ht="30" customHeight="1" x14ac:dyDescent="0.25">
      <c r="A57" s="653"/>
      <c r="B57" s="377"/>
      <c r="C57" s="409"/>
      <c r="D57" s="65" t="str">
        <f>+IFERROR(INDEX([14]CONSOLIDADO!$D$4:$D$108,MATCH('EXP GEN. 41-50'!B57,[14]CONSOLIDADO!$C$4:$C$108,0)),"")</f>
        <v/>
      </c>
      <c r="E57" s="66"/>
      <c r="F57" s="66"/>
      <c r="G57" s="369"/>
      <c r="H57" s="369"/>
      <c r="I57" s="80"/>
      <c r="J57" s="70"/>
      <c r="K57" s="70"/>
      <c r="L57" s="71" t="str">
        <f>IF(K57="","",YEAR(K57))</f>
        <v/>
      </c>
      <c r="M57" s="72" t="str">
        <f>+IFERROR(INDEX([14]PARÁMETROS!$B$11:$B$37,MATCH(L57,[14]PARÁMETROS!$A$11:$A$37,0)),"")</f>
        <v/>
      </c>
      <c r="N57" s="81"/>
      <c r="O57" s="72"/>
      <c r="P57" s="377"/>
      <c r="Q57" s="75"/>
      <c r="R57" s="76"/>
      <c r="S57" s="72" t="str">
        <f>IF(R57&lt;&gt;"",N57*R57,"")</f>
        <v/>
      </c>
      <c r="T57" s="60" t="str">
        <f>+IFERROR(S57/M57,"")</f>
        <v/>
      </c>
      <c r="U57" s="60" t="str">
        <f>IFERROR(T57*I57,"")</f>
        <v/>
      </c>
      <c r="V57" s="60"/>
      <c r="W57" s="650"/>
      <c r="X57" s="650"/>
      <c r="Y57" s="650"/>
      <c r="Z57" s="650"/>
      <c r="AA57" s="650"/>
      <c r="AB57" s="650"/>
      <c r="AC57" s="650"/>
      <c r="AD57" s="650"/>
      <c r="AE57" s="650"/>
      <c r="AF57" s="369"/>
      <c r="AG57" s="650"/>
      <c r="AH57" s="650"/>
      <c r="AI57" s="369" t="str">
        <f>+IF(U57="","",IF(U57&gt;=[14]PARÁMETROS!$D$5,"CUMPLE","NO CUMPLE"))</f>
        <v/>
      </c>
      <c r="AJ57" s="143"/>
      <c r="AK57" s="112"/>
    </row>
    <row r="58" spans="1:37" s="79" customFormat="1" ht="30" customHeight="1" x14ac:dyDescent="0.25">
      <c r="A58" s="653"/>
      <c r="B58" s="377"/>
      <c r="C58" s="409"/>
      <c r="D58" s="65" t="str">
        <f>+IFERROR(INDEX([14]CONSOLIDADO!$D$4:$D$108,MATCH('EXP GEN. 41-50'!B58,[14]CONSOLIDADO!$C$4:$C$108,0)),"")</f>
        <v/>
      </c>
      <c r="E58" s="66"/>
      <c r="F58" s="66"/>
      <c r="G58" s="369"/>
      <c r="H58" s="369"/>
      <c r="I58" s="80"/>
      <c r="J58" s="70"/>
      <c r="K58" s="70"/>
      <c r="L58" s="71" t="str">
        <f>IF(K58="","",YEAR(K58))</f>
        <v/>
      </c>
      <c r="M58" s="72" t="str">
        <f>+IFERROR(INDEX([14]PARÁMETROS!$B$11:$B$37,MATCH(L58,[14]PARÁMETROS!$A$11:$A$37,0)),"")</f>
        <v/>
      </c>
      <c r="N58" s="81"/>
      <c r="O58" s="72"/>
      <c r="P58" s="377"/>
      <c r="Q58" s="75"/>
      <c r="R58" s="76"/>
      <c r="S58" s="72" t="str">
        <f>IF(R58&lt;&gt;"",N58*R58,"")</f>
        <v/>
      </c>
      <c r="T58" s="60" t="str">
        <f>+IFERROR(S58/M58,"")</f>
        <v/>
      </c>
      <c r="U58" s="60" t="str">
        <f>IFERROR(T58*I58,"")</f>
        <v/>
      </c>
      <c r="V58" s="60"/>
      <c r="W58" s="650"/>
      <c r="X58" s="650"/>
      <c r="Y58" s="650"/>
      <c r="Z58" s="650"/>
      <c r="AA58" s="650"/>
      <c r="AB58" s="650"/>
      <c r="AC58" s="650"/>
      <c r="AD58" s="650"/>
      <c r="AE58" s="650"/>
      <c r="AF58" s="369"/>
      <c r="AG58" s="650"/>
      <c r="AH58" s="650"/>
      <c r="AI58" s="369" t="str">
        <f>+IF(U58="","",IF(U58&gt;=[14]PARÁMETROS!$D$5,"CUMPLE","NO CUMPLE"))</f>
        <v/>
      </c>
      <c r="AJ58" s="143"/>
      <c r="AK58" s="112"/>
    </row>
    <row r="59" spans="1:37" s="79" customFormat="1" ht="30" customHeight="1" thickBot="1" x14ac:dyDescent="0.3">
      <c r="A59" s="654"/>
      <c r="B59" s="145"/>
      <c r="C59" s="411"/>
      <c r="D59" s="146" t="str">
        <f>+IFERROR(INDEX([14]CONSOLIDADO!$D$4:$D$108,MATCH('EXP GEN. 41-50'!B59,[14]CONSOLIDADO!$C$4:$C$108,0)),"")</f>
        <v/>
      </c>
      <c r="E59" s="147"/>
      <c r="F59" s="147"/>
      <c r="G59" s="370"/>
      <c r="H59" s="370"/>
      <c r="I59" s="172"/>
      <c r="J59" s="151"/>
      <c r="K59" s="151"/>
      <c r="L59" s="152" t="str">
        <f t="shared" ref="L59:L71" si="14">IF(K59="","",YEAR(K59))</f>
        <v/>
      </c>
      <c r="M59" s="153" t="str">
        <f>+IFERROR(INDEX([14]PARÁMETROS!$B$11:$B$37,MATCH(L59,[14]PARÁMETROS!$A$11:$A$37,0)),"")</f>
        <v/>
      </c>
      <c r="N59" s="173"/>
      <c r="O59" s="153"/>
      <c r="P59" s="145"/>
      <c r="Q59" s="156"/>
      <c r="R59" s="157"/>
      <c r="S59" s="153" t="str">
        <f t="shared" ref="S59:S71" si="15">IF(R59&lt;&gt;"",N59*R59,"")</f>
        <v/>
      </c>
      <c r="T59" s="158" t="str">
        <f t="shared" ref="T59:T71" si="16">+IFERROR(S59/M59,"")</f>
        <v/>
      </c>
      <c r="U59" s="158" t="str">
        <f t="shared" ref="U59:U71" si="17">IFERROR(T59*I59,"")</f>
        <v/>
      </c>
      <c r="V59" s="158"/>
      <c r="W59" s="651"/>
      <c r="X59" s="651"/>
      <c r="Y59" s="651"/>
      <c r="Z59" s="651"/>
      <c r="AA59" s="651"/>
      <c r="AB59" s="651"/>
      <c r="AC59" s="651"/>
      <c r="AD59" s="651"/>
      <c r="AE59" s="651"/>
      <c r="AF59" s="370"/>
      <c r="AG59" s="651"/>
      <c r="AH59" s="651"/>
      <c r="AI59" s="370" t="str">
        <f>+IF(U59="","",IF(U59&gt;=[14]PARÁMETROS!$D$5,"CUMPLE","NO CUMPLE"))</f>
        <v/>
      </c>
      <c r="AJ59" s="160"/>
      <c r="AK59" s="112"/>
    </row>
    <row r="60" spans="1:37" s="79" customFormat="1" ht="30" customHeight="1" x14ac:dyDescent="0.25">
      <c r="A60" s="652"/>
      <c r="B60" s="125"/>
      <c r="C60" s="408"/>
      <c r="D60" s="127" t="str">
        <f>+IFERROR(INDEX([14]CONSOLIDADO!$D$4:$D$108,MATCH('EXP GEN. 41-50'!B60,[14]CONSOLIDADO!$C$4:$C$108,0)),"")</f>
        <v/>
      </c>
      <c r="E60" s="128"/>
      <c r="F60" s="128"/>
      <c r="G60" s="368"/>
      <c r="H60" s="368"/>
      <c r="I60" s="170"/>
      <c r="J60" s="132"/>
      <c r="K60" s="132"/>
      <c r="L60" s="133" t="str">
        <f t="shared" si="14"/>
        <v/>
      </c>
      <c r="M60" s="134" t="str">
        <f>+IFERROR(INDEX([14]PARÁMETROS!$B$11:$B$37,MATCH(L60,[14]PARÁMETROS!$A$11:$A$37,0)),"")</f>
        <v/>
      </c>
      <c r="N60" s="171"/>
      <c r="O60" s="134"/>
      <c r="P60" s="125"/>
      <c r="Q60" s="137"/>
      <c r="R60" s="138"/>
      <c r="S60" s="134" t="str">
        <f t="shared" si="15"/>
        <v/>
      </c>
      <c r="T60" s="139" t="str">
        <f t="shared" si="16"/>
        <v/>
      </c>
      <c r="U60" s="139" t="str">
        <f t="shared" si="17"/>
        <v/>
      </c>
      <c r="V60" s="139"/>
      <c r="W60" s="649"/>
      <c r="X60" s="649"/>
      <c r="Y60" s="649"/>
      <c r="Z60" s="649"/>
      <c r="AA60" s="649"/>
      <c r="AB60" s="649"/>
      <c r="AC60" s="649"/>
      <c r="AD60" s="649"/>
      <c r="AE60" s="649"/>
      <c r="AF60" s="368"/>
      <c r="AG60" s="649" t="str">
        <f>IF(U60="","",IF(SUM(U60:U62)&gt;=[14]PARÁMETROS!$H$5,"HÁBIL","NO CUMPLE"))</f>
        <v/>
      </c>
      <c r="AH60" s="649" t="str">
        <f>IF(U60="","",IF(U60&gt;=[14]PARÁMETROS!$F$5,"HÁBIL","NO HÁBIL"))</f>
        <v/>
      </c>
      <c r="AI60" s="368" t="str">
        <f>+IF(U60="","",IF(U60&gt;=[14]PARÁMETROS!$D$5,"CUMPLE","NO CUMPLE"))</f>
        <v/>
      </c>
      <c r="AJ60" s="142"/>
      <c r="AK60" s="112"/>
    </row>
    <row r="61" spans="1:37" s="79" customFormat="1" ht="30" customHeight="1" x14ac:dyDescent="0.25">
      <c r="A61" s="653"/>
      <c r="B61" s="377"/>
      <c r="C61" s="409"/>
      <c r="D61" s="65" t="str">
        <f>+IFERROR(INDEX([14]CONSOLIDADO!$D$4:$D$108,MATCH('EXP GEN. 41-50'!B61,[14]CONSOLIDADO!$C$4:$C$108,0)),"")</f>
        <v/>
      </c>
      <c r="E61" s="66"/>
      <c r="F61" s="66"/>
      <c r="G61" s="369"/>
      <c r="H61" s="369"/>
      <c r="I61" s="80"/>
      <c r="J61" s="70"/>
      <c r="K61" s="70"/>
      <c r="L61" s="71" t="str">
        <f t="shared" si="14"/>
        <v/>
      </c>
      <c r="M61" s="72" t="str">
        <f>+IFERROR(INDEX([14]PARÁMETROS!$B$11:$B$37,MATCH(L61,[14]PARÁMETROS!$A$11:$A$37,0)),"")</f>
        <v/>
      </c>
      <c r="N61" s="81"/>
      <c r="O61" s="72"/>
      <c r="P61" s="377"/>
      <c r="Q61" s="75"/>
      <c r="R61" s="76"/>
      <c r="S61" s="72" t="str">
        <f t="shared" si="15"/>
        <v/>
      </c>
      <c r="T61" s="60" t="str">
        <f t="shared" si="16"/>
        <v/>
      </c>
      <c r="U61" s="60" t="str">
        <f t="shared" si="17"/>
        <v/>
      </c>
      <c r="V61" s="60"/>
      <c r="W61" s="650"/>
      <c r="X61" s="650"/>
      <c r="Y61" s="650"/>
      <c r="Z61" s="650"/>
      <c r="AA61" s="650"/>
      <c r="AB61" s="650"/>
      <c r="AC61" s="650"/>
      <c r="AD61" s="650"/>
      <c r="AE61" s="650"/>
      <c r="AF61" s="369"/>
      <c r="AG61" s="650"/>
      <c r="AH61" s="650"/>
      <c r="AI61" s="369" t="str">
        <f>+IF(U61="","",IF(U61&gt;=[14]PARÁMETROS!$D$5,"CUMPLE","NO CUMPLE"))</f>
        <v/>
      </c>
      <c r="AJ61" s="143"/>
      <c r="AK61" s="112"/>
    </row>
    <row r="62" spans="1:37" s="79" customFormat="1" ht="30" customHeight="1" x14ac:dyDescent="0.25">
      <c r="A62" s="653"/>
      <c r="B62" s="377"/>
      <c r="C62" s="409"/>
      <c r="D62" s="65" t="str">
        <f>+IFERROR(INDEX([14]CONSOLIDADO!$D$4:$D$108,MATCH('EXP GEN. 41-50'!B62,[14]CONSOLIDADO!$C$4:$C$108,0)),"")</f>
        <v/>
      </c>
      <c r="E62" s="66"/>
      <c r="F62" s="66"/>
      <c r="G62" s="369"/>
      <c r="H62" s="369"/>
      <c r="I62" s="80"/>
      <c r="J62" s="70"/>
      <c r="K62" s="70"/>
      <c r="L62" s="71" t="str">
        <f t="shared" si="14"/>
        <v/>
      </c>
      <c r="M62" s="72" t="str">
        <f>+IFERROR(INDEX([14]PARÁMETROS!$B$11:$B$37,MATCH(L62,[14]PARÁMETROS!$A$11:$A$37,0)),"")</f>
        <v/>
      </c>
      <c r="N62" s="81"/>
      <c r="O62" s="72"/>
      <c r="P62" s="377"/>
      <c r="Q62" s="75"/>
      <c r="R62" s="76"/>
      <c r="S62" s="72" t="str">
        <f t="shared" si="15"/>
        <v/>
      </c>
      <c r="T62" s="60" t="str">
        <f t="shared" si="16"/>
        <v/>
      </c>
      <c r="U62" s="60" t="str">
        <f t="shared" si="17"/>
        <v/>
      </c>
      <c r="V62" s="60"/>
      <c r="W62" s="650"/>
      <c r="X62" s="650"/>
      <c r="Y62" s="650"/>
      <c r="Z62" s="650"/>
      <c r="AA62" s="650"/>
      <c r="AB62" s="650"/>
      <c r="AC62" s="650"/>
      <c r="AD62" s="650"/>
      <c r="AE62" s="650"/>
      <c r="AF62" s="369"/>
      <c r="AG62" s="650"/>
      <c r="AH62" s="650"/>
      <c r="AI62" s="369" t="str">
        <f>+IF(U62="","",IF(U62&gt;=[14]PARÁMETROS!$D$5,"CUMPLE","NO CUMPLE"))</f>
        <v/>
      </c>
      <c r="AJ62" s="143"/>
      <c r="AK62" s="112"/>
    </row>
    <row r="63" spans="1:37" s="79" customFormat="1" ht="30" customHeight="1" x14ac:dyDescent="0.25">
      <c r="A63" s="653"/>
      <c r="B63" s="377"/>
      <c r="C63" s="409"/>
      <c r="D63" s="65" t="str">
        <f>+IFERROR(INDEX([14]CONSOLIDADO!$D$4:$D$108,MATCH('EXP GEN. 41-50'!B63,[14]CONSOLIDADO!$C$4:$C$108,0)),"")</f>
        <v/>
      </c>
      <c r="E63" s="66"/>
      <c r="F63" s="66"/>
      <c r="G63" s="369"/>
      <c r="H63" s="369"/>
      <c r="I63" s="80"/>
      <c r="J63" s="70"/>
      <c r="K63" s="70"/>
      <c r="L63" s="71" t="str">
        <f t="shared" si="14"/>
        <v/>
      </c>
      <c r="M63" s="72" t="str">
        <f>+IFERROR(INDEX([14]PARÁMETROS!$B$11:$B$37,MATCH(L63,[14]PARÁMETROS!$A$11:$A$37,0)),"")</f>
        <v/>
      </c>
      <c r="N63" s="81"/>
      <c r="O63" s="72"/>
      <c r="P63" s="377"/>
      <c r="Q63" s="75"/>
      <c r="R63" s="76"/>
      <c r="S63" s="72" t="str">
        <f t="shared" si="15"/>
        <v/>
      </c>
      <c r="T63" s="60" t="str">
        <f t="shared" si="16"/>
        <v/>
      </c>
      <c r="U63" s="60" t="str">
        <f t="shared" si="17"/>
        <v/>
      </c>
      <c r="V63" s="60"/>
      <c r="W63" s="650"/>
      <c r="X63" s="650"/>
      <c r="Y63" s="650"/>
      <c r="Z63" s="650"/>
      <c r="AA63" s="650"/>
      <c r="AB63" s="650"/>
      <c r="AC63" s="650"/>
      <c r="AD63" s="650"/>
      <c r="AE63" s="650"/>
      <c r="AF63" s="369"/>
      <c r="AG63" s="650"/>
      <c r="AH63" s="650"/>
      <c r="AI63" s="369" t="str">
        <f>+IF(U63="","",IF(U63&gt;=[14]PARÁMETROS!$D$5,"CUMPLE","NO CUMPLE"))</f>
        <v/>
      </c>
      <c r="AJ63" s="143"/>
      <c r="AK63" s="112"/>
    </row>
    <row r="64" spans="1:37" s="79" customFormat="1" ht="30" customHeight="1" x14ac:dyDescent="0.25">
      <c r="A64" s="653"/>
      <c r="B64" s="377"/>
      <c r="C64" s="409"/>
      <c r="D64" s="65" t="str">
        <f>+IFERROR(INDEX([14]CONSOLIDADO!$D$4:$D$108,MATCH('EXP GEN. 41-50'!B64,[14]CONSOLIDADO!$C$4:$C$108,0)),"")</f>
        <v/>
      </c>
      <c r="E64" s="66"/>
      <c r="F64" s="66"/>
      <c r="G64" s="369"/>
      <c r="H64" s="369"/>
      <c r="I64" s="80"/>
      <c r="J64" s="70"/>
      <c r="K64" s="70"/>
      <c r="L64" s="71" t="str">
        <f t="shared" si="14"/>
        <v/>
      </c>
      <c r="M64" s="72" t="str">
        <f>+IFERROR(INDEX([14]PARÁMETROS!$B$11:$B$37,MATCH(L64,[14]PARÁMETROS!$A$11:$A$37,0)),"")</f>
        <v/>
      </c>
      <c r="N64" s="81"/>
      <c r="O64" s="72"/>
      <c r="P64" s="377"/>
      <c r="Q64" s="75"/>
      <c r="R64" s="76"/>
      <c r="S64" s="72" t="str">
        <f t="shared" si="15"/>
        <v/>
      </c>
      <c r="T64" s="60" t="str">
        <f t="shared" si="16"/>
        <v/>
      </c>
      <c r="U64" s="60" t="str">
        <f t="shared" si="17"/>
        <v/>
      </c>
      <c r="V64" s="60"/>
      <c r="W64" s="650"/>
      <c r="X64" s="650"/>
      <c r="Y64" s="650"/>
      <c r="Z64" s="650"/>
      <c r="AA64" s="650"/>
      <c r="AB64" s="650"/>
      <c r="AC64" s="650"/>
      <c r="AD64" s="650"/>
      <c r="AE64" s="650"/>
      <c r="AF64" s="369"/>
      <c r="AG64" s="650"/>
      <c r="AH64" s="650"/>
      <c r="AI64" s="369" t="str">
        <f>+IF(U64="","",IF(U64&gt;=[14]PARÁMETROS!$D$5,"CUMPLE","NO CUMPLE"))</f>
        <v/>
      </c>
      <c r="AJ64" s="143"/>
      <c r="AK64" s="112"/>
    </row>
    <row r="65" spans="1:37" s="79" customFormat="1" ht="30" customHeight="1" thickBot="1" x14ac:dyDescent="0.3">
      <c r="A65" s="654"/>
      <c r="B65" s="145"/>
      <c r="C65" s="411"/>
      <c r="D65" s="146" t="str">
        <f>+IFERROR(INDEX([14]CONSOLIDADO!$D$4:$D$108,MATCH('EXP GEN. 41-50'!B65,[14]CONSOLIDADO!$C$4:$C$108,0)),"")</f>
        <v/>
      </c>
      <c r="E65" s="147"/>
      <c r="F65" s="147"/>
      <c r="G65" s="370"/>
      <c r="H65" s="370"/>
      <c r="I65" s="172"/>
      <c r="J65" s="151"/>
      <c r="K65" s="151"/>
      <c r="L65" s="152" t="str">
        <f t="shared" si="14"/>
        <v/>
      </c>
      <c r="M65" s="153" t="str">
        <f>+IFERROR(INDEX([14]PARÁMETROS!$B$11:$B$37,MATCH(L65,[14]PARÁMETROS!$A$11:$A$37,0)),"")</f>
        <v/>
      </c>
      <c r="N65" s="173"/>
      <c r="O65" s="153"/>
      <c r="P65" s="145"/>
      <c r="Q65" s="156"/>
      <c r="R65" s="157"/>
      <c r="S65" s="153" t="str">
        <f t="shared" si="15"/>
        <v/>
      </c>
      <c r="T65" s="158" t="str">
        <f t="shared" si="16"/>
        <v/>
      </c>
      <c r="U65" s="158" t="str">
        <f t="shared" si="17"/>
        <v/>
      </c>
      <c r="V65" s="158"/>
      <c r="W65" s="651"/>
      <c r="X65" s="651"/>
      <c r="Y65" s="651"/>
      <c r="Z65" s="651"/>
      <c r="AA65" s="651"/>
      <c r="AB65" s="651"/>
      <c r="AC65" s="651"/>
      <c r="AD65" s="651"/>
      <c r="AE65" s="651"/>
      <c r="AF65" s="370"/>
      <c r="AG65" s="651"/>
      <c r="AH65" s="651"/>
      <c r="AI65" s="370" t="str">
        <f>+IF(U65="","",IF(U65&gt;=[14]PARÁMETROS!$D$5,"CUMPLE","NO CUMPLE"))</f>
        <v/>
      </c>
      <c r="AJ65" s="160"/>
      <c r="AK65" s="112"/>
    </row>
    <row r="66" spans="1:37" s="79" customFormat="1" ht="30" customHeight="1" x14ac:dyDescent="0.25">
      <c r="A66" s="652"/>
      <c r="B66" s="125"/>
      <c r="C66" s="408"/>
      <c r="D66" s="127" t="str">
        <f>+IFERROR(INDEX([14]CONSOLIDADO!$D$4:$D$108,MATCH('EXP GEN. 41-50'!B66,[14]CONSOLIDADO!$C$4:$C$108,0)),"")</f>
        <v/>
      </c>
      <c r="E66" s="128"/>
      <c r="F66" s="128"/>
      <c r="G66" s="368"/>
      <c r="H66" s="368"/>
      <c r="I66" s="170"/>
      <c r="J66" s="132"/>
      <c r="K66" s="132"/>
      <c r="L66" s="133" t="str">
        <f t="shared" si="14"/>
        <v/>
      </c>
      <c r="M66" s="134" t="str">
        <f>+IFERROR(INDEX([14]PARÁMETROS!$B$11:$B$37,MATCH(L66,[14]PARÁMETROS!$A$11:$A$37,0)),"")</f>
        <v/>
      </c>
      <c r="N66" s="171"/>
      <c r="O66" s="134"/>
      <c r="P66" s="125"/>
      <c r="Q66" s="137"/>
      <c r="R66" s="138"/>
      <c r="S66" s="134" t="str">
        <f t="shared" si="15"/>
        <v/>
      </c>
      <c r="T66" s="139" t="str">
        <f t="shared" si="16"/>
        <v/>
      </c>
      <c r="U66" s="139" t="str">
        <f t="shared" si="17"/>
        <v/>
      </c>
      <c r="V66" s="139"/>
      <c r="W66" s="649"/>
      <c r="X66" s="649"/>
      <c r="Y66" s="649"/>
      <c r="Z66" s="649"/>
      <c r="AA66" s="649"/>
      <c r="AB66" s="649"/>
      <c r="AC66" s="649"/>
      <c r="AD66" s="649"/>
      <c r="AE66" s="649"/>
      <c r="AF66" s="368"/>
      <c r="AG66" s="649" t="str">
        <f>IF(U66="","",IF(SUM(U66:U68)&gt;=[14]PARÁMETROS!$H$5,"HÁBIL","NO HÁBIL"))</f>
        <v/>
      </c>
      <c r="AH66" s="649" t="str">
        <f>IF(U66="","",IF(U66&gt;=[14]PARÁMETROS!$F$5,"HÁBIL","NO HÁBIL"))</f>
        <v/>
      </c>
      <c r="AI66" s="368" t="str">
        <f>+IF(U66="","",IF(U66&gt;=[14]PARÁMETROS!$D$5,"CUMPLE","NO CUMPLE"))</f>
        <v/>
      </c>
      <c r="AJ66" s="142"/>
      <c r="AK66" s="112"/>
    </row>
    <row r="67" spans="1:37" s="79" customFormat="1" ht="30" customHeight="1" x14ac:dyDescent="0.25">
      <c r="A67" s="653"/>
      <c r="B67" s="377"/>
      <c r="C67" s="409"/>
      <c r="D67" s="65" t="str">
        <f>+IFERROR(INDEX([14]CONSOLIDADO!$D$4:$D$108,MATCH('EXP GEN. 41-50'!B67,[14]CONSOLIDADO!$C$4:$C$108,0)),"")</f>
        <v/>
      </c>
      <c r="E67" s="66"/>
      <c r="F67" s="66"/>
      <c r="G67" s="369"/>
      <c r="H67" s="369"/>
      <c r="I67" s="80"/>
      <c r="J67" s="70"/>
      <c r="K67" s="70"/>
      <c r="L67" s="71" t="str">
        <f t="shared" si="14"/>
        <v/>
      </c>
      <c r="M67" s="72" t="str">
        <f>+IFERROR(INDEX([14]PARÁMETROS!$B$11:$B$37,MATCH(L67,[14]PARÁMETROS!$A$11:$A$37,0)),"")</f>
        <v/>
      </c>
      <c r="N67" s="81"/>
      <c r="O67" s="72"/>
      <c r="P67" s="377"/>
      <c r="Q67" s="75"/>
      <c r="R67" s="76"/>
      <c r="S67" s="72" t="str">
        <f t="shared" si="15"/>
        <v/>
      </c>
      <c r="T67" s="60" t="str">
        <f t="shared" si="16"/>
        <v/>
      </c>
      <c r="U67" s="60" t="str">
        <f t="shared" si="17"/>
        <v/>
      </c>
      <c r="V67" s="60"/>
      <c r="W67" s="650"/>
      <c r="X67" s="650"/>
      <c r="Y67" s="650"/>
      <c r="Z67" s="650"/>
      <c r="AA67" s="650"/>
      <c r="AB67" s="650"/>
      <c r="AC67" s="650"/>
      <c r="AD67" s="650"/>
      <c r="AE67" s="650"/>
      <c r="AF67" s="369"/>
      <c r="AG67" s="650"/>
      <c r="AH67" s="650"/>
      <c r="AI67" s="369" t="str">
        <f>+IF(U67="","",IF(U67&gt;=[14]PARÁMETROS!$D$5,"CUMPLE","NO CUMPLE"))</f>
        <v/>
      </c>
      <c r="AJ67" s="143"/>
      <c r="AK67" s="112"/>
    </row>
    <row r="68" spans="1:37" s="79" customFormat="1" ht="30" customHeight="1" x14ac:dyDescent="0.25">
      <c r="A68" s="653"/>
      <c r="B68" s="377"/>
      <c r="C68" s="409"/>
      <c r="D68" s="65" t="str">
        <f>+IFERROR(INDEX([14]CONSOLIDADO!$D$4:$D$108,MATCH('EXP GEN. 41-50'!B68,[14]CONSOLIDADO!$C$4:$C$108,0)),"")</f>
        <v/>
      </c>
      <c r="E68" s="66"/>
      <c r="F68" s="66"/>
      <c r="G68" s="369"/>
      <c r="H68" s="369"/>
      <c r="I68" s="80"/>
      <c r="J68" s="70"/>
      <c r="K68" s="70"/>
      <c r="L68" s="71" t="str">
        <f t="shared" si="14"/>
        <v/>
      </c>
      <c r="M68" s="72" t="str">
        <f>+IFERROR(INDEX([14]PARÁMETROS!$B$11:$B$37,MATCH(L68,[14]PARÁMETROS!$A$11:$A$37,0)),"")</f>
        <v/>
      </c>
      <c r="N68" s="81"/>
      <c r="O68" s="72"/>
      <c r="P68" s="377"/>
      <c r="Q68" s="75"/>
      <c r="R68" s="76"/>
      <c r="S68" s="72" t="str">
        <f t="shared" si="15"/>
        <v/>
      </c>
      <c r="T68" s="60" t="str">
        <f t="shared" si="16"/>
        <v/>
      </c>
      <c r="U68" s="60" t="str">
        <f t="shared" si="17"/>
        <v/>
      </c>
      <c r="V68" s="60"/>
      <c r="W68" s="650"/>
      <c r="X68" s="650"/>
      <c r="Y68" s="650"/>
      <c r="Z68" s="650"/>
      <c r="AA68" s="650"/>
      <c r="AB68" s="650"/>
      <c r="AC68" s="650"/>
      <c r="AD68" s="650"/>
      <c r="AE68" s="650"/>
      <c r="AF68" s="369"/>
      <c r="AG68" s="650"/>
      <c r="AH68" s="650"/>
      <c r="AI68" s="369" t="str">
        <f>+IF(U68="","",IF(U68&gt;=[14]PARÁMETROS!$D$5,"CUMPLE","NO CUMPLE"))</f>
        <v/>
      </c>
      <c r="AJ68" s="143"/>
      <c r="AK68" s="112"/>
    </row>
    <row r="69" spans="1:37" s="79" customFormat="1" ht="30" customHeight="1" x14ac:dyDescent="0.25">
      <c r="A69" s="653"/>
      <c r="B69" s="377"/>
      <c r="C69" s="409"/>
      <c r="D69" s="65" t="str">
        <f>+IFERROR(INDEX([14]CONSOLIDADO!$D$4:$D$108,MATCH('EXP GEN. 41-50'!B69,[14]CONSOLIDADO!$C$4:$C$108,0)),"")</f>
        <v/>
      </c>
      <c r="E69" s="66"/>
      <c r="F69" s="66"/>
      <c r="G69" s="369"/>
      <c r="H69" s="369"/>
      <c r="I69" s="80"/>
      <c r="J69" s="70"/>
      <c r="K69" s="70"/>
      <c r="L69" s="71" t="str">
        <f t="shared" si="14"/>
        <v/>
      </c>
      <c r="M69" s="72" t="str">
        <f>+IFERROR(INDEX([14]PARÁMETROS!$B$11:$B$37,MATCH(L69,[14]PARÁMETROS!$A$11:$A$37,0)),"")</f>
        <v/>
      </c>
      <c r="N69" s="81"/>
      <c r="O69" s="72"/>
      <c r="P69" s="377"/>
      <c r="Q69" s="75"/>
      <c r="R69" s="76"/>
      <c r="S69" s="72" t="str">
        <f t="shared" si="15"/>
        <v/>
      </c>
      <c r="T69" s="60" t="str">
        <f t="shared" si="16"/>
        <v/>
      </c>
      <c r="U69" s="60" t="str">
        <f t="shared" si="17"/>
        <v/>
      </c>
      <c r="V69" s="60"/>
      <c r="W69" s="650"/>
      <c r="X69" s="650"/>
      <c r="Y69" s="650"/>
      <c r="Z69" s="650"/>
      <c r="AA69" s="650"/>
      <c r="AB69" s="650"/>
      <c r="AC69" s="650"/>
      <c r="AD69" s="650"/>
      <c r="AE69" s="650"/>
      <c r="AF69" s="369"/>
      <c r="AG69" s="650"/>
      <c r="AH69" s="650"/>
      <c r="AI69" s="369" t="str">
        <f>+IF(U69="","",IF(U69&gt;=[14]PARÁMETROS!$D$5,"CUMPLE","NO CUMPLE"))</f>
        <v/>
      </c>
      <c r="AJ69" s="143"/>
      <c r="AK69" s="112"/>
    </row>
    <row r="70" spans="1:37" s="79" customFormat="1" ht="30" customHeight="1" x14ac:dyDescent="0.25">
      <c r="A70" s="653"/>
      <c r="B70" s="377"/>
      <c r="C70" s="409"/>
      <c r="D70" s="65" t="str">
        <f>+IFERROR(INDEX([14]CONSOLIDADO!$D$4:$D$108,MATCH('EXP GEN. 41-50'!B70,[14]CONSOLIDADO!$C$4:$C$108,0)),"")</f>
        <v/>
      </c>
      <c r="E70" s="66"/>
      <c r="F70" s="66"/>
      <c r="G70" s="369"/>
      <c r="H70" s="369"/>
      <c r="I70" s="80"/>
      <c r="J70" s="70"/>
      <c r="K70" s="70"/>
      <c r="L70" s="71" t="str">
        <f t="shared" si="14"/>
        <v/>
      </c>
      <c r="M70" s="72" t="str">
        <f>+IFERROR(INDEX([14]PARÁMETROS!$B$11:$B$37,MATCH(L70,[14]PARÁMETROS!$A$11:$A$37,0)),"")</f>
        <v/>
      </c>
      <c r="N70" s="81"/>
      <c r="O70" s="72"/>
      <c r="P70" s="377"/>
      <c r="Q70" s="75"/>
      <c r="R70" s="76"/>
      <c r="S70" s="72" t="str">
        <f t="shared" si="15"/>
        <v/>
      </c>
      <c r="T70" s="60" t="str">
        <f t="shared" si="16"/>
        <v/>
      </c>
      <c r="U70" s="60" t="str">
        <f t="shared" si="17"/>
        <v/>
      </c>
      <c r="V70" s="60"/>
      <c r="W70" s="650"/>
      <c r="X70" s="650"/>
      <c r="Y70" s="650"/>
      <c r="Z70" s="650"/>
      <c r="AA70" s="650"/>
      <c r="AB70" s="650"/>
      <c r="AC70" s="650"/>
      <c r="AD70" s="650"/>
      <c r="AE70" s="650"/>
      <c r="AF70" s="369"/>
      <c r="AG70" s="650"/>
      <c r="AH70" s="650"/>
      <c r="AI70" s="369" t="str">
        <f>+IF(U70="","",IF(U70&gt;=[14]PARÁMETROS!$D$5,"CUMPLE","NO CUMPLE"))</f>
        <v/>
      </c>
      <c r="AJ70" s="143"/>
      <c r="AK70" s="112"/>
    </row>
    <row r="71" spans="1:37" s="79" customFormat="1" ht="30" customHeight="1" thickBot="1" x14ac:dyDescent="0.3">
      <c r="A71" s="654"/>
      <c r="B71" s="145"/>
      <c r="C71" s="411"/>
      <c r="D71" s="146" t="str">
        <f>+IFERROR(INDEX([14]CONSOLIDADO!$D$4:$D$108,MATCH('EXP GEN. 41-50'!B71,[14]CONSOLIDADO!$C$4:$C$108,0)),"")</f>
        <v/>
      </c>
      <c r="E71" s="147"/>
      <c r="F71" s="147"/>
      <c r="G71" s="370"/>
      <c r="H71" s="370"/>
      <c r="I71" s="172"/>
      <c r="J71" s="151"/>
      <c r="K71" s="151"/>
      <c r="L71" s="152" t="str">
        <f t="shared" si="14"/>
        <v/>
      </c>
      <c r="M71" s="153" t="str">
        <f>+IFERROR(INDEX([14]PARÁMETROS!$B$11:$B$37,MATCH(L71,[14]PARÁMETROS!$A$11:$A$37,0)),"")</f>
        <v/>
      </c>
      <c r="N71" s="173"/>
      <c r="O71" s="153"/>
      <c r="P71" s="145"/>
      <c r="Q71" s="156"/>
      <c r="R71" s="157"/>
      <c r="S71" s="153" t="str">
        <f t="shared" si="15"/>
        <v/>
      </c>
      <c r="T71" s="158" t="str">
        <f t="shared" si="16"/>
        <v/>
      </c>
      <c r="U71" s="158" t="str">
        <f t="shared" si="17"/>
        <v/>
      </c>
      <c r="V71" s="158"/>
      <c r="W71" s="651"/>
      <c r="X71" s="651"/>
      <c r="Y71" s="651"/>
      <c r="Z71" s="651"/>
      <c r="AA71" s="651"/>
      <c r="AB71" s="651"/>
      <c r="AC71" s="651"/>
      <c r="AD71" s="651"/>
      <c r="AE71" s="651"/>
      <c r="AF71" s="370"/>
      <c r="AG71" s="651"/>
      <c r="AH71" s="651"/>
      <c r="AI71" s="370" t="str">
        <f>+IF(U71="","",IF(U71&gt;=[14]PARÁMETROS!$D$5,"CUMPLE","NO CUMPLE"))</f>
        <v/>
      </c>
      <c r="AJ71" s="160"/>
      <c r="AK71" s="112"/>
    </row>
    <row r="72" spans="1:37" s="79" customFormat="1" ht="30" customHeight="1" x14ac:dyDescent="0.25">
      <c r="A72" s="377"/>
      <c r="B72" s="377"/>
      <c r="C72" s="409"/>
      <c r="D72" s="65"/>
      <c r="E72" s="66"/>
      <c r="F72" s="66"/>
      <c r="G72" s="66"/>
      <c r="H72" s="66"/>
      <c r="I72" s="80"/>
      <c r="J72" s="70"/>
      <c r="K72" s="70"/>
      <c r="L72" s="71"/>
      <c r="M72" s="72"/>
      <c r="N72" s="81"/>
      <c r="O72" s="72"/>
      <c r="P72" s="377"/>
      <c r="Q72" s="75"/>
      <c r="R72" s="76"/>
      <c r="S72" s="72"/>
      <c r="T72" s="60"/>
      <c r="U72" s="60"/>
      <c r="V72" s="60"/>
      <c r="W72" s="369"/>
      <c r="X72" s="369"/>
      <c r="Y72" s="369"/>
      <c r="Z72" s="369"/>
      <c r="AA72" s="369"/>
      <c r="AB72" s="369"/>
      <c r="AC72" s="369"/>
      <c r="AD72" s="369"/>
      <c r="AE72" s="369"/>
      <c r="AF72" s="369"/>
      <c r="AG72" s="369"/>
      <c r="AH72" s="369"/>
      <c r="AI72" s="369"/>
      <c r="AJ72" s="66"/>
    </row>
    <row r="73" spans="1:37" s="79" customFormat="1" ht="30" customHeight="1" x14ac:dyDescent="0.25">
      <c r="A73" s="377"/>
      <c r="B73" s="377"/>
      <c r="C73" s="409"/>
      <c r="D73" s="65"/>
      <c r="E73" s="66"/>
      <c r="F73" s="66"/>
      <c r="G73" s="66"/>
      <c r="H73" s="66"/>
      <c r="I73" s="80"/>
      <c r="J73" s="70"/>
      <c r="K73" s="70"/>
      <c r="L73" s="71"/>
      <c r="M73" s="72"/>
      <c r="N73" s="81"/>
      <c r="O73" s="72"/>
      <c r="P73" s="377"/>
      <c r="Q73" s="75"/>
      <c r="R73" s="76"/>
      <c r="S73" s="72"/>
      <c r="T73" s="60"/>
      <c r="U73" s="60"/>
      <c r="V73" s="60"/>
      <c r="W73" s="369"/>
      <c r="X73" s="369"/>
      <c r="Y73" s="369"/>
      <c r="Z73" s="369"/>
      <c r="AA73" s="369"/>
      <c r="AB73" s="369"/>
      <c r="AC73" s="369"/>
      <c r="AD73" s="369"/>
      <c r="AE73" s="369"/>
      <c r="AF73" s="369"/>
      <c r="AG73" s="369"/>
      <c r="AH73" s="369"/>
      <c r="AI73" s="369"/>
      <c r="AJ73" s="66"/>
    </row>
    <row r="74" spans="1:37" s="79" customFormat="1" ht="30" customHeight="1" x14ac:dyDescent="0.25">
      <c r="A74" s="377"/>
      <c r="B74" s="377"/>
      <c r="C74" s="409"/>
      <c r="D74" s="65"/>
      <c r="E74" s="66"/>
      <c r="F74" s="66"/>
      <c r="G74" s="66"/>
      <c r="H74" s="66"/>
      <c r="I74" s="80"/>
      <c r="J74" s="70"/>
      <c r="K74" s="70"/>
      <c r="L74" s="71"/>
      <c r="M74" s="72"/>
      <c r="N74" s="81"/>
      <c r="O74" s="72"/>
      <c r="P74" s="377"/>
      <c r="Q74" s="75"/>
      <c r="R74" s="76"/>
      <c r="S74" s="72"/>
      <c r="T74" s="60"/>
      <c r="U74" s="60"/>
      <c r="V74" s="60"/>
      <c r="W74" s="369"/>
      <c r="X74" s="369"/>
      <c r="Y74" s="369"/>
      <c r="Z74" s="369"/>
      <c r="AA74" s="369"/>
      <c r="AB74" s="369"/>
      <c r="AC74" s="369"/>
      <c r="AD74" s="369"/>
      <c r="AE74" s="369"/>
      <c r="AF74" s="369"/>
      <c r="AG74" s="369"/>
      <c r="AH74" s="369"/>
      <c r="AI74" s="369"/>
      <c r="AJ74" s="66"/>
    </row>
    <row r="75" spans="1:37" s="79" customFormat="1" ht="30" customHeight="1" x14ac:dyDescent="0.25">
      <c r="A75" s="377"/>
      <c r="B75" s="377"/>
      <c r="C75" s="409"/>
      <c r="D75" s="65"/>
      <c r="E75" s="66"/>
      <c r="F75" s="66"/>
      <c r="G75" s="66"/>
      <c r="H75" s="66"/>
      <c r="I75" s="80"/>
      <c r="J75" s="70"/>
      <c r="K75" s="70"/>
      <c r="L75" s="71"/>
      <c r="M75" s="72"/>
      <c r="N75" s="81"/>
      <c r="O75" s="72"/>
      <c r="P75" s="377"/>
      <c r="Q75" s="75"/>
      <c r="R75" s="76"/>
      <c r="S75" s="72"/>
      <c r="T75" s="60"/>
      <c r="U75" s="60"/>
      <c r="V75" s="60"/>
      <c r="W75" s="369"/>
      <c r="X75" s="369"/>
      <c r="Y75" s="369"/>
      <c r="Z75" s="369"/>
      <c r="AA75" s="369"/>
      <c r="AB75" s="369"/>
      <c r="AC75" s="369"/>
      <c r="AD75" s="369"/>
      <c r="AE75" s="369"/>
      <c r="AF75" s="369"/>
      <c r="AG75" s="369"/>
      <c r="AH75" s="369"/>
      <c r="AI75" s="369"/>
      <c r="AJ75" s="66"/>
    </row>
    <row r="76" spans="1:37" s="79" customFormat="1" ht="30" customHeight="1" x14ac:dyDescent="0.25">
      <c r="A76" s="377"/>
      <c r="B76" s="377"/>
      <c r="C76" s="409"/>
      <c r="D76" s="65"/>
      <c r="E76" s="66"/>
      <c r="F76" s="66"/>
      <c r="G76" s="66"/>
      <c r="H76" s="66"/>
      <c r="I76" s="80"/>
      <c r="J76" s="70"/>
      <c r="K76" s="70"/>
      <c r="L76" s="71"/>
      <c r="M76" s="72"/>
      <c r="N76" s="81"/>
      <c r="O76" s="72"/>
      <c r="P76" s="377"/>
      <c r="Q76" s="75"/>
      <c r="R76" s="76"/>
      <c r="S76" s="72"/>
      <c r="T76" s="60"/>
      <c r="U76" s="60"/>
      <c r="V76" s="60"/>
      <c r="W76" s="369"/>
      <c r="X76" s="369"/>
      <c r="Y76" s="369"/>
      <c r="Z76" s="369"/>
      <c r="AA76" s="369"/>
      <c r="AB76" s="369"/>
      <c r="AC76" s="369"/>
      <c r="AD76" s="369"/>
      <c r="AE76" s="369"/>
      <c r="AF76" s="369"/>
      <c r="AG76" s="369"/>
      <c r="AH76" s="369"/>
      <c r="AI76" s="369"/>
      <c r="AJ76" s="66"/>
    </row>
    <row r="77" spans="1:37" s="79" customFormat="1" ht="30" customHeight="1" x14ac:dyDescent="0.25">
      <c r="A77" s="377"/>
      <c r="B77" s="377"/>
      <c r="C77" s="409"/>
      <c r="D77" s="65"/>
      <c r="E77" s="66"/>
      <c r="F77" s="66"/>
      <c r="G77" s="66"/>
      <c r="H77" s="66"/>
      <c r="I77" s="80"/>
      <c r="J77" s="70"/>
      <c r="K77" s="70"/>
      <c r="L77" s="71"/>
      <c r="M77" s="72"/>
      <c r="N77" s="81"/>
      <c r="O77" s="72"/>
      <c r="P77" s="377"/>
      <c r="Q77" s="75"/>
      <c r="R77" s="76"/>
      <c r="S77" s="72"/>
      <c r="T77" s="60"/>
      <c r="U77" s="60"/>
      <c r="V77" s="60"/>
      <c r="W77" s="369"/>
      <c r="X77" s="369"/>
      <c r="Y77" s="369"/>
      <c r="Z77" s="369"/>
      <c r="AA77" s="369"/>
      <c r="AB77" s="369"/>
      <c r="AC77" s="369"/>
      <c r="AD77" s="369"/>
      <c r="AE77" s="369"/>
      <c r="AF77" s="369"/>
      <c r="AG77" s="369"/>
      <c r="AH77" s="369"/>
      <c r="AI77" s="369"/>
      <c r="AJ77" s="66"/>
    </row>
    <row r="78" spans="1:37" s="79" customFormat="1" ht="30" customHeight="1" x14ac:dyDescent="0.25">
      <c r="A78" s="377"/>
      <c r="B78" s="377"/>
      <c r="C78" s="409"/>
      <c r="D78" s="65"/>
      <c r="E78" s="66"/>
      <c r="F78" s="66"/>
      <c r="G78" s="66"/>
      <c r="H78" s="66"/>
      <c r="I78" s="80"/>
      <c r="J78" s="70"/>
      <c r="K78" s="70"/>
      <c r="L78" s="71"/>
      <c r="M78" s="72"/>
      <c r="N78" s="81"/>
      <c r="O78" s="72"/>
      <c r="P78" s="377"/>
      <c r="Q78" s="75"/>
      <c r="R78" s="76"/>
      <c r="S78" s="72"/>
      <c r="T78" s="60"/>
      <c r="U78" s="60"/>
      <c r="V78" s="60"/>
      <c r="W78" s="369"/>
      <c r="X78" s="369"/>
      <c r="Y78" s="369"/>
      <c r="Z78" s="369"/>
      <c r="AA78" s="369"/>
      <c r="AB78" s="369"/>
      <c r="AC78" s="369"/>
      <c r="AD78" s="369"/>
      <c r="AE78" s="369"/>
      <c r="AF78" s="369"/>
      <c r="AG78" s="369"/>
      <c r="AH78" s="369"/>
      <c r="AI78" s="369"/>
      <c r="AJ78" s="66"/>
    </row>
    <row r="79" spans="1:37" s="79" customFormat="1" ht="30" customHeight="1" x14ac:dyDescent="0.25">
      <c r="A79" s="377"/>
      <c r="B79" s="377"/>
      <c r="C79" s="409"/>
      <c r="D79" s="65"/>
      <c r="E79" s="66"/>
      <c r="F79" s="66"/>
      <c r="G79" s="66"/>
      <c r="H79" s="66"/>
      <c r="I79" s="80"/>
      <c r="J79" s="70"/>
      <c r="K79" s="70"/>
      <c r="L79" s="71"/>
      <c r="M79" s="72"/>
      <c r="N79" s="81"/>
      <c r="O79" s="72"/>
      <c r="P79" s="377"/>
      <c r="Q79" s="75"/>
      <c r="R79" s="76"/>
      <c r="S79" s="72"/>
      <c r="T79" s="60"/>
      <c r="U79" s="60"/>
      <c r="V79" s="60"/>
      <c r="W79" s="369"/>
      <c r="X79" s="369"/>
      <c r="Y79" s="369"/>
      <c r="Z79" s="369"/>
      <c r="AA79" s="369"/>
      <c r="AB79" s="369"/>
      <c r="AC79" s="369"/>
      <c r="AD79" s="369"/>
      <c r="AE79" s="369"/>
      <c r="AF79" s="369"/>
      <c r="AG79" s="369"/>
      <c r="AH79" s="369"/>
      <c r="AI79" s="369"/>
      <c r="AJ79" s="66"/>
    </row>
    <row r="80" spans="1:37" s="79" customFormat="1" ht="30" customHeight="1" x14ac:dyDescent="0.25">
      <c r="A80" s="377"/>
      <c r="B80" s="377"/>
      <c r="C80" s="409"/>
      <c r="D80" s="65"/>
      <c r="E80" s="66"/>
      <c r="F80" s="66"/>
      <c r="G80" s="66"/>
      <c r="H80" s="66"/>
      <c r="I80" s="80"/>
      <c r="J80" s="70"/>
      <c r="K80" s="70"/>
      <c r="L80" s="71"/>
      <c r="M80" s="72"/>
      <c r="N80" s="81"/>
      <c r="O80" s="72"/>
      <c r="P80" s="377"/>
      <c r="Q80" s="75"/>
      <c r="R80" s="76"/>
      <c r="S80" s="72"/>
      <c r="T80" s="60"/>
      <c r="U80" s="60"/>
      <c r="V80" s="60"/>
      <c r="W80" s="369"/>
      <c r="X80" s="369"/>
      <c r="Y80" s="369"/>
      <c r="Z80" s="369"/>
      <c r="AA80" s="369"/>
      <c r="AB80" s="369"/>
      <c r="AC80" s="369"/>
      <c r="AD80" s="369"/>
      <c r="AE80" s="369"/>
      <c r="AF80" s="369"/>
      <c r="AG80" s="369"/>
      <c r="AH80" s="369"/>
      <c r="AI80" s="369"/>
      <c r="AJ80" s="66"/>
    </row>
    <row r="81" spans="1:36" s="79" customFormat="1" ht="30" customHeight="1" x14ac:dyDescent="0.25">
      <c r="A81" s="377"/>
      <c r="B81" s="377"/>
      <c r="C81" s="409"/>
      <c r="D81" s="65"/>
      <c r="E81" s="66"/>
      <c r="F81" s="66"/>
      <c r="G81" s="66"/>
      <c r="H81" s="66"/>
      <c r="I81" s="80"/>
      <c r="J81" s="70"/>
      <c r="K81" s="70"/>
      <c r="L81" s="71"/>
      <c r="M81" s="72"/>
      <c r="N81" s="81"/>
      <c r="O81" s="72"/>
      <c r="P81" s="377"/>
      <c r="Q81" s="75"/>
      <c r="R81" s="76"/>
      <c r="S81" s="72"/>
      <c r="T81" s="60"/>
      <c r="U81" s="60"/>
      <c r="V81" s="60"/>
      <c r="W81" s="369"/>
      <c r="X81" s="369"/>
      <c r="Y81" s="369"/>
      <c r="Z81" s="369"/>
      <c r="AA81" s="369"/>
      <c r="AB81" s="369"/>
      <c r="AC81" s="369"/>
      <c r="AD81" s="369"/>
      <c r="AE81" s="369"/>
      <c r="AF81" s="369"/>
      <c r="AG81" s="369"/>
      <c r="AH81" s="369"/>
      <c r="AI81" s="369"/>
      <c r="AJ81" s="66"/>
    </row>
    <row r="82" spans="1:36" s="79" customFormat="1" ht="30" customHeight="1" x14ac:dyDescent="0.25">
      <c r="A82" s="377"/>
      <c r="B82" s="377"/>
      <c r="C82" s="409"/>
      <c r="D82" s="65"/>
      <c r="E82" s="66"/>
      <c r="F82" s="66"/>
      <c r="G82" s="66"/>
      <c r="H82" s="66"/>
      <c r="I82" s="80"/>
      <c r="J82" s="70"/>
      <c r="K82" s="70"/>
      <c r="L82" s="71"/>
      <c r="M82" s="72"/>
      <c r="N82" s="81"/>
      <c r="O82" s="72"/>
      <c r="P82" s="377"/>
      <c r="Q82" s="75"/>
      <c r="R82" s="76"/>
      <c r="S82" s="72"/>
      <c r="T82" s="60"/>
      <c r="U82" s="60"/>
      <c r="V82" s="60"/>
      <c r="W82" s="369"/>
      <c r="X82" s="369"/>
      <c r="Y82" s="369"/>
      <c r="Z82" s="369"/>
      <c r="AA82" s="369"/>
      <c r="AB82" s="369"/>
      <c r="AC82" s="369"/>
      <c r="AD82" s="369"/>
      <c r="AE82" s="369"/>
      <c r="AF82" s="369"/>
      <c r="AG82" s="369"/>
      <c r="AH82" s="369"/>
      <c r="AI82" s="369"/>
      <c r="AJ82" s="66"/>
    </row>
    <row r="83" spans="1:36" s="79" customFormat="1" ht="30" customHeight="1" x14ac:dyDescent="0.25">
      <c r="A83" s="377"/>
      <c r="B83" s="377"/>
      <c r="C83" s="409"/>
      <c r="D83" s="65"/>
      <c r="E83" s="66"/>
      <c r="F83" s="66"/>
      <c r="G83" s="66"/>
      <c r="H83" s="66"/>
      <c r="I83" s="80"/>
      <c r="J83" s="70"/>
      <c r="K83" s="70"/>
      <c r="L83" s="71"/>
      <c r="M83" s="72"/>
      <c r="N83" s="81"/>
      <c r="O83" s="72"/>
      <c r="P83" s="377"/>
      <c r="Q83" s="75"/>
      <c r="R83" s="76"/>
      <c r="S83" s="72"/>
      <c r="T83" s="60"/>
      <c r="U83" s="60"/>
      <c r="V83" s="60"/>
      <c r="W83" s="369"/>
      <c r="X83" s="369"/>
      <c r="Y83" s="369"/>
      <c r="Z83" s="369"/>
      <c r="AA83" s="369"/>
      <c r="AB83" s="369"/>
      <c r="AC83" s="369"/>
      <c r="AD83" s="369"/>
      <c r="AE83" s="369"/>
      <c r="AF83" s="369"/>
      <c r="AG83" s="369"/>
      <c r="AH83" s="369"/>
      <c r="AI83" s="369"/>
      <c r="AJ83" s="66"/>
    </row>
    <row r="84" spans="1:36" s="103" customFormat="1" ht="30" customHeight="1" x14ac:dyDescent="0.25">
      <c r="A84" s="94"/>
      <c r="B84" s="94"/>
      <c r="C84" s="413"/>
      <c r="D84" s="95"/>
      <c r="E84" s="96"/>
      <c r="F84" s="96"/>
      <c r="G84" s="96"/>
      <c r="H84" s="96"/>
      <c r="I84" s="97"/>
      <c r="J84" s="98"/>
      <c r="K84" s="98"/>
      <c r="L84" s="99"/>
      <c r="M84" s="72"/>
      <c r="N84" s="100"/>
      <c r="O84" s="101"/>
      <c r="P84" s="377"/>
      <c r="Q84" s="75"/>
      <c r="R84" s="76"/>
      <c r="S84" s="72"/>
      <c r="T84" s="60"/>
      <c r="U84" s="60"/>
      <c r="V84" s="60"/>
      <c r="W84" s="102"/>
      <c r="X84" s="102"/>
      <c r="Y84" s="102"/>
      <c r="Z84" s="102"/>
      <c r="AA84" s="102"/>
      <c r="AB84" s="102"/>
      <c r="AC84" s="102"/>
      <c r="AD84" s="102"/>
      <c r="AE84" s="102"/>
      <c r="AF84" s="369"/>
      <c r="AG84" s="369"/>
      <c r="AH84" s="369"/>
      <c r="AI84" s="369"/>
      <c r="AJ84" s="96"/>
    </row>
    <row r="85" spans="1:36" s="103" customFormat="1" ht="30" customHeight="1" x14ac:dyDescent="0.25">
      <c r="A85" s="94"/>
      <c r="B85" s="94"/>
      <c r="C85" s="413"/>
      <c r="D85" s="95"/>
      <c r="E85" s="96"/>
      <c r="F85" s="96"/>
      <c r="G85" s="96"/>
      <c r="H85" s="96"/>
      <c r="I85" s="97"/>
      <c r="J85" s="98"/>
      <c r="K85" s="98"/>
      <c r="L85" s="99"/>
      <c r="M85" s="72"/>
      <c r="N85" s="100"/>
      <c r="O85" s="101"/>
      <c r="P85" s="377"/>
      <c r="Q85" s="75"/>
      <c r="R85" s="76"/>
      <c r="S85" s="72"/>
      <c r="T85" s="60"/>
      <c r="U85" s="60"/>
      <c r="V85" s="60"/>
      <c r="W85" s="102"/>
      <c r="X85" s="102"/>
      <c r="Y85" s="102"/>
      <c r="Z85" s="102"/>
      <c r="AA85" s="102"/>
      <c r="AB85" s="102"/>
      <c r="AC85" s="102"/>
      <c r="AD85" s="102"/>
      <c r="AE85" s="102"/>
      <c r="AF85" s="369"/>
      <c r="AG85" s="369"/>
      <c r="AH85" s="369"/>
      <c r="AI85" s="369"/>
      <c r="AJ85" s="96"/>
    </row>
    <row r="86" spans="1:36" s="103" customFormat="1" ht="30" customHeight="1" x14ac:dyDescent="0.25">
      <c r="A86" s="94"/>
      <c r="B86" s="94"/>
      <c r="C86" s="413"/>
      <c r="D86" s="95"/>
      <c r="E86" s="96"/>
      <c r="F86" s="96"/>
      <c r="G86" s="96"/>
      <c r="H86" s="96"/>
      <c r="I86" s="97"/>
      <c r="J86" s="98"/>
      <c r="K86" s="98"/>
      <c r="L86" s="99"/>
      <c r="M86" s="72"/>
      <c r="N86" s="100"/>
      <c r="O86" s="101"/>
      <c r="P86" s="377"/>
      <c r="Q86" s="75"/>
      <c r="R86" s="76"/>
      <c r="S86" s="72"/>
      <c r="T86" s="60"/>
      <c r="U86" s="60"/>
      <c r="V86" s="60"/>
      <c r="W86" s="102"/>
      <c r="X86" s="102"/>
      <c r="Y86" s="102"/>
      <c r="Z86" s="102"/>
      <c r="AA86" s="102"/>
      <c r="AB86" s="102"/>
      <c r="AC86" s="102"/>
      <c r="AD86" s="102"/>
      <c r="AE86" s="102"/>
      <c r="AF86" s="369"/>
      <c r="AG86" s="369"/>
      <c r="AH86" s="369"/>
      <c r="AI86" s="369"/>
      <c r="AJ86" s="96"/>
    </row>
    <row r="87" spans="1:36" s="103" customFormat="1" ht="30" customHeight="1" x14ac:dyDescent="0.25">
      <c r="A87" s="94"/>
      <c r="B87" s="94"/>
      <c r="C87" s="413"/>
      <c r="D87" s="95"/>
      <c r="E87" s="96"/>
      <c r="F87" s="96"/>
      <c r="G87" s="96"/>
      <c r="H87" s="96"/>
      <c r="I87" s="97"/>
      <c r="J87" s="98"/>
      <c r="K87" s="98"/>
      <c r="L87" s="99"/>
      <c r="M87" s="72"/>
      <c r="N87" s="100"/>
      <c r="O87" s="101"/>
      <c r="P87" s="377"/>
      <c r="Q87" s="75"/>
      <c r="R87" s="76"/>
      <c r="S87" s="72"/>
      <c r="T87" s="60"/>
      <c r="U87" s="60"/>
      <c r="V87" s="60"/>
      <c r="W87" s="102"/>
      <c r="X87" s="102"/>
      <c r="Y87" s="102"/>
      <c r="Z87" s="102"/>
      <c r="AA87" s="102"/>
      <c r="AB87" s="102"/>
      <c r="AC87" s="102"/>
      <c r="AD87" s="102"/>
      <c r="AE87" s="102"/>
      <c r="AF87" s="369"/>
      <c r="AG87" s="369"/>
      <c r="AH87" s="369"/>
      <c r="AI87" s="369"/>
      <c r="AJ87" s="96"/>
    </row>
    <row r="88" spans="1:36" s="103" customFormat="1" ht="30" customHeight="1" x14ac:dyDescent="0.25">
      <c r="A88" s="94"/>
      <c r="B88" s="94"/>
      <c r="C88" s="413"/>
      <c r="D88" s="95"/>
      <c r="E88" s="96"/>
      <c r="F88" s="96"/>
      <c r="G88" s="96"/>
      <c r="H88" s="96"/>
      <c r="I88" s="97"/>
      <c r="J88" s="98"/>
      <c r="K88" s="98"/>
      <c r="L88" s="99"/>
      <c r="M88" s="72"/>
      <c r="N88" s="100"/>
      <c r="O88" s="101"/>
      <c r="P88" s="377"/>
      <c r="Q88" s="75"/>
      <c r="R88" s="76"/>
      <c r="S88" s="72"/>
      <c r="T88" s="60"/>
      <c r="U88" s="60"/>
      <c r="V88" s="60"/>
      <c r="W88" s="102"/>
      <c r="X88" s="102"/>
      <c r="Y88" s="102"/>
      <c r="Z88" s="102"/>
      <c r="AA88" s="102"/>
      <c r="AB88" s="102"/>
      <c r="AC88" s="102"/>
      <c r="AD88" s="102"/>
      <c r="AE88" s="102"/>
      <c r="AF88" s="369"/>
      <c r="AG88" s="369"/>
      <c r="AH88" s="369"/>
      <c r="AI88" s="369"/>
      <c r="AJ88" s="96"/>
    </row>
    <row r="89" spans="1:36" s="103" customFormat="1" ht="30" customHeight="1" x14ac:dyDescent="0.25">
      <c r="A89" s="94"/>
      <c r="B89" s="94"/>
      <c r="C89" s="413"/>
      <c r="D89" s="95"/>
      <c r="E89" s="96"/>
      <c r="F89" s="96"/>
      <c r="G89" s="96"/>
      <c r="H89" s="96"/>
      <c r="I89" s="97"/>
      <c r="J89" s="98"/>
      <c r="K89" s="98"/>
      <c r="L89" s="99"/>
      <c r="M89" s="72"/>
      <c r="N89" s="100"/>
      <c r="O89" s="101"/>
      <c r="P89" s="377"/>
      <c r="Q89" s="75"/>
      <c r="R89" s="76"/>
      <c r="S89" s="72"/>
      <c r="T89" s="60"/>
      <c r="U89" s="60"/>
      <c r="V89" s="60"/>
      <c r="W89" s="102"/>
      <c r="X89" s="102"/>
      <c r="Y89" s="102"/>
      <c r="Z89" s="102"/>
      <c r="AA89" s="102"/>
      <c r="AB89" s="102"/>
      <c r="AC89" s="102"/>
      <c r="AD89" s="102"/>
      <c r="AE89" s="102"/>
      <c r="AF89" s="369"/>
      <c r="AG89" s="369"/>
      <c r="AH89" s="369"/>
      <c r="AI89" s="369"/>
      <c r="AJ89" s="96"/>
    </row>
    <row r="90" spans="1:36" s="103" customFormat="1" ht="30" customHeight="1" x14ac:dyDescent="0.25">
      <c r="A90" s="94"/>
      <c r="B90" s="94"/>
      <c r="C90" s="413"/>
      <c r="D90" s="95"/>
      <c r="E90" s="96"/>
      <c r="F90" s="96"/>
      <c r="G90" s="96"/>
      <c r="H90" s="96"/>
      <c r="I90" s="97"/>
      <c r="J90" s="98"/>
      <c r="K90" s="98"/>
      <c r="L90" s="99"/>
      <c r="M90" s="72"/>
      <c r="N90" s="100"/>
      <c r="O90" s="101"/>
      <c r="P90" s="377"/>
      <c r="Q90" s="75"/>
      <c r="R90" s="76"/>
      <c r="S90" s="72"/>
      <c r="T90" s="60"/>
      <c r="U90" s="60"/>
      <c r="V90" s="60"/>
      <c r="W90" s="102"/>
      <c r="X90" s="102"/>
      <c r="Y90" s="102"/>
      <c r="Z90" s="102"/>
      <c r="AA90" s="102"/>
      <c r="AB90" s="102"/>
      <c r="AC90" s="102"/>
      <c r="AD90" s="102"/>
      <c r="AE90" s="102"/>
      <c r="AF90" s="369"/>
      <c r="AG90" s="369"/>
      <c r="AH90" s="369"/>
      <c r="AI90" s="369"/>
      <c r="AJ90" s="96"/>
    </row>
    <row r="91" spans="1:36" s="103" customFormat="1" ht="30" customHeight="1" x14ac:dyDescent="0.25">
      <c r="A91" s="94"/>
      <c r="B91" s="94"/>
      <c r="C91" s="413"/>
      <c r="D91" s="95"/>
      <c r="E91" s="96"/>
      <c r="F91" s="96"/>
      <c r="G91" s="96"/>
      <c r="H91" s="96"/>
      <c r="I91" s="97"/>
      <c r="J91" s="98"/>
      <c r="K91" s="98"/>
      <c r="L91" s="99"/>
      <c r="M91" s="72"/>
      <c r="N91" s="100"/>
      <c r="O91" s="101"/>
      <c r="P91" s="377"/>
      <c r="Q91" s="75"/>
      <c r="R91" s="76"/>
      <c r="S91" s="72"/>
      <c r="T91" s="60"/>
      <c r="U91" s="60"/>
      <c r="V91" s="60"/>
      <c r="W91" s="102"/>
      <c r="X91" s="102"/>
      <c r="Y91" s="102"/>
      <c r="Z91" s="102"/>
      <c r="AA91" s="102"/>
      <c r="AB91" s="102"/>
      <c r="AC91" s="102"/>
      <c r="AD91" s="102"/>
      <c r="AE91" s="102"/>
      <c r="AF91" s="369"/>
      <c r="AG91" s="369"/>
      <c r="AH91" s="369"/>
      <c r="AI91" s="369"/>
      <c r="AJ91" s="96"/>
    </row>
    <row r="92" spans="1:36" s="103" customFormat="1" ht="30" customHeight="1" x14ac:dyDescent="0.25">
      <c r="A92" s="94"/>
      <c r="B92" s="94"/>
      <c r="C92" s="413"/>
      <c r="D92" s="95"/>
      <c r="E92" s="96"/>
      <c r="F92" s="96"/>
      <c r="G92" s="96"/>
      <c r="H92" s="96"/>
      <c r="I92" s="97"/>
      <c r="J92" s="98"/>
      <c r="K92" s="98"/>
      <c r="L92" s="99"/>
      <c r="M92" s="72"/>
      <c r="N92" s="100"/>
      <c r="O92" s="101"/>
      <c r="P92" s="377"/>
      <c r="Q92" s="75"/>
      <c r="R92" s="76"/>
      <c r="S92" s="72"/>
      <c r="T92" s="60"/>
      <c r="U92" s="60"/>
      <c r="V92" s="60"/>
      <c r="W92" s="102"/>
      <c r="X92" s="102"/>
      <c r="Y92" s="102"/>
      <c r="Z92" s="102"/>
      <c r="AA92" s="102"/>
      <c r="AB92" s="102"/>
      <c r="AC92" s="102"/>
      <c r="AD92" s="102"/>
      <c r="AE92" s="102"/>
      <c r="AF92" s="369"/>
      <c r="AG92" s="369"/>
      <c r="AH92" s="369"/>
      <c r="AI92" s="369"/>
      <c r="AJ92" s="96"/>
    </row>
    <row r="93" spans="1:36" s="103" customFormat="1" ht="30" customHeight="1" x14ac:dyDescent="0.25">
      <c r="A93" s="94"/>
      <c r="B93" s="94"/>
      <c r="C93" s="413"/>
      <c r="D93" s="95"/>
      <c r="E93" s="96"/>
      <c r="F93" s="96"/>
      <c r="G93" s="96"/>
      <c r="H93" s="96"/>
      <c r="I93" s="97"/>
      <c r="J93" s="98"/>
      <c r="K93" s="98"/>
      <c r="L93" s="99"/>
      <c r="M93" s="72"/>
      <c r="N93" s="100"/>
      <c r="O93" s="101"/>
      <c r="P93" s="377"/>
      <c r="Q93" s="75"/>
      <c r="R93" s="76"/>
      <c r="S93" s="72"/>
      <c r="T93" s="60"/>
      <c r="U93" s="60"/>
      <c r="V93" s="60"/>
      <c r="W93" s="102"/>
      <c r="X93" s="102"/>
      <c r="Y93" s="102"/>
      <c r="Z93" s="102"/>
      <c r="AA93" s="102"/>
      <c r="AB93" s="102"/>
      <c r="AC93" s="102"/>
      <c r="AD93" s="102"/>
      <c r="AE93" s="102"/>
      <c r="AF93" s="369"/>
      <c r="AG93" s="369"/>
      <c r="AH93" s="369"/>
      <c r="AI93" s="369"/>
      <c r="AJ93" s="96"/>
    </row>
    <row r="94" spans="1:36" s="103" customFormat="1" ht="30" customHeight="1" x14ac:dyDescent="0.25">
      <c r="A94" s="94"/>
      <c r="B94" s="94"/>
      <c r="C94" s="413"/>
      <c r="D94" s="95"/>
      <c r="E94" s="96"/>
      <c r="F94" s="96"/>
      <c r="G94" s="96"/>
      <c r="H94" s="96"/>
      <c r="I94" s="97"/>
      <c r="J94" s="98"/>
      <c r="K94" s="98"/>
      <c r="L94" s="99"/>
      <c r="M94" s="72"/>
      <c r="N94" s="100"/>
      <c r="O94" s="101"/>
      <c r="P94" s="377"/>
      <c r="Q94" s="75"/>
      <c r="R94" s="76"/>
      <c r="S94" s="72"/>
      <c r="T94" s="60"/>
      <c r="U94" s="60"/>
      <c r="V94" s="60"/>
      <c r="W94" s="102"/>
      <c r="X94" s="102"/>
      <c r="Y94" s="102"/>
      <c r="Z94" s="102"/>
      <c r="AA94" s="102"/>
      <c r="AB94" s="102"/>
      <c r="AC94" s="102"/>
      <c r="AD94" s="102"/>
      <c r="AE94" s="102"/>
      <c r="AF94" s="369"/>
      <c r="AG94" s="369"/>
      <c r="AH94" s="369"/>
      <c r="AI94" s="369"/>
      <c r="AJ94" s="96"/>
    </row>
    <row r="95" spans="1:36" s="103" customFormat="1" ht="30" customHeight="1" x14ac:dyDescent="0.25">
      <c r="A95" s="94"/>
      <c r="B95" s="94"/>
      <c r="C95" s="413"/>
      <c r="D95" s="95"/>
      <c r="E95" s="96"/>
      <c r="F95" s="96"/>
      <c r="G95" s="96"/>
      <c r="H95" s="96"/>
      <c r="I95" s="97"/>
      <c r="J95" s="98"/>
      <c r="K95" s="98"/>
      <c r="L95" s="99"/>
      <c r="M95" s="72"/>
      <c r="N95" s="100"/>
      <c r="O95" s="101"/>
      <c r="P95" s="377"/>
      <c r="Q95" s="75"/>
      <c r="R95" s="76"/>
      <c r="S95" s="72"/>
      <c r="T95" s="60"/>
      <c r="U95" s="60"/>
      <c r="V95" s="60"/>
      <c r="W95" s="102"/>
      <c r="X95" s="102"/>
      <c r="Y95" s="102"/>
      <c r="Z95" s="102"/>
      <c r="AA95" s="102"/>
      <c r="AB95" s="102"/>
      <c r="AC95" s="102"/>
      <c r="AD95" s="102"/>
      <c r="AE95" s="102"/>
      <c r="AF95" s="369"/>
      <c r="AG95" s="369"/>
      <c r="AH95" s="369"/>
      <c r="AI95" s="369"/>
      <c r="AJ95" s="96"/>
    </row>
    <row r="96" spans="1:36" s="103" customFormat="1" ht="30" customHeight="1" x14ac:dyDescent="0.25">
      <c r="A96" s="94"/>
      <c r="B96" s="94"/>
      <c r="C96" s="413"/>
      <c r="D96" s="95"/>
      <c r="E96" s="96"/>
      <c r="F96" s="96"/>
      <c r="G96" s="96"/>
      <c r="H96" s="96"/>
      <c r="I96" s="97"/>
      <c r="J96" s="98"/>
      <c r="K96" s="98"/>
      <c r="L96" s="99"/>
      <c r="M96" s="72"/>
      <c r="N96" s="100"/>
      <c r="O96" s="101"/>
      <c r="P96" s="377"/>
      <c r="Q96" s="75"/>
      <c r="R96" s="76"/>
      <c r="S96" s="72"/>
      <c r="T96" s="60"/>
      <c r="U96" s="60"/>
      <c r="V96" s="60"/>
      <c r="W96" s="102"/>
      <c r="X96" s="102"/>
      <c r="Y96" s="102"/>
      <c r="Z96" s="102"/>
      <c r="AA96" s="102"/>
      <c r="AB96" s="102"/>
      <c r="AC96" s="102"/>
      <c r="AD96" s="102"/>
      <c r="AE96" s="102"/>
      <c r="AF96" s="369"/>
      <c r="AG96" s="369"/>
      <c r="AH96" s="369"/>
      <c r="AI96" s="369"/>
      <c r="AJ96" s="96"/>
    </row>
    <row r="97" spans="1:36" s="103" customFormat="1" ht="30" customHeight="1" x14ac:dyDescent="0.25">
      <c r="A97" s="94"/>
      <c r="B97" s="94"/>
      <c r="C97" s="413"/>
      <c r="D97" s="95"/>
      <c r="E97" s="96"/>
      <c r="F97" s="96"/>
      <c r="G97" s="96"/>
      <c r="H97" s="96"/>
      <c r="I97" s="97"/>
      <c r="J97" s="98"/>
      <c r="K97" s="98"/>
      <c r="L97" s="99"/>
      <c r="M97" s="72"/>
      <c r="N97" s="100"/>
      <c r="O97" s="101"/>
      <c r="P97" s="377"/>
      <c r="Q97" s="75"/>
      <c r="R97" s="76"/>
      <c r="S97" s="72"/>
      <c r="T97" s="60"/>
      <c r="U97" s="60"/>
      <c r="V97" s="60"/>
      <c r="W97" s="102"/>
      <c r="X97" s="102"/>
      <c r="Y97" s="102"/>
      <c r="Z97" s="102"/>
      <c r="AA97" s="102"/>
      <c r="AB97" s="102"/>
      <c r="AC97" s="102"/>
      <c r="AD97" s="102"/>
      <c r="AE97" s="102"/>
      <c r="AF97" s="369"/>
      <c r="AG97" s="369"/>
      <c r="AH97" s="369"/>
      <c r="AI97" s="369"/>
      <c r="AJ97" s="96"/>
    </row>
    <row r="98" spans="1:36" s="103" customFormat="1" ht="30" customHeight="1" x14ac:dyDescent="0.25">
      <c r="A98" s="94"/>
      <c r="B98" s="94"/>
      <c r="C98" s="413"/>
      <c r="D98" s="95"/>
      <c r="E98" s="96"/>
      <c r="F98" s="96"/>
      <c r="G98" s="96"/>
      <c r="H98" s="96"/>
      <c r="I98" s="97"/>
      <c r="J98" s="98"/>
      <c r="K98" s="98"/>
      <c r="L98" s="99"/>
      <c r="M98" s="72"/>
      <c r="N98" s="100"/>
      <c r="O98" s="101"/>
      <c r="P98" s="377"/>
      <c r="Q98" s="75"/>
      <c r="R98" s="76"/>
      <c r="S98" s="72"/>
      <c r="T98" s="60"/>
      <c r="U98" s="60"/>
      <c r="V98" s="60"/>
      <c r="W98" s="102"/>
      <c r="X98" s="102"/>
      <c r="Y98" s="102"/>
      <c r="Z98" s="102"/>
      <c r="AA98" s="102"/>
      <c r="AB98" s="102"/>
      <c r="AC98" s="102"/>
      <c r="AD98" s="102"/>
      <c r="AE98" s="102"/>
      <c r="AF98" s="369"/>
      <c r="AG98" s="369"/>
      <c r="AH98" s="369"/>
      <c r="AI98" s="369"/>
      <c r="AJ98" s="96"/>
    </row>
    <row r="99" spans="1:36" s="103" customFormat="1" ht="30" customHeight="1" x14ac:dyDescent="0.25">
      <c r="A99" s="94"/>
      <c r="B99" s="94"/>
      <c r="C99" s="413"/>
      <c r="D99" s="95"/>
      <c r="E99" s="96"/>
      <c r="F99" s="96"/>
      <c r="G99" s="96"/>
      <c r="H99" s="96"/>
      <c r="I99" s="97"/>
      <c r="J99" s="98"/>
      <c r="K99" s="98"/>
      <c r="L99" s="99"/>
      <c r="M99" s="72"/>
      <c r="N99" s="100"/>
      <c r="O99" s="101"/>
      <c r="P99" s="377"/>
      <c r="Q99" s="75"/>
      <c r="R99" s="76"/>
      <c r="S99" s="72"/>
      <c r="T99" s="60"/>
      <c r="U99" s="60"/>
      <c r="V99" s="60"/>
      <c r="W99" s="102"/>
      <c r="X99" s="102"/>
      <c r="Y99" s="102"/>
      <c r="Z99" s="102"/>
      <c r="AA99" s="102"/>
      <c r="AB99" s="102"/>
      <c r="AC99" s="102"/>
      <c r="AD99" s="102"/>
      <c r="AE99" s="102"/>
      <c r="AF99" s="369"/>
      <c r="AG99" s="369"/>
      <c r="AH99" s="369"/>
      <c r="AI99" s="369"/>
      <c r="AJ99" s="96"/>
    </row>
    <row r="100" spans="1:36" s="103" customFormat="1" ht="30" customHeight="1" x14ac:dyDescent="0.25">
      <c r="A100" s="94"/>
      <c r="B100" s="94"/>
      <c r="C100" s="413"/>
      <c r="D100" s="95"/>
      <c r="E100" s="96"/>
      <c r="F100" s="96"/>
      <c r="G100" s="96"/>
      <c r="H100" s="96"/>
      <c r="I100" s="97"/>
      <c r="J100" s="98"/>
      <c r="K100" s="98"/>
      <c r="L100" s="99"/>
      <c r="M100" s="72"/>
      <c r="N100" s="100"/>
      <c r="O100" s="101"/>
      <c r="P100" s="377"/>
      <c r="Q100" s="75"/>
      <c r="R100" s="76"/>
      <c r="S100" s="72"/>
      <c r="T100" s="60"/>
      <c r="U100" s="60"/>
      <c r="V100" s="60"/>
      <c r="W100" s="102"/>
      <c r="X100" s="102"/>
      <c r="Y100" s="102"/>
      <c r="Z100" s="102"/>
      <c r="AA100" s="102"/>
      <c r="AB100" s="102"/>
      <c r="AC100" s="102"/>
      <c r="AD100" s="102"/>
      <c r="AE100" s="102"/>
      <c r="AF100" s="369"/>
      <c r="AG100" s="369"/>
      <c r="AH100" s="369"/>
      <c r="AI100" s="369"/>
      <c r="AJ100" s="96"/>
    </row>
    <row r="101" spans="1:36" s="103" customFormat="1" ht="30" customHeight="1" x14ac:dyDescent="0.25">
      <c r="A101" s="94"/>
      <c r="B101" s="94"/>
      <c r="C101" s="413"/>
      <c r="D101" s="95"/>
      <c r="E101" s="96"/>
      <c r="F101" s="96"/>
      <c r="G101" s="96"/>
      <c r="H101" s="96"/>
      <c r="I101" s="97"/>
      <c r="J101" s="98"/>
      <c r="K101" s="98"/>
      <c r="L101" s="99"/>
      <c r="M101" s="72"/>
      <c r="N101" s="100"/>
      <c r="O101" s="101"/>
      <c r="P101" s="377"/>
      <c r="Q101" s="75"/>
      <c r="R101" s="76"/>
      <c r="S101" s="72"/>
      <c r="T101" s="60"/>
      <c r="U101" s="60"/>
      <c r="V101" s="60"/>
      <c r="W101" s="102"/>
      <c r="X101" s="102"/>
      <c r="Y101" s="102"/>
      <c r="Z101" s="102"/>
      <c r="AA101" s="102"/>
      <c r="AB101" s="102"/>
      <c r="AC101" s="102"/>
      <c r="AD101" s="102"/>
      <c r="AE101" s="102"/>
      <c r="AF101" s="369"/>
      <c r="AG101" s="369"/>
      <c r="AH101" s="369"/>
      <c r="AI101" s="369"/>
      <c r="AJ101" s="96"/>
    </row>
    <row r="102" spans="1:36" s="103" customFormat="1" ht="30" customHeight="1" x14ac:dyDescent="0.25">
      <c r="A102" s="94"/>
      <c r="B102" s="94"/>
      <c r="C102" s="413"/>
      <c r="D102" s="95"/>
      <c r="E102" s="96"/>
      <c r="F102" s="96"/>
      <c r="G102" s="96"/>
      <c r="H102" s="96"/>
      <c r="I102" s="97"/>
      <c r="J102" s="98"/>
      <c r="K102" s="98"/>
      <c r="L102" s="99"/>
      <c r="M102" s="72"/>
      <c r="N102" s="100"/>
      <c r="O102" s="101"/>
      <c r="P102" s="377"/>
      <c r="Q102" s="75"/>
      <c r="R102" s="76"/>
      <c r="S102" s="72"/>
      <c r="T102" s="60"/>
      <c r="U102" s="60"/>
      <c r="V102" s="60"/>
      <c r="W102" s="102"/>
      <c r="X102" s="102"/>
      <c r="Y102" s="102"/>
      <c r="Z102" s="102"/>
      <c r="AA102" s="102"/>
      <c r="AB102" s="102"/>
      <c r="AC102" s="102"/>
      <c r="AD102" s="102"/>
      <c r="AE102" s="102"/>
      <c r="AF102" s="369"/>
      <c r="AG102" s="369"/>
      <c r="AH102" s="369"/>
      <c r="AI102" s="369"/>
      <c r="AJ102" s="96"/>
    </row>
    <row r="103" spans="1:36" s="103" customFormat="1" ht="30" customHeight="1" x14ac:dyDescent="0.25">
      <c r="A103" s="94"/>
      <c r="B103" s="94"/>
      <c r="C103" s="413"/>
      <c r="D103" s="95"/>
      <c r="E103" s="96"/>
      <c r="F103" s="96"/>
      <c r="G103" s="96"/>
      <c r="H103" s="96"/>
      <c r="I103" s="97"/>
      <c r="J103" s="98"/>
      <c r="K103" s="98"/>
      <c r="L103" s="99"/>
      <c r="M103" s="72"/>
      <c r="N103" s="100"/>
      <c r="O103" s="101"/>
      <c r="P103" s="377"/>
      <c r="Q103" s="75"/>
      <c r="R103" s="76"/>
      <c r="S103" s="72"/>
      <c r="T103" s="60"/>
      <c r="U103" s="60"/>
      <c r="V103" s="60"/>
      <c r="W103" s="102"/>
      <c r="X103" s="102"/>
      <c r="Y103" s="102"/>
      <c r="Z103" s="102"/>
      <c r="AA103" s="102"/>
      <c r="AB103" s="102"/>
      <c r="AC103" s="102"/>
      <c r="AD103" s="102"/>
      <c r="AE103" s="102"/>
      <c r="AF103" s="369"/>
      <c r="AG103" s="369"/>
      <c r="AH103" s="369"/>
      <c r="AI103" s="369"/>
      <c r="AJ103" s="96"/>
    </row>
    <row r="104" spans="1:36" s="103" customFormat="1" ht="30" customHeight="1" x14ac:dyDescent="0.25">
      <c r="A104" s="94"/>
      <c r="B104" s="94"/>
      <c r="C104" s="413"/>
      <c r="D104" s="95"/>
      <c r="E104" s="96"/>
      <c r="F104" s="96"/>
      <c r="G104" s="96"/>
      <c r="H104" s="96"/>
      <c r="I104" s="97"/>
      <c r="J104" s="98"/>
      <c r="K104" s="98"/>
      <c r="L104" s="99"/>
      <c r="M104" s="72"/>
      <c r="N104" s="100"/>
      <c r="O104" s="101"/>
      <c r="P104" s="377"/>
      <c r="Q104" s="75"/>
      <c r="R104" s="76"/>
      <c r="S104" s="72"/>
      <c r="T104" s="60"/>
      <c r="U104" s="60"/>
      <c r="V104" s="60"/>
      <c r="W104" s="102"/>
      <c r="X104" s="102"/>
      <c r="Y104" s="102"/>
      <c r="Z104" s="102"/>
      <c r="AA104" s="102"/>
      <c r="AB104" s="102"/>
      <c r="AC104" s="102"/>
      <c r="AD104" s="102"/>
      <c r="AE104" s="102"/>
      <c r="AF104" s="369"/>
      <c r="AG104" s="369"/>
      <c r="AH104" s="369"/>
      <c r="AI104" s="369"/>
      <c r="AJ104" s="96"/>
    </row>
    <row r="105" spans="1:36" s="103" customFormat="1" ht="30" customHeight="1" x14ac:dyDescent="0.25">
      <c r="A105" s="94"/>
      <c r="B105" s="94"/>
      <c r="C105" s="413"/>
      <c r="D105" s="95"/>
      <c r="E105" s="96"/>
      <c r="F105" s="96"/>
      <c r="G105" s="96"/>
      <c r="H105" s="96"/>
      <c r="I105" s="97"/>
      <c r="J105" s="98"/>
      <c r="K105" s="98"/>
      <c r="L105" s="99"/>
      <c r="M105" s="72"/>
      <c r="N105" s="100"/>
      <c r="O105" s="101"/>
      <c r="P105" s="377"/>
      <c r="Q105" s="75"/>
      <c r="R105" s="76"/>
      <c r="S105" s="72"/>
      <c r="T105" s="60"/>
      <c r="U105" s="60"/>
      <c r="V105" s="60"/>
      <c r="W105" s="102"/>
      <c r="X105" s="102"/>
      <c r="Y105" s="102"/>
      <c r="Z105" s="102"/>
      <c r="AA105" s="102"/>
      <c r="AB105" s="102"/>
      <c r="AC105" s="102"/>
      <c r="AD105" s="102"/>
      <c r="AE105" s="102"/>
      <c r="AF105" s="369"/>
      <c r="AG105" s="369"/>
      <c r="AH105" s="369"/>
      <c r="AI105" s="369"/>
      <c r="AJ105" s="96"/>
    </row>
    <row r="106" spans="1:36" s="103" customFormat="1" ht="30" customHeight="1" x14ac:dyDescent="0.25">
      <c r="A106" s="94"/>
      <c r="B106" s="94"/>
      <c r="C106" s="413"/>
      <c r="D106" s="95"/>
      <c r="E106" s="96"/>
      <c r="F106" s="96"/>
      <c r="G106" s="96"/>
      <c r="H106" s="96"/>
      <c r="I106" s="97"/>
      <c r="J106" s="98"/>
      <c r="K106" s="98"/>
      <c r="L106" s="99"/>
      <c r="M106" s="72"/>
      <c r="N106" s="100"/>
      <c r="O106" s="101"/>
      <c r="P106" s="377"/>
      <c r="Q106" s="75"/>
      <c r="R106" s="76"/>
      <c r="S106" s="72"/>
      <c r="T106" s="60"/>
      <c r="U106" s="60"/>
      <c r="V106" s="60"/>
      <c r="W106" s="102"/>
      <c r="X106" s="102"/>
      <c r="Y106" s="102"/>
      <c r="Z106" s="102"/>
      <c r="AA106" s="102"/>
      <c r="AB106" s="102"/>
      <c r="AC106" s="102"/>
      <c r="AD106" s="102"/>
      <c r="AE106" s="102"/>
      <c r="AF106" s="369"/>
      <c r="AG106" s="369"/>
      <c r="AH106" s="369"/>
      <c r="AI106" s="369"/>
      <c r="AJ106" s="96"/>
    </row>
    <row r="107" spans="1:36" s="103" customFormat="1" ht="30" customHeight="1" x14ac:dyDescent="0.25">
      <c r="A107" s="94"/>
      <c r="B107" s="94"/>
      <c r="C107" s="413"/>
      <c r="D107" s="95"/>
      <c r="E107" s="96"/>
      <c r="F107" s="96"/>
      <c r="G107" s="96"/>
      <c r="H107" s="96"/>
      <c r="I107" s="97"/>
      <c r="J107" s="98"/>
      <c r="K107" s="98"/>
      <c r="L107" s="99"/>
      <c r="M107" s="72"/>
      <c r="N107" s="100"/>
      <c r="O107" s="101"/>
      <c r="P107" s="377"/>
      <c r="Q107" s="75"/>
      <c r="R107" s="76"/>
      <c r="S107" s="72"/>
      <c r="T107" s="60"/>
      <c r="U107" s="60"/>
      <c r="V107" s="60"/>
      <c r="W107" s="102"/>
      <c r="X107" s="102"/>
      <c r="Y107" s="102"/>
      <c r="Z107" s="102"/>
      <c r="AA107" s="102"/>
      <c r="AB107" s="102"/>
      <c r="AC107" s="102"/>
      <c r="AD107" s="102"/>
      <c r="AE107" s="102"/>
      <c r="AF107" s="369"/>
      <c r="AG107" s="369"/>
      <c r="AH107" s="369"/>
      <c r="AI107" s="369"/>
      <c r="AJ107" s="96"/>
    </row>
    <row r="108" spans="1:36" s="103" customFormat="1" ht="30" customHeight="1" x14ac:dyDescent="0.25">
      <c r="A108" s="94"/>
      <c r="B108" s="94"/>
      <c r="C108" s="413"/>
      <c r="D108" s="95"/>
      <c r="E108" s="96"/>
      <c r="F108" s="96"/>
      <c r="G108" s="96"/>
      <c r="H108" s="96"/>
      <c r="I108" s="97"/>
      <c r="J108" s="98"/>
      <c r="K108" s="98"/>
      <c r="L108" s="99"/>
      <c r="M108" s="72"/>
      <c r="N108" s="100"/>
      <c r="O108" s="101"/>
      <c r="P108" s="377"/>
      <c r="Q108" s="75"/>
      <c r="R108" s="76"/>
      <c r="S108" s="72"/>
      <c r="T108" s="60"/>
      <c r="U108" s="60"/>
      <c r="V108" s="60"/>
      <c r="W108" s="102"/>
      <c r="X108" s="102"/>
      <c r="Y108" s="102"/>
      <c r="Z108" s="102"/>
      <c r="AA108" s="102"/>
      <c r="AB108" s="102"/>
      <c r="AC108" s="102"/>
      <c r="AD108" s="102"/>
      <c r="AE108" s="102"/>
      <c r="AF108" s="369"/>
      <c r="AG108" s="369"/>
      <c r="AH108" s="369"/>
      <c r="AI108" s="369"/>
      <c r="AJ108" s="96"/>
    </row>
    <row r="109" spans="1:36" s="103" customFormat="1" ht="30" customHeight="1" x14ac:dyDescent="0.25">
      <c r="A109" s="94"/>
      <c r="B109" s="94"/>
      <c r="C109" s="413"/>
      <c r="D109" s="95"/>
      <c r="E109" s="96"/>
      <c r="F109" s="96"/>
      <c r="G109" s="96"/>
      <c r="H109" s="96"/>
      <c r="I109" s="97"/>
      <c r="J109" s="98"/>
      <c r="K109" s="98"/>
      <c r="L109" s="99"/>
      <c r="M109" s="72"/>
      <c r="N109" s="100"/>
      <c r="O109" s="101"/>
      <c r="P109" s="377"/>
      <c r="Q109" s="75"/>
      <c r="R109" s="76"/>
      <c r="S109" s="72"/>
      <c r="T109" s="60"/>
      <c r="U109" s="60"/>
      <c r="V109" s="60"/>
      <c r="W109" s="102"/>
      <c r="X109" s="102"/>
      <c r="Y109" s="102"/>
      <c r="Z109" s="102"/>
      <c r="AA109" s="102"/>
      <c r="AB109" s="102"/>
      <c r="AC109" s="102"/>
      <c r="AD109" s="102"/>
      <c r="AE109" s="102"/>
      <c r="AF109" s="369"/>
      <c r="AG109" s="369"/>
      <c r="AH109" s="369"/>
      <c r="AI109" s="369"/>
      <c r="AJ109" s="96"/>
    </row>
    <row r="110" spans="1:36" s="103" customFormat="1" ht="30" customHeight="1" x14ac:dyDescent="0.25">
      <c r="A110" s="94"/>
      <c r="B110" s="94"/>
      <c r="C110" s="413"/>
      <c r="D110" s="95"/>
      <c r="E110" s="96"/>
      <c r="F110" s="96"/>
      <c r="G110" s="96"/>
      <c r="H110" s="96"/>
      <c r="I110" s="97"/>
      <c r="J110" s="98"/>
      <c r="K110" s="98"/>
      <c r="L110" s="99"/>
      <c r="M110" s="72"/>
      <c r="N110" s="100"/>
      <c r="O110" s="101"/>
      <c r="P110" s="377"/>
      <c r="Q110" s="75"/>
      <c r="R110" s="76"/>
      <c r="S110" s="72"/>
      <c r="T110" s="60"/>
      <c r="U110" s="60"/>
      <c r="V110" s="60"/>
      <c r="W110" s="102"/>
      <c r="X110" s="102"/>
      <c r="Y110" s="102"/>
      <c r="Z110" s="102"/>
      <c r="AA110" s="102"/>
      <c r="AB110" s="102"/>
      <c r="AC110" s="102"/>
      <c r="AD110" s="102"/>
      <c r="AE110" s="102"/>
      <c r="AF110" s="369"/>
      <c r="AG110" s="369"/>
      <c r="AH110" s="369"/>
      <c r="AI110" s="369"/>
      <c r="AJ110" s="96"/>
    </row>
    <row r="111" spans="1:36" s="103" customFormat="1" ht="30" customHeight="1" x14ac:dyDescent="0.25">
      <c r="A111" s="94"/>
      <c r="B111" s="94"/>
      <c r="C111" s="413"/>
      <c r="D111" s="95"/>
      <c r="E111" s="96"/>
      <c r="F111" s="96"/>
      <c r="G111" s="96"/>
      <c r="H111" s="96"/>
      <c r="I111" s="97"/>
      <c r="J111" s="98"/>
      <c r="K111" s="98"/>
      <c r="L111" s="99"/>
      <c r="M111" s="72"/>
      <c r="N111" s="100"/>
      <c r="O111" s="101"/>
      <c r="P111" s="377"/>
      <c r="Q111" s="75"/>
      <c r="R111" s="76"/>
      <c r="S111" s="72"/>
      <c r="T111" s="60"/>
      <c r="U111" s="60"/>
      <c r="V111" s="60"/>
      <c r="W111" s="102"/>
      <c r="X111" s="102"/>
      <c r="Y111" s="102"/>
      <c r="Z111" s="102"/>
      <c r="AA111" s="102"/>
      <c r="AB111" s="102"/>
      <c r="AC111" s="102"/>
      <c r="AD111" s="102"/>
      <c r="AE111" s="102"/>
      <c r="AF111" s="369"/>
      <c r="AG111" s="369"/>
      <c r="AH111" s="369"/>
      <c r="AI111" s="369"/>
      <c r="AJ111" s="96"/>
    </row>
    <row r="112" spans="1:36" s="103" customFormat="1" ht="30" customHeight="1" x14ac:dyDescent="0.25">
      <c r="A112" s="94"/>
      <c r="B112" s="94"/>
      <c r="C112" s="413"/>
      <c r="D112" s="95"/>
      <c r="E112" s="96"/>
      <c r="F112" s="96"/>
      <c r="G112" s="96"/>
      <c r="H112" s="96"/>
      <c r="I112" s="97"/>
      <c r="J112" s="98"/>
      <c r="K112" s="98"/>
      <c r="L112" s="99"/>
      <c r="M112" s="72"/>
      <c r="N112" s="100"/>
      <c r="O112" s="101"/>
      <c r="P112" s="377"/>
      <c r="Q112" s="75"/>
      <c r="R112" s="76"/>
      <c r="S112" s="72"/>
      <c r="T112" s="60"/>
      <c r="U112" s="60"/>
      <c r="V112" s="60"/>
      <c r="W112" s="102"/>
      <c r="X112" s="102"/>
      <c r="Y112" s="102"/>
      <c r="Z112" s="102"/>
      <c r="AA112" s="102"/>
      <c r="AB112" s="102"/>
      <c r="AC112" s="102"/>
      <c r="AD112" s="102"/>
      <c r="AE112" s="102"/>
      <c r="AF112" s="369"/>
      <c r="AG112" s="369"/>
      <c r="AH112" s="369"/>
      <c r="AI112" s="369"/>
      <c r="AJ112" s="96"/>
    </row>
    <row r="113" spans="1:36" s="103" customFormat="1" ht="30" customHeight="1" x14ac:dyDescent="0.25">
      <c r="A113" s="94"/>
      <c r="B113" s="94"/>
      <c r="C113" s="413"/>
      <c r="D113" s="95"/>
      <c r="E113" s="96"/>
      <c r="F113" s="96"/>
      <c r="G113" s="96"/>
      <c r="H113" s="96"/>
      <c r="I113" s="97"/>
      <c r="J113" s="98"/>
      <c r="K113" s="98"/>
      <c r="L113" s="99"/>
      <c r="M113" s="72"/>
      <c r="N113" s="100"/>
      <c r="O113" s="101"/>
      <c r="P113" s="377"/>
      <c r="Q113" s="75"/>
      <c r="R113" s="76"/>
      <c r="S113" s="72"/>
      <c r="T113" s="60"/>
      <c r="U113" s="60"/>
      <c r="V113" s="60"/>
      <c r="W113" s="102"/>
      <c r="X113" s="102"/>
      <c r="Y113" s="102"/>
      <c r="Z113" s="102"/>
      <c r="AA113" s="102"/>
      <c r="AB113" s="102"/>
      <c r="AC113" s="102"/>
      <c r="AD113" s="102"/>
      <c r="AE113" s="102"/>
      <c r="AF113" s="369"/>
      <c r="AG113" s="369"/>
      <c r="AH113" s="369"/>
      <c r="AI113" s="369"/>
      <c r="AJ113" s="96"/>
    </row>
    <row r="114" spans="1:36" s="103" customFormat="1" ht="30" customHeight="1" x14ac:dyDescent="0.25">
      <c r="A114" s="94"/>
      <c r="B114" s="94"/>
      <c r="C114" s="413"/>
      <c r="D114" s="95"/>
      <c r="E114" s="96"/>
      <c r="F114" s="96"/>
      <c r="G114" s="96"/>
      <c r="H114" s="96"/>
      <c r="I114" s="97"/>
      <c r="J114" s="98"/>
      <c r="K114" s="98"/>
      <c r="L114" s="99"/>
      <c r="M114" s="72"/>
      <c r="N114" s="100"/>
      <c r="O114" s="101"/>
      <c r="P114" s="377"/>
      <c r="Q114" s="75"/>
      <c r="R114" s="76"/>
      <c r="S114" s="72"/>
      <c r="T114" s="60"/>
      <c r="U114" s="60"/>
      <c r="V114" s="60"/>
      <c r="W114" s="102"/>
      <c r="X114" s="102"/>
      <c r="Y114" s="102"/>
      <c r="Z114" s="102"/>
      <c r="AA114" s="102"/>
      <c r="AB114" s="102"/>
      <c r="AC114" s="102"/>
      <c r="AD114" s="102"/>
      <c r="AE114" s="102"/>
      <c r="AF114" s="369"/>
      <c r="AG114" s="369"/>
      <c r="AH114" s="369"/>
      <c r="AI114" s="369"/>
      <c r="AJ114" s="96"/>
    </row>
    <row r="115" spans="1:36" s="103" customFormat="1" ht="30" customHeight="1" x14ac:dyDescent="0.25">
      <c r="A115" s="94"/>
      <c r="B115" s="94"/>
      <c r="C115" s="413"/>
      <c r="D115" s="95"/>
      <c r="E115" s="96"/>
      <c r="F115" s="96"/>
      <c r="G115" s="96"/>
      <c r="H115" s="96"/>
      <c r="I115" s="97"/>
      <c r="J115" s="98"/>
      <c r="K115" s="98"/>
      <c r="L115" s="99"/>
      <c r="M115" s="72"/>
      <c r="N115" s="100"/>
      <c r="O115" s="101"/>
      <c r="P115" s="377"/>
      <c r="Q115" s="75"/>
      <c r="R115" s="76"/>
      <c r="S115" s="72"/>
      <c r="T115" s="60"/>
      <c r="U115" s="60"/>
      <c r="V115" s="60"/>
      <c r="W115" s="102"/>
      <c r="X115" s="102"/>
      <c r="Y115" s="102"/>
      <c r="Z115" s="102"/>
      <c r="AA115" s="102"/>
      <c r="AB115" s="102"/>
      <c r="AC115" s="102"/>
      <c r="AD115" s="102"/>
      <c r="AE115" s="102"/>
      <c r="AF115" s="369"/>
      <c r="AG115" s="369"/>
      <c r="AH115" s="369"/>
      <c r="AI115" s="369"/>
      <c r="AJ115" s="96"/>
    </row>
    <row r="116" spans="1:36" s="103" customFormat="1" ht="30" customHeight="1" x14ac:dyDescent="0.25">
      <c r="A116" s="94"/>
      <c r="B116" s="94"/>
      <c r="C116" s="413"/>
      <c r="D116" s="95"/>
      <c r="E116" s="96"/>
      <c r="F116" s="96"/>
      <c r="G116" s="96"/>
      <c r="H116" s="96"/>
      <c r="I116" s="97"/>
      <c r="J116" s="98"/>
      <c r="K116" s="98"/>
      <c r="L116" s="99"/>
      <c r="M116" s="72"/>
      <c r="N116" s="100"/>
      <c r="O116" s="101"/>
      <c r="P116" s="377"/>
      <c r="Q116" s="75"/>
      <c r="R116" s="76"/>
      <c r="S116" s="72"/>
      <c r="T116" s="60"/>
      <c r="U116" s="60"/>
      <c r="V116" s="60"/>
      <c r="W116" s="102"/>
      <c r="X116" s="102"/>
      <c r="Y116" s="102"/>
      <c r="Z116" s="102"/>
      <c r="AA116" s="102"/>
      <c r="AB116" s="102"/>
      <c r="AC116" s="102"/>
      <c r="AD116" s="102"/>
      <c r="AE116" s="102"/>
      <c r="AF116" s="369"/>
      <c r="AG116" s="369"/>
      <c r="AH116" s="369"/>
      <c r="AI116" s="369"/>
      <c r="AJ116" s="96"/>
    </row>
    <row r="117" spans="1:36" s="103" customFormat="1" ht="30" customHeight="1" x14ac:dyDescent="0.25">
      <c r="A117" s="94"/>
      <c r="B117" s="94"/>
      <c r="C117" s="413"/>
      <c r="D117" s="95"/>
      <c r="E117" s="96"/>
      <c r="F117" s="96"/>
      <c r="G117" s="96"/>
      <c r="H117" s="96"/>
      <c r="I117" s="97"/>
      <c r="J117" s="98"/>
      <c r="K117" s="98"/>
      <c r="L117" s="99"/>
      <c r="M117" s="72"/>
      <c r="N117" s="100"/>
      <c r="O117" s="101"/>
      <c r="P117" s="377"/>
      <c r="Q117" s="75"/>
      <c r="R117" s="76"/>
      <c r="S117" s="72"/>
      <c r="T117" s="60"/>
      <c r="U117" s="60"/>
      <c r="V117" s="60"/>
      <c r="W117" s="102"/>
      <c r="X117" s="102"/>
      <c r="Y117" s="102"/>
      <c r="Z117" s="102"/>
      <c r="AA117" s="102"/>
      <c r="AB117" s="102"/>
      <c r="AC117" s="102"/>
      <c r="AD117" s="102"/>
      <c r="AE117" s="102"/>
      <c r="AF117" s="369"/>
      <c r="AG117" s="369"/>
      <c r="AH117" s="369"/>
      <c r="AI117" s="369"/>
      <c r="AJ117" s="96"/>
    </row>
    <row r="118" spans="1:36" s="103" customFormat="1" ht="30" customHeight="1" x14ac:dyDescent="0.25">
      <c r="A118" s="94"/>
      <c r="B118" s="94"/>
      <c r="C118" s="413"/>
      <c r="D118" s="95"/>
      <c r="E118" s="96"/>
      <c r="F118" s="96"/>
      <c r="G118" s="96"/>
      <c r="H118" s="96"/>
      <c r="I118" s="97"/>
      <c r="J118" s="98"/>
      <c r="K118" s="98"/>
      <c r="L118" s="99"/>
      <c r="M118" s="72"/>
      <c r="N118" s="100"/>
      <c r="O118" s="101"/>
      <c r="P118" s="377"/>
      <c r="Q118" s="75"/>
      <c r="R118" s="76"/>
      <c r="S118" s="72"/>
      <c r="T118" s="60"/>
      <c r="U118" s="60"/>
      <c r="V118" s="60"/>
      <c r="W118" s="102"/>
      <c r="X118" s="102"/>
      <c r="Y118" s="102"/>
      <c r="Z118" s="102"/>
      <c r="AA118" s="102"/>
      <c r="AB118" s="102"/>
      <c r="AC118" s="102"/>
      <c r="AD118" s="102"/>
      <c r="AE118" s="102"/>
      <c r="AF118" s="369"/>
      <c r="AG118" s="369"/>
      <c r="AH118" s="369"/>
      <c r="AI118" s="369"/>
      <c r="AJ118" s="96"/>
    </row>
    <row r="119" spans="1:36" s="103" customFormat="1" ht="30" customHeight="1" x14ac:dyDescent="0.25">
      <c r="A119" s="94"/>
      <c r="B119" s="94"/>
      <c r="C119" s="413"/>
      <c r="D119" s="95"/>
      <c r="E119" s="96"/>
      <c r="F119" s="96"/>
      <c r="G119" s="96"/>
      <c r="H119" s="96"/>
      <c r="I119" s="97"/>
      <c r="J119" s="98"/>
      <c r="K119" s="98"/>
      <c r="L119" s="99"/>
      <c r="M119" s="72"/>
      <c r="N119" s="100"/>
      <c r="O119" s="101"/>
      <c r="P119" s="377"/>
      <c r="Q119" s="75"/>
      <c r="R119" s="76"/>
      <c r="S119" s="72"/>
      <c r="T119" s="60"/>
      <c r="U119" s="60"/>
      <c r="V119" s="60"/>
      <c r="W119" s="102"/>
      <c r="X119" s="102"/>
      <c r="Y119" s="102"/>
      <c r="Z119" s="102"/>
      <c r="AA119" s="102"/>
      <c r="AB119" s="102"/>
      <c r="AC119" s="102"/>
      <c r="AD119" s="102"/>
      <c r="AE119" s="102"/>
      <c r="AF119" s="369"/>
      <c r="AG119" s="369"/>
      <c r="AH119" s="369"/>
      <c r="AI119" s="369"/>
      <c r="AJ119" s="96"/>
    </row>
    <row r="120" spans="1:36" s="103" customFormat="1" ht="30" customHeight="1" x14ac:dyDescent="0.25">
      <c r="A120" s="94"/>
      <c r="B120" s="94"/>
      <c r="C120" s="413"/>
      <c r="D120" s="95"/>
      <c r="E120" s="96"/>
      <c r="F120" s="96"/>
      <c r="G120" s="96"/>
      <c r="H120" s="96"/>
      <c r="I120" s="97"/>
      <c r="J120" s="98"/>
      <c r="K120" s="98"/>
      <c r="L120" s="99"/>
      <c r="M120" s="72"/>
      <c r="N120" s="100"/>
      <c r="O120" s="101"/>
      <c r="P120" s="377"/>
      <c r="Q120" s="75"/>
      <c r="R120" s="76"/>
      <c r="S120" s="72"/>
      <c r="T120" s="60"/>
      <c r="U120" s="60"/>
      <c r="V120" s="60"/>
      <c r="W120" s="102"/>
      <c r="X120" s="102"/>
      <c r="Y120" s="102"/>
      <c r="Z120" s="102"/>
      <c r="AA120" s="102"/>
      <c r="AB120" s="102"/>
      <c r="AC120" s="102"/>
      <c r="AD120" s="102"/>
      <c r="AE120" s="102"/>
      <c r="AF120" s="369"/>
      <c r="AG120" s="369"/>
      <c r="AH120" s="369"/>
      <c r="AI120" s="369"/>
      <c r="AJ120" s="96"/>
    </row>
    <row r="121" spans="1:36" s="103" customFormat="1" ht="30" customHeight="1" x14ac:dyDescent="0.25">
      <c r="A121" s="94"/>
      <c r="B121" s="94"/>
      <c r="C121" s="413"/>
      <c r="D121" s="95"/>
      <c r="E121" s="96"/>
      <c r="F121" s="96"/>
      <c r="G121" s="96"/>
      <c r="H121" s="96"/>
      <c r="I121" s="97"/>
      <c r="J121" s="98"/>
      <c r="K121" s="98"/>
      <c r="L121" s="99"/>
      <c r="M121" s="72"/>
      <c r="N121" s="100"/>
      <c r="O121" s="101"/>
      <c r="P121" s="377"/>
      <c r="Q121" s="75"/>
      <c r="R121" s="76"/>
      <c r="S121" s="72"/>
      <c r="T121" s="60"/>
      <c r="U121" s="60"/>
      <c r="V121" s="60"/>
      <c r="W121" s="102"/>
      <c r="X121" s="102"/>
      <c r="Y121" s="102"/>
      <c r="Z121" s="102"/>
      <c r="AA121" s="102"/>
      <c r="AB121" s="102"/>
      <c r="AC121" s="102"/>
      <c r="AD121" s="102"/>
      <c r="AE121" s="102"/>
      <c r="AF121" s="369"/>
      <c r="AG121" s="369"/>
      <c r="AH121" s="369"/>
      <c r="AI121" s="369"/>
      <c r="AJ121" s="96"/>
    </row>
    <row r="122" spans="1:36" s="103" customFormat="1" ht="30" customHeight="1" x14ac:dyDescent="0.25">
      <c r="A122" s="94"/>
      <c r="B122" s="94"/>
      <c r="C122" s="413"/>
      <c r="D122" s="95"/>
      <c r="E122" s="96"/>
      <c r="F122" s="96"/>
      <c r="G122" s="96"/>
      <c r="H122" s="96"/>
      <c r="I122" s="97"/>
      <c r="J122" s="98"/>
      <c r="K122" s="98"/>
      <c r="L122" s="99"/>
      <c r="M122" s="72"/>
      <c r="N122" s="100"/>
      <c r="O122" s="101"/>
      <c r="P122" s="377"/>
      <c r="Q122" s="75"/>
      <c r="R122" s="76"/>
      <c r="S122" s="72"/>
      <c r="T122" s="60"/>
      <c r="U122" s="60"/>
      <c r="V122" s="60"/>
      <c r="W122" s="102"/>
      <c r="X122" s="102"/>
      <c r="Y122" s="102"/>
      <c r="Z122" s="102"/>
      <c r="AA122" s="102"/>
      <c r="AB122" s="102"/>
      <c r="AC122" s="102"/>
      <c r="AD122" s="102"/>
      <c r="AE122" s="102"/>
      <c r="AF122" s="369"/>
      <c r="AG122" s="369"/>
      <c r="AH122" s="369"/>
      <c r="AI122" s="369"/>
      <c r="AJ122" s="96"/>
    </row>
    <row r="123" spans="1:36" s="103" customFormat="1" ht="30" customHeight="1" x14ac:dyDescent="0.25">
      <c r="A123" s="94"/>
      <c r="B123" s="94"/>
      <c r="C123" s="413"/>
      <c r="D123" s="95"/>
      <c r="E123" s="96"/>
      <c r="F123" s="96"/>
      <c r="G123" s="96"/>
      <c r="H123" s="96"/>
      <c r="I123" s="97"/>
      <c r="J123" s="98"/>
      <c r="K123" s="98"/>
      <c r="L123" s="99"/>
      <c r="M123" s="72"/>
      <c r="N123" s="100"/>
      <c r="O123" s="101"/>
      <c r="P123" s="377"/>
      <c r="Q123" s="75"/>
      <c r="R123" s="76"/>
      <c r="S123" s="72"/>
      <c r="T123" s="60"/>
      <c r="U123" s="60"/>
      <c r="V123" s="60"/>
      <c r="W123" s="102"/>
      <c r="X123" s="102"/>
      <c r="Y123" s="102"/>
      <c r="Z123" s="102"/>
      <c r="AA123" s="102"/>
      <c r="AB123" s="102"/>
      <c r="AC123" s="102"/>
      <c r="AD123" s="102"/>
      <c r="AE123" s="102"/>
      <c r="AF123" s="369"/>
      <c r="AG123" s="369"/>
      <c r="AH123" s="369"/>
      <c r="AI123" s="369"/>
      <c r="AJ123" s="96"/>
    </row>
    <row r="124" spans="1:36" s="103" customFormat="1" ht="30" customHeight="1" x14ac:dyDescent="0.25">
      <c r="A124" s="94"/>
      <c r="B124" s="94"/>
      <c r="C124" s="413"/>
      <c r="D124" s="95"/>
      <c r="E124" s="96"/>
      <c r="F124" s="96"/>
      <c r="G124" s="96"/>
      <c r="H124" s="96"/>
      <c r="I124" s="97"/>
      <c r="J124" s="98"/>
      <c r="K124" s="98"/>
      <c r="L124" s="99"/>
      <c r="M124" s="72"/>
      <c r="N124" s="100"/>
      <c r="O124" s="101"/>
      <c r="P124" s="377"/>
      <c r="Q124" s="75"/>
      <c r="R124" s="76"/>
      <c r="S124" s="72"/>
      <c r="T124" s="60"/>
      <c r="U124" s="60"/>
      <c r="V124" s="60"/>
      <c r="W124" s="102"/>
      <c r="X124" s="102"/>
      <c r="Y124" s="102"/>
      <c r="Z124" s="102"/>
      <c r="AA124" s="102"/>
      <c r="AB124" s="102"/>
      <c r="AC124" s="102"/>
      <c r="AD124" s="102"/>
      <c r="AE124" s="102"/>
      <c r="AF124" s="369"/>
      <c r="AG124" s="369"/>
      <c r="AH124" s="369"/>
      <c r="AI124" s="369"/>
      <c r="AJ124" s="96"/>
    </row>
    <row r="125" spans="1:36" s="103" customFormat="1" ht="30" customHeight="1" x14ac:dyDescent="0.25">
      <c r="A125" s="94"/>
      <c r="B125" s="94"/>
      <c r="C125" s="413"/>
      <c r="D125" s="95"/>
      <c r="E125" s="96"/>
      <c r="F125" s="96"/>
      <c r="G125" s="96"/>
      <c r="H125" s="96"/>
      <c r="I125" s="97"/>
      <c r="J125" s="98"/>
      <c r="K125" s="98"/>
      <c r="L125" s="99"/>
      <c r="M125" s="72"/>
      <c r="N125" s="100"/>
      <c r="O125" s="101"/>
      <c r="P125" s="377"/>
      <c r="Q125" s="75"/>
      <c r="R125" s="76"/>
      <c r="S125" s="72"/>
      <c r="T125" s="60"/>
      <c r="U125" s="60"/>
      <c r="V125" s="60"/>
      <c r="W125" s="102"/>
      <c r="X125" s="102"/>
      <c r="Y125" s="102"/>
      <c r="Z125" s="102"/>
      <c r="AA125" s="102"/>
      <c r="AB125" s="102"/>
      <c r="AC125" s="102"/>
      <c r="AD125" s="102"/>
      <c r="AE125" s="102"/>
      <c r="AF125" s="369"/>
      <c r="AG125" s="369"/>
      <c r="AH125" s="369"/>
      <c r="AI125" s="369"/>
      <c r="AJ125" s="96"/>
    </row>
    <row r="126" spans="1:36" s="103" customFormat="1" ht="30" customHeight="1" x14ac:dyDescent="0.25">
      <c r="A126" s="94"/>
      <c r="B126" s="94"/>
      <c r="C126" s="413"/>
      <c r="D126" s="95"/>
      <c r="E126" s="96"/>
      <c r="F126" s="96"/>
      <c r="G126" s="96"/>
      <c r="H126" s="96"/>
      <c r="I126" s="97"/>
      <c r="J126" s="98"/>
      <c r="K126" s="98"/>
      <c r="L126" s="99"/>
      <c r="M126" s="72"/>
      <c r="N126" s="100"/>
      <c r="O126" s="101"/>
      <c r="P126" s="377"/>
      <c r="Q126" s="75"/>
      <c r="R126" s="76"/>
      <c r="S126" s="72"/>
      <c r="T126" s="60"/>
      <c r="U126" s="60"/>
      <c r="V126" s="60"/>
      <c r="W126" s="102"/>
      <c r="X126" s="102"/>
      <c r="Y126" s="102"/>
      <c r="Z126" s="102"/>
      <c r="AA126" s="102"/>
      <c r="AB126" s="102"/>
      <c r="AC126" s="102"/>
      <c r="AD126" s="102"/>
      <c r="AE126" s="102"/>
      <c r="AF126" s="369"/>
      <c r="AG126" s="369"/>
      <c r="AH126" s="369"/>
      <c r="AI126" s="369"/>
      <c r="AJ126" s="96"/>
    </row>
    <row r="127" spans="1:36" s="103" customFormat="1" ht="65.099999999999994" customHeight="1" x14ac:dyDescent="0.25">
      <c r="A127" s="94"/>
      <c r="B127" s="94"/>
      <c r="C127" s="413"/>
      <c r="D127" s="95"/>
      <c r="E127" s="96"/>
      <c r="F127" s="96"/>
      <c r="G127" s="96"/>
      <c r="H127" s="96"/>
      <c r="I127" s="97"/>
      <c r="J127" s="98"/>
      <c r="K127" s="98"/>
      <c r="L127" s="99"/>
      <c r="M127" s="72"/>
      <c r="N127" s="100"/>
      <c r="O127" s="101"/>
      <c r="P127" s="377"/>
      <c r="Q127" s="75"/>
      <c r="R127" s="76"/>
      <c r="S127" s="72"/>
      <c r="T127" s="60"/>
      <c r="U127" s="60"/>
      <c r="V127" s="60"/>
      <c r="W127" s="102"/>
      <c r="X127" s="102"/>
      <c r="Y127" s="102"/>
      <c r="Z127" s="102"/>
      <c r="AA127" s="102"/>
      <c r="AB127" s="102"/>
      <c r="AC127" s="102"/>
      <c r="AD127" s="102"/>
      <c r="AE127" s="102"/>
      <c r="AF127" s="369"/>
      <c r="AG127" s="369"/>
      <c r="AH127" s="369"/>
      <c r="AI127" s="369"/>
      <c r="AJ127" s="96"/>
    </row>
    <row r="128" spans="1:36" s="103" customFormat="1" ht="65.099999999999994" customHeight="1" x14ac:dyDescent="0.25">
      <c r="A128" s="94"/>
      <c r="B128" s="94"/>
      <c r="C128" s="413"/>
      <c r="D128" s="95"/>
      <c r="E128" s="96"/>
      <c r="F128" s="96"/>
      <c r="G128" s="96"/>
      <c r="H128" s="96"/>
      <c r="I128" s="97"/>
      <c r="J128" s="98"/>
      <c r="K128" s="98"/>
      <c r="L128" s="99"/>
      <c r="M128" s="72"/>
      <c r="N128" s="100"/>
      <c r="O128" s="101"/>
      <c r="P128" s="377"/>
      <c r="Q128" s="75"/>
      <c r="R128" s="76"/>
      <c r="S128" s="72"/>
      <c r="T128" s="60"/>
      <c r="U128" s="60"/>
      <c r="V128" s="60"/>
      <c r="W128" s="102"/>
      <c r="X128" s="102"/>
      <c r="Y128" s="102"/>
      <c r="Z128" s="102"/>
      <c r="AA128" s="102"/>
      <c r="AB128" s="102"/>
      <c r="AC128" s="102"/>
      <c r="AD128" s="102"/>
      <c r="AE128" s="102"/>
      <c r="AF128" s="369"/>
      <c r="AG128" s="369"/>
      <c r="AH128" s="369"/>
      <c r="AI128" s="369"/>
      <c r="AJ128" s="96"/>
    </row>
    <row r="129" spans="1:36" s="103" customFormat="1" ht="65.099999999999994" customHeight="1" x14ac:dyDescent="0.25">
      <c r="A129" s="94"/>
      <c r="B129" s="94"/>
      <c r="C129" s="413"/>
      <c r="D129" s="95"/>
      <c r="E129" s="96"/>
      <c r="F129" s="96"/>
      <c r="G129" s="96"/>
      <c r="H129" s="96"/>
      <c r="I129" s="97"/>
      <c r="J129" s="98"/>
      <c r="K129" s="98"/>
      <c r="L129" s="99"/>
      <c r="M129" s="72"/>
      <c r="N129" s="100"/>
      <c r="O129" s="101"/>
      <c r="P129" s="377"/>
      <c r="Q129" s="75"/>
      <c r="R129" s="76"/>
      <c r="S129" s="72"/>
      <c r="T129" s="60"/>
      <c r="U129" s="60"/>
      <c r="V129" s="60"/>
      <c r="W129" s="102"/>
      <c r="X129" s="102"/>
      <c r="Y129" s="102"/>
      <c r="Z129" s="102"/>
      <c r="AA129" s="102"/>
      <c r="AB129" s="102"/>
      <c r="AC129" s="102"/>
      <c r="AD129" s="102"/>
      <c r="AE129" s="102"/>
      <c r="AF129" s="369"/>
      <c r="AG129" s="369"/>
      <c r="AH129" s="369"/>
      <c r="AI129" s="369"/>
      <c r="AJ129" s="96"/>
    </row>
    <row r="130" spans="1:36" s="103" customFormat="1" ht="65.099999999999994" customHeight="1" x14ac:dyDescent="0.25">
      <c r="A130" s="94"/>
      <c r="B130" s="94"/>
      <c r="C130" s="413"/>
      <c r="D130" s="95"/>
      <c r="E130" s="96"/>
      <c r="F130" s="96"/>
      <c r="G130" s="96"/>
      <c r="H130" s="96"/>
      <c r="I130" s="97"/>
      <c r="J130" s="98"/>
      <c r="K130" s="98"/>
      <c r="L130" s="99"/>
      <c r="M130" s="72"/>
      <c r="N130" s="100"/>
      <c r="O130" s="101"/>
      <c r="P130" s="377"/>
      <c r="Q130" s="75"/>
      <c r="R130" s="76"/>
      <c r="S130" s="72"/>
      <c r="T130" s="60"/>
      <c r="U130" s="60"/>
      <c r="V130" s="60"/>
      <c r="W130" s="102"/>
      <c r="X130" s="102"/>
      <c r="Y130" s="102"/>
      <c r="Z130" s="102"/>
      <c r="AA130" s="102"/>
      <c r="AB130" s="102"/>
      <c r="AC130" s="102"/>
      <c r="AD130" s="102"/>
      <c r="AE130" s="102"/>
      <c r="AF130" s="369"/>
      <c r="AG130" s="369"/>
      <c r="AH130" s="369"/>
      <c r="AI130" s="369"/>
      <c r="AJ130" s="96"/>
    </row>
    <row r="131" spans="1:36" s="103" customFormat="1" ht="65.099999999999994" customHeight="1" x14ac:dyDescent="0.25">
      <c r="A131" s="94"/>
      <c r="B131" s="94"/>
      <c r="C131" s="413"/>
      <c r="D131" s="95"/>
      <c r="E131" s="96"/>
      <c r="F131" s="96"/>
      <c r="G131" s="96"/>
      <c r="H131" s="96"/>
      <c r="I131" s="97"/>
      <c r="J131" s="98"/>
      <c r="K131" s="98"/>
      <c r="L131" s="99"/>
      <c r="M131" s="72"/>
      <c r="N131" s="100"/>
      <c r="O131" s="101"/>
      <c r="P131" s="377"/>
      <c r="Q131" s="75"/>
      <c r="R131" s="76"/>
      <c r="S131" s="72"/>
      <c r="T131" s="60"/>
      <c r="U131" s="60"/>
      <c r="V131" s="60"/>
      <c r="W131" s="102"/>
      <c r="X131" s="102"/>
      <c r="Y131" s="102"/>
      <c r="Z131" s="102"/>
      <c r="AA131" s="102"/>
      <c r="AB131" s="102"/>
      <c r="AC131" s="102"/>
      <c r="AD131" s="102"/>
      <c r="AE131" s="102"/>
      <c r="AF131" s="369"/>
      <c r="AG131" s="369"/>
      <c r="AH131" s="369"/>
      <c r="AI131" s="369"/>
      <c r="AJ131" s="96"/>
    </row>
    <row r="132" spans="1:36" s="103" customFormat="1" ht="65.099999999999994" customHeight="1" x14ac:dyDescent="0.25">
      <c r="A132" s="94"/>
      <c r="B132" s="94"/>
      <c r="C132" s="413"/>
      <c r="D132" s="95"/>
      <c r="E132" s="96"/>
      <c r="F132" s="96"/>
      <c r="G132" s="96"/>
      <c r="H132" s="96"/>
      <c r="I132" s="97"/>
      <c r="J132" s="98"/>
      <c r="K132" s="98"/>
      <c r="L132" s="99"/>
      <c r="M132" s="72"/>
      <c r="N132" s="100"/>
      <c r="O132" s="101"/>
      <c r="P132" s="377"/>
      <c r="Q132" s="75"/>
      <c r="R132" s="76"/>
      <c r="S132" s="72"/>
      <c r="T132" s="60"/>
      <c r="U132" s="60"/>
      <c r="V132" s="60"/>
      <c r="W132" s="102"/>
      <c r="X132" s="102"/>
      <c r="Y132" s="102"/>
      <c r="Z132" s="102"/>
      <c r="AA132" s="102"/>
      <c r="AB132" s="102"/>
      <c r="AC132" s="102"/>
      <c r="AD132" s="102"/>
      <c r="AE132" s="102"/>
      <c r="AF132" s="369"/>
      <c r="AG132" s="369"/>
      <c r="AH132" s="369"/>
      <c r="AI132" s="369"/>
      <c r="AJ132" s="96"/>
    </row>
    <row r="133" spans="1:36" s="103" customFormat="1" ht="65.099999999999994" customHeight="1" x14ac:dyDescent="0.25">
      <c r="A133" s="94"/>
      <c r="B133" s="94"/>
      <c r="C133" s="413"/>
      <c r="D133" s="95"/>
      <c r="E133" s="96"/>
      <c r="F133" s="96"/>
      <c r="G133" s="96"/>
      <c r="H133" s="96"/>
      <c r="I133" s="97"/>
      <c r="J133" s="98"/>
      <c r="K133" s="98"/>
      <c r="L133" s="99"/>
      <c r="M133" s="72"/>
      <c r="N133" s="100"/>
      <c r="O133" s="101"/>
      <c r="P133" s="377"/>
      <c r="Q133" s="75"/>
      <c r="R133" s="76"/>
      <c r="S133" s="72"/>
      <c r="T133" s="60"/>
      <c r="U133" s="60"/>
      <c r="V133" s="60"/>
      <c r="W133" s="102"/>
      <c r="X133" s="102"/>
      <c r="Y133" s="102"/>
      <c r="Z133" s="102"/>
      <c r="AA133" s="102"/>
      <c r="AB133" s="102"/>
      <c r="AC133" s="102"/>
      <c r="AD133" s="102"/>
      <c r="AE133" s="102"/>
      <c r="AF133" s="369"/>
      <c r="AG133" s="369"/>
      <c r="AH133" s="369"/>
      <c r="AI133" s="369"/>
      <c r="AJ133" s="96"/>
    </row>
    <row r="134" spans="1:36" s="103" customFormat="1" ht="65.099999999999994" customHeight="1" x14ac:dyDescent="0.25">
      <c r="A134" s="94"/>
      <c r="B134" s="94"/>
      <c r="C134" s="413"/>
      <c r="D134" s="95"/>
      <c r="E134" s="96"/>
      <c r="F134" s="96"/>
      <c r="G134" s="96"/>
      <c r="H134" s="96"/>
      <c r="I134" s="97"/>
      <c r="J134" s="98"/>
      <c r="K134" s="98"/>
      <c r="L134" s="99"/>
      <c r="M134" s="72"/>
      <c r="N134" s="100"/>
      <c r="O134" s="101"/>
      <c r="P134" s="377"/>
      <c r="Q134" s="75"/>
      <c r="R134" s="76"/>
      <c r="S134" s="72"/>
      <c r="T134" s="60"/>
      <c r="U134" s="60"/>
      <c r="V134" s="60"/>
      <c r="W134" s="102"/>
      <c r="X134" s="102"/>
      <c r="Y134" s="102"/>
      <c r="Z134" s="102"/>
      <c r="AA134" s="102"/>
      <c r="AB134" s="102"/>
      <c r="AC134" s="102"/>
      <c r="AD134" s="102"/>
      <c r="AE134" s="102"/>
      <c r="AF134" s="369"/>
      <c r="AG134" s="369"/>
      <c r="AH134" s="369"/>
      <c r="AI134" s="369"/>
      <c r="AJ134" s="96"/>
    </row>
    <row r="135" spans="1:36" s="103" customFormat="1" ht="65.099999999999994" customHeight="1" x14ac:dyDescent="0.25">
      <c r="A135" s="94"/>
      <c r="B135" s="94"/>
      <c r="C135" s="413"/>
      <c r="D135" s="95"/>
      <c r="E135" s="96"/>
      <c r="F135" s="96"/>
      <c r="G135" s="96"/>
      <c r="H135" s="96"/>
      <c r="I135" s="97"/>
      <c r="J135" s="98"/>
      <c r="K135" s="98"/>
      <c r="L135" s="99"/>
      <c r="M135" s="72"/>
      <c r="N135" s="100"/>
      <c r="O135" s="101"/>
      <c r="P135" s="377"/>
      <c r="Q135" s="75"/>
      <c r="R135" s="76"/>
      <c r="S135" s="72"/>
      <c r="T135" s="60"/>
      <c r="U135" s="60"/>
      <c r="V135" s="60"/>
      <c r="W135" s="102"/>
      <c r="X135" s="102"/>
      <c r="Y135" s="102"/>
      <c r="Z135" s="102"/>
      <c r="AA135" s="102"/>
      <c r="AB135" s="102"/>
      <c r="AC135" s="102"/>
      <c r="AD135" s="102"/>
      <c r="AE135" s="102"/>
      <c r="AF135" s="369"/>
      <c r="AG135" s="369"/>
      <c r="AH135" s="369"/>
      <c r="AI135" s="369"/>
      <c r="AJ135" s="96"/>
    </row>
    <row r="136" spans="1:36" s="103" customFormat="1" ht="65.099999999999994" customHeight="1" x14ac:dyDescent="0.25">
      <c r="A136" s="94"/>
      <c r="B136" s="94"/>
      <c r="C136" s="413"/>
      <c r="D136" s="95"/>
      <c r="E136" s="96"/>
      <c r="F136" s="96"/>
      <c r="G136" s="96"/>
      <c r="H136" s="96"/>
      <c r="I136" s="97"/>
      <c r="J136" s="98"/>
      <c r="K136" s="98"/>
      <c r="L136" s="99"/>
      <c r="M136" s="72"/>
      <c r="N136" s="100"/>
      <c r="O136" s="101"/>
      <c r="P136" s="377"/>
      <c r="Q136" s="75"/>
      <c r="R136" s="76"/>
      <c r="S136" s="72"/>
      <c r="T136" s="60"/>
      <c r="U136" s="60"/>
      <c r="V136" s="60"/>
      <c r="W136" s="102"/>
      <c r="X136" s="102"/>
      <c r="Y136" s="102"/>
      <c r="Z136" s="102"/>
      <c r="AA136" s="102"/>
      <c r="AB136" s="102"/>
      <c r="AC136" s="102"/>
      <c r="AD136" s="102"/>
      <c r="AE136" s="102"/>
      <c r="AF136" s="369"/>
      <c r="AG136" s="369"/>
      <c r="AH136" s="369"/>
      <c r="AI136" s="369"/>
      <c r="AJ136" s="96"/>
    </row>
    <row r="137" spans="1:36" s="103" customFormat="1" ht="65.099999999999994" customHeight="1" x14ac:dyDescent="0.25">
      <c r="A137" s="94"/>
      <c r="B137" s="94"/>
      <c r="C137" s="413"/>
      <c r="D137" s="95"/>
      <c r="E137" s="96"/>
      <c r="F137" s="96"/>
      <c r="G137" s="96"/>
      <c r="H137" s="96"/>
      <c r="I137" s="97"/>
      <c r="J137" s="98"/>
      <c r="K137" s="98"/>
      <c r="L137" s="99"/>
      <c r="M137" s="72"/>
      <c r="N137" s="100"/>
      <c r="O137" s="101"/>
      <c r="P137" s="377"/>
      <c r="Q137" s="75"/>
      <c r="R137" s="76"/>
      <c r="S137" s="72"/>
      <c r="T137" s="60"/>
      <c r="U137" s="60"/>
      <c r="V137" s="60"/>
      <c r="W137" s="102"/>
      <c r="X137" s="102"/>
      <c r="Y137" s="102"/>
      <c r="Z137" s="102"/>
      <c r="AA137" s="102"/>
      <c r="AB137" s="102"/>
      <c r="AC137" s="102"/>
      <c r="AD137" s="102"/>
      <c r="AE137" s="102"/>
      <c r="AF137" s="369"/>
      <c r="AG137" s="369"/>
      <c r="AH137" s="369"/>
      <c r="AI137" s="369"/>
      <c r="AJ137" s="96"/>
    </row>
    <row r="138" spans="1:36" s="103" customFormat="1" ht="65.099999999999994" customHeight="1" x14ac:dyDescent="0.25">
      <c r="A138" s="94"/>
      <c r="B138" s="94"/>
      <c r="C138" s="413"/>
      <c r="D138" s="95"/>
      <c r="E138" s="96"/>
      <c r="F138" s="96"/>
      <c r="G138" s="96"/>
      <c r="H138" s="96"/>
      <c r="I138" s="97"/>
      <c r="J138" s="98"/>
      <c r="K138" s="98"/>
      <c r="L138" s="99"/>
      <c r="M138" s="72"/>
      <c r="N138" s="100"/>
      <c r="O138" s="101"/>
      <c r="P138" s="377"/>
      <c r="Q138" s="75"/>
      <c r="R138" s="76"/>
      <c r="S138" s="72"/>
      <c r="T138" s="60"/>
      <c r="U138" s="60"/>
      <c r="V138" s="60"/>
      <c r="W138" s="102"/>
      <c r="X138" s="102"/>
      <c r="Y138" s="102"/>
      <c r="Z138" s="102"/>
      <c r="AA138" s="102"/>
      <c r="AB138" s="102"/>
      <c r="AC138" s="102"/>
      <c r="AD138" s="102"/>
      <c r="AE138" s="102"/>
      <c r="AF138" s="369"/>
      <c r="AG138" s="369"/>
      <c r="AH138" s="369"/>
      <c r="AI138" s="369"/>
      <c r="AJ138" s="96"/>
    </row>
    <row r="139" spans="1:36" s="103" customFormat="1" ht="65.099999999999994" customHeight="1" x14ac:dyDescent="0.25">
      <c r="A139" s="94"/>
      <c r="B139" s="94"/>
      <c r="C139" s="413"/>
      <c r="D139" s="95"/>
      <c r="E139" s="96"/>
      <c r="F139" s="96"/>
      <c r="G139" s="96"/>
      <c r="H139" s="96"/>
      <c r="I139" s="97"/>
      <c r="J139" s="98"/>
      <c r="K139" s="98"/>
      <c r="L139" s="99"/>
      <c r="M139" s="72"/>
      <c r="N139" s="100"/>
      <c r="O139" s="101"/>
      <c r="P139" s="377"/>
      <c r="Q139" s="75"/>
      <c r="R139" s="76"/>
      <c r="S139" s="72"/>
      <c r="T139" s="60"/>
      <c r="U139" s="60"/>
      <c r="V139" s="60"/>
      <c r="W139" s="102"/>
      <c r="X139" s="102"/>
      <c r="Y139" s="102"/>
      <c r="Z139" s="102"/>
      <c r="AA139" s="102"/>
      <c r="AB139" s="102"/>
      <c r="AC139" s="102"/>
      <c r="AD139" s="102"/>
      <c r="AE139" s="102"/>
      <c r="AF139" s="369"/>
      <c r="AG139" s="369"/>
      <c r="AH139" s="369"/>
      <c r="AI139" s="369"/>
      <c r="AJ139" s="96"/>
    </row>
    <row r="140" spans="1:36" s="103" customFormat="1" ht="65.099999999999994" customHeight="1" x14ac:dyDescent="0.25">
      <c r="A140" s="94"/>
      <c r="B140" s="94"/>
      <c r="C140" s="413"/>
      <c r="D140" s="95"/>
      <c r="E140" s="96"/>
      <c r="F140" s="96"/>
      <c r="G140" s="96"/>
      <c r="H140" s="96"/>
      <c r="I140" s="97"/>
      <c r="J140" s="98"/>
      <c r="K140" s="98"/>
      <c r="L140" s="99"/>
      <c r="M140" s="72"/>
      <c r="N140" s="100"/>
      <c r="O140" s="101"/>
      <c r="P140" s="377"/>
      <c r="Q140" s="75"/>
      <c r="R140" s="76"/>
      <c r="S140" s="72"/>
      <c r="T140" s="60"/>
      <c r="U140" s="60"/>
      <c r="V140" s="60"/>
      <c r="W140" s="102"/>
      <c r="X140" s="102"/>
      <c r="Y140" s="102"/>
      <c r="Z140" s="102"/>
      <c r="AA140" s="102"/>
      <c r="AB140" s="102"/>
      <c r="AC140" s="102"/>
      <c r="AD140" s="102"/>
      <c r="AE140" s="102"/>
      <c r="AF140" s="369"/>
      <c r="AG140" s="369"/>
      <c r="AH140" s="369"/>
      <c r="AI140" s="369"/>
      <c r="AJ140" s="96"/>
    </row>
    <row r="141" spans="1:36" s="103" customFormat="1" ht="65.099999999999994" customHeight="1" x14ac:dyDescent="0.25">
      <c r="A141" s="94"/>
      <c r="B141" s="94"/>
      <c r="C141" s="413"/>
      <c r="D141" s="95"/>
      <c r="E141" s="96"/>
      <c r="F141" s="96"/>
      <c r="G141" s="96"/>
      <c r="H141" s="96"/>
      <c r="I141" s="97"/>
      <c r="J141" s="98"/>
      <c r="K141" s="98"/>
      <c r="L141" s="99"/>
      <c r="M141" s="72"/>
      <c r="N141" s="100"/>
      <c r="O141" s="101"/>
      <c r="P141" s="377"/>
      <c r="Q141" s="75"/>
      <c r="R141" s="76"/>
      <c r="S141" s="72"/>
      <c r="T141" s="60"/>
      <c r="U141" s="60"/>
      <c r="V141" s="60"/>
      <c r="W141" s="102"/>
      <c r="X141" s="102"/>
      <c r="Y141" s="102"/>
      <c r="Z141" s="102"/>
      <c r="AA141" s="102"/>
      <c r="AB141" s="102"/>
      <c r="AC141" s="102"/>
      <c r="AD141" s="102"/>
      <c r="AE141" s="102"/>
      <c r="AF141" s="369"/>
      <c r="AG141" s="369"/>
      <c r="AH141" s="369"/>
      <c r="AI141" s="369"/>
      <c r="AJ141" s="96"/>
    </row>
    <row r="142" spans="1:36" s="103" customFormat="1" ht="65.099999999999994" customHeight="1" x14ac:dyDescent="0.25">
      <c r="A142" s="94"/>
      <c r="B142" s="94"/>
      <c r="C142" s="413"/>
      <c r="D142" s="95"/>
      <c r="E142" s="96"/>
      <c r="F142" s="96"/>
      <c r="G142" s="96"/>
      <c r="H142" s="96"/>
      <c r="I142" s="97"/>
      <c r="J142" s="98"/>
      <c r="K142" s="98"/>
      <c r="L142" s="99"/>
      <c r="M142" s="72"/>
      <c r="N142" s="100"/>
      <c r="O142" s="101"/>
      <c r="P142" s="377"/>
      <c r="Q142" s="75"/>
      <c r="R142" s="76"/>
      <c r="S142" s="72"/>
      <c r="T142" s="60"/>
      <c r="U142" s="60"/>
      <c r="V142" s="60"/>
      <c r="W142" s="102"/>
      <c r="X142" s="102"/>
      <c r="Y142" s="102"/>
      <c r="Z142" s="102"/>
      <c r="AA142" s="102"/>
      <c r="AB142" s="102"/>
      <c r="AC142" s="102"/>
      <c r="AD142" s="102"/>
      <c r="AE142" s="102"/>
      <c r="AF142" s="369"/>
      <c r="AG142" s="369"/>
      <c r="AH142" s="369"/>
      <c r="AI142" s="369"/>
      <c r="AJ142" s="96"/>
    </row>
    <row r="143" spans="1:36" s="103" customFormat="1" ht="65.099999999999994" customHeight="1" x14ac:dyDescent="0.25">
      <c r="A143" s="94"/>
      <c r="B143" s="94"/>
      <c r="C143" s="413"/>
      <c r="D143" s="95"/>
      <c r="E143" s="96"/>
      <c r="F143" s="96"/>
      <c r="G143" s="96"/>
      <c r="H143" s="96"/>
      <c r="I143" s="97"/>
      <c r="J143" s="98"/>
      <c r="K143" s="98"/>
      <c r="L143" s="99"/>
      <c r="M143" s="72"/>
      <c r="N143" s="100"/>
      <c r="O143" s="101"/>
      <c r="P143" s="377"/>
      <c r="Q143" s="75"/>
      <c r="R143" s="76"/>
      <c r="S143" s="72"/>
      <c r="T143" s="60"/>
      <c r="U143" s="60"/>
      <c r="V143" s="60"/>
      <c r="W143" s="102"/>
      <c r="X143" s="102"/>
      <c r="Y143" s="102"/>
      <c r="Z143" s="102"/>
      <c r="AA143" s="102"/>
      <c r="AB143" s="102"/>
      <c r="AC143" s="102"/>
      <c r="AD143" s="102"/>
      <c r="AE143" s="102"/>
      <c r="AF143" s="369"/>
      <c r="AG143" s="369"/>
      <c r="AH143" s="369"/>
      <c r="AI143" s="369"/>
      <c r="AJ143" s="96"/>
    </row>
    <row r="144" spans="1:36" s="103" customFormat="1" ht="65.099999999999994" customHeight="1" x14ac:dyDescent="0.25">
      <c r="A144" s="94"/>
      <c r="B144" s="94"/>
      <c r="C144" s="413"/>
      <c r="D144" s="95"/>
      <c r="E144" s="96"/>
      <c r="F144" s="96"/>
      <c r="G144" s="96"/>
      <c r="H144" s="96"/>
      <c r="I144" s="97"/>
      <c r="J144" s="98"/>
      <c r="K144" s="98"/>
      <c r="L144" s="99"/>
      <c r="M144" s="72"/>
      <c r="N144" s="100"/>
      <c r="O144" s="101"/>
      <c r="P144" s="377"/>
      <c r="Q144" s="75"/>
      <c r="R144" s="76"/>
      <c r="S144" s="72"/>
      <c r="T144" s="60"/>
      <c r="U144" s="60"/>
      <c r="V144" s="60"/>
      <c r="W144" s="102"/>
      <c r="X144" s="102"/>
      <c r="Y144" s="102"/>
      <c r="Z144" s="102"/>
      <c r="AA144" s="102"/>
      <c r="AB144" s="102"/>
      <c r="AC144" s="102"/>
      <c r="AD144" s="102"/>
      <c r="AE144" s="102"/>
      <c r="AF144" s="369"/>
      <c r="AG144" s="369"/>
      <c r="AH144" s="369"/>
      <c r="AI144" s="369"/>
      <c r="AJ144" s="96"/>
    </row>
    <row r="145" spans="1:36" s="103" customFormat="1" ht="65.099999999999994" customHeight="1" x14ac:dyDescent="0.25">
      <c r="A145" s="94"/>
      <c r="B145" s="94"/>
      <c r="C145" s="413"/>
      <c r="D145" s="95"/>
      <c r="E145" s="96"/>
      <c r="F145" s="96"/>
      <c r="G145" s="96"/>
      <c r="H145" s="96"/>
      <c r="I145" s="97"/>
      <c r="J145" s="98"/>
      <c r="K145" s="98"/>
      <c r="L145" s="99"/>
      <c r="M145" s="72"/>
      <c r="N145" s="100"/>
      <c r="O145" s="101"/>
      <c r="P145" s="377"/>
      <c r="Q145" s="75"/>
      <c r="R145" s="76"/>
      <c r="S145" s="72"/>
      <c r="T145" s="60"/>
      <c r="U145" s="60"/>
      <c r="V145" s="60"/>
      <c r="W145" s="102"/>
      <c r="X145" s="102"/>
      <c r="Y145" s="102"/>
      <c r="Z145" s="102"/>
      <c r="AA145" s="102"/>
      <c r="AB145" s="102"/>
      <c r="AC145" s="102"/>
      <c r="AD145" s="102"/>
      <c r="AE145" s="102"/>
      <c r="AF145" s="369"/>
      <c r="AG145" s="369"/>
      <c r="AH145" s="369"/>
      <c r="AI145" s="369"/>
      <c r="AJ145" s="96"/>
    </row>
    <row r="146" spans="1:36" s="103" customFormat="1" ht="65.099999999999994" customHeight="1" x14ac:dyDescent="0.25">
      <c r="A146" s="94"/>
      <c r="B146" s="94"/>
      <c r="C146" s="413"/>
      <c r="D146" s="95"/>
      <c r="E146" s="96"/>
      <c r="F146" s="96"/>
      <c r="G146" s="96"/>
      <c r="H146" s="96"/>
      <c r="I146" s="97"/>
      <c r="J146" s="98"/>
      <c r="K146" s="98"/>
      <c r="L146" s="99"/>
      <c r="M146" s="72"/>
      <c r="N146" s="100"/>
      <c r="O146" s="101"/>
      <c r="P146" s="377"/>
      <c r="Q146" s="75"/>
      <c r="R146" s="76"/>
      <c r="S146" s="72"/>
      <c r="T146" s="60"/>
      <c r="U146" s="60"/>
      <c r="V146" s="60"/>
      <c r="W146" s="102"/>
      <c r="X146" s="102"/>
      <c r="Y146" s="102"/>
      <c r="Z146" s="102"/>
      <c r="AA146" s="102"/>
      <c r="AB146" s="102"/>
      <c r="AC146" s="102"/>
      <c r="AD146" s="102"/>
      <c r="AE146" s="102"/>
      <c r="AF146" s="369"/>
      <c r="AG146" s="369"/>
      <c r="AH146" s="369"/>
      <c r="AI146" s="369"/>
      <c r="AJ146" s="96"/>
    </row>
    <row r="147" spans="1:36" s="103" customFormat="1" ht="65.099999999999994" customHeight="1" x14ac:dyDescent="0.25">
      <c r="A147" s="94"/>
      <c r="B147" s="94"/>
      <c r="C147" s="413"/>
      <c r="D147" s="95"/>
      <c r="E147" s="96"/>
      <c r="F147" s="96"/>
      <c r="G147" s="96"/>
      <c r="H147" s="96"/>
      <c r="I147" s="97"/>
      <c r="J147" s="98"/>
      <c r="K147" s="98"/>
      <c r="L147" s="99"/>
      <c r="M147" s="72"/>
      <c r="N147" s="100"/>
      <c r="O147" s="101"/>
      <c r="P147" s="377"/>
      <c r="Q147" s="75"/>
      <c r="R147" s="76"/>
      <c r="S147" s="72"/>
      <c r="T147" s="60"/>
      <c r="U147" s="60"/>
      <c r="V147" s="60"/>
      <c r="W147" s="102"/>
      <c r="X147" s="102"/>
      <c r="Y147" s="102"/>
      <c r="Z147" s="102"/>
      <c r="AA147" s="102"/>
      <c r="AB147" s="102"/>
      <c r="AC147" s="102"/>
      <c r="AD147" s="102"/>
      <c r="AE147" s="102"/>
      <c r="AF147" s="369"/>
      <c r="AG147" s="369"/>
      <c r="AH147" s="369"/>
      <c r="AI147" s="369"/>
      <c r="AJ147" s="96"/>
    </row>
    <row r="148" spans="1:36" s="103" customFormat="1" ht="65.099999999999994" customHeight="1" x14ac:dyDescent="0.25">
      <c r="A148" s="94"/>
      <c r="B148" s="94"/>
      <c r="C148" s="413"/>
      <c r="D148" s="95"/>
      <c r="E148" s="96"/>
      <c r="F148" s="96"/>
      <c r="G148" s="96"/>
      <c r="H148" s="96"/>
      <c r="I148" s="97"/>
      <c r="J148" s="98"/>
      <c r="K148" s="98"/>
      <c r="L148" s="99"/>
      <c r="M148" s="72"/>
      <c r="N148" s="100"/>
      <c r="O148" s="101"/>
      <c r="P148" s="377"/>
      <c r="Q148" s="75"/>
      <c r="R148" s="76"/>
      <c r="S148" s="72"/>
      <c r="T148" s="60"/>
      <c r="U148" s="60"/>
      <c r="V148" s="60"/>
      <c r="W148" s="102"/>
      <c r="X148" s="102"/>
      <c r="Y148" s="102"/>
      <c r="Z148" s="102"/>
      <c r="AA148" s="102"/>
      <c r="AB148" s="102"/>
      <c r="AC148" s="102"/>
      <c r="AD148" s="102"/>
      <c r="AE148" s="102"/>
      <c r="AF148" s="369"/>
      <c r="AG148" s="369"/>
      <c r="AH148" s="369"/>
      <c r="AI148" s="369"/>
      <c r="AJ148" s="96"/>
    </row>
    <row r="149" spans="1:36" s="103" customFormat="1" ht="65.099999999999994" customHeight="1" x14ac:dyDescent="0.25">
      <c r="A149" s="94"/>
      <c r="B149" s="94"/>
      <c r="C149" s="413"/>
      <c r="D149" s="95"/>
      <c r="E149" s="96"/>
      <c r="F149" s="96"/>
      <c r="G149" s="96"/>
      <c r="H149" s="96"/>
      <c r="I149" s="97"/>
      <c r="J149" s="98"/>
      <c r="K149" s="98"/>
      <c r="L149" s="99"/>
      <c r="M149" s="72"/>
      <c r="N149" s="100"/>
      <c r="O149" s="101"/>
      <c r="P149" s="377"/>
      <c r="Q149" s="75"/>
      <c r="R149" s="76"/>
      <c r="S149" s="72"/>
      <c r="T149" s="60"/>
      <c r="U149" s="60"/>
      <c r="V149" s="60"/>
      <c r="W149" s="102"/>
      <c r="X149" s="102"/>
      <c r="Y149" s="102"/>
      <c r="Z149" s="102"/>
      <c r="AA149" s="102"/>
      <c r="AB149" s="102"/>
      <c r="AC149" s="102"/>
      <c r="AD149" s="102"/>
      <c r="AE149" s="102"/>
      <c r="AF149" s="369"/>
      <c r="AG149" s="369"/>
      <c r="AH149" s="369"/>
      <c r="AI149" s="369"/>
      <c r="AJ149" s="96"/>
    </row>
    <row r="150" spans="1:36" s="103" customFormat="1" ht="65.099999999999994" customHeight="1" x14ac:dyDescent="0.25">
      <c r="A150" s="94"/>
      <c r="B150" s="94"/>
      <c r="C150" s="413"/>
      <c r="D150" s="95"/>
      <c r="E150" s="96"/>
      <c r="F150" s="96"/>
      <c r="G150" s="96"/>
      <c r="H150" s="96"/>
      <c r="I150" s="97"/>
      <c r="J150" s="98"/>
      <c r="K150" s="98"/>
      <c r="L150" s="99"/>
      <c r="M150" s="72"/>
      <c r="N150" s="100"/>
      <c r="O150" s="101"/>
      <c r="P150" s="377"/>
      <c r="Q150" s="75"/>
      <c r="R150" s="76"/>
      <c r="S150" s="72"/>
      <c r="T150" s="60"/>
      <c r="U150" s="60"/>
      <c r="V150" s="60"/>
      <c r="W150" s="102"/>
      <c r="X150" s="102"/>
      <c r="Y150" s="102"/>
      <c r="Z150" s="102"/>
      <c r="AA150" s="102"/>
      <c r="AB150" s="102"/>
      <c r="AC150" s="102"/>
      <c r="AD150" s="102"/>
      <c r="AE150" s="102"/>
      <c r="AF150" s="369"/>
      <c r="AG150" s="369"/>
      <c r="AH150" s="369"/>
      <c r="AI150" s="369"/>
      <c r="AJ150" s="96"/>
    </row>
    <row r="151" spans="1:36" s="103" customFormat="1" ht="65.099999999999994" customHeight="1" x14ac:dyDescent="0.25">
      <c r="A151" s="94"/>
      <c r="B151" s="94"/>
      <c r="C151" s="413"/>
      <c r="D151" s="95"/>
      <c r="E151" s="96"/>
      <c r="F151" s="96"/>
      <c r="G151" s="96"/>
      <c r="H151" s="96"/>
      <c r="I151" s="97"/>
      <c r="J151" s="98"/>
      <c r="K151" s="98"/>
      <c r="L151" s="99"/>
      <c r="M151" s="72"/>
      <c r="N151" s="100"/>
      <c r="O151" s="101"/>
      <c r="P151" s="377"/>
      <c r="Q151" s="75"/>
      <c r="R151" s="76"/>
      <c r="S151" s="72"/>
      <c r="T151" s="60"/>
      <c r="U151" s="60"/>
      <c r="V151" s="60"/>
      <c r="W151" s="102"/>
      <c r="X151" s="102"/>
      <c r="Y151" s="102"/>
      <c r="Z151" s="102"/>
      <c r="AA151" s="102"/>
      <c r="AB151" s="102"/>
      <c r="AC151" s="102"/>
      <c r="AD151" s="102"/>
      <c r="AE151" s="102"/>
      <c r="AF151" s="369"/>
      <c r="AG151" s="369"/>
      <c r="AH151" s="369"/>
      <c r="AI151" s="369"/>
      <c r="AJ151" s="96"/>
    </row>
    <row r="152" spans="1:36" s="103" customFormat="1" ht="65.099999999999994" customHeight="1" x14ac:dyDescent="0.25">
      <c r="A152" s="94"/>
      <c r="B152" s="94"/>
      <c r="C152" s="413"/>
      <c r="D152" s="95"/>
      <c r="E152" s="96"/>
      <c r="F152" s="96"/>
      <c r="G152" s="96"/>
      <c r="H152" s="96"/>
      <c r="I152" s="97"/>
      <c r="J152" s="98"/>
      <c r="K152" s="98"/>
      <c r="L152" s="99"/>
      <c r="M152" s="72"/>
      <c r="N152" s="100"/>
      <c r="O152" s="101"/>
      <c r="P152" s="377"/>
      <c r="Q152" s="75"/>
      <c r="R152" s="76"/>
      <c r="S152" s="72"/>
      <c r="T152" s="60"/>
      <c r="U152" s="60"/>
      <c r="V152" s="60"/>
      <c r="W152" s="102"/>
      <c r="X152" s="102"/>
      <c r="Y152" s="102"/>
      <c r="Z152" s="102"/>
      <c r="AA152" s="102"/>
      <c r="AB152" s="102"/>
      <c r="AC152" s="102"/>
      <c r="AD152" s="102"/>
      <c r="AE152" s="102"/>
      <c r="AF152" s="369"/>
      <c r="AG152" s="369"/>
      <c r="AH152" s="369"/>
      <c r="AI152" s="369"/>
      <c r="AJ152" s="96"/>
    </row>
    <row r="153" spans="1:36" s="103" customFormat="1" ht="65.099999999999994" customHeight="1" x14ac:dyDescent="0.25">
      <c r="A153" s="94"/>
      <c r="B153" s="94"/>
      <c r="C153" s="413"/>
      <c r="D153" s="95"/>
      <c r="E153" s="96"/>
      <c r="F153" s="96"/>
      <c r="G153" s="96"/>
      <c r="H153" s="96"/>
      <c r="I153" s="97"/>
      <c r="J153" s="98"/>
      <c r="K153" s="98"/>
      <c r="L153" s="99"/>
      <c r="M153" s="72"/>
      <c r="N153" s="100"/>
      <c r="O153" s="101"/>
      <c r="P153" s="377"/>
      <c r="Q153" s="75"/>
      <c r="R153" s="76"/>
      <c r="S153" s="72"/>
      <c r="T153" s="60"/>
      <c r="U153" s="60"/>
      <c r="V153" s="60"/>
      <c r="W153" s="102"/>
      <c r="X153" s="102"/>
      <c r="Y153" s="102"/>
      <c r="Z153" s="102"/>
      <c r="AA153" s="102"/>
      <c r="AB153" s="102"/>
      <c r="AC153" s="102"/>
      <c r="AD153" s="102"/>
      <c r="AE153" s="102"/>
      <c r="AF153" s="369"/>
      <c r="AG153" s="369"/>
      <c r="AH153" s="369"/>
      <c r="AI153" s="369"/>
      <c r="AJ153" s="96"/>
    </row>
    <row r="154" spans="1:36" s="103" customFormat="1" ht="65.099999999999994" customHeight="1" x14ac:dyDescent="0.25">
      <c r="A154" s="94"/>
      <c r="B154" s="94"/>
      <c r="C154" s="413"/>
      <c r="D154" s="95"/>
      <c r="E154" s="96"/>
      <c r="F154" s="96"/>
      <c r="G154" s="96"/>
      <c r="H154" s="96"/>
      <c r="I154" s="97"/>
      <c r="J154" s="98"/>
      <c r="K154" s="98"/>
      <c r="L154" s="99"/>
      <c r="M154" s="72"/>
      <c r="N154" s="100"/>
      <c r="O154" s="101"/>
      <c r="P154" s="377"/>
      <c r="Q154" s="75"/>
      <c r="R154" s="76"/>
      <c r="S154" s="72"/>
      <c r="T154" s="60"/>
      <c r="U154" s="60"/>
      <c r="V154" s="60"/>
      <c r="W154" s="102"/>
      <c r="X154" s="102"/>
      <c r="Y154" s="102"/>
      <c r="Z154" s="102"/>
      <c r="AA154" s="102"/>
      <c r="AB154" s="102"/>
      <c r="AC154" s="102"/>
      <c r="AD154" s="102"/>
      <c r="AE154" s="102"/>
      <c r="AF154" s="369"/>
      <c r="AG154" s="369"/>
      <c r="AH154" s="369"/>
      <c r="AI154" s="369"/>
      <c r="AJ154" s="96"/>
    </row>
    <row r="155" spans="1:36" s="103" customFormat="1" ht="65.099999999999994" customHeight="1" x14ac:dyDescent="0.25">
      <c r="A155" s="94"/>
      <c r="B155" s="94"/>
      <c r="C155" s="413"/>
      <c r="D155" s="95"/>
      <c r="E155" s="96"/>
      <c r="F155" s="96"/>
      <c r="G155" s="96"/>
      <c r="H155" s="96"/>
      <c r="I155" s="97"/>
      <c r="J155" s="98"/>
      <c r="K155" s="98"/>
      <c r="L155" s="99"/>
      <c r="M155" s="72"/>
      <c r="N155" s="100"/>
      <c r="O155" s="101"/>
      <c r="P155" s="377"/>
      <c r="Q155" s="75"/>
      <c r="R155" s="76"/>
      <c r="S155" s="72"/>
      <c r="T155" s="60"/>
      <c r="U155" s="60"/>
      <c r="V155" s="60"/>
      <c r="W155" s="102"/>
      <c r="X155" s="102"/>
      <c r="Y155" s="102"/>
      <c r="Z155" s="102"/>
      <c r="AA155" s="102"/>
      <c r="AB155" s="102"/>
      <c r="AC155" s="102"/>
      <c r="AD155" s="102"/>
      <c r="AE155" s="102"/>
      <c r="AF155" s="369"/>
      <c r="AG155" s="369"/>
      <c r="AH155" s="369"/>
      <c r="AI155" s="369"/>
      <c r="AJ155" s="96"/>
    </row>
    <row r="156" spans="1:36" s="103" customFormat="1" ht="65.099999999999994" customHeight="1" x14ac:dyDescent="0.25">
      <c r="A156" s="94"/>
      <c r="B156" s="94"/>
      <c r="C156" s="413"/>
      <c r="D156" s="95"/>
      <c r="E156" s="96"/>
      <c r="F156" s="96"/>
      <c r="G156" s="96"/>
      <c r="H156" s="96"/>
      <c r="I156" s="97"/>
      <c r="J156" s="98"/>
      <c r="K156" s="98"/>
      <c r="L156" s="99"/>
      <c r="M156" s="72"/>
      <c r="N156" s="100"/>
      <c r="O156" s="101"/>
      <c r="P156" s="377"/>
      <c r="Q156" s="75"/>
      <c r="R156" s="76"/>
      <c r="S156" s="72"/>
      <c r="T156" s="60"/>
      <c r="U156" s="60"/>
      <c r="V156" s="60"/>
      <c r="W156" s="102"/>
      <c r="X156" s="102"/>
      <c r="Y156" s="102"/>
      <c r="Z156" s="102"/>
      <c r="AA156" s="102"/>
      <c r="AB156" s="102"/>
      <c r="AC156" s="102"/>
      <c r="AD156" s="102"/>
      <c r="AE156" s="102"/>
      <c r="AF156" s="369"/>
      <c r="AG156" s="369"/>
      <c r="AH156" s="369"/>
      <c r="AI156" s="369"/>
      <c r="AJ156" s="96"/>
    </row>
    <row r="157" spans="1:36" s="103" customFormat="1" ht="65.099999999999994" customHeight="1" x14ac:dyDescent="0.25">
      <c r="A157" s="94"/>
      <c r="B157" s="94"/>
      <c r="C157" s="413"/>
      <c r="D157" s="95"/>
      <c r="E157" s="96"/>
      <c r="F157" s="96"/>
      <c r="G157" s="96"/>
      <c r="H157" s="96"/>
      <c r="I157" s="97"/>
      <c r="J157" s="98"/>
      <c r="K157" s="98"/>
      <c r="L157" s="99"/>
      <c r="M157" s="72"/>
      <c r="N157" s="100"/>
      <c r="O157" s="101"/>
      <c r="P157" s="377"/>
      <c r="Q157" s="75"/>
      <c r="R157" s="76"/>
      <c r="S157" s="72"/>
      <c r="T157" s="60"/>
      <c r="U157" s="60"/>
      <c r="V157" s="60"/>
      <c r="W157" s="102"/>
      <c r="X157" s="102"/>
      <c r="Y157" s="102"/>
      <c r="Z157" s="102"/>
      <c r="AA157" s="102"/>
      <c r="AB157" s="102"/>
      <c r="AC157" s="102"/>
      <c r="AD157" s="102"/>
      <c r="AE157" s="102"/>
      <c r="AF157" s="369"/>
      <c r="AG157" s="369"/>
      <c r="AH157" s="369"/>
      <c r="AI157" s="369"/>
      <c r="AJ157" s="96"/>
    </row>
    <row r="158" spans="1:36" s="103" customFormat="1" ht="65.099999999999994" customHeight="1" x14ac:dyDescent="0.25">
      <c r="A158" s="94"/>
      <c r="B158" s="94"/>
      <c r="C158" s="413"/>
      <c r="D158" s="95"/>
      <c r="E158" s="96"/>
      <c r="F158" s="96"/>
      <c r="G158" s="96"/>
      <c r="H158" s="96"/>
      <c r="I158" s="97"/>
      <c r="J158" s="98"/>
      <c r="K158" s="98"/>
      <c r="L158" s="99"/>
      <c r="M158" s="72"/>
      <c r="N158" s="100"/>
      <c r="O158" s="101"/>
      <c r="P158" s="377"/>
      <c r="Q158" s="75"/>
      <c r="R158" s="76"/>
      <c r="S158" s="72"/>
      <c r="T158" s="60"/>
      <c r="U158" s="60"/>
      <c r="V158" s="60"/>
      <c r="W158" s="102"/>
      <c r="X158" s="102"/>
      <c r="Y158" s="102"/>
      <c r="Z158" s="102"/>
      <c r="AA158" s="102"/>
      <c r="AB158" s="102"/>
      <c r="AC158" s="102"/>
      <c r="AD158" s="102"/>
      <c r="AE158" s="102"/>
      <c r="AF158" s="369"/>
      <c r="AG158" s="369"/>
      <c r="AH158" s="369"/>
      <c r="AI158" s="369"/>
      <c r="AJ158" s="96"/>
    </row>
    <row r="159" spans="1:36" s="103" customFormat="1" ht="65.099999999999994" customHeight="1" x14ac:dyDescent="0.25">
      <c r="A159" s="94"/>
      <c r="B159" s="94"/>
      <c r="C159" s="413"/>
      <c r="D159" s="95"/>
      <c r="E159" s="96"/>
      <c r="F159" s="96"/>
      <c r="G159" s="96"/>
      <c r="H159" s="96"/>
      <c r="I159" s="97"/>
      <c r="J159" s="98"/>
      <c r="K159" s="98"/>
      <c r="L159" s="99"/>
      <c r="M159" s="72"/>
      <c r="N159" s="100"/>
      <c r="O159" s="101"/>
      <c r="P159" s="377"/>
      <c r="Q159" s="75"/>
      <c r="R159" s="76"/>
      <c r="S159" s="72"/>
      <c r="T159" s="60"/>
      <c r="U159" s="60"/>
      <c r="V159" s="60"/>
      <c r="W159" s="102"/>
      <c r="X159" s="102"/>
      <c r="Y159" s="102"/>
      <c r="Z159" s="102"/>
      <c r="AA159" s="102"/>
      <c r="AB159" s="102"/>
      <c r="AC159" s="102"/>
      <c r="AD159" s="102"/>
      <c r="AE159" s="102"/>
      <c r="AF159" s="369"/>
      <c r="AG159" s="369"/>
      <c r="AH159" s="369"/>
      <c r="AI159" s="369"/>
      <c r="AJ159" s="96"/>
    </row>
    <row r="160" spans="1:36" s="103" customFormat="1" ht="65.099999999999994" customHeight="1" x14ac:dyDescent="0.25">
      <c r="A160" s="94"/>
      <c r="B160" s="94"/>
      <c r="C160" s="413"/>
      <c r="D160" s="95"/>
      <c r="E160" s="96"/>
      <c r="F160" s="96"/>
      <c r="G160" s="96"/>
      <c r="H160" s="96"/>
      <c r="I160" s="97"/>
      <c r="J160" s="98"/>
      <c r="K160" s="98"/>
      <c r="L160" s="99"/>
      <c r="M160" s="72"/>
      <c r="N160" s="100"/>
      <c r="O160" s="101"/>
      <c r="P160" s="377"/>
      <c r="Q160" s="75"/>
      <c r="R160" s="76"/>
      <c r="S160" s="72"/>
      <c r="T160" s="60"/>
      <c r="U160" s="60"/>
      <c r="V160" s="60"/>
      <c r="W160" s="102"/>
      <c r="X160" s="102"/>
      <c r="Y160" s="102"/>
      <c r="Z160" s="102"/>
      <c r="AA160" s="102"/>
      <c r="AB160" s="102"/>
      <c r="AC160" s="102"/>
      <c r="AD160" s="102"/>
      <c r="AE160" s="102"/>
      <c r="AF160" s="369"/>
      <c r="AG160" s="369"/>
      <c r="AH160" s="369"/>
      <c r="AI160" s="369"/>
      <c r="AJ160" s="96"/>
    </row>
    <row r="161" spans="1:36" s="103" customFormat="1" ht="65.099999999999994" customHeight="1" x14ac:dyDescent="0.25">
      <c r="A161" s="94"/>
      <c r="B161" s="94"/>
      <c r="C161" s="413"/>
      <c r="D161" s="95"/>
      <c r="E161" s="96"/>
      <c r="F161" s="96"/>
      <c r="G161" s="96"/>
      <c r="H161" s="96"/>
      <c r="I161" s="97"/>
      <c r="J161" s="98"/>
      <c r="K161" s="98"/>
      <c r="L161" s="99"/>
      <c r="M161" s="72"/>
      <c r="N161" s="100"/>
      <c r="O161" s="101"/>
      <c r="P161" s="377"/>
      <c r="Q161" s="75"/>
      <c r="R161" s="76"/>
      <c r="S161" s="72"/>
      <c r="T161" s="60"/>
      <c r="U161" s="60"/>
      <c r="V161" s="60"/>
      <c r="W161" s="102"/>
      <c r="X161" s="102"/>
      <c r="Y161" s="102"/>
      <c r="Z161" s="102"/>
      <c r="AA161" s="102"/>
      <c r="AB161" s="102"/>
      <c r="AC161" s="102"/>
      <c r="AD161" s="102"/>
      <c r="AE161" s="102"/>
      <c r="AF161" s="369"/>
      <c r="AG161" s="369"/>
      <c r="AH161" s="369"/>
      <c r="AI161" s="369"/>
      <c r="AJ161" s="96"/>
    </row>
    <row r="162" spans="1:36" s="103" customFormat="1" ht="65.099999999999994" customHeight="1" x14ac:dyDescent="0.25">
      <c r="A162" s="94"/>
      <c r="B162" s="94"/>
      <c r="C162" s="413"/>
      <c r="D162" s="95"/>
      <c r="E162" s="96"/>
      <c r="F162" s="96"/>
      <c r="G162" s="96"/>
      <c r="H162" s="96"/>
      <c r="I162" s="97"/>
      <c r="J162" s="98"/>
      <c r="K162" s="98"/>
      <c r="L162" s="99"/>
      <c r="M162" s="72"/>
      <c r="N162" s="100"/>
      <c r="O162" s="101"/>
      <c r="P162" s="377"/>
      <c r="Q162" s="75"/>
      <c r="R162" s="76"/>
      <c r="S162" s="72"/>
      <c r="T162" s="60"/>
      <c r="U162" s="60"/>
      <c r="V162" s="60"/>
      <c r="W162" s="102"/>
      <c r="X162" s="102"/>
      <c r="Y162" s="102"/>
      <c r="Z162" s="102"/>
      <c r="AA162" s="102"/>
      <c r="AB162" s="102"/>
      <c r="AC162" s="102"/>
      <c r="AD162" s="102"/>
      <c r="AE162" s="102"/>
      <c r="AF162" s="369"/>
      <c r="AG162" s="369"/>
      <c r="AH162" s="369"/>
      <c r="AI162" s="369"/>
      <c r="AJ162" s="96"/>
    </row>
    <row r="163" spans="1:36" s="103" customFormat="1" ht="65.099999999999994" customHeight="1" x14ac:dyDescent="0.25">
      <c r="A163" s="94"/>
      <c r="B163" s="94"/>
      <c r="C163" s="413"/>
      <c r="D163" s="95"/>
      <c r="E163" s="96"/>
      <c r="F163" s="96"/>
      <c r="G163" s="96"/>
      <c r="H163" s="96"/>
      <c r="I163" s="97"/>
      <c r="J163" s="98"/>
      <c r="K163" s="98"/>
      <c r="L163" s="99"/>
      <c r="M163" s="72"/>
      <c r="N163" s="100"/>
      <c r="O163" s="101"/>
      <c r="P163" s="377"/>
      <c r="Q163" s="75"/>
      <c r="R163" s="76"/>
      <c r="S163" s="72"/>
      <c r="T163" s="60"/>
      <c r="U163" s="60"/>
      <c r="V163" s="60"/>
      <c r="W163" s="102"/>
      <c r="X163" s="102"/>
      <c r="Y163" s="102"/>
      <c r="Z163" s="102"/>
      <c r="AA163" s="102"/>
      <c r="AB163" s="102"/>
      <c r="AC163" s="102"/>
      <c r="AD163" s="102"/>
      <c r="AE163" s="102"/>
      <c r="AF163" s="369"/>
      <c r="AG163" s="369"/>
      <c r="AH163" s="369"/>
      <c r="AI163" s="369"/>
      <c r="AJ163" s="96"/>
    </row>
    <row r="164" spans="1:36" s="103" customFormat="1" ht="65.099999999999994" customHeight="1" x14ac:dyDescent="0.25">
      <c r="A164" s="94"/>
      <c r="B164" s="94"/>
      <c r="C164" s="413"/>
      <c r="D164" s="95"/>
      <c r="E164" s="96"/>
      <c r="F164" s="96"/>
      <c r="G164" s="96"/>
      <c r="H164" s="96"/>
      <c r="I164" s="97"/>
      <c r="J164" s="98"/>
      <c r="K164" s="98"/>
      <c r="L164" s="99"/>
      <c r="M164" s="72"/>
      <c r="N164" s="100"/>
      <c r="O164" s="101"/>
      <c r="P164" s="377"/>
      <c r="Q164" s="75"/>
      <c r="R164" s="76"/>
      <c r="S164" s="72"/>
      <c r="T164" s="60"/>
      <c r="U164" s="60"/>
      <c r="V164" s="60"/>
      <c r="W164" s="102"/>
      <c r="X164" s="102"/>
      <c r="Y164" s="102"/>
      <c r="Z164" s="102"/>
      <c r="AA164" s="102"/>
      <c r="AB164" s="102"/>
      <c r="AC164" s="102"/>
      <c r="AD164" s="102"/>
      <c r="AE164" s="102"/>
      <c r="AF164" s="369"/>
      <c r="AG164" s="369"/>
      <c r="AH164" s="369"/>
      <c r="AI164" s="369"/>
      <c r="AJ164" s="96"/>
    </row>
    <row r="165" spans="1:36" s="103" customFormat="1" ht="65.099999999999994" customHeight="1" x14ac:dyDescent="0.25">
      <c r="A165" s="94"/>
      <c r="B165" s="94"/>
      <c r="C165" s="413"/>
      <c r="D165" s="95"/>
      <c r="E165" s="96"/>
      <c r="F165" s="96"/>
      <c r="G165" s="96"/>
      <c r="H165" s="96"/>
      <c r="I165" s="97"/>
      <c r="J165" s="98"/>
      <c r="K165" s="98"/>
      <c r="L165" s="99"/>
      <c r="M165" s="72"/>
      <c r="N165" s="100"/>
      <c r="O165" s="101"/>
      <c r="P165" s="377"/>
      <c r="Q165" s="75"/>
      <c r="R165" s="76"/>
      <c r="S165" s="72"/>
      <c r="T165" s="60"/>
      <c r="U165" s="60"/>
      <c r="V165" s="60"/>
      <c r="W165" s="102"/>
      <c r="X165" s="102"/>
      <c r="Y165" s="102"/>
      <c r="Z165" s="102"/>
      <c r="AA165" s="102"/>
      <c r="AB165" s="102"/>
      <c r="AC165" s="102"/>
      <c r="AD165" s="102"/>
      <c r="AE165" s="102"/>
      <c r="AF165" s="369"/>
      <c r="AG165" s="369"/>
      <c r="AH165" s="369"/>
      <c r="AI165" s="369"/>
      <c r="AJ165" s="96"/>
    </row>
    <row r="166" spans="1:36" s="103" customFormat="1" ht="65.099999999999994" customHeight="1" x14ac:dyDescent="0.25">
      <c r="A166" s="94"/>
      <c r="B166" s="94"/>
      <c r="C166" s="413"/>
      <c r="D166" s="95"/>
      <c r="E166" s="96"/>
      <c r="F166" s="96"/>
      <c r="G166" s="96"/>
      <c r="H166" s="96"/>
      <c r="I166" s="97"/>
      <c r="J166" s="98"/>
      <c r="K166" s="98"/>
      <c r="L166" s="99"/>
      <c r="M166" s="72"/>
      <c r="N166" s="100"/>
      <c r="O166" s="101"/>
      <c r="P166" s="377"/>
      <c r="Q166" s="75"/>
      <c r="R166" s="76"/>
      <c r="S166" s="72"/>
      <c r="T166" s="60"/>
      <c r="U166" s="60"/>
      <c r="V166" s="60"/>
      <c r="W166" s="102"/>
      <c r="X166" s="102"/>
      <c r="Y166" s="102"/>
      <c r="Z166" s="102"/>
      <c r="AA166" s="102"/>
      <c r="AB166" s="102"/>
      <c r="AC166" s="102"/>
      <c r="AD166" s="102"/>
      <c r="AE166" s="102"/>
      <c r="AF166" s="369"/>
      <c r="AG166" s="369"/>
      <c r="AH166" s="369"/>
      <c r="AI166" s="369"/>
      <c r="AJ166" s="96"/>
    </row>
    <row r="167" spans="1:36" s="103" customFormat="1" ht="65.099999999999994" customHeight="1" x14ac:dyDescent="0.25">
      <c r="A167" s="94"/>
      <c r="B167" s="94"/>
      <c r="C167" s="413"/>
      <c r="D167" s="95"/>
      <c r="E167" s="96"/>
      <c r="F167" s="96"/>
      <c r="G167" s="96"/>
      <c r="H167" s="96"/>
      <c r="I167" s="97"/>
      <c r="J167" s="98"/>
      <c r="K167" s="98"/>
      <c r="L167" s="99"/>
      <c r="M167" s="72"/>
      <c r="N167" s="100"/>
      <c r="O167" s="101"/>
      <c r="P167" s="377"/>
      <c r="Q167" s="75"/>
      <c r="R167" s="76"/>
      <c r="S167" s="72"/>
      <c r="T167" s="60"/>
      <c r="U167" s="60"/>
      <c r="V167" s="60"/>
      <c r="W167" s="102"/>
      <c r="X167" s="102"/>
      <c r="Y167" s="102"/>
      <c r="Z167" s="102"/>
      <c r="AA167" s="102"/>
      <c r="AB167" s="102"/>
      <c r="AC167" s="102"/>
      <c r="AD167" s="102"/>
      <c r="AE167" s="102"/>
      <c r="AF167" s="369"/>
      <c r="AG167" s="369"/>
      <c r="AH167" s="369"/>
      <c r="AI167" s="369"/>
      <c r="AJ167" s="96"/>
    </row>
    <row r="168" spans="1:36" s="103" customFormat="1" ht="65.099999999999994" customHeight="1" x14ac:dyDescent="0.25">
      <c r="A168" s="94"/>
      <c r="B168" s="94"/>
      <c r="C168" s="413"/>
      <c r="D168" s="95"/>
      <c r="E168" s="96"/>
      <c r="F168" s="96"/>
      <c r="G168" s="96"/>
      <c r="H168" s="96"/>
      <c r="I168" s="97"/>
      <c r="J168" s="98"/>
      <c r="K168" s="98"/>
      <c r="L168" s="99"/>
      <c r="M168" s="72"/>
      <c r="N168" s="100"/>
      <c r="O168" s="101"/>
      <c r="P168" s="377"/>
      <c r="Q168" s="75"/>
      <c r="R168" s="76"/>
      <c r="S168" s="72"/>
      <c r="T168" s="60"/>
      <c r="U168" s="60"/>
      <c r="V168" s="60"/>
      <c r="W168" s="102"/>
      <c r="X168" s="102"/>
      <c r="Y168" s="102"/>
      <c r="Z168" s="102"/>
      <c r="AA168" s="102"/>
      <c r="AB168" s="102"/>
      <c r="AC168" s="102"/>
      <c r="AD168" s="102"/>
      <c r="AE168" s="102"/>
      <c r="AF168" s="369"/>
      <c r="AG168" s="369"/>
      <c r="AH168" s="369"/>
      <c r="AI168" s="369"/>
      <c r="AJ168" s="96"/>
    </row>
    <row r="169" spans="1:36" s="103" customFormat="1" ht="65.099999999999994" customHeight="1" x14ac:dyDescent="0.25">
      <c r="A169" s="94"/>
      <c r="B169" s="94"/>
      <c r="C169" s="413"/>
      <c r="D169" s="95"/>
      <c r="E169" s="96"/>
      <c r="F169" s="96"/>
      <c r="G169" s="96"/>
      <c r="H169" s="96"/>
      <c r="I169" s="97"/>
      <c r="J169" s="98"/>
      <c r="K169" s="98"/>
      <c r="L169" s="99"/>
      <c r="M169" s="72"/>
      <c r="N169" s="100"/>
      <c r="O169" s="101"/>
      <c r="P169" s="377"/>
      <c r="Q169" s="75"/>
      <c r="R169" s="76"/>
      <c r="S169" s="72"/>
      <c r="T169" s="60"/>
      <c r="U169" s="60"/>
      <c r="V169" s="60"/>
      <c r="W169" s="102"/>
      <c r="X169" s="102"/>
      <c r="Y169" s="102"/>
      <c r="Z169" s="102"/>
      <c r="AA169" s="102"/>
      <c r="AB169" s="102"/>
      <c r="AC169" s="102"/>
      <c r="AD169" s="102"/>
      <c r="AE169" s="102"/>
      <c r="AF169" s="369"/>
      <c r="AG169" s="369"/>
      <c r="AH169" s="369"/>
      <c r="AI169" s="369"/>
      <c r="AJ169" s="96"/>
    </row>
    <row r="170" spans="1:36" s="103" customFormat="1" ht="65.099999999999994" customHeight="1" x14ac:dyDescent="0.25">
      <c r="A170" s="94"/>
      <c r="B170" s="94"/>
      <c r="C170" s="413"/>
      <c r="D170" s="95"/>
      <c r="E170" s="96"/>
      <c r="F170" s="96"/>
      <c r="G170" s="96"/>
      <c r="H170" s="96"/>
      <c r="I170" s="97"/>
      <c r="J170" s="98"/>
      <c r="K170" s="98"/>
      <c r="L170" s="99"/>
      <c r="M170" s="72"/>
      <c r="N170" s="100"/>
      <c r="O170" s="101"/>
      <c r="P170" s="377"/>
      <c r="Q170" s="75"/>
      <c r="R170" s="76"/>
      <c r="S170" s="72"/>
      <c r="T170" s="60"/>
      <c r="U170" s="60"/>
      <c r="V170" s="60"/>
      <c r="W170" s="102"/>
      <c r="X170" s="102"/>
      <c r="Y170" s="102"/>
      <c r="Z170" s="102"/>
      <c r="AA170" s="102"/>
      <c r="AB170" s="102"/>
      <c r="AC170" s="102"/>
      <c r="AD170" s="102"/>
      <c r="AE170" s="102"/>
      <c r="AF170" s="369"/>
      <c r="AG170" s="369"/>
      <c r="AH170" s="369"/>
      <c r="AI170" s="369"/>
      <c r="AJ170" s="96"/>
    </row>
    <row r="171" spans="1:36" s="103" customFormat="1" ht="65.099999999999994" customHeight="1" x14ac:dyDescent="0.25">
      <c r="A171" s="94"/>
      <c r="B171" s="94"/>
      <c r="C171" s="413"/>
      <c r="D171" s="95"/>
      <c r="E171" s="96"/>
      <c r="F171" s="96"/>
      <c r="G171" s="96"/>
      <c r="H171" s="96"/>
      <c r="I171" s="97"/>
      <c r="J171" s="98"/>
      <c r="K171" s="98"/>
      <c r="L171" s="99"/>
      <c r="M171" s="72"/>
      <c r="N171" s="100"/>
      <c r="O171" s="101"/>
      <c r="P171" s="377"/>
      <c r="Q171" s="75"/>
      <c r="R171" s="76"/>
      <c r="S171" s="72"/>
      <c r="T171" s="60"/>
      <c r="U171" s="60"/>
      <c r="V171" s="60"/>
      <c r="W171" s="102"/>
      <c r="X171" s="102"/>
      <c r="Y171" s="102"/>
      <c r="Z171" s="102"/>
      <c r="AA171" s="102"/>
      <c r="AB171" s="102"/>
      <c r="AC171" s="102"/>
      <c r="AD171" s="102"/>
      <c r="AE171" s="102"/>
      <c r="AF171" s="369"/>
      <c r="AG171" s="369"/>
      <c r="AH171" s="369"/>
      <c r="AI171" s="369"/>
      <c r="AJ171" s="96"/>
    </row>
    <row r="172" spans="1:36" s="103" customFormat="1" ht="65.099999999999994" customHeight="1" x14ac:dyDescent="0.25">
      <c r="A172" s="94"/>
      <c r="B172" s="94"/>
      <c r="C172" s="413"/>
      <c r="D172" s="95"/>
      <c r="E172" s="96"/>
      <c r="F172" s="96"/>
      <c r="G172" s="96"/>
      <c r="H172" s="96"/>
      <c r="I172" s="97"/>
      <c r="J172" s="98"/>
      <c r="K172" s="98"/>
      <c r="L172" s="99"/>
      <c r="M172" s="72"/>
      <c r="N172" s="100"/>
      <c r="O172" s="101"/>
      <c r="P172" s="377"/>
      <c r="Q172" s="75"/>
      <c r="R172" s="76"/>
      <c r="S172" s="72"/>
      <c r="T172" s="60"/>
      <c r="U172" s="60"/>
      <c r="V172" s="60"/>
      <c r="W172" s="102"/>
      <c r="X172" s="102"/>
      <c r="Y172" s="102"/>
      <c r="Z172" s="102"/>
      <c r="AA172" s="102"/>
      <c r="AB172" s="102"/>
      <c r="AC172" s="102"/>
      <c r="AD172" s="102"/>
      <c r="AE172" s="102"/>
      <c r="AF172" s="369"/>
      <c r="AG172" s="369"/>
      <c r="AH172" s="369"/>
      <c r="AI172" s="369"/>
      <c r="AJ172" s="96"/>
    </row>
    <row r="173" spans="1:36" s="103" customFormat="1" ht="65.099999999999994" customHeight="1" x14ac:dyDescent="0.25">
      <c r="A173" s="94"/>
      <c r="B173" s="94"/>
      <c r="C173" s="413"/>
      <c r="D173" s="95"/>
      <c r="E173" s="96"/>
      <c r="F173" s="96"/>
      <c r="G173" s="96"/>
      <c r="H173" s="96"/>
      <c r="I173" s="97"/>
      <c r="J173" s="98"/>
      <c r="K173" s="98"/>
      <c r="L173" s="99"/>
      <c r="M173" s="72"/>
      <c r="N173" s="100"/>
      <c r="O173" s="101"/>
      <c r="P173" s="377"/>
      <c r="Q173" s="75"/>
      <c r="R173" s="76"/>
      <c r="S173" s="72"/>
      <c r="T173" s="60"/>
      <c r="U173" s="60"/>
      <c r="V173" s="60"/>
      <c r="W173" s="102"/>
      <c r="X173" s="102"/>
      <c r="Y173" s="102"/>
      <c r="Z173" s="102"/>
      <c r="AA173" s="102"/>
      <c r="AB173" s="102"/>
      <c r="AC173" s="102"/>
      <c r="AD173" s="102"/>
      <c r="AE173" s="102"/>
      <c r="AF173" s="369"/>
      <c r="AG173" s="369"/>
      <c r="AH173" s="369"/>
      <c r="AI173" s="369"/>
      <c r="AJ173" s="96"/>
    </row>
    <row r="174" spans="1:36" s="103" customFormat="1" ht="65.099999999999994" customHeight="1" x14ac:dyDescent="0.25">
      <c r="A174" s="94"/>
      <c r="B174" s="94"/>
      <c r="C174" s="413"/>
      <c r="D174" s="95"/>
      <c r="E174" s="96"/>
      <c r="F174" s="96"/>
      <c r="G174" s="96"/>
      <c r="H174" s="96"/>
      <c r="I174" s="97"/>
      <c r="J174" s="98"/>
      <c r="K174" s="98"/>
      <c r="L174" s="99"/>
      <c r="M174" s="72"/>
      <c r="N174" s="100"/>
      <c r="O174" s="101"/>
      <c r="P174" s="377"/>
      <c r="Q174" s="75"/>
      <c r="R174" s="76"/>
      <c r="S174" s="72"/>
      <c r="T174" s="60"/>
      <c r="U174" s="60"/>
      <c r="V174" s="60"/>
      <c r="W174" s="102"/>
      <c r="X174" s="102"/>
      <c r="Y174" s="102"/>
      <c r="Z174" s="102"/>
      <c r="AA174" s="102"/>
      <c r="AB174" s="102"/>
      <c r="AC174" s="102"/>
      <c r="AD174" s="102"/>
      <c r="AE174" s="102"/>
      <c r="AF174" s="369"/>
      <c r="AG174" s="369"/>
      <c r="AH174" s="369"/>
      <c r="AI174" s="369"/>
      <c r="AJ174" s="96"/>
    </row>
    <row r="175" spans="1:36" s="103" customFormat="1" ht="65.099999999999994" customHeight="1" x14ac:dyDescent="0.25">
      <c r="A175" s="94"/>
      <c r="B175" s="94"/>
      <c r="C175" s="413"/>
      <c r="D175" s="95"/>
      <c r="E175" s="96"/>
      <c r="F175" s="96"/>
      <c r="G175" s="96"/>
      <c r="H175" s="96"/>
      <c r="I175" s="97"/>
      <c r="J175" s="98"/>
      <c r="K175" s="98"/>
      <c r="L175" s="99"/>
      <c r="M175" s="72"/>
      <c r="N175" s="100"/>
      <c r="O175" s="101"/>
      <c r="P175" s="377"/>
      <c r="Q175" s="75"/>
      <c r="R175" s="76"/>
      <c r="S175" s="72"/>
      <c r="T175" s="60"/>
      <c r="U175" s="60"/>
      <c r="V175" s="60"/>
      <c r="W175" s="102"/>
      <c r="X175" s="102"/>
      <c r="Y175" s="102"/>
      <c r="Z175" s="102"/>
      <c r="AA175" s="102"/>
      <c r="AB175" s="102"/>
      <c r="AC175" s="102"/>
      <c r="AD175" s="102"/>
      <c r="AE175" s="102"/>
      <c r="AF175" s="369"/>
      <c r="AG175" s="369"/>
      <c r="AH175" s="369"/>
      <c r="AI175" s="369"/>
      <c r="AJ175" s="96"/>
    </row>
    <row r="176" spans="1:36" s="103" customFormat="1" ht="65.099999999999994" customHeight="1" x14ac:dyDescent="0.25">
      <c r="A176" s="94"/>
      <c r="B176" s="94"/>
      <c r="C176" s="413"/>
      <c r="D176" s="95"/>
      <c r="E176" s="96"/>
      <c r="F176" s="96"/>
      <c r="G176" s="96"/>
      <c r="H176" s="96"/>
      <c r="I176" s="97"/>
      <c r="J176" s="98"/>
      <c r="K176" s="98"/>
      <c r="L176" s="99"/>
      <c r="M176" s="72"/>
      <c r="N176" s="100"/>
      <c r="O176" s="101"/>
      <c r="P176" s="377"/>
      <c r="Q176" s="75"/>
      <c r="R176" s="76"/>
      <c r="S176" s="72"/>
      <c r="T176" s="60"/>
      <c r="U176" s="60"/>
      <c r="V176" s="60"/>
      <c r="W176" s="102"/>
      <c r="X176" s="102"/>
      <c r="Y176" s="102"/>
      <c r="Z176" s="102"/>
      <c r="AA176" s="102"/>
      <c r="AB176" s="102"/>
      <c r="AC176" s="102"/>
      <c r="AD176" s="102"/>
      <c r="AE176" s="102"/>
      <c r="AF176" s="369"/>
      <c r="AG176" s="369"/>
      <c r="AH176" s="369"/>
      <c r="AI176" s="369"/>
      <c r="AJ176" s="96"/>
    </row>
    <row r="177" spans="1:36" s="103" customFormat="1" ht="65.099999999999994" customHeight="1" x14ac:dyDescent="0.25">
      <c r="A177" s="94"/>
      <c r="B177" s="94"/>
      <c r="C177" s="413"/>
      <c r="D177" s="95"/>
      <c r="E177" s="96"/>
      <c r="F177" s="96"/>
      <c r="G177" s="96"/>
      <c r="H177" s="96"/>
      <c r="I177" s="97"/>
      <c r="J177" s="98"/>
      <c r="K177" s="98"/>
      <c r="L177" s="99"/>
      <c r="M177" s="72"/>
      <c r="N177" s="100"/>
      <c r="O177" s="101"/>
      <c r="P177" s="377"/>
      <c r="Q177" s="75"/>
      <c r="R177" s="76"/>
      <c r="S177" s="72"/>
      <c r="T177" s="60"/>
      <c r="U177" s="60"/>
      <c r="V177" s="60"/>
      <c r="W177" s="102"/>
      <c r="X177" s="102"/>
      <c r="Y177" s="102"/>
      <c r="Z177" s="102"/>
      <c r="AA177" s="102"/>
      <c r="AB177" s="102"/>
      <c r="AC177" s="102"/>
      <c r="AD177" s="102"/>
      <c r="AE177" s="102"/>
      <c r="AF177" s="369"/>
      <c r="AG177" s="369"/>
      <c r="AH177" s="369"/>
      <c r="AI177" s="369"/>
      <c r="AJ177" s="96"/>
    </row>
    <row r="178" spans="1:36" s="103" customFormat="1" ht="65.099999999999994" customHeight="1" x14ac:dyDescent="0.25">
      <c r="A178" s="94"/>
      <c r="B178" s="94"/>
      <c r="C178" s="413"/>
      <c r="D178" s="95"/>
      <c r="E178" s="96"/>
      <c r="F178" s="96"/>
      <c r="G178" s="96"/>
      <c r="H178" s="96"/>
      <c r="I178" s="97"/>
      <c r="J178" s="98"/>
      <c r="K178" s="98"/>
      <c r="L178" s="99"/>
      <c r="M178" s="72"/>
      <c r="N178" s="100"/>
      <c r="O178" s="101"/>
      <c r="P178" s="377"/>
      <c r="Q178" s="75"/>
      <c r="R178" s="76"/>
      <c r="S178" s="72"/>
      <c r="T178" s="60"/>
      <c r="U178" s="60"/>
      <c r="V178" s="60"/>
      <c r="W178" s="102"/>
      <c r="X178" s="102"/>
      <c r="Y178" s="102"/>
      <c r="Z178" s="102"/>
      <c r="AA178" s="102"/>
      <c r="AB178" s="102"/>
      <c r="AC178" s="102"/>
      <c r="AD178" s="102"/>
      <c r="AE178" s="102"/>
      <c r="AF178" s="369"/>
      <c r="AG178" s="369"/>
      <c r="AH178" s="369"/>
      <c r="AI178" s="369"/>
      <c r="AJ178" s="96"/>
    </row>
    <row r="179" spans="1:36" s="103" customFormat="1" ht="65.099999999999994" customHeight="1" x14ac:dyDescent="0.25">
      <c r="A179" s="94"/>
      <c r="B179" s="94"/>
      <c r="C179" s="413"/>
      <c r="D179" s="95"/>
      <c r="E179" s="96"/>
      <c r="F179" s="96"/>
      <c r="G179" s="96"/>
      <c r="H179" s="96"/>
      <c r="I179" s="97"/>
      <c r="J179" s="98"/>
      <c r="K179" s="98"/>
      <c r="L179" s="99"/>
      <c r="M179" s="72"/>
      <c r="N179" s="100"/>
      <c r="O179" s="101"/>
      <c r="P179" s="377"/>
      <c r="Q179" s="75"/>
      <c r="R179" s="76"/>
      <c r="S179" s="72"/>
      <c r="T179" s="60"/>
      <c r="U179" s="60"/>
      <c r="V179" s="60"/>
      <c r="W179" s="102"/>
      <c r="X179" s="102"/>
      <c r="Y179" s="102"/>
      <c r="Z179" s="102"/>
      <c r="AA179" s="102"/>
      <c r="AB179" s="102"/>
      <c r="AC179" s="102"/>
      <c r="AD179" s="102"/>
      <c r="AE179" s="102"/>
      <c r="AF179" s="369"/>
      <c r="AG179" s="369"/>
      <c r="AH179" s="369"/>
      <c r="AI179" s="369"/>
      <c r="AJ179" s="96"/>
    </row>
    <row r="180" spans="1:36" s="103" customFormat="1" ht="65.099999999999994" customHeight="1" x14ac:dyDescent="0.25">
      <c r="A180" s="94"/>
      <c r="B180" s="94"/>
      <c r="C180" s="413"/>
      <c r="D180" s="95"/>
      <c r="E180" s="96"/>
      <c r="F180" s="96"/>
      <c r="G180" s="96"/>
      <c r="H180" s="96"/>
      <c r="I180" s="97"/>
      <c r="J180" s="98"/>
      <c r="K180" s="98"/>
      <c r="L180" s="99"/>
      <c r="M180" s="72"/>
      <c r="N180" s="100"/>
      <c r="O180" s="101"/>
      <c r="P180" s="377"/>
      <c r="Q180" s="75"/>
      <c r="R180" s="76"/>
      <c r="S180" s="72"/>
      <c r="T180" s="60"/>
      <c r="U180" s="60"/>
      <c r="V180" s="60"/>
      <c r="W180" s="102"/>
      <c r="X180" s="102"/>
      <c r="Y180" s="102"/>
      <c r="Z180" s="102"/>
      <c r="AA180" s="102"/>
      <c r="AB180" s="102"/>
      <c r="AC180" s="102"/>
      <c r="AD180" s="102"/>
      <c r="AE180" s="102"/>
      <c r="AF180" s="369"/>
      <c r="AG180" s="369"/>
      <c r="AH180" s="369"/>
      <c r="AI180" s="369"/>
      <c r="AJ180" s="96"/>
    </row>
    <row r="181" spans="1:36" s="103" customFormat="1" ht="65.099999999999994" customHeight="1" x14ac:dyDescent="0.25">
      <c r="A181" s="94"/>
      <c r="B181" s="94"/>
      <c r="C181" s="413"/>
      <c r="D181" s="95"/>
      <c r="E181" s="96"/>
      <c r="F181" s="96"/>
      <c r="G181" s="96"/>
      <c r="H181" s="96"/>
      <c r="I181" s="97"/>
      <c r="J181" s="98"/>
      <c r="K181" s="98"/>
      <c r="L181" s="99"/>
      <c r="M181" s="72"/>
      <c r="N181" s="100"/>
      <c r="O181" s="101"/>
      <c r="P181" s="377"/>
      <c r="Q181" s="75"/>
      <c r="R181" s="76"/>
      <c r="S181" s="72"/>
      <c r="T181" s="60"/>
      <c r="U181" s="60"/>
      <c r="V181" s="60"/>
      <c r="W181" s="102"/>
      <c r="X181" s="102"/>
      <c r="Y181" s="102"/>
      <c r="Z181" s="102"/>
      <c r="AA181" s="102"/>
      <c r="AB181" s="102"/>
      <c r="AC181" s="102"/>
      <c r="AD181" s="102"/>
      <c r="AE181" s="102"/>
      <c r="AF181" s="369"/>
      <c r="AG181" s="369"/>
      <c r="AH181" s="369"/>
      <c r="AI181" s="369"/>
      <c r="AJ181" s="96"/>
    </row>
    <row r="182" spans="1:36" s="103" customFormat="1" ht="65.099999999999994" customHeight="1" x14ac:dyDescent="0.25">
      <c r="A182" s="94"/>
      <c r="B182" s="94"/>
      <c r="C182" s="413"/>
      <c r="D182" s="95"/>
      <c r="E182" s="96"/>
      <c r="F182" s="96"/>
      <c r="G182" s="96"/>
      <c r="H182" s="96"/>
      <c r="I182" s="97"/>
      <c r="J182" s="98"/>
      <c r="K182" s="98"/>
      <c r="L182" s="99"/>
      <c r="M182" s="72"/>
      <c r="N182" s="100"/>
      <c r="O182" s="101"/>
      <c r="P182" s="377"/>
      <c r="Q182" s="75"/>
      <c r="R182" s="76"/>
      <c r="S182" s="72"/>
      <c r="T182" s="60"/>
      <c r="U182" s="60"/>
      <c r="V182" s="60"/>
      <c r="W182" s="102"/>
      <c r="X182" s="102"/>
      <c r="Y182" s="102"/>
      <c r="Z182" s="102"/>
      <c r="AA182" s="102"/>
      <c r="AB182" s="102"/>
      <c r="AC182" s="102"/>
      <c r="AD182" s="102"/>
      <c r="AE182" s="102"/>
      <c r="AF182" s="369"/>
      <c r="AG182" s="369"/>
      <c r="AH182" s="369"/>
      <c r="AI182" s="369"/>
      <c r="AJ182" s="96"/>
    </row>
    <row r="183" spans="1:36" s="103" customFormat="1" ht="65.099999999999994" customHeight="1" x14ac:dyDescent="0.25">
      <c r="A183" s="94"/>
      <c r="B183" s="94"/>
      <c r="C183" s="413"/>
      <c r="D183" s="95"/>
      <c r="E183" s="96"/>
      <c r="F183" s="96"/>
      <c r="G183" s="96"/>
      <c r="H183" s="96"/>
      <c r="I183" s="97"/>
      <c r="J183" s="98"/>
      <c r="K183" s="98"/>
      <c r="L183" s="99"/>
      <c r="M183" s="72"/>
      <c r="N183" s="100"/>
      <c r="O183" s="101"/>
      <c r="P183" s="377"/>
      <c r="Q183" s="75"/>
      <c r="R183" s="76"/>
      <c r="S183" s="72"/>
      <c r="T183" s="60"/>
      <c r="U183" s="60"/>
      <c r="V183" s="60"/>
      <c r="W183" s="102"/>
      <c r="X183" s="102"/>
      <c r="Y183" s="102"/>
      <c r="Z183" s="102"/>
      <c r="AA183" s="102"/>
      <c r="AB183" s="102"/>
      <c r="AC183" s="102"/>
      <c r="AD183" s="102"/>
      <c r="AE183" s="102"/>
      <c r="AF183" s="369"/>
      <c r="AG183" s="369"/>
      <c r="AH183" s="369"/>
      <c r="AI183" s="369"/>
      <c r="AJ183" s="96"/>
    </row>
    <row r="184" spans="1:36" s="103" customFormat="1" ht="65.099999999999994" customHeight="1" x14ac:dyDescent="0.25">
      <c r="A184" s="94"/>
      <c r="B184" s="94"/>
      <c r="C184" s="413"/>
      <c r="D184" s="95"/>
      <c r="E184" s="96"/>
      <c r="F184" s="96"/>
      <c r="G184" s="96"/>
      <c r="H184" s="96"/>
      <c r="I184" s="97"/>
      <c r="J184" s="98"/>
      <c r="K184" s="98"/>
      <c r="L184" s="99"/>
      <c r="M184" s="72"/>
      <c r="N184" s="100"/>
      <c r="O184" s="101"/>
      <c r="P184" s="377"/>
      <c r="Q184" s="75"/>
      <c r="R184" s="76"/>
      <c r="S184" s="72"/>
      <c r="T184" s="60"/>
      <c r="U184" s="60"/>
      <c r="V184" s="60"/>
      <c r="W184" s="102"/>
      <c r="X184" s="102"/>
      <c r="Y184" s="102"/>
      <c r="Z184" s="102"/>
      <c r="AA184" s="102"/>
      <c r="AB184" s="102"/>
      <c r="AC184" s="102"/>
      <c r="AD184" s="102"/>
      <c r="AE184" s="102"/>
      <c r="AF184" s="369"/>
      <c r="AG184" s="369"/>
      <c r="AH184" s="369"/>
      <c r="AI184" s="369"/>
      <c r="AJ184" s="96"/>
    </row>
    <row r="185" spans="1:36" s="103" customFormat="1" ht="65.099999999999994" customHeight="1" x14ac:dyDescent="0.25">
      <c r="A185" s="94"/>
      <c r="B185" s="94"/>
      <c r="C185" s="413"/>
      <c r="D185" s="95"/>
      <c r="E185" s="96"/>
      <c r="F185" s="96"/>
      <c r="G185" s="96"/>
      <c r="H185" s="96"/>
      <c r="I185" s="97"/>
      <c r="J185" s="98"/>
      <c r="K185" s="98"/>
      <c r="L185" s="99"/>
      <c r="M185" s="72"/>
      <c r="N185" s="100"/>
      <c r="O185" s="101"/>
      <c r="P185" s="377"/>
      <c r="Q185" s="75"/>
      <c r="R185" s="76"/>
      <c r="S185" s="72"/>
      <c r="T185" s="60"/>
      <c r="U185" s="60"/>
      <c r="V185" s="60"/>
      <c r="W185" s="102"/>
      <c r="X185" s="102"/>
      <c r="Y185" s="102"/>
      <c r="Z185" s="102"/>
      <c r="AA185" s="102"/>
      <c r="AB185" s="102"/>
      <c r="AC185" s="102"/>
      <c r="AD185" s="102"/>
      <c r="AE185" s="102"/>
      <c r="AF185" s="369"/>
      <c r="AG185" s="369"/>
      <c r="AH185" s="369"/>
      <c r="AI185" s="369"/>
      <c r="AJ185" s="96"/>
    </row>
    <row r="186" spans="1:36" s="103" customFormat="1" ht="65.099999999999994" customHeight="1" x14ac:dyDescent="0.25">
      <c r="A186" s="94"/>
      <c r="B186" s="94"/>
      <c r="C186" s="413"/>
      <c r="D186" s="95"/>
      <c r="E186" s="96"/>
      <c r="F186" s="96"/>
      <c r="G186" s="96"/>
      <c r="H186" s="96"/>
      <c r="I186" s="97"/>
      <c r="J186" s="98"/>
      <c r="K186" s="98"/>
      <c r="L186" s="99"/>
      <c r="M186" s="72"/>
      <c r="N186" s="100"/>
      <c r="O186" s="101"/>
      <c r="P186" s="377"/>
      <c r="Q186" s="75"/>
      <c r="R186" s="76"/>
      <c r="S186" s="72"/>
      <c r="T186" s="60"/>
      <c r="U186" s="60"/>
      <c r="V186" s="60"/>
      <c r="W186" s="102"/>
      <c r="X186" s="102"/>
      <c r="Y186" s="102"/>
      <c r="Z186" s="102"/>
      <c r="AA186" s="102"/>
      <c r="AB186" s="102"/>
      <c r="AC186" s="102"/>
      <c r="AD186" s="102"/>
      <c r="AE186" s="102"/>
      <c r="AF186" s="369"/>
      <c r="AG186" s="369"/>
      <c r="AH186" s="369"/>
      <c r="AI186" s="369"/>
      <c r="AJ186" s="96"/>
    </row>
    <row r="187" spans="1:36" s="103" customFormat="1" ht="65.099999999999994" customHeight="1" x14ac:dyDescent="0.25">
      <c r="A187" s="94"/>
      <c r="B187" s="94"/>
      <c r="C187" s="413"/>
      <c r="D187" s="95"/>
      <c r="E187" s="96"/>
      <c r="F187" s="96"/>
      <c r="G187" s="96"/>
      <c r="H187" s="96"/>
      <c r="I187" s="97"/>
      <c r="J187" s="98"/>
      <c r="K187" s="98"/>
      <c r="L187" s="99"/>
      <c r="M187" s="72"/>
      <c r="N187" s="100"/>
      <c r="O187" s="101"/>
      <c r="P187" s="377"/>
      <c r="Q187" s="75"/>
      <c r="R187" s="76"/>
      <c r="S187" s="72"/>
      <c r="T187" s="60"/>
      <c r="U187" s="60"/>
      <c r="V187" s="60"/>
      <c r="W187" s="102"/>
      <c r="X187" s="102"/>
      <c r="Y187" s="102"/>
      <c r="Z187" s="102"/>
      <c r="AA187" s="102"/>
      <c r="AB187" s="102"/>
      <c r="AC187" s="102"/>
      <c r="AD187" s="102"/>
      <c r="AE187" s="102"/>
      <c r="AF187" s="369"/>
      <c r="AG187" s="369"/>
      <c r="AH187" s="369"/>
      <c r="AI187" s="369"/>
      <c r="AJ187" s="96"/>
    </row>
    <row r="188" spans="1:36" s="103" customFormat="1" ht="65.099999999999994" customHeight="1" x14ac:dyDescent="0.25">
      <c r="A188" s="94"/>
      <c r="B188" s="94"/>
      <c r="C188" s="413"/>
      <c r="D188" s="95"/>
      <c r="E188" s="96"/>
      <c r="F188" s="96"/>
      <c r="G188" s="96"/>
      <c r="H188" s="96"/>
      <c r="I188" s="97"/>
      <c r="J188" s="98"/>
      <c r="K188" s="98"/>
      <c r="L188" s="99"/>
      <c r="M188" s="72"/>
      <c r="N188" s="100"/>
      <c r="O188" s="101"/>
      <c r="P188" s="377"/>
      <c r="Q188" s="75"/>
      <c r="R188" s="76"/>
      <c r="S188" s="72"/>
      <c r="T188" s="60"/>
      <c r="U188" s="60"/>
      <c r="V188" s="60"/>
      <c r="W188" s="102"/>
      <c r="X188" s="102"/>
      <c r="Y188" s="102"/>
      <c r="Z188" s="102"/>
      <c r="AA188" s="102"/>
      <c r="AB188" s="102"/>
      <c r="AC188" s="102"/>
      <c r="AD188" s="102"/>
      <c r="AE188" s="102"/>
      <c r="AF188" s="369"/>
      <c r="AG188" s="369"/>
      <c r="AH188" s="369"/>
      <c r="AI188" s="369"/>
      <c r="AJ188" s="96"/>
    </row>
    <row r="189" spans="1:36" s="103" customFormat="1" ht="65.099999999999994" customHeight="1" x14ac:dyDescent="0.25">
      <c r="A189" s="94"/>
      <c r="B189" s="94"/>
      <c r="C189" s="413"/>
      <c r="D189" s="95"/>
      <c r="E189" s="96"/>
      <c r="F189" s="96"/>
      <c r="G189" s="96"/>
      <c r="H189" s="96"/>
      <c r="I189" s="97"/>
      <c r="J189" s="98"/>
      <c r="K189" s="98"/>
      <c r="L189" s="99"/>
      <c r="M189" s="72"/>
      <c r="N189" s="100"/>
      <c r="O189" s="101"/>
      <c r="P189" s="377"/>
      <c r="Q189" s="75"/>
      <c r="R189" s="76"/>
      <c r="S189" s="72"/>
      <c r="T189" s="60"/>
      <c r="U189" s="60"/>
      <c r="V189" s="60"/>
      <c r="W189" s="102"/>
      <c r="X189" s="102"/>
      <c r="Y189" s="102"/>
      <c r="Z189" s="102"/>
      <c r="AA189" s="102"/>
      <c r="AB189" s="102"/>
      <c r="AC189" s="102"/>
      <c r="AD189" s="102"/>
      <c r="AE189" s="102"/>
      <c r="AF189" s="369"/>
      <c r="AG189" s="369"/>
      <c r="AH189" s="369"/>
      <c r="AI189" s="369"/>
      <c r="AJ189" s="96"/>
    </row>
    <row r="190" spans="1:36" s="103" customFormat="1" ht="65.099999999999994" customHeight="1" x14ac:dyDescent="0.25">
      <c r="A190" s="94"/>
      <c r="B190" s="94"/>
      <c r="C190" s="413"/>
      <c r="D190" s="95"/>
      <c r="E190" s="96"/>
      <c r="F190" s="96"/>
      <c r="G190" s="96"/>
      <c r="H190" s="96"/>
      <c r="I190" s="97"/>
      <c r="J190" s="98"/>
      <c r="K190" s="98"/>
      <c r="L190" s="99"/>
      <c r="M190" s="72"/>
      <c r="N190" s="100"/>
      <c r="O190" s="101"/>
      <c r="P190" s="377"/>
      <c r="Q190" s="75"/>
      <c r="R190" s="76"/>
      <c r="S190" s="72"/>
      <c r="T190" s="60"/>
      <c r="U190" s="60"/>
      <c r="V190" s="60"/>
      <c r="W190" s="102"/>
      <c r="X190" s="102"/>
      <c r="Y190" s="102"/>
      <c r="Z190" s="102"/>
      <c r="AA190" s="102"/>
      <c r="AB190" s="102"/>
      <c r="AC190" s="102"/>
      <c r="AD190" s="102"/>
      <c r="AE190" s="102"/>
      <c r="AF190" s="369"/>
      <c r="AG190" s="369"/>
      <c r="AH190" s="369"/>
      <c r="AI190" s="369"/>
      <c r="AJ190" s="96"/>
    </row>
    <row r="191" spans="1:36" s="103" customFormat="1" ht="65.099999999999994" customHeight="1" x14ac:dyDescent="0.25">
      <c r="A191" s="94"/>
      <c r="B191" s="94"/>
      <c r="C191" s="413"/>
      <c r="D191" s="95"/>
      <c r="E191" s="96"/>
      <c r="F191" s="96"/>
      <c r="G191" s="96"/>
      <c r="H191" s="96"/>
      <c r="I191" s="97"/>
      <c r="J191" s="98"/>
      <c r="K191" s="98"/>
      <c r="L191" s="99"/>
      <c r="M191" s="72"/>
      <c r="N191" s="100"/>
      <c r="O191" s="101"/>
      <c r="P191" s="377"/>
      <c r="Q191" s="75"/>
      <c r="R191" s="76"/>
      <c r="S191" s="72"/>
      <c r="T191" s="60"/>
      <c r="U191" s="60"/>
      <c r="V191" s="60"/>
      <c r="W191" s="102"/>
      <c r="X191" s="102"/>
      <c r="Y191" s="102"/>
      <c r="Z191" s="102"/>
      <c r="AA191" s="102"/>
      <c r="AB191" s="102"/>
      <c r="AC191" s="102"/>
      <c r="AD191" s="102"/>
      <c r="AE191" s="102"/>
      <c r="AF191" s="369"/>
      <c r="AG191" s="369"/>
      <c r="AH191" s="369"/>
      <c r="AI191" s="369"/>
      <c r="AJ191" s="96"/>
    </row>
    <row r="192" spans="1:36" s="103" customFormat="1" ht="65.099999999999994" customHeight="1" x14ac:dyDescent="0.25">
      <c r="A192" s="94"/>
      <c r="B192" s="94"/>
      <c r="C192" s="413"/>
      <c r="D192" s="95"/>
      <c r="E192" s="96"/>
      <c r="F192" s="96"/>
      <c r="G192" s="96"/>
      <c r="H192" s="96"/>
      <c r="I192" s="97"/>
      <c r="J192" s="98"/>
      <c r="K192" s="98"/>
      <c r="L192" s="99"/>
      <c r="M192" s="72"/>
      <c r="N192" s="100"/>
      <c r="O192" s="101"/>
      <c r="P192" s="377"/>
      <c r="Q192" s="75"/>
      <c r="R192" s="76"/>
      <c r="S192" s="72"/>
      <c r="T192" s="60"/>
      <c r="U192" s="60"/>
      <c r="V192" s="60"/>
      <c r="W192" s="102"/>
      <c r="X192" s="102"/>
      <c r="Y192" s="102"/>
      <c r="Z192" s="102"/>
      <c r="AA192" s="102"/>
      <c r="AB192" s="102"/>
      <c r="AC192" s="102"/>
      <c r="AD192" s="102"/>
      <c r="AE192" s="102"/>
      <c r="AF192" s="369"/>
      <c r="AG192" s="369"/>
      <c r="AH192" s="369"/>
      <c r="AI192" s="369"/>
      <c r="AJ192" s="96"/>
    </row>
    <row r="193" spans="1:36" s="103" customFormat="1" ht="65.099999999999994" customHeight="1" x14ac:dyDescent="0.25">
      <c r="A193" s="94"/>
      <c r="B193" s="94"/>
      <c r="C193" s="413"/>
      <c r="D193" s="95"/>
      <c r="E193" s="96"/>
      <c r="F193" s="96"/>
      <c r="G193" s="96"/>
      <c r="H193" s="96"/>
      <c r="I193" s="97"/>
      <c r="J193" s="98"/>
      <c r="K193" s="98"/>
      <c r="L193" s="99"/>
      <c r="M193" s="72"/>
      <c r="N193" s="100"/>
      <c r="O193" s="101"/>
      <c r="P193" s="377"/>
      <c r="Q193" s="75"/>
      <c r="R193" s="76"/>
      <c r="S193" s="72"/>
      <c r="T193" s="60"/>
      <c r="U193" s="60"/>
      <c r="V193" s="60"/>
      <c r="W193" s="102"/>
      <c r="X193" s="102"/>
      <c r="Y193" s="102"/>
      <c r="Z193" s="102"/>
      <c r="AA193" s="102"/>
      <c r="AB193" s="102"/>
      <c r="AC193" s="102"/>
      <c r="AD193" s="102"/>
      <c r="AE193" s="102"/>
      <c r="AF193" s="369"/>
      <c r="AG193" s="369"/>
      <c r="AH193" s="369"/>
      <c r="AI193" s="369"/>
      <c r="AJ193" s="96"/>
    </row>
    <row r="194" spans="1:36" s="103" customFormat="1" ht="65.099999999999994" customHeight="1" x14ac:dyDescent="0.25">
      <c r="A194" s="94"/>
      <c r="B194" s="94"/>
      <c r="C194" s="413"/>
      <c r="D194" s="95"/>
      <c r="E194" s="96"/>
      <c r="F194" s="96"/>
      <c r="G194" s="96"/>
      <c r="H194" s="96"/>
      <c r="I194" s="97"/>
      <c r="J194" s="98"/>
      <c r="K194" s="98"/>
      <c r="L194" s="99"/>
      <c r="M194" s="72"/>
      <c r="N194" s="100"/>
      <c r="O194" s="101"/>
      <c r="P194" s="377"/>
      <c r="Q194" s="75"/>
      <c r="R194" s="76"/>
      <c r="S194" s="72"/>
      <c r="T194" s="60"/>
      <c r="U194" s="60"/>
      <c r="V194" s="60"/>
      <c r="W194" s="102"/>
      <c r="X194" s="102"/>
      <c r="Y194" s="102"/>
      <c r="Z194" s="102"/>
      <c r="AA194" s="102"/>
      <c r="AB194" s="102"/>
      <c r="AC194" s="102"/>
      <c r="AD194" s="102"/>
      <c r="AE194" s="102"/>
      <c r="AF194" s="369"/>
      <c r="AG194" s="369"/>
      <c r="AH194" s="369"/>
      <c r="AI194" s="369"/>
      <c r="AJ194" s="96"/>
    </row>
    <row r="195" spans="1:36" s="103" customFormat="1" ht="65.099999999999994" customHeight="1" x14ac:dyDescent="0.25">
      <c r="A195" s="94"/>
      <c r="B195" s="94"/>
      <c r="C195" s="413"/>
      <c r="D195" s="95"/>
      <c r="E195" s="96"/>
      <c r="F195" s="96"/>
      <c r="G195" s="96"/>
      <c r="H195" s="96"/>
      <c r="I195" s="97"/>
      <c r="J195" s="98"/>
      <c r="K195" s="98"/>
      <c r="L195" s="99"/>
      <c r="M195" s="72"/>
      <c r="N195" s="100"/>
      <c r="O195" s="101"/>
      <c r="P195" s="377"/>
      <c r="Q195" s="75"/>
      <c r="R195" s="76"/>
      <c r="S195" s="72"/>
      <c r="T195" s="60"/>
      <c r="U195" s="60"/>
      <c r="V195" s="60"/>
      <c r="W195" s="102"/>
      <c r="X195" s="102"/>
      <c r="Y195" s="102"/>
      <c r="Z195" s="102"/>
      <c r="AA195" s="102"/>
      <c r="AB195" s="102"/>
      <c r="AC195" s="102"/>
      <c r="AD195" s="102"/>
      <c r="AE195" s="102"/>
      <c r="AF195" s="369"/>
      <c r="AG195" s="369"/>
      <c r="AH195" s="369"/>
      <c r="AI195" s="369"/>
      <c r="AJ195" s="96"/>
    </row>
    <row r="196" spans="1:36" s="103" customFormat="1" ht="65.099999999999994" customHeight="1" x14ac:dyDescent="0.25">
      <c r="A196" s="94"/>
      <c r="B196" s="94"/>
      <c r="C196" s="413"/>
      <c r="D196" s="95"/>
      <c r="E196" s="96"/>
      <c r="F196" s="96"/>
      <c r="G196" s="96"/>
      <c r="H196" s="96"/>
      <c r="I196" s="97"/>
      <c r="J196" s="98"/>
      <c r="K196" s="98"/>
      <c r="L196" s="99"/>
      <c r="M196" s="72"/>
      <c r="N196" s="100"/>
      <c r="O196" s="101"/>
      <c r="P196" s="377"/>
      <c r="Q196" s="75"/>
      <c r="R196" s="76"/>
      <c r="S196" s="72"/>
      <c r="T196" s="60"/>
      <c r="U196" s="60"/>
      <c r="V196" s="60"/>
      <c r="W196" s="102"/>
      <c r="X196" s="102"/>
      <c r="Y196" s="102"/>
      <c r="Z196" s="102"/>
      <c r="AA196" s="102"/>
      <c r="AB196" s="102"/>
      <c r="AC196" s="102"/>
      <c r="AD196" s="102"/>
      <c r="AE196" s="102"/>
      <c r="AF196" s="369"/>
      <c r="AG196" s="369"/>
      <c r="AH196" s="369"/>
      <c r="AI196" s="369"/>
      <c r="AJ196" s="96"/>
    </row>
    <row r="197" spans="1:36" s="103" customFormat="1" ht="65.099999999999994" customHeight="1" x14ac:dyDescent="0.25">
      <c r="A197" s="94"/>
      <c r="B197" s="94"/>
      <c r="C197" s="413"/>
      <c r="D197" s="95"/>
      <c r="E197" s="96"/>
      <c r="F197" s="96"/>
      <c r="G197" s="96"/>
      <c r="H197" s="96"/>
      <c r="I197" s="97"/>
      <c r="J197" s="98"/>
      <c r="K197" s="98"/>
      <c r="L197" s="99"/>
      <c r="M197" s="72"/>
      <c r="N197" s="100"/>
      <c r="O197" s="101"/>
      <c r="P197" s="377"/>
      <c r="Q197" s="75"/>
      <c r="R197" s="76"/>
      <c r="S197" s="72"/>
      <c r="T197" s="60"/>
      <c r="U197" s="60"/>
      <c r="V197" s="60"/>
      <c r="W197" s="102"/>
      <c r="X197" s="102"/>
      <c r="Y197" s="102"/>
      <c r="Z197" s="102"/>
      <c r="AA197" s="102"/>
      <c r="AB197" s="102"/>
      <c r="AC197" s="102"/>
      <c r="AD197" s="102"/>
      <c r="AE197" s="102"/>
      <c r="AF197" s="369"/>
      <c r="AG197" s="369"/>
      <c r="AH197" s="369"/>
      <c r="AI197" s="369"/>
      <c r="AJ197" s="96"/>
    </row>
    <row r="198" spans="1:36" s="103" customFormat="1" ht="65.099999999999994" customHeight="1" x14ac:dyDescent="0.25">
      <c r="A198" s="94"/>
      <c r="B198" s="94"/>
      <c r="C198" s="413"/>
      <c r="D198" s="95"/>
      <c r="E198" s="96"/>
      <c r="F198" s="96"/>
      <c r="G198" s="96"/>
      <c r="H198" s="96"/>
      <c r="I198" s="97"/>
      <c r="J198" s="98"/>
      <c r="K198" s="98"/>
      <c r="L198" s="99"/>
      <c r="M198" s="72"/>
      <c r="N198" s="100"/>
      <c r="O198" s="101"/>
      <c r="P198" s="377"/>
      <c r="Q198" s="75"/>
      <c r="R198" s="76"/>
      <c r="S198" s="72"/>
      <c r="T198" s="60"/>
      <c r="U198" s="60"/>
      <c r="V198" s="60"/>
      <c r="W198" s="102"/>
      <c r="X198" s="102"/>
      <c r="Y198" s="102"/>
      <c r="Z198" s="102"/>
      <c r="AA198" s="102"/>
      <c r="AB198" s="102"/>
      <c r="AC198" s="102"/>
      <c r="AD198" s="102"/>
      <c r="AE198" s="102"/>
      <c r="AF198" s="369"/>
      <c r="AG198" s="369"/>
      <c r="AH198" s="369"/>
      <c r="AI198" s="369"/>
      <c r="AJ198" s="96"/>
    </row>
    <row r="199" spans="1:36" s="103" customFormat="1" ht="65.099999999999994" customHeight="1" x14ac:dyDescent="0.25">
      <c r="A199" s="94"/>
      <c r="B199" s="94"/>
      <c r="C199" s="413"/>
      <c r="D199" s="95"/>
      <c r="E199" s="96"/>
      <c r="F199" s="96"/>
      <c r="G199" s="96"/>
      <c r="H199" s="96"/>
      <c r="I199" s="97"/>
      <c r="J199" s="98"/>
      <c r="K199" s="98"/>
      <c r="L199" s="99"/>
      <c r="M199" s="72"/>
      <c r="N199" s="100"/>
      <c r="O199" s="101"/>
      <c r="P199" s="377"/>
      <c r="Q199" s="75"/>
      <c r="R199" s="76"/>
      <c r="S199" s="72"/>
      <c r="T199" s="60"/>
      <c r="U199" s="60"/>
      <c r="V199" s="60"/>
      <c r="W199" s="102"/>
      <c r="X199" s="102"/>
      <c r="Y199" s="102"/>
      <c r="Z199" s="102"/>
      <c r="AA199" s="102"/>
      <c r="AB199" s="102"/>
      <c r="AC199" s="102"/>
      <c r="AD199" s="102"/>
      <c r="AE199" s="102"/>
      <c r="AF199" s="369"/>
      <c r="AG199" s="369"/>
      <c r="AH199" s="369"/>
      <c r="AI199" s="369"/>
      <c r="AJ199" s="96"/>
    </row>
    <row r="200" spans="1:36" s="103" customFormat="1" ht="65.099999999999994" customHeight="1" x14ac:dyDescent="0.25">
      <c r="A200" s="94"/>
      <c r="B200" s="94"/>
      <c r="C200" s="413"/>
      <c r="D200" s="95"/>
      <c r="E200" s="96"/>
      <c r="F200" s="96"/>
      <c r="G200" s="96"/>
      <c r="H200" s="96"/>
      <c r="I200" s="97"/>
      <c r="J200" s="98"/>
      <c r="K200" s="98"/>
      <c r="L200" s="99"/>
      <c r="M200" s="72"/>
      <c r="N200" s="100"/>
      <c r="O200" s="101"/>
      <c r="P200" s="377"/>
      <c r="Q200" s="75"/>
      <c r="R200" s="76"/>
      <c r="S200" s="72"/>
      <c r="T200" s="60"/>
      <c r="U200" s="60"/>
      <c r="V200" s="60"/>
      <c r="W200" s="102"/>
      <c r="X200" s="102"/>
      <c r="Y200" s="102"/>
      <c r="Z200" s="102"/>
      <c r="AA200" s="102"/>
      <c r="AB200" s="102"/>
      <c r="AC200" s="102"/>
      <c r="AD200" s="102"/>
      <c r="AE200" s="102"/>
      <c r="AF200" s="369"/>
      <c r="AG200" s="369"/>
      <c r="AH200" s="369"/>
      <c r="AI200" s="369"/>
      <c r="AJ200" s="96"/>
    </row>
    <row r="201" spans="1:36" s="103" customFormat="1" ht="65.099999999999994" customHeight="1" x14ac:dyDescent="0.25">
      <c r="A201" s="94"/>
      <c r="B201" s="94"/>
      <c r="C201" s="413"/>
      <c r="D201" s="95"/>
      <c r="E201" s="96"/>
      <c r="F201" s="96"/>
      <c r="G201" s="96"/>
      <c r="H201" s="96"/>
      <c r="I201" s="97"/>
      <c r="J201" s="98"/>
      <c r="K201" s="98"/>
      <c r="L201" s="99"/>
      <c r="M201" s="72"/>
      <c r="N201" s="100"/>
      <c r="O201" s="101"/>
      <c r="P201" s="377"/>
      <c r="Q201" s="75"/>
      <c r="R201" s="76"/>
      <c r="S201" s="72"/>
      <c r="T201" s="60"/>
      <c r="U201" s="60"/>
      <c r="V201" s="60"/>
      <c r="W201" s="102"/>
      <c r="X201" s="102"/>
      <c r="Y201" s="102"/>
      <c r="Z201" s="102"/>
      <c r="AA201" s="102"/>
      <c r="AB201" s="102"/>
      <c r="AC201" s="102"/>
      <c r="AD201" s="102"/>
      <c r="AE201" s="102"/>
      <c r="AF201" s="369"/>
      <c r="AG201" s="369"/>
      <c r="AH201" s="369"/>
      <c r="AI201" s="369"/>
      <c r="AJ201" s="96"/>
    </row>
    <row r="202" spans="1:36" s="103" customFormat="1" ht="65.099999999999994" customHeight="1" x14ac:dyDescent="0.25">
      <c r="A202" s="94"/>
      <c r="B202" s="94"/>
      <c r="C202" s="413"/>
      <c r="D202" s="95"/>
      <c r="E202" s="96"/>
      <c r="F202" s="96"/>
      <c r="G202" s="96"/>
      <c r="H202" s="96"/>
      <c r="I202" s="97"/>
      <c r="J202" s="98"/>
      <c r="K202" s="98"/>
      <c r="L202" s="99"/>
      <c r="M202" s="72"/>
      <c r="N202" s="100"/>
      <c r="O202" s="101"/>
      <c r="P202" s="377"/>
      <c r="Q202" s="75"/>
      <c r="R202" s="76"/>
      <c r="S202" s="72"/>
      <c r="T202" s="60"/>
      <c r="U202" s="60"/>
      <c r="V202" s="60"/>
      <c r="W202" s="102"/>
      <c r="X202" s="102"/>
      <c r="Y202" s="102"/>
      <c r="Z202" s="102"/>
      <c r="AA202" s="102"/>
      <c r="AB202" s="102"/>
      <c r="AC202" s="102"/>
      <c r="AD202" s="102"/>
      <c r="AE202" s="102"/>
      <c r="AF202" s="369"/>
      <c r="AG202" s="369"/>
      <c r="AH202" s="369"/>
      <c r="AI202" s="369"/>
      <c r="AJ202" s="96"/>
    </row>
    <row r="203" spans="1:36" s="103" customFormat="1" ht="65.099999999999994" customHeight="1" x14ac:dyDescent="0.25">
      <c r="A203" s="94"/>
      <c r="B203" s="94"/>
      <c r="C203" s="413"/>
      <c r="D203" s="95"/>
      <c r="E203" s="96"/>
      <c r="F203" s="96"/>
      <c r="G203" s="96"/>
      <c r="H203" s="96"/>
      <c r="I203" s="97"/>
      <c r="J203" s="98"/>
      <c r="K203" s="98"/>
      <c r="L203" s="99"/>
      <c r="M203" s="72"/>
      <c r="N203" s="100"/>
      <c r="O203" s="101"/>
      <c r="P203" s="377"/>
      <c r="Q203" s="75"/>
      <c r="R203" s="76"/>
      <c r="S203" s="72"/>
      <c r="T203" s="60"/>
      <c r="U203" s="60"/>
      <c r="V203" s="60"/>
      <c r="W203" s="102"/>
      <c r="X203" s="102"/>
      <c r="Y203" s="102"/>
      <c r="Z203" s="102"/>
      <c r="AA203" s="102"/>
      <c r="AB203" s="102"/>
      <c r="AC203" s="102"/>
      <c r="AD203" s="102"/>
      <c r="AE203" s="102"/>
      <c r="AF203" s="369"/>
      <c r="AG203" s="369"/>
      <c r="AH203" s="369"/>
      <c r="AI203" s="369"/>
      <c r="AJ203" s="96"/>
    </row>
    <row r="204" spans="1:36" s="103" customFormat="1" ht="65.099999999999994" customHeight="1" x14ac:dyDescent="0.25">
      <c r="A204" s="94"/>
      <c r="B204" s="94"/>
      <c r="C204" s="413"/>
      <c r="D204" s="95"/>
      <c r="E204" s="96"/>
      <c r="F204" s="96"/>
      <c r="G204" s="96"/>
      <c r="H204" s="96"/>
      <c r="I204" s="97"/>
      <c r="J204" s="98"/>
      <c r="K204" s="98"/>
      <c r="L204" s="99"/>
      <c r="M204" s="72"/>
      <c r="N204" s="100"/>
      <c r="O204" s="101"/>
      <c r="P204" s="377"/>
      <c r="Q204" s="75"/>
      <c r="R204" s="76"/>
      <c r="S204" s="72"/>
      <c r="T204" s="60"/>
      <c r="U204" s="60"/>
      <c r="V204" s="60"/>
      <c r="W204" s="102"/>
      <c r="X204" s="102"/>
      <c r="Y204" s="102"/>
      <c r="Z204" s="102"/>
      <c r="AA204" s="102"/>
      <c r="AB204" s="102"/>
      <c r="AC204" s="102"/>
      <c r="AD204" s="102"/>
      <c r="AE204" s="102"/>
      <c r="AF204" s="369"/>
      <c r="AG204" s="369"/>
      <c r="AH204" s="369"/>
      <c r="AI204" s="369"/>
      <c r="AJ204" s="96"/>
    </row>
    <row r="205" spans="1:36" s="103" customFormat="1" ht="65.099999999999994" customHeight="1" x14ac:dyDescent="0.25">
      <c r="A205" s="94"/>
      <c r="B205" s="94"/>
      <c r="C205" s="413"/>
      <c r="D205" s="95"/>
      <c r="E205" s="96"/>
      <c r="F205" s="96"/>
      <c r="G205" s="96"/>
      <c r="H205" s="96"/>
      <c r="I205" s="97"/>
      <c r="J205" s="98"/>
      <c r="K205" s="98"/>
      <c r="L205" s="99"/>
      <c r="M205" s="72"/>
      <c r="N205" s="100"/>
      <c r="O205" s="101"/>
      <c r="P205" s="377"/>
      <c r="Q205" s="75"/>
      <c r="R205" s="76"/>
      <c r="S205" s="72"/>
      <c r="T205" s="60"/>
      <c r="U205" s="60"/>
      <c r="V205" s="60"/>
      <c r="W205" s="102"/>
      <c r="X205" s="102"/>
      <c r="Y205" s="102"/>
      <c r="Z205" s="102"/>
      <c r="AA205" s="102"/>
      <c r="AB205" s="102"/>
      <c r="AC205" s="102"/>
      <c r="AD205" s="102"/>
      <c r="AE205" s="102"/>
      <c r="AF205" s="369"/>
      <c r="AG205" s="369"/>
      <c r="AH205" s="369"/>
      <c r="AI205" s="369"/>
      <c r="AJ205" s="96"/>
    </row>
    <row r="206" spans="1:36" s="103" customFormat="1" ht="65.099999999999994" customHeight="1" x14ac:dyDescent="0.25">
      <c r="A206" s="94"/>
      <c r="B206" s="94"/>
      <c r="C206" s="413"/>
      <c r="D206" s="95"/>
      <c r="E206" s="96"/>
      <c r="F206" s="96"/>
      <c r="G206" s="96"/>
      <c r="H206" s="96"/>
      <c r="I206" s="97"/>
      <c r="J206" s="98"/>
      <c r="K206" s="98"/>
      <c r="L206" s="99"/>
      <c r="M206" s="72"/>
      <c r="N206" s="100"/>
      <c r="O206" s="101"/>
      <c r="P206" s="377"/>
      <c r="Q206" s="75"/>
      <c r="R206" s="76"/>
      <c r="S206" s="72"/>
      <c r="T206" s="60"/>
      <c r="U206" s="60"/>
      <c r="V206" s="60"/>
      <c r="W206" s="102"/>
      <c r="X206" s="102"/>
      <c r="Y206" s="102"/>
      <c r="Z206" s="102"/>
      <c r="AA206" s="102"/>
      <c r="AB206" s="102"/>
      <c r="AC206" s="102"/>
      <c r="AD206" s="102"/>
      <c r="AE206" s="102"/>
      <c r="AF206" s="369"/>
      <c r="AG206" s="369"/>
      <c r="AH206" s="369"/>
      <c r="AI206" s="369"/>
      <c r="AJ206" s="96"/>
    </row>
    <row r="207" spans="1:36" s="103" customFormat="1" ht="65.099999999999994" customHeight="1" x14ac:dyDescent="0.25">
      <c r="A207" s="94"/>
      <c r="B207" s="94"/>
      <c r="C207" s="413"/>
      <c r="D207" s="95"/>
      <c r="E207" s="96"/>
      <c r="F207" s="96"/>
      <c r="G207" s="96"/>
      <c r="H207" s="96"/>
      <c r="I207" s="97"/>
      <c r="J207" s="98"/>
      <c r="K207" s="98"/>
      <c r="L207" s="99"/>
      <c r="M207" s="72"/>
      <c r="N207" s="100"/>
      <c r="O207" s="101"/>
      <c r="P207" s="377"/>
      <c r="Q207" s="75"/>
      <c r="R207" s="76"/>
      <c r="S207" s="72"/>
      <c r="T207" s="60"/>
      <c r="U207" s="60"/>
      <c r="V207" s="60"/>
      <c r="W207" s="102"/>
      <c r="X207" s="102"/>
      <c r="Y207" s="102"/>
      <c r="Z207" s="102"/>
      <c r="AA207" s="102"/>
      <c r="AB207" s="102"/>
      <c r="AC207" s="102"/>
      <c r="AD207" s="102"/>
      <c r="AE207" s="102"/>
      <c r="AF207" s="369"/>
      <c r="AG207" s="369"/>
      <c r="AH207" s="369"/>
      <c r="AI207" s="369"/>
      <c r="AJ207" s="96"/>
    </row>
    <row r="208" spans="1:36" s="103" customFormat="1" ht="65.099999999999994" customHeight="1" x14ac:dyDescent="0.25">
      <c r="A208" s="94"/>
      <c r="B208" s="94"/>
      <c r="C208" s="413"/>
      <c r="D208" s="95"/>
      <c r="E208" s="96"/>
      <c r="F208" s="96"/>
      <c r="G208" s="96"/>
      <c r="H208" s="96"/>
      <c r="I208" s="97"/>
      <c r="J208" s="98"/>
      <c r="K208" s="98"/>
      <c r="L208" s="99"/>
      <c r="M208" s="72"/>
      <c r="N208" s="100"/>
      <c r="O208" s="101"/>
      <c r="P208" s="377"/>
      <c r="Q208" s="75"/>
      <c r="R208" s="76"/>
      <c r="S208" s="72"/>
      <c r="T208" s="60"/>
      <c r="U208" s="60"/>
      <c r="V208" s="60"/>
      <c r="W208" s="102"/>
      <c r="X208" s="102"/>
      <c r="Y208" s="102"/>
      <c r="Z208" s="102"/>
      <c r="AA208" s="102"/>
      <c r="AB208" s="102"/>
      <c r="AC208" s="102"/>
      <c r="AD208" s="102"/>
      <c r="AE208" s="102"/>
      <c r="AF208" s="369"/>
      <c r="AG208" s="369"/>
      <c r="AH208" s="369"/>
      <c r="AI208" s="369"/>
      <c r="AJ208" s="96"/>
    </row>
    <row r="209" spans="1:36" s="103" customFormat="1" ht="65.099999999999994" customHeight="1" x14ac:dyDescent="0.25">
      <c r="A209" s="94"/>
      <c r="B209" s="94"/>
      <c r="C209" s="413"/>
      <c r="D209" s="95"/>
      <c r="E209" s="96"/>
      <c r="F209" s="96"/>
      <c r="G209" s="96"/>
      <c r="H209" s="96"/>
      <c r="I209" s="97"/>
      <c r="J209" s="98"/>
      <c r="K209" s="98"/>
      <c r="L209" s="99"/>
      <c r="M209" s="72"/>
      <c r="N209" s="100"/>
      <c r="O209" s="101"/>
      <c r="P209" s="377"/>
      <c r="Q209" s="75"/>
      <c r="R209" s="76"/>
      <c r="S209" s="72"/>
      <c r="T209" s="60"/>
      <c r="U209" s="60"/>
      <c r="V209" s="60"/>
      <c r="W209" s="102"/>
      <c r="X209" s="102"/>
      <c r="Y209" s="102"/>
      <c r="Z209" s="102"/>
      <c r="AA209" s="102"/>
      <c r="AB209" s="102"/>
      <c r="AC209" s="102"/>
      <c r="AD209" s="102"/>
      <c r="AE209" s="102"/>
      <c r="AF209" s="369"/>
      <c r="AG209" s="369"/>
      <c r="AH209" s="369"/>
      <c r="AI209" s="369"/>
      <c r="AJ209" s="96"/>
    </row>
    <row r="210" spans="1:36" s="103" customFormat="1" ht="65.099999999999994" customHeight="1" x14ac:dyDescent="0.25">
      <c r="A210" s="94"/>
      <c r="B210" s="94"/>
      <c r="C210" s="413"/>
      <c r="D210" s="95"/>
      <c r="E210" s="96"/>
      <c r="F210" s="96"/>
      <c r="G210" s="96"/>
      <c r="H210" s="96"/>
      <c r="I210" s="97"/>
      <c r="J210" s="98"/>
      <c r="K210" s="98"/>
      <c r="L210" s="99"/>
      <c r="M210" s="72"/>
      <c r="N210" s="100"/>
      <c r="O210" s="101"/>
      <c r="P210" s="377"/>
      <c r="Q210" s="75"/>
      <c r="R210" s="76"/>
      <c r="S210" s="72"/>
      <c r="T210" s="60"/>
      <c r="U210" s="60"/>
      <c r="V210" s="60"/>
      <c r="W210" s="102"/>
      <c r="X210" s="102"/>
      <c r="Y210" s="102"/>
      <c r="Z210" s="102"/>
      <c r="AA210" s="102"/>
      <c r="AB210" s="102"/>
      <c r="AC210" s="102"/>
      <c r="AD210" s="102"/>
      <c r="AE210" s="102"/>
      <c r="AF210" s="369"/>
      <c r="AG210" s="369"/>
      <c r="AH210" s="369"/>
      <c r="AI210" s="369"/>
      <c r="AJ210" s="96"/>
    </row>
    <row r="211" spans="1:36" s="103" customFormat="1" ht="65.099999999999994" customHeight="1" x14ac:dyDescent="0.25">
      <c r="A211" s="94"/>
      <c r="B211" s="94"/>
      <c r="C211" s="413"/>
      <c r="D211" s="95"/>
      <c r="E211" s="96"/>
      <c r="F211" s="96"/>
      <c r="G211" s="96"/>
      <c r="H211" s="96"/>
      <c r="I211" s="97"/>
      <c r="J211" s="98"/>
      <c r="K211" s="98"/>
      <c r="L211" s="99"/>
      <c r="M211" s="72"/>
      <c r="N211" s="100"/>
      <c r="O211" s="101"/>
      <c r="P211" s="377"/>
      <c r="Q211" s="75"/>
      <c r="R211" s="76"/>
      <c r="S211" s="72"/>
      <c r="T211" s="60"/>
      <c r="U211" s="60"/>
      <c r="V211" s="60"/>
      <c r="W211" s="102"/>
      <c r="X211" s="102"/>
      <c r="Y211" s="102"/>
      <c r="Z211" s="102"/>
      <c r="AA211" s="102"/>
      <c r="AB211" s="102"/>
      <c r="AC211" s="102"/>
      <c r="AD211" s="102"/>
      <c r="AE211" s="102"/>
      <c r="AF211" s="369"/>
      <c r="AG211" s="369"/>
      <c r="AH211" s="369"/>
      <c r="AI211" s="369"/>
      <c r="AJ211" s="96"/>
    </row>
    <row r="212" spans="1:36" s="103" customFormat="1" ht="65.099999999999994" customHeight="1" x14ac:dyDescent="0.25">
      <c r="A212" s="94"/>
      <c r="B212" s="94"/>
      <c r="C212" s="413"/>
      <c r="D212" s="95"/>
      <c r="E212" s="96"/>
      <c r="F212" s="96"/>
      <c r="G212" s="96"/>
      <c r="H212" s="96"/>
      <c r="I212" s="97"/>
      <c r="J212" s="98"/>
      <c r="K212" s="98"/>
      <c r="L212" s="99"/>
      <c r="M212" s="72"/>
      <c r="N212" s="100"/>
      <c r="O212" s="101"/>
      <c r="P212" s="377"/>
      <c r="Q212" s="75"/>
      <c r="R212" s="76"/>
      <c r="S212" s="72"/>
      <c r="T212" s="60"/>
      <c r="U212" s="60"/>
      <c r="V212" s="60"/>
      <c r="W212" s="102"/>
      <c r="X212" s="102"/>
      <c r="Y212" s="102"/>
      <c r="Z212" s="102"/>
      <c r="AA212" s="102"/>
      <c r="AB212" s="102"/>
      <c r="AC212" s="102"/>
      <c r="AD212" s="102"/>
      <c r="AE212" s="102"/>
      <c r="AF212" s="369"/>
      <c r="AG212" s="369"/>
      <c r="AH212" s="369"/>
      <c r="AI212" s="369"/>
      <c r="AJ212" s="96"/>
    </row>
    <row r="213" spans="1:36" s="103" customFormat="1" ht="65.099999999999994" customHeight="1" x14ac:dyDescent="0.25">
      <c r="A213" s="94"/>
      <c r="B213" s="94"/>
      <c r="C213" s="413"/>
      <c r="D213" s="95"/>
      <c r="E213" s="96"/>
      <c r="F213" s="96"/>
      <c r="G213" s="96"/>
      <c r="H213" s="96"/>
      <c r="I213" s="97"/>
      <c r="J213" s="98"/>
      <c r="K213" s="98"/>
      <c r="L213" s="99"/>
      <c r="M213" s="72"/>
      <c r="N213" s="100"/>
      <c r="O213" s="101"/>
      <c r="P213" s="377"/>
      <c r="Q213" s="75"/>
      <c r="R213" s="76"/>
      <c r="S213" s="72"/>
      <c r="T213" s="60"/>
      <c r="U213" s="60"/>
      <c r="V213" s="60"/>
      <c r="W213" s="102"/>
      <c r="X213" s="102"/>
      <c r="Y213" s="102"/>
      <c r="Z213" s="102"/>
      <c r="AA213" s="102"/>
      <c r="AB213" s="102"/>
      <c r="AC213" s="102"/>
      <c r="AD213" s="102"/>
      <c r="AE213" s="102"/>
      <c r="AF213" s="369"/>
      <c r="AG213" s="369"/>
      <c r="AH213" s="369"/>
      <c r="AI213" s="369"/>
      <c r="AJ213" s="96"/>
    </row>
    <row r="214" spans="1:36" s="103" customFormat="1" ht="65.099999999999994" customHeight="1" x14ac:dyDescent="0.25">
      <c r="A214" s="94"/>
      <c r="B214" s="94"/>
      <c r="C214" s="413"/>
      <c r="D214" s="95"/>
      <c r="E214" s="96"/>
      <c r="F214" s="96"/>
      <c r="G214" s="96"/>
      <c r="H214" s="96"/>
      <c r="I214" s="97"/>
      <c r="J214" s="98"/>
      <c r="K214" s="98"/>
      <c r="L214" s="99"/>
      <c r="M214" s="72"/>
      <c r="N214" s="100"/>
      <c r="O214" s="101"/>
      <c r="P214" s="377"/>
      <c r="Q214" s="75"/>
      <c r="R214" s="76"/>
      <c r="S214" s="72"/>
      <c r="T214" s="60"/>
      <c r="U214" s="60"/>
      <c r="V214" s="60"/>
      <c r="W214" s="102"/>
      <c r="X214" s="102"/>
      <c r="Y214" s="102"/>
      <c r="Z214" s="102"/>
      <c r="AA214" s="102"/>
      <c r="AB214" s="102"/>
      <c r="AC214" s="102"/>
      <c r="AD214" s="102"/>
      <c r="AE214" s="102"/>
      <c r="AF214" s="369"/>
      <c r="AG214" s="369"/>
      <c r="AH214" s="369"/>
      <c r="AI214" s="369"/>
      <c r="AJ214" s="96"/>
    </row>
    <row r="215" spans="1:36" s="103" customFormat="1" ht="65.099999999999994" customHeight="1" x14ac:dyDescent="0.25">
      <c r="A215" s="94"/>
      <c r="B215" s="94"/>
      <c r="C215" s="413"/>
      <c r="D215" s="95"/>
      <c r="E215" s="96"/>
      <c r="F215" s="96"/>
      <c r="G215" s="96"/>
      <c r="H215" s="96"/>
      <c r="I215" s="97"/>
      <c r="J215" s="98"/>
      <c r="K215" s="98"/>
      <c r="L215" s="99"/>
      <c r="M215" s="72"/>
      <c r="N215" s="100"/>
      <c r="O215" s="101"/>
      <c r="P215" s="377"/>
      <c r="Q215" s="75"/>
      <c r="R215" s="76"/>
      <c r="S215" s="72"/>
      <c r="T215" s="60"/>
      <c r="U215" s="60"/>
      <c r="V215" s="60"/>
      <c r="W215" s="102"/>
      <c r="X215" s="102"/>
      <c r="Y215" s="102"/>
      <c r="Z215" s="102"/>
      <c r="AA215" s="102"/>
      <c r="AB215" s="102"/>
      <c r="AC215" s="102"/>
      <c r="AD215" s="102"/>
      <c r="AE215" s="102"/>
      <c r="AF215" s="369"/>
      <c r="AG215" s="369"/>
      <c r="AH215" s="369"/>
      <c r="AI215" s="369"/>
      <c r="AJ215" s="96"/>
    </row>
  </sheetData>
  <autoFilter ref="A1:AJ19">
    <filterColumn colId="22" showButton="0"/>
    <filterColumn colId="23" showButton="0"/>
    <filterColumn colId="25" showButton="0"/>
    <filterColumn colId="26" showButton="0"/>
  </autoFilter>
  <mergeCells count="276">
    <mergeCell ref="A1:A2"/>
    <mergeCell ref="B1:B2"/>
    <mergeCell ref="C1:C2"/>
    <mergeCell ref="D1:D2"/>
    <mergeCell ref="E1:E2"/>
    <mergeCell ref="F1:F2"/>
    <mergeCell ref="M1:M2"/>
    <mergeCell ref="N1:N2"/>
    <mergeCell ref="O1:O2"/>
    <mergeCell ref="P1:P2"/>
    <mergeCell ref="Q1:Q2"/>
    <mergeCell ref="R1:R2"/>
    <mergeCell ref="G1:G2"/>
    <mergeCell ref="H1:H2"/>
    <mergeCell ref="I1:I2"/>
    <mergeCell ref="J1:J2"/>
    <mergeCell ref="K1:K2"/>
    <mergeCell ref="L1:L2"/>
    <mergeCell ref="AC4:AE4"/>
    <mergeCell ref="W5:Y5"/>
    <mergeCell ref="Z5:AB5"/>
    <mergeCell ref="AC5:AE5"/>
    <mergeCell ref="AJ1:AJ2"/>
    <mergeCell ref="A3:A8"/>
    <mergeCell ref="W3:Y3"/>
    <mergeCell ref="Z3:AB3"/>
    <mergeCell ref="AC3:AE3"/>
    <mergeCell ref="AG3:AG8"/>
    <mergeCell ref="AH3:AH8"/>
    <mergeCell ref="W4:Y4"/>
    <mergeCell ref="Z4:AB4"/>
    <mergeCell ref="AC1:AE1"/>
    <mergeCell ref="AF1:AF2"/>
    <mergeCell ref="AG1:AG2"/>
    <mergeCell ref="AH1:AH2"/>
    <mergeCell ref="AI1:AI2"/>
    <mergeCell ref="S1:S2"/>
    <mergeCell ref="T1:T2"/>
    <mergeCell ref="U1:U2"/>
    <mergeCell ref="V1:V2"/>
    <mergeCell ref="W1:Y1"/>
    <mergeCell ref="Z1:AB1"/>
    <mergeCell ref="W8:Y8"/>
    <mergeCell ref="Z8:AB8"/>
    <mergeCell ref="AC8:AE8"/>
    <mergeCell ref="A9:A12"/>
    <mergeCell ref="W9:Y9"/>
    <mergeCell ref="Z9:AB9"/>
    <mergeCell ref="AC9:AE9"/>
    <mergeCell ref="W12:Y12"/>
    <mergeCell ref="W6:Y6"/>
    <mergeCell ref="Z6:AB6"/>
    <mergeCell ref="AC6:AE6"/>
    <mergeCell ref="W7:Y7"/>
    <mergeCell ref="Z7:AB7"/>
    <mergeCell ref="AC7:AE7"/>
    <mergeCell ref="A13:A16"/>
    <mergeCell ref="W15:Y15"/>
    <mergeCell ref="Z15:AB15"/>
    <mergeCell ref="AC15:AE15"/>
    <mergeCell ref="W18:Y18"/>
    <mergeCell ref="Z12:AB12"/>
    <mergeCell ref="AC12:AE12"/>
    <mergeCell ref="AG9:AG12"/>
    <mergeCell ref="AH9:AH12"/>
    <mergeCell ref="W10:Y10"/>
    <mergeCell ref="Z10:AB10"/>
    <mergeCell ref="AC10:AE10"/>
    <mergeCell ref="W11:Y11"/>
    <mergeCell ref="Z11:AB11"/>
    <mergeCell ref="AC11:AE11"/>
    <mergeCell ref="W16:Y16"/>
    <mergeCell ref="Z16:AB16"/>
    <mergeCell ref="AC16:AE16"/>
    <mergeCell ref="W17:Y17"/>
    <mergeCell ref="Z17:AB17"/>
    <mergeCell ref="AC17:AE17"/>
    <mergeCell ref="W14:Y14"/>
    <mergeCell ref="Z14:AB14"/>
    <mergeCell ref="AC14:AE14"/>
    <mergeCell ref="A17:A22"/>
    <mergeCell ref="W21:Y21"/>
    <mergeCell ref="Z21:AB21"/>
    <mergeCell ref="AC21:AE21"/>
    <mergeCell ref="W24:Y24"/>
    <mergeCell ref="Z18:AB18"/>
    <mergeCell ref="AC18:AE18"/>
    <mergeCell ref="W19:Y19"/>
    <mergeCell ref="Z19:AB19"/>
    <mergeCell ref="AC19:AE19"/>
    <mergeCell ref="W22:Y22"/>
    <mergeCell ref="Z22:AB22"/>
    <mergeCell ref="AC22:AE22"/>
    <mergeCell ref="W23:Y23"/>
    <mergeCell ref="Z23:AB23"/>
    <mergeCell ref="AC23:AE23"/>
    <mergeCell ref="W20:Y20"/>
    <mergeCell ref="Z20:AB20"/>
    <mergeCell ref="AC20:AE20"/>
    <mergeCell ref="W26:Y26"/>
    <mergeCell ref="Z26:AB26"/>
    <mergeCell ref="AC26:AE26"/>
    <mergeCell ref="A23:A27"/>
    <mergeCell ref="W27:Y27"/>
    <mergeCell ref="Z27:AB27"/>
    <mergeCell ref="AC27:AE27"/>
    <mergeCell ref="Z24:AB24"/>
    <mergeCell ref="AC24:AE24"/>
    <mergeCell ref="W25:Y25"/>
    <mergeCell ref="Z25:AB25"/>
    <mergeCell ref="AC25:AE25"/>
    <mergeCell ref="A28:A33"/>
    <mergeCell ref="W33:Y33"/>
    <mergeCell ref="Z33:AB33"/>
    <mergeCell ref="AC33:AE33"/>
    <mergeCell ref="Z30:AB30"/>
    <mergeCell ref="AC30:AE30"/>
    <mergeCell ref="W31:Y31"/>
    <mergeCell ref="Z31:AB31"/>
    <mergeCell ref="AC31:AE31"/>
    <mergeCell ref="W28:Y28"/>
    <mergeCell ref="Z28:AB28"/>
    <mergeCell ref="AC28:AE28"/>
    <mergeCell ref="W29:Y29"/>
    <mergeCell ref="Z29:AB29"/>
    <mergeCell ref="AC29:AE29"/>
    <mergeCell ref="AG34:AG37"/>
    <mergeCell ref="AH34:AH37"/>
    <mergeCell ref="W34:Y34"/>
    <mergeCell ref="Z34:AB34"/>
    <mergeCell ref="AC34:AE34"/>
    <mergeCell ref="W35:Y35"/>
    <mergeCell ref="Z35:AB35"/>
    <mergeCell ref="AC35:AE35"/>
    <mergeCell ref="W32:Y32"/>
    <mergeCell ref="Z32:AB32"/>
    <mergeCell ref="AC32:AE32"/>
    <mergeCell ref="A34:A37"/>
    <mergeCell ref="W39:Y39"/>
    <mergeCell ref="Z39:AB39"/>
    <mergeCell ref="AC39:AE39"/>
    <mergeCell ref="W42:Y42"/>
    <mergeCell ref="Z36:AB36"/>
    <mergeCell ref="AC36:AE36"/>
    <mergeCell ref="W37:Y37"/>
    <mergeCell ref="Z37:AB37"/>
    <mergeCell ref="AC37:AE37"/>
    <mergeCell ref="A38:A43"/>
    <mergeCell ref="Z42:AB42"/>
    <mergeCell ref="AC42:AE42"/>
    <mergeCell ref="W43:Y43"/>
    <mergeCell ref="Z43:AB43"/>
    <mergeCell ref="AC43:AE43"/>
    <mergeCell ref="A44:A49"/>
    <mergeCell ref="W44:Y44"/>
    <mergeCell ref="Z44:AB44"/>
    <mergeCell ref="AC44:AE44"/>
    <mergeCell ref="W47:Y47"/>
    <mergeCell ref="Z49:AB49"/>
    <mergeCell ref="AC49:AE49"/>
    <mergeCell ref="AG38:AG43"/>
    <mergeCell ref="AH38:AH43"/>
    <mergeCell ref="W40:Y40"/>
    <mergeCell ref="Z40:AB40"/>
    <mergeCell ref="AC40:AE40"/>
    <mergeCell ref="W41:Y41"/>
    <mergeCell ref="Z41:AB41"/>
    <mergeCell ref="AC41:AE41"/>
    <mergeCell ref="W38:Y38"/>
    <mergeCell ref="Z38:AB38"/>
    <mergeCell ref="AC38:AE38"/>
    <mergeCell ref="Z47:AB47"/>
    <mergeCell ref="AC47:AE47"/>
    <mergeCell ref="W48:Y48"/>
    <mergeCell ref="Z48:AB48"/>
    <mergeCell ref="AC48:AE48"/>
    <mergeCell ref="W49:Y49"/>
    <mergeCell ref="AG44:AG49"/>
    <mergeCell ref="AH44:AH49"/>
    <mergeCell ref="W45:Y45"/>
    <mergeCell ref="Z45:AB45"/>
    <mergeCell ref="AC45:AE45"/>
    <mergeCell ref="W46:Y46"/>
    <mergeCell ref="Z46:AB46"/>
    <mergeCell ref="AC46:AE46"/>
    <mergeCell ref="A54:A59"/>
    <mergeCell ref="W54:Y54"/>
    <mergeCell ref="Z54:AB54"/>
    <mergeCell ref="AC54:AE54"/>
    <mergeCell ref="W57:Y57"/>
    <mergeCell ref="W59:Y59"/>
    <mergeCell ref="Z59:AB59"/>
    <mergeCell ref="AC59:AE59"/>
    <mergeCell ref="A50:A53"/>
    <mergeCell ref="W50:Y50"/>
    <mergeCell ref="Z50:AB50"/>
    <mergeCell ref="AC50:AE50"/>
    <mergeCell ref="W53:Y53"/>
    <mergeCell ref="Z57:AB57"/>
    <mergeCell ref="AC57:AE57"/>
    <mergeCell ref="W58:Y58"/>
    <mergeCell ref="Z58:AB58"/>
    <mergeCell ref="AC58:AE58"/>
    <mergeCell ref="AG54:AG59"/>
    <mergeCell ref="AH54:AH59"/>
    <mergeCell ref="W55:Y55"/>
    <mergeCell ref="Z55:AB55"/>
    <mergeCell ref="AC55:AE55"/>
    <mergeCell ref="W56:Y56"/>
    <mergeCell ref="Z56:AB56"/>
    <mergeCell ref="AC56:AE56"/>
    <mergeCell ref="A66:A71"/>
    <mergeCell ref="W66:Y66"/>
    <mergeCell ref="Z66:AB66"/>
    <mergeCell ref="AC66:AE66"/>
    <mergeCell ref="W69:Y69"/>
    <mergeCell ref="Z63:AB63"/>
    <mergeCell ref="AC63:AE63"/>
    <mergeCell ref="W64:Y64"/>
    <mergeCell ref="Z64:AB64"/>
    <mergeCell ref="AC64:AE64"/>
    <mergeCell ref="Z70:AB70"/>
    <mergeCell ref="AC70:AE70"/>
    <mergeCell ref="A60:A65"/>
    <mergeCell ref="W60:Y60"/>
    <mergeCell ref="Z60:AB60"/>
    <mergeCell ref="AC60:AE60"/>
    <mergeCell ref="W63:Y63"/>
    <mergeCell ref="AH66:AH71"/>
    <mergeCell ref="W67:Y67"/>
    <mergeCell ref="Z67:AB67"/>
    <mergeCell ref="AC67:AE67"/>
    <mergeCell ref="W68:Y68"/>
    <mergeCell ref="Z68:AB68"/>
    <mergeCell ref="AC68:AE68"/>
    <mergeCell ref="W65:Y65"/>
    <mergeCell ref="Z65:AB65"/>
    <mergeCell ref="AC65:AE65"/>
    <mergeCell ref="AG60:AG65"/>
    <mergeCell ref="AH60:AH65"/>
    <mergeCell ref="W61:Y61"/>
    <mergeCell ref="Z61:AB61"/>
    <mergeCell ref="AC61:AE61"/>
    <mergeCell ref="W62:Y62"/>
    <mergeCell ref="Z62:AB62"/>
    <mergeCell ref="AC62:AE62"/>
    <mergeCell ref="W71:Y71"/>
    <mergeCell ref="Z71:AB71"/>
    <mergeCell ref="AC71:AE71"/>
    <mergeCell ref="Z69:AB69"/>
    <mergeCell ref="AC69:AE69"/>
    <mergeCell ref="W70:Y70"/>
    <mergeCell ref="AG66:AG71"/>
    <mergeCell ref="AG28:AG33"/>
    <mergeCell ref="AH28:AH33"/>
    <mergeCell ref="AG23:AG27"/>
    <mergeCell ref="AG50:AG53"/>
    <mergeCell ref="AH50:AH53"/>
    <mergeCell ref="W13:Y13"/>
    <mergeCell ref="Z13:AB13"/>
    <mergeCell ref="AC13:AE13"/>
    <mergeCell ref="W36:Y36"/>
    <mergeCell ref="AG13:AG16"/>
    <mergeCell ref="AH13:AH16"/>
    <mergeCell ref="AG17:AG22"/>
    <mergeCell ref="AH17:AH22"/>
    <mergeCell ref="AH23:AH27"/>
    <mergeCell ref="W30:Y30"/>
    <mergeCell ref="Z53:AB53"/>
    <mergeCell ref="AC53:AE53"/>
    <mergeCell ref="W51:Y51"/>
    <mergeCell ref="Z51:AB51"/>
    <mergeCell ref="AC51:AE51"/>
    <mergeCell ref="W52:Y52"/>
    <mergeCell ref="Z52:AB52"/>
    <mergeCell ref="AC52:AE52"/>
  </mergeCells>
  <conditionalFormatting sqref="G3:H43 AF7:AF43 AF54:AF71 G54:H71">
    <cfRule type="containsText" dxfId="23" priority="11" operator="containsText" text="NO">
      <formula>NOT(ISERROR(SEARCH("NO",G3)))</formula>
    </cfRule>
  </conditionalFormatting>
  <conditionalFormatting sqref="AF3:AH3 AF4:AF5 AG54:AH54 AG60:AH60 AG66:AH66 AF9:AG9 AG17:AH17 AG23 AG28:AH28 AG34:AH34 AG38 AF13:AH13">
    <cfRule type="containsText" dxfId="22" priority="9" operator="containsText" text="NO">
      <formula>NOT(ISERROR(SEARCH("NO",AF3)))</formula>
    </cfRule>
  </conditionalFormatting>
  <conditionalFormatting sqref="AF6">
    <cfRule type="containsText" dxfId="21" priority="8" operator="containsText" text="NO">
      <formula>NOT(ISERROR(SEARCH("NO",AF6)))</formula>
    </cfRule>
  </conditionalFormatting>
  <conditionalFormatting sqref="AF12">
    <cfRule type="containsText" dxfId="20" priority="7" operator="containsText" text="NO">
      <formula>NOT(ISERROR(SEARCH("NO",AF12)))</formula>
    </cfRule>
  </conditionalFormatting>
  <conditionalFormatting sqref="G44:H49 AF44:AF49">
    <cfRule type="containsText" dxfId="19" priority="6" operator="containsText" text="NO">
      <formula>NOT(ISERROR(SEARCH("NO",G44)))</formula>
    </cfRule>
  </conditionalFormatting>
  <conditionalFormatting sqref="AG44:AH44">
    <cfRule type="containsText" dxfId="18" priority="5" operator="containsText" text="NO">
      <formula>NOT(ISERROR(SEARCH("NO",AG44)))</formula>
    </cfRule>
  </conditionalFormatting>
  <conditionalFormatting sqref="G44:G49">
    <cfRule type="containsText" dxfId="17" priority="4" operator="containsText" text="NO">
      <formula>NOT(ISERROR(SEARCH("NO",G44)))</formula>
    </cfRule>
  </conditionalFormatting>
  <conditionalFormatting sqref="G50:H53 AF50:AH50 AF51:AF53">
    <cfRule type="containsText" dxfId="16" priority="3" operator="containsText" text="NO">
      <formula>NOT(ISERROR(SEARCH("NO",G50)))</formula>
    </cfRule>
  </conditionalFormatting>
  <conditionalFormatting sqref="G3:H8">
    <cfRule type="containsText" dxfId="15" priority="2" operator="containsText" text="NO">
      <formula>NOT(ISERROR(SEARCH("NO",G3)))</formula>
    </cfRule>
  </conditionalFormatting>
  <conditionalFormatting sqref="AG3:AH3 AF3:AF8">
    <cfRule type="containsText" dxfId="14" priority="1" operator="containsText" text="NO">
      <formula>NOT(ISERROR(SEARCH("NO",AF3)))</formula>
    </cfRule>
  </conditionalFormatting>
  <dataValidations count="1">
    <dataValidation type="list" allowBlank="1" showInputMessage="1" showErrorMessage="1" sqref="AD9:AE21 AA23:AB37 AD23:AE37 AA9:AB21 AC9:AC43 Z9:Z43 AF3:AF49 Z44:AE49 Z50:AF71 W9:Y12 G3:H71 Z3:AE8">
      <formula1>$AL$1:$AM$1</formula1>
    </dataValidation>
  </dataValidations>
  <pageMargins left="0.75" right="0.75" top="1" bottom="1" header="0.5" footer="0.5"/>
  <pageSetup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B198"/>
  <sheetViews>
    <sheetView tabSelected="1" zoomScale="55" zoomScaleNormal="55" zoomScalePageLayoutView="75" workbookViewId="0">
      <pane xSplit="1" ySplit="2" topLeftCell="G3" activePane="bottomRight" state="frozen"/>
      <selection pane="topRight" activeCell="B1" sqref="B1"/>
      <selection pane="bottomLeft" activeCell="A3" sqref="A3"/>
      <selection pane="bottomRight" activeCell="A3" sqref="A3:A6"/>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23.875" style="104" customWidth="1"/>
    <col min="9" max="10" width="18.875" style="104" customWidth="1"/>
    <col min="11" max="11" width="13.625" style="105" customWidth="1"/>
    <col min="12" max="12" width="10.625" style="106" customWidth="1"/>
    <col min="13" max="13" width="11" style="107" customWidth="1"/>
    <col min="14" max="14" width="11" style="108" customWidth="1"/>
    <col min="15" max="15" width="11" style="74" customWidth="1"/>
    <col min="16" max="16" width="18.5" style="109" customWidth="1"/>
    <col min="17" max="17" width="8.75" style="109" customWidth="1"/>
    <col min="18" max="18" width="9.5" style="74" bestFit="1" customWidth="1"/>
    <col min="19" max="19" width="12.5" style="74" customWidth="1"/>
    <col min="20" max="20" width="9.625" style="74" bestFit="1" customWidth="1"/>
    <col min="21" max="22" width="15.5" style="74" customWidth="1"/>
    <col min="23" max="23" width="18.375" style="87" customWidth="1"/>
    <col min="24" max="24" width="19.5" style="377" customWidth="1"/>
    <col min="25" max="25" width="59.125" style="96" customWidth="1"/>
    <col min="26" max="28" width="10.875" style="111"/>
    <col min="29" max="30" width="15.125" style="111" bestFit="1" customWidth="1"/>
    <col min="31" max="16384" width="10.875" style="111"/>
  </cols>
  <sheetData>
    <row r="1" spans="1:28" s="61" customFormat="1" ht="15" customHeight="1" x14ac:dyDescent="0.25">
      <c r="A1" s="661" t="s">
        <v>2</v>
      </c>
      <c r="B1" s="661" t="s">
        <v>1</v>
      </c>
      <c r="C1" s="676" t="s">
        <v>369</v>
      </c>
      <c r="D1" s="661" t="s">
        <v>7</v>
      </c>
      <c r="E1" s="661" t="s">
        <v>8</v>
      </c>
      <c r="F1" s="661" t="s">
        <v>9</v>
      </c>
      <c r="G1" s="662" t="s">
        <v>382</v>
      </c>
      <c r="H1" s="662" t="s">
        <v>857</v>
      </c>
      <c r="I1" s="663" t="s">
        <v>383</v>
      </c>
      <c r="J1" s="663" t="s">
        <v>18</v>
      </c>
      <c r="K1" s="670" t="s">
        <v>56</v>
      </c>
      <c r="L1" s="672" t="s">
        <v>10</v>
      </c>
      <c r="M1" s="672" t="s">
        <v>443</v>
      </c>
      <c r="N1" s="674" t="s">
        <v>65</v>
      </c>
      <c r="O1" s="661" t="s">
        <v>64</v>
      </c>
      <c r="P1" s="661" t="s">
        <v>11</v>
      </c>
      <c r="Q1" s="661" t="s">
        <v>12</v>
      </c>
      <c r="R1" s="662" t="s">
        <v>13</v>
      </c>
      <c r="S1" s="662" t="s">
        <v>14</v>
      </c>
      <c r="T1" s="662" t="s">
        <v>15</v>
      </c>
      <c r="U1" s="662" t="s">
        <v>16</v>
      </c>
      <c r="V1" s="661" t="s">
        <v>17</v>
      </c>
      <c r="W1" s="662" t="s">
        <v>385</v>
      </c>
      <c r="X1" s="664" t="s">
        <v>686</v>
      </c>
      <c r="Y1" s="659" t="s">
        <v>0</v>
      </c>
      <c r="AA1" s="62" t="s">
        <v>5</v>
      </c>
      <c r="AB1" s="62" t="s">
        <v>6</v>
      </c>
    </row>
    <row r="2" spans="1:28" s="61" customFormat="1" ht="122.25" customHeight="1" thickBot="1" x14ac:dyDescent="0.3">
      <c r="A2" s="667"/>
      <c r="B2" s="667"/>
      <c r="C2" s="677"/>
      <c r="D2" s="667"/>
      <c r="E2" s="667"/>
      <c r="F2" s="667"/>
      <c r="G2" s="663"/>
      <c r="H2" s="663"/>
      <c r="I2" s="688"/>
      <c r="J2" s="688"/>
      <c r="K2" s="671"/>
      <c r="L2" s="673"/>
      <c r="M2" s="673"/>
      <c r="N2" s="675"/>
      <c r="O2" s="667"/>
      <c r="P2" s="667"/>
      <c r="Q2" s="667"/>
      <c r="R2" s="663"/>
      <c r="S2" s="663"/>
      <c r="T2" s="663"/>
      <c r="U2" s="663"/>
      <c r="V2" s="667"/>
      <c r="W2" s="663"/>
      <c r="X2" s="665"/>
      <c r="Y2" s="660"/>
    </row>
    <row r="3" spans="1:28" s="79" customFormat="1" ht="42.75" x14ac:dyDescent="0.25">
      <c r="A3" s="652" t="s">
        <v>747</v>
      </c>
      <c r="B3" s="125" t="s">
        <v>350</v>
      </c>
      <c r="C3" s="485"/>
      <c r="D3" s="127" t="str">
        <f>+IFERROR(INDEX(PROPONENTES!$D$4:$D$109,MATCH('EXP ESPEC. 41-50'!B3,PROPONENTES!$C$4:$C$109,0)),"")</f>
        <v>ECOVIAS S.A.S.</v>
      </c>
      <c r="E3" s="128" t="s">
        <v>843</v>
      </c>
      <c r="F3" s="128" t="s">
        <v>844</v>
      </c>
      <c r="G3" s="452" t="s">
        <v>5</v>
      </c>
      <c r="H3" s="452" t="s">
        <v>6</v>
      </c>
      <c r="I3" s="452" t="s">
        <v>5</v>
      </c>
      <c r="J3" s="452" t="s">
        <v>6</v>
      </c>
      <c r="K3" s="170">
        <v>0.5</v>
      </c>
      <c r="L3" s="132">
        <v>36752</v>
      </c>
      <c r="M3" s="132">
        <v>42109</v>
      </c>
      <c r="N3" s="133">
        <f t="shared" ref="N3:N6" si="0">IF(M3="","",YEAR(M3))</f>
        <v>2015</v>
      </c>
      <c r="O3" s="134">
        <f>+IFERROR(INDEX([13]PARÁMETROS!$B$11:$B$37,MATCH(N3,[13]PARÁMETROS!$A$11:$A$37,0)),"")</f>
        <v>644350</v>
      </c>
      <c r="P3" s="294">
        <v>5014683563</v>
      </c>
      <c r="Q3" s="134" t="s">
        <v>20</v>
      </c>
      <c r="R3" s="125" t="s">
        <v>54</v>
      </c>
      <c r="S3" s="137" t="s">
        <v>54</v>
      </c>
      <c r="T3" s="138">
        <v>1</v>
      </c>
      <c r="U3" s="134">
        <f t="shared" ref="U3:U4" si="1">IF(T3&lt;&gt;"",P3*T3,"")</f>
        <v>5014683563</v>
      </c>
      <c r="V3" s="139">
        <f t="shared" ref="V3:V6" si="2">+IFERROR(U3/O3,"")</f>
        <v>7782.546074338481</v>
      </c>
      <c r="W3" s="139">
        <f t="shared" ref="W3:W6" si="3">IFERROR(V3*K3,"")</f>
        <v>3891.2730371692405</v>
      </c>
      <c r="X3" s="452" t="str">
        <f>+IF(W3="","",IF(W3&gt;=[14]PARÁMETROS!$J$5,"CUMPLE","NO CUMPLE"))</f>
        <v>CUMPLE</v>
      </c>
      <c r="Y3" s="142"/>
      <c r="Z3" s="112"/>
    </row>
    <row r="4" spans="1:28" s="79" customFormat="1" ht="71.25" x14ac:dyDescent="0.25">
      <c r="A4" s="653"/>
      <c r="B4" s="456" t="s">
        <v>350</v>
      </c>
      <c r="C4" s="475"/>
      <c r="D4" s="480" t="str">
        <f>+IFERROR(INDEX(PROPONENTES!$D$4:$D$109,MATCH('EXP ESPEC. 41-50'!B4,PROPONENTES!$C$4:$C$109,0)),"")</f>
        <v>ECOVIAS S.A.S.</v>
      </c>
      <c r="E4" s="212" t="s">
        <v>845</v>
      </c>
      <c r="F4" s="212" t="s">
        <v>846</v>
      </c>
      <c r="G4" s="455" t="s">
        <v>5</v>
      </c>
      <c r="H4" s="455" t="s">
        <v>6</v>
      </c>
      <c r="I4" s="455" t="s">
        <v>5</v>
      </c>
      <c r="J4" s="455" t="s">
        <v>6</v>
      </c>
      <c r="K4" s="481">
        <v>0.5</v>
      </c>
      <c r="L4" s="216">
        <v>40099</v>
      </c>
      <c r="M4" s="216">
        <v>40558</v>
      </c>
      <c r="N4" s="217">
        <f t="shared" si="0"/>
        <v>2011</v>
      </c>
      <c r="O4" s="202">
        <f>+IFERROR(INDEX([13]PARÁMETROS!$B$11:$B$37,MATCH(N4,[13]PARÁMETROS!$A$11:$A$37,0)),"")</f>
        <v>535600</v>
      </c>
      <c r="P4" s="482">
        <v>4561047955</v>
      </c>
      <c r="Q4" s="202" t="s">
        <v>20</v>
      </c>
      <c r="R4" s="458" t="s">
        <v>54</v>
      </c>
      <c r="S4" s="219" t="s">
        <v>54</v>
      </c>
      <c r="T4" s="220">
        <v>1</v>
      </c>
      <c r="U4" s="202">
        <f t="shared" si="1"/>
        <v>4561047955</v>
      </c>
      <c r="V4" s="204">
        <f t="shared" si="2"/>
        <v>8515.7728808812553</v>
      </c>
      <c r="W4" s="60">
        <f t="shared" si="3"/>
        <v>4257.8864404406277</v>
      </c>
      <c r="X4" s="453" t="str">
        <f>+IF(W4="","",IF(W4&gt;=[14]PARÁMETROS!$J$5,"CUMPLE","NO CUMPLE"))</f>
        <v>CUMPLE</v>
      </c>
      <c r="Y4" s="143"/>
      <c r="Z4" s="112"/>
    </row>
    <row r="5" spans="1:28" s="79" customFormat="1" ht="65.099999999999994" customHeight="1" x14ac:dyDescent="0.25">
      <c r="A5" s="653"/>
      <c r="B5" s="456" t="s">
        <v>348</v>
      </c>
      <c r="C5" s="475"/>
      <c r="D5" s="65" t="str">
        <f>+IFERROR(INDEX(PROPONENTES!$D$4:$D$109,MATCH('EXP ESPEC. 41-50'!B5,PROPONENTES!$C$4:$C$109,0)),"")</f>
        <v>BATEMAN INGENIERIA S.A.</v>
      </c>
      <c r="E5" s="335" t="s">
        <v>853</v>
      </c>
      <c r="F5" s="336" t="s">
        <v>854</v>
      </c>
      <c r="G5" s="453" t="s">
        <v>5</v>
      </c>
      <c r="H5" s="453" t="s">
        <v>6</v>
      </c>
      <c r="I5" s="453" t="s">
        <v>5</v>
      </c>
      <c r="J5" s="453" t="s">
        <v>6</v>
      </c>
      <c r="K5" s="69">
        <v>0.75</v>
      </c>
      <c r="L5" s="338">
        <v>35730</v>
      </c>
      <c r="M5" s="338">
        <v>36218</v>
      </c>
      <c r="N5" s="71">
        <f t="shared" si="0"/>
        <v>1999</v>
      </c>
      <c r="O5" s="72">
        <f>+IFERROR(INDEX([15]PARÁMETROS!$B$11:$B$37,MATCH(N5,[15]PARÁMETROS!$A$11:$A$37,0)),"")</f>
        <v>236460</v>
      </c>
      <c r="P5" s="324">
        <v>901387596</v>
      </c>
      <c r="Q5" s="74" t="s">
        <v>20</v>
      </c>
      <c r="R5" s="456" t="s">
        <v>54</v>
      </c>
      <c r="S5" s="75" t="s">
        <v>54</v>
      </c>
      <c r="T5" s="76">
        <v>1</v>
      </c>
      <c r="U5" s="72">
        <f>IF(T5&lt;&gt;"",P5*T5,"")</f>
        <v>901387596</v>
      </c>
      <c r="V5" s="60">
        <f t="shared" si="2"/>
        <v>3812.0087794975893</v>
      </c>
      <c r="W5" s="60">
        <f t="shared" si="3"/>
        <v>2859.0065846231919</v>
      </c>
      <c r="X5" s="453" t="str">
        <f>+IF(W5="","",IF(W5&gt;=[14]PARÁMETROS!$J$5,"CUMPLE","NO CUMPLE"))</f>
        <v>CUMPLE</v>
      </c>
      <c r="Y5" s="144"/>
      <c r="Z5" s="112"/>
    </row>
    <row r="6" spans="1:28" s="79" customFormat="1" ht="65.099999999999994" customHeight="1" thickBot="1" x14ac:dyDescent="0.3">
      <c r="A6" s="654"/>
      <c r="B6" s="145" t="s">
        <v>348</v>
      </c>
      <c r="C6" s="476"/>
      <c r="D6" s="486" t="str">
        <f>+IFERROR(INDEX(PROPONENTES!$D$4:$D$109,MATCH('EXP ESPEC. 41-50'!B6,PROPONENTES!$C$4:$C$109,0)),"")</f>
        <v>BATEMAN INGENIERIA S.A.</v>
      </c>
      <c r="E6" s="325" t="s">
        <v>26</v>
      </c>
      <c r="F6" s="353" t="s">
        <v>855</v>
      </c>
      <c r="G6" s="454" t="s">
        <v>5</v>
      </c>
      <c r="H6" s="454" t="s">
        <v>5</v>
      </c>
      <c r="I6" s="454" t="s">
        <v>5</v>
      </c>
      <c r="J6" s="454" t="s">
        <v>6</v>
      </c>
      <c r="K6" s="487">
        <v>0.75</v>
      </c>
      <c r="L6" s="356">
        <v>38343</v>
      </c>
      <c r="M6" s="356">
        <v>39804</v>
      </c>
      <c r="N6" s="357">
        <f t="shared" si="0"/>
        <v>2008</v>
      </c>
      <c r="O6" s="358">
        <f>+IFERROR(INDEX([15]PARÁMETROS!$B$11:$B$37,MATCH(N6,[15]PARÁMETROS!$A$11:$A$37,0)),"")</f>
        <v>461500</v>
      </c>
      <c r="P6" s="359">
        <v>2538978678</v>
      </c>
      <c r="Q6" s="488" t="s">
        <v>20</v>
      </c>
      <c r="R6" s="145" t="s">
        <v>54</v>
      </c>
      <c r="S6" s="156" t="s">
        <v>54</v>
      </c>
      <c r="T6" s="157">
        <v>1</v>
      </c>
      <c r="U6" s="153">
        <f t="shared" ref="U6" si="4">IF(T6&lt;&gt;"",P6*T6,"")</f>
        <v>2538978678</v>
      </c>
      <c r="V6" s="158">
        <f t="shared" si="2"/>
        <v>5501.5789339111589</v>
      </c>
      <c r="W6" s="158">
        <f t="shared" si="3"/>
        <v>4126.1842004333694</v>
      </c>
      <c r="X6" s="454" t="str">
        <f>+IF(W6="","",IF(W6&gt;=[14]PARÁMETROS!$J$5,"CUMPLE","NO CUMPLE"))</f>
        <v>CUMPLE</v>
      </c>
      <c r="Y6" s="178"/>
      <c r="Z6" s="112"/>
    </row>
    <row r="7" spans="1:28" s="79" customFormat="1" ht="57" x14ac:dyDescent="0.25">
      <c r="A7" s="652" t="s">
        <v>748</v>
      </c>
      <c r="B7" s="125" t="s">
        <v>351</v>
      </c>
      <c r="C7" s="126">
        <v>6</v>
      </c>
      <c r="D7" s="127" t="str">
        <f>+IFERROR(INDEX([14]CONSOLIDADO!$D$4:$D$108,MATCH('EXP ESPEC. 41-50'!B7,[14]CONSOLIDADO!$C$4:$C$108,0)),"")</f>
        <v>3 B PROYECTOS S.A.S.</v>
      </c>
      <c r="E7" s="128" t="s">
        <v>691</v>
      </c>
      <c r="F7" s="129" t="s">
        <v>750</v>
      </c>
      <c r="G7" s="368" t="s">
        <v>5</v>
      </c>
      <c r="H7" s="368" t="s">
        <v>6</v>
      </c>
      <c r="I7" s="368" t="s">
        <v>5</v>
      </c>
      <c r="J7" s="368" t="s">
        <v>6</v>
      </c>
      <c r="K7" s="131">
        <v>1</v>
      </c>
      <c r="L7" s="132">
        <v>38929</v>
      </c>
      <c r="M7" s="132">
        <v>39553</v>
      </c>
      <c r="N7" s="133">
        <f>IF(M7="","",YEAR(M7))</f>
        <v>2008</v>
      </c>
      <c r="O7" s="134">
        <f>+IFERROR(INDEX([14]PARÁMETROS!$B$11:$B$37,MATCH(N7,[14]PARÁMETROS!$A$11:$A$37,0)),"")</f>
        <v>461500</v>
      </c>
      <c r="P7" s="135">
        <v>3010928835</v>
      </c>
      <c r="Q7" s="136" t="s">
        <v>20</v>
      </c>
      <c r="R7" s="125" t="s">
        <v>54</v>
      </c>
      <c r="S7" s="137" t="s">
        <v>54</v>
      </c>
      <c r="T7" s="138">
        <v>1</v>
      </c>
      <c r="U7" s="134">
        <v>3010928835</v>
      </c>
      <c r="V7" s="139">
        <f>+IFERROR(U7/O7,"")</f>
        <v>6524.2228277356444</v>
      </c>
      <c r="W7" s="139">
        <f>IFERROR(V7*K7,"")</f>
        <v>6524.2228277356444</v>
      </c>
      <c r="X7" s="368" t="str">
        <f>+IF(W7="","",IF(W7&gt;=[14]PARÁMETROS!$J$5,"CUMPLE","NO CUMPLE"))</f>
        <v>CUMPLE</v>
      </c>
      <c r="Y7" s="142"/>
      <c r="Z7" s="112"/>
    </row>
    <row r="8" spans="1:28" s="79" customFormat="1" ht="128.25" x14ac:dyDescent="0.25">
      <c r="A8" s="653"/>
      <c r="B8" s="377" t="s">
        <v>751</v>
      </c>
      <c r="C8" s="64">
        <v>9</v>
      </c>
      <c r="D8" s="65" t="str">
        <f>+D7</f>
        <v>3 B PROYECTOS S.A.S.</v>
      </c>
      <c r="E8" s="66" t="s">
        <v>22</v>
      </c>
      <c r="F8" s="67" t="s">
        <v>693</v>
      </c>
      <c r="G8" s="369" t="s">
        <v>5</v>
      </c>
      <c r="H8" s="369" t="s">
        <v>5</v>
      </c>
      <c r="I8" s="369" t="s">
        <v>5</v>
      </c>
      <c r="J8" s="369" t="s">
        <v>6</v>
      </c>
      <c r="K8" s="391">
        <v>0.83499999999999996</v>
      </c>
      <c r="L8" s="70">
        <v>38337</v>
      </c>
      <c r="M8" s="70">
        <v>41440</v>
      </c>
      <c r="N8" s="71">
        <f t="shared" ref="N8:N42" si="5">IF(M8="","",YEAR(M8))</f>
        <v>2013</v>
      </c>
      <c r="O8" s="72">
        <f>+IFERROR(INDEX([14]PARÁMETROS!$B$11:$B$37,MATCH(N8,[14]PARÁMETROS!$A$11:$A$37,0)),"")</f>
        <v>589500</v>
      </c>
      <c r="P8" s="81">
        <v>9865877743</v>
      </c>
      <c r="Q8" s="72" t="s">
        <v>20</v>
      </c>
      <c r="R8" s="377" t="s">
        <v>54</v>
      </c>
      <c r="S8" s="75" t="s">
        <v>54</v>
      </c>
      <c r="T8" s="76">
        <v>1</v>
      </c>
      <c r="U8" s="72">
        <f t="shared" ref="U8:U42" si="6">IF(T8&lt;&gt;"",P8*T8,"")</f>
        <v>9865877743</v>
      </c>
      <c r="V8" s="60">
        <f t="shared" ref="V8:V42" si="7">+IFERROR(U8/O8,"")</f>
        <v>16736.009742154369</v>
      </c>
      <c r="W8" s="60">
        <f t="shared" ref="W8:W42" si="8">IFERROR(V8*K8,"")</f>
        <v>13974.568134698897</v>
      </c>
      <c r="X8" s="369" t="str">
        <f>+IF(W8="","",IF(W8&gt;=[14]PARÁMETROS!$J$5,"CUMPLE","NO CUMPLE"))</f>
        <v>CUMPLE</v>
      </c>
      <c r="Y8" s="143"/>
      <c r="Z8" s="112"/>
    </row>
    <row r="9" spans="1:28" s="79" customFormat="1" ht="57" x14ac:dyDescent="0.25">
      <c r="A9" s="653"/>
      <c r="B9" s="377" t="s">
        <v>752</v>
      </c>
      <c r="C9" s="64">
        <v>12</v>
      </c>
      <c r="D9" s="65" t="str">
        <f>+D8</f>
        <v>3 B PROYECTOS S.A.S.</v>
      </c>
      <c r="E9" s="66" t="s">
        <v>373</v>
      </c>
      <c r="F9" s="67" t="s">
        <v>753</v>
      </c>
      <c r="G9" s="369" t="s">
        <v>5</v>
      </c>
      <c r="H9" s="369" t="s">
        <v>6</v>
      </c>
      <c r="I9" s="369" t="s">
        <v>5</v>
      </c>
      <c r="J9" s="369" t="s">
        <v>6</v>
      </c>
      <c r="K9" s="69">
        <v>0.5</v>
      </c>
      <c r="L9" s="70">
        <v>39694</v>
      </c>
      <c r="M9" s="70">
        <v>40283</v>
      </c>
      <c r="N9" s="71">
        <f t="shared" si="5"/>
        <v>2010</v>
      </c>
      <c r="O9" s="72">
        <f>+IFERROR(INDEX([14]PARÁMETROS!$B$11:$B$37,MATCH(N9,[14]PARÁMETROS!$A$11:$A$37,0)),"")</f>
        <v>515000</v>
      </c>
      <c r="P9" s="73">
        <v>3136622318</v>
      </c>
      <c r="Q9" s="74" t="s">
        <v>20</v>
      </c>
      <c r="R9" s="377" t="s">
        <v>54</v>
      </c>
      <c r="S9" s="75" t="s">
        <v>54</v>
      </c>
      <c r="T9" s="76">
        <v>1</v>
      </c>
      <c r="U9" s="72">
        <f t="shared" si="6"/>
        <v>3136622318</v>
      </c>
      <c r="V9" s="60">
        <f t="shared" si="7"/>
        <v>6090.5287728155336</v>
      </c>
      <c r="W9" s="60">
        <f t="shared" si="8"/>
        <v>3045.2643864077668</v>
      </c>
      <c r="X9" s="369" t="str">
        <f>+IF(W9="","",IF(W9&gt;=[14]PARÁMETROS!$J$5,"CUMPLE","NO CUMPLE"))</f>
        <v>CUMPLE</v>
      </c>
      <c r="Y9" s="144"/>
      <c r="Z9" s="112"/>
    </row>
    <row r="10" spans="1:28" s="79" customFormat="1" ht="72" thickBot="1" x14ac:dyDescent="0.3">
      <c r="A10" s="654"/>
      <c r="B10" s="145" t="s">
        <v>754</v>
      </c>
      <c r="C10" s="177">
        <v>18</v>
      </c>
      <c r="D10" s="146" t="str">
        <f>+D9</f>
        <v>3 B PROYECTOS S.A.S.</v>
      </c>
      <c r="E10" s="147" t="s">
        <v>23</v>
      </c>
      <c r="F10" s="148" t="s">
        <v>694</v>
      </c>
      <c r="G10" s="370" t="s">
        <v>5</v>
      </c>
      <c r="H10" s="370" t="s">
        <v>6</v>
      </c>
      <c r="I10" s="370" t="s">
        <v>5</v>
      </c>
      <c r="J10" s="370" t="s">
        <v>6</v>
      </c>
      <c r="K10" s="150">
        <v>1</v>
      </c>
      <c r="L10" s="151">
        <v>39148</v>
      </c>
      <c r="M10" s="151">
        <v>40072</v>
      </c>
      <c r="N10" s="152">
        <f t="shared" si="5"/>
        <v>2009</v>
      </c>
      <c r="O10" s="153">
        <f>+IFERROR(INDEX([14]PARÁMETROS!$B$11:$B$37,MATCH(N10,[14]PARÁMETROS!$A$11:$A$37,0)),"")</f>
        <v>496900</v>
      </c>
      <c r="P10" s="154">
        <f>1690448539+901877829</f>
        <v>2592326368</v>
      </c>
      <c r="Q10" s="155" t="s">
        <v>20</v>
      </c>
      <c r="R10" s="145" t="s">
        <v>54</v>
      </c>
      <c r="S10" s="156" t="s">
        <v>54</v>
      </c>
      <c r="T10" s="157">
        <v>1</v>
      </c>
      <c r="U10" s="153">
        <f t="shared" si="6"/>
        <v>2592326368</v>
      </c>
      <c r="V10" s="158">
        <f t="shared" si="7"/>
        <v>5216.9981243711009</v>
      </c>
      <c r="W10" s="158">
        <f t="shared" si="8"/>
        <v>5216.9981243711009</v>
      </c>
      <c r="X10" s="370" t="str">
        <f>+IF(W10="","",IF(W10&gt;=[14]PARÁMETROS!$J$5,"CUMPLE","NO CUMPLE"))</f>
        <v>CUMPLE</v>
      </c>
      <c r="Y10" s="178"/>
      <c r="Z10" s="112"/>
    </row>
    <row r="11" spans="1:28" s="79" customFormat="1" ht="57" x14ac:dyDescent="0.25">
      <c r="A11" s="652" t="s">
        <v>749</v>
      </c>
      <c r="B11" s="125" t="s">
        <v>353</v>
      </c>
      <c r="C11" s="408">
        <v>6</v>
      </c>
      <c r="D11" s="127" t="str">
        <f>+IFERROR(INDEX([14]CONSOLIDADO!$D$4:$D$108,MATCH('EXP ESPEC. 41-50'!B11,[14]CONSOLIDADO!$C$4:$C$108,0)),"")</f>
        <v>CANO JIMENEZ ESTUDIOS S.A.</v>
      </c>
      <c r="E11" s="128" t="s">
        <v>26</v>
      </c>
      <c r="F11" s="129" t="s">
        <v>695</v>
      </c>
      <c r="G11" s="368" t="s">
        <v>5</v>
      </c>
      <c r="H11" s="368" t="s">
        <v>5</v>
      </c>
      <c r="I11" s="368" t="s">
        <v>5</v>
      </c>
      <c r="J11" s="368" t="s">
        <v>6</v>
      </c>
      <c r="K11" s="131">
        <v>1</v>
      </c>
      <c r="L11" s="132">
        <v>38622</v>
      </c>
      <c r="M11" s="132">
        <v>39930</v>
      </c>
      <c r="N11" s="133">
        <f t="shared" si="5"/>
        <v>2009</v>
      </c>
      <c r="O11" s="134">
        <f>+IFERROR(INDEX([14]PARÁMETROS!$B$11:$B$37,MATCH(N11,[14]PARÁMETROS!$A$11:$A$37,0)),"")</f>
        <v>496900</v>
      </c>
      <c r="P11" s="135">
        <v>7034470356</v>
      </c>
      <c r="Q11" s="136" t="s">
        <v>20</v>
      </c>
      <c r="R11" s="125" t="s">
        <v>54</v>
      </c>
      <c r="S11" s="137" t="s">
        <v>54</v>
      </c>
      <c r="T11" s="138">
        <v>1</v>
      </c>
      <c r="U11" s="134">
        <f t="shared" si="6"/>
        <v>7034470356</v>
      </c>
      <c r="V11" s="139">
        <f t="shared" si="7"/>
        <v>14156.712328436304</v>
      </c>
      <c r="W11" s="139">
        <f t="shared" si="8"/>
        <v>14156.712328436304</v>
      </c>
      <c r="X11" s="368" t="str">
        <f>+IF(W11="","",IF(W11&gt;=[14]PARÁMETROS!$D$5,"CUMPLE","NO CUMPLE"))</f>
        <v>CUMPLE</v>
      </c>
      <c r="Y11" s="142"/>
      <c r="Z11" s="112"/>
    </row>
    <row r="12" spans="1:28" s="79" customFormat="1" ht="85.5" customHeight="1" x14ac:dyDescent="0.25">
      <c r="A12" s="653"/>
      <c r="B12" s="377" t="s">
        <v>353</v>
      </c>
      <c r="C12" s="409">
        <v>14</v>
      </c>
      <c r="D12" s="65" t="str">
        <f>+IFERROR(INDEX([14]CONSOLIDADO!$D$4:$D$108,MATCH('EXP ESPEC. 41-50'!B12,[14]CONSOLIDADO!$C$4:$C$108,0)),"")</f>
        <v>CANO JIMENEZ ESTUDIOS S.A.</v>
      </c>
      <c r="E12" s="66" t="s">
        <v>26</v>
      </c>
      <c r="F12" s="67" t="s">
        <v>696</v>
      </c>
      <c r="G12" s="369" t="s">
        <v>5</v>
      </c>
      <c r="H12" s="369" t="s">
        <v>5</v>
      </c>
      <c r="I12" s="369" t="s">
        <v>5</v>
      </c>
      <c r="J12" s="369" t="s">
        <v>6</v>
      </c>
      <c r="K12" s="69">
        <v>1</v>
      </c>
      <c r="L12" s="70">
        <v>39909</v>
      </c>
      <c r="M12" s="70">
        <v>41186</v>
      </c>
      <c r="N12" s="71">
        <f t="shared" si="5"/>
        <v>2012</v>
      </c>
      <c r="O12" s="72">
        <f>+IFERROR(INDEX([14]PARÁMETROS!$B$11:$B$37,MATCH(N12,[14]PARÁMETROS!$A$11:$A$37,0)),"")</f>
        <v>566700</v>
      </c>
      <c r="P12" s="73">
        <v>10196977946</v>
      </c>
      <c r="Q12" s="74" t="s">
        <v>20</v>
      </c>
      <c r="R12" s="377" t="s">
        <v>54</v>
      </c>
      <c r="S12" s="75" t="s">
        <v>54</v>
      </c>
      <c r="T12" s="76">
        <v>1</v>
      </c>
      <c r="U12" s="72">
        <f t="shared" si="6"/>
        <v>10196977946</v>
      </c>
      <c r="V12" s="60">
        <f t="shared" si="7"/>
        <v>17993.608515969649</v>
      </c>
      <c r="W12" s="60">
        <f t="shared" si="8"/>
        <v>17993.608515969649</v>
      </c>
      <c r="X12" s="369" t="str">
        <f>+IF(W12="","",IF(W12&gt;=[14]PARÁMETROS!$D$5,"CUMPLE","NO CUMPLE"))</f>
        <v>CUMPLE</v>
      </c>
      <c r="Y12" s="143"/>
      <c r="Z12" s="112"/>
    </row>
    <row r="13" spans="1:28" s="79" customFormat="1" ht="57" x14ac:dyDescent="0.25">
      <c r="A13" s="653"/>
      <c r="B13" s="377" t="s">
        <v>353</v>
      </c>
      <c r="C13" s="409">
        <v>21</v>
      </c>
      <c r="D13" s="65" t="str">
        <f>+IFERROR(INDEX([14]CONSOLIDADO!$D$4:$D$108,MATCH('EXP ESPEC. 41-50'!B13,[14]CONSOLIDADO!$C$4:$C$108,0)),"")</f>
        <v>CANO JIMENEZ ESTUDIOS S.A.</v>
      </c>
      <c r="E13" s="66" t="s">
        <v>22</v>
      </c>
      <c r="F13" s="67" t="s">
        <v>755</v>
      </c>
      <c r="G13" s="369" t="s">
        <v>5</v>
      </c>
      <c r="H13" s="369" t="s">
        <v>5</v>
      </c>
      <c r="I13" s="369" t="s">
        <v>5</v>
      </c>
      <c r="J13" s="369" t="s">
        <v>6</v>
      </c>
      <c r="K13" s="69">
        <v>1</v>
      </c>
      <c r="L13" s="70">
        <v>39542</v>
      </c>
      <c r="M13" s="70">
        <v>40669</v>
      </c>
      <c r="N13" s="71">
        <f t="shared" si="5"/>
        <v>2011</v>
      </c>
      <c r="O13" s="72">
        <f>+IFERROR(INDEX([14]PARÁMETROS!$B$11:$B$37,MATCH(N13,[14]PARÁMETROS!$A$11:$A$37,0)),"")</f>
        <v>535600</v>
      </c>
      <c r="P13" s="73">
        <v>4384894733</v>
      </c>
      <c r="Q13" s="74" t="s">
        <v>20</v>
      </c>
      <c r="R13" s="377" t="s">
        <v>54</v>
      </c>
      <c r="S13" s="75" t="s">
        <v>54</v>
      </c>
      <c r="T13" s="76">
        <v>1</v>
      </c>
      <c r="U13" s="72">
        <f t="shared" si="6"/>
        <v>4384894733</v>
      </c>
      <c r="V13" s="60">
        <f t="shared" si="7"/>
        <v>8186.8833700522782</v>
      </c>
      <c r="W13" s="60">
        <f t="shared" si="8"/>
        <v>8186.8833700522782</v>
      </c>
      <c r="X13" s="369" t="str">
        <f>+IF(W13="","",IF(W13&gt;=[14]PARÁMETROS!$D$5,"CUMPLE","NO CUMPLE"))</f>
        <v>CUMPLE</v>
      </c>
      <c r="Y13" s="143"/>
      <c r="Z13" s="112"/>
    </row>
    <row r="14" spans="1:28" s="79" customFormat="1" ht="72" thickBot="1" x14ac:dyDescent="0.3">
      <c r="A14" s="654"/>
      <c r="B14" s="145" t="s">
        <v>353</v>
      </c>
      <c r="C14" s="411">
        <v>24</v>
      </c>
      <c r="D14" s="146" t="str">
        <f>+IFERROR(INDEX([14]CONSOLIDADO!$D$4:$D$108,MATCH('EXP ESPEC. 41-50'!B14,[14]CONSOLIDADO!$C$4:$C$108,0)),"")</f>
        <v>CANO JIMENEZ ESTUDIOS S.A.</v>
      </c>
      <c r="E14" s="147" t="s">
        <v>22</v>
      </c>
      <c r="F14" s="148" t="s">
        <v>756</v>
      </c>
      <c r="G14" s="370" t="s">
        <v>5</v>
      </c>
      <c r="H14" s="370" t="s">
        <v>5</v>
      </c>
      <c r="I14" s="370" t="s">
        <v>5</v>
      </c>
      <c r="J14" s="370" t="s">
        <v>6</v>
      </c>
      <c r="K14" s="150">
        <v>1</v>
      </c>
      <c r="L14" s="151">
        <v>39906</v>
      </c>
      <c r="M14" s="151">
        <v>41482</v>
      </c>
      <c r="N14" s="152">
        <f t="shared" si="5"/>
        <v>2013</v>
      </c>
      <c r="O14" s="153">
        <f>+IFERROR(INDEX([14]PARÁMETROS!$B$11:$B$37,MATCH(N14,[14]PARÁMETROS!$A$11:$A$37,0)),"")</f>
        <v>589500</v>
      </c>
      <c r="P14" s="154">
        <v>3610468316</v>
      </c>
      <c r="Q14" s="155" t="s">
        <v>20</v>
      </c>
      <c r="R14" s="145" t="s">
        <v>54</v>
      </c>
      <c r="S14" s="156" t="s">
        <v>54</v>
      </c>
      <c r="T14" s="157">
        <v>1</v>
      </c>
      <c r="U14" s="153">
        <f t="shared" si="6"/>
        <v>3610468316</v>
      </c>
      <c r="V14" s="158">
        <f t="shared" si="7"/>
        <v>6124.6281865988121</v>
      </c>
      <c r="W14" s="158">
        <f t="shared" si="8"/>
        <v>6124.6281865988121</v>
      </c>
      <c r="X14" s="370" t="str">
        <f>+IF(W14="","",IF(W14&gt;=[14]PARÁMETROS!$D$5,"CUMPLE","NO CUMPLE"))</f>
        <v>CUMPLE</v>
      </c>
      <c r="Y14" s="160"/>
      <c r="Z14" s="112"/>
    </row>
    <row r="15" spans="1:28" s="79" customFormat="1" ht="71.25" x14ac:dyDescent="0.25">
      <c r="A15" s="652" t="s">
        <v>700</v>
      </c>
      <c r="B15" s="125" t="s">
        <v>354</v>
      </c>
      <c r="C15" s="408">
        <v>3</v>
      </c>
      <c r="D15" s="127" t="str">
        <f>+IFERROR(INDEX([14]CONSOLIDADO!$D$4:$D$108,MATCH('EXP ESPEC. 41-50'!B15,[14]CONSOLIDADO!$C$4:$C$108,0)),"")</f>
        <v>CONSULTORES TECNICOS Y ECONOMICOS S.A.</v>
      </c>
      <c r="E15" s="128" t="s">
        <v>473</v>
      </c>
      <c r="F15" s="129" t="s">
        <v>701</v>
      </c>
      <c r="G15" s="368" t="s">
        <v>5</v>
      </c>
      <c r="H15" s="368" t="s">
        <v>6</v>
      </c>
      <c r="I15" s="368" t="s">
        <v>5</v>
      </c>
      <c r="J15" s="368" t="s">
        <v>6</v>
      </c>
      <c r="K15" s="131">
        <v>0.5</v>
      </c>
      <c r="L15" s="132">
        <v>38034</v>
      </c>
      <c r="M15" s="132">
        <v>40770</v>
      </c>
      <c r="N15" s="133">
        <f t="shared" si="5"/>
        <v>2011</v>
      </c>
      <c r="O15" s="134">
        <f>+IFERROR(INDEX([14]PARÁMETROS!$B$11:$B$37,MATCH(N15,[14]PARÁMETROS!$A$11:$A$37,0)),"")</f>
        <v>535600</v>
      </c>
      <c r="P15" s="135">
        <v>9131630030</v>
      </c>
      <c r="Q15" s="136" t="s">
        <v>20</v>
      </c>
      <c r="R15" s="125" t="s">
        <v>54</v>
      </c>
      <c r="S15" s="137" t="s">
        <v>54</v>
      </c>
      <c r="T15" s="138">
        <v>1</v>
      </c>
      <c r="U15" s="134">
        <f t="shared" si="6"/>
        <v>9131630030</v>
      </c>
      <c r="V15" s="139">
        <f t="shared" si="7"/>
        <v>17049.346583271097</v>
      </c>
      <c r="W15" s="139">
        <f t="shared" si="8"/>
        <v>8524.6732916355486</v>
      </c>
      <c r="X15" s="368" t="str">
        <f>+IF(W15="","",IF(W15&gt;=[14]PARÁMETROS!$D$5,"CUMPLE","NO CUMPLE"))</f>
        <v>CUMPLE</v>
      </c>
      <c r="Y15" s="142"/>
      <c r="Z15" s="112"/>
    </row>
    <row r="16" spans="1:28" s="79" customFormat="1" ht="85.5" x14ac:dyDescent="0.25">
      <c r="A16" s="653"/>
      <c r="B16" s="377" t="s">
        <v>354</v>
      </c>
      <c r="C16" s="409">
        <v>10</v>
      </c>
      <c r="D16" s="65" t="str">
        <f>+IFERROR(INDEX([14]CONSOLIDADO!$D$4:$D$108,MATCH('EXP ESPEC. 41-50'!B16,[14]CONSOLIDADO!$C$4:$C$108,0)),"")</f>
        <v>CONSULTORES TECNICOS Y ECONOMICOS S.A.</v>
      </c>
      <c r="E16" s="66" t="s">
        <v>533</v>
      </c>
      <c r="F16" s="66" t="s">
        <v>705</v>
      </c>
      <c r="G16" s="369" t="s">
        <v>5</v>
      </c>
      <c r="H16" s="369" t="s">
        <v>5</v>
      </c>
      <c r="I16" s="369" t="s">
        <v>5</v>
      </c>
      <c r="J16" s="369" t="s">
        <v>6</v>
      </c>
      <c r="K16" s="80">
        <v>0.75</v>
      </c>
      <c r="L16" s="70">
        <v>38374</v>
      </c>
      <c r="M16" s="70">
        <v>39571</v>
      </c>
      <c r="N16" s="71">
        <f t="shared" si="5"/>
        <v>2008</v>
      </c>
      <c r="O16" s="72">
        <f>+IFERROR(INDEX([14]PARÁMETROS!$B$11:$B$37,MATCH(N16,[14]PARÁMETROS!$A$11:$A$37,0)),"")</f>
        <v>461500</v>
      </c>
      <c r="P16" s="81">
        <v>4505935152</v>
      </c>
      <c r="Q16" s="74" t="s">
        <v>20</v>
      </c>
      <c r="R16" s="377" t="s">
        <v>54</v>
      </c>
      <c r="S16" s="75" t="s">
        <v>54</v>
      </c>
      <c r="T16" s="76">
        <v>1</v>
      </c>
      <c r="U16" s="72">
        <f t="shared" si="6"/>
        <v>4505935152</v>
      </c>
      <c r="V16" s="60">
        <f t="shared" si="7"/>
        <v>9763.6731354279527</v>
      </c>
      <c r="W16" s="60">
        <f t="shared" si="8"/>
        <v>7322.7548515709641</v>
      </c>
      <c r="X16" s="369" t="str">
        <f>+IF(W16="","",IF(W16&gt;=[14]PARÁMETROS!$D$5,"CUMPLE","NO CUMPLE"))</f>
        <v>CUMPLE</v>
      </c>
      <c r="Y16" s="143"/>
      <c r="Z16" s="112"/>
    </row>
    <row r="17" spans="1:26" s="79" customFormat="1" ht="99.75" x14ac:dyDescent="0.25">
      <c r="A17" s="653"/>
      <c r="B17" s="377" t="s">
        <v>354</v>
      </c>
      <c r="C17" s="409">
        <v>15</v>
      </c>
      <c r="D17" s="65" t="str">
        <f>+IFERROR(INDEX([14]CONSOLIDADO!$D$4:$D$108,MATCH('EXP ESPEC. 41-50'!B17,[14]CONSOLIDADO!$C$4:$C$108,0)),"")</f>
        <v>CONSULTORES TECNICOS Y ECONOMICOS S.A.</v>
      </c>
      <c r="E17" s="66" t="s">
        <v>533</v>
      </c>
      <c r="F17" s="67" t="s">
        <v>704</v>
      </c>
      <c r="G17" s="369" t="s">
        <v>5</v>
      </c>
      <c r="H17" s="369" t="s">
        <v>5</v>
      </c>
      <c r="I17" s="369" t="s">
        <v>5</v>
      </c>
      <c r="J17" s="369" t="s">
        <v>6</v>
      </c>
      <c r="K17" s="69">
        <v>0.75</v>
      </c>
      <c r="L17" s="70">
        <v>38177</v>
      </c>
      <c r="M17" s="70">
        <v>38177</v>
      </c>
      <c r="N17" s="71">
        <f t="shared" si="5"/>
        <v>2004</v>
      </c>
      <c r="O17" s="72">
        <f>+IFERROR(INDEX([14]PARÁMETROS!$B$11:$B$37,MATCH(N17,[14]PARÁMETROS!$A$11:$A$37,0)),"")</f>
        <v>358000</v>
      </c>
      <c r="P17" s="73">
        <v>2288853387</v>
      </c>
      <c r="Q17" s="74" t="s">
        <v>20</v>
      </c>
      <c r="R17" s="377" t="s">
        <v>54</v>
      </c>
      <c r="S17" s="75" t="s">
        <v>54</v>
      </c>
      <c r="T17" s="76">
        <v>1</v>
      </c>
      <c r="U17" s="72">
        <f t="shared" si="6"/>
        <v>2288853387</v>
      </c>
      <c r="V17" s="60">
        <f t="shared" si="7"/>
        <v>6393.4452150837988</v>
      </c>
      <c r="W17" s="60">
        <f t="shared" si="8"/>
        <v>4795.0839113128495</v>
      </c>
      <c r="X17" s="369" t="str">
        <f>+IF(W17="","",IF(W17&gt;=[14]PARÁMETROS!$D$5,"CUMPLE","NO CUMPLE"))</f>
        <v>CUMPLE</v>
      </c>
      <c r="Y17" s="143"/>
      <c r="Z17" s="112"/>
    </row>
    <row r="18" spans="1:26" s="79" customFormat="1" ht="63.75" thickBot="1" x14ac:dyDescent="0.3">
      <c r="A18" s="654"/>
      <c r="B18" s="145" t="s">
        <v>354</v>
      </c>
      <c r="C18" s="411">
        <v>26</v>
      </c>
      <c r="D18" s="146" t="str">
        <f>+IFERROR(INDEX([14]CONSOLIDADO!$D$4:$D$108,MATCH('EXP ESPEC. 41-50'!B18,[14]CONSOLIDADO!$C$4:$C$108,0)),"")</f>
        <v>CONSULTORES TECNICOS Y ECONOMICOS S.A.</v>
      </c>
      <c r="E18" s="147" t="s">
        <v>757</v>
      </c>
      <c r="F18" s="271" t="s">
        <v>707</v>
      </c>
      <c r="G18" s="370" t="s">
        <v>5</v>
      </c>
      <c r="H18" s="370" t="s">
        <v>6</v>
      </c>
      <c r="I18" s="370" t="s">
        <v>5</v>
      </c>
      <c r="J18" s="370" t="s">
        <v>6</v>
      </c>
      <c r="K18" s="150">
        <v>0.5</v>
      </c>
      <c r="L18" s="151">
        <v>40329</v>
      </c>
      <c r="M18" s="151">
        <v>41076</v>
      </c>
      <c r="N18" s="152">
        <f t="shared" si="5"/>
        <v>2012</v>
      </c>
      <c r="O18" s="153">
        <f>+IFERROR(INDEX([14]PARÁMETROS!$B$11:$B$37,MATCH(N18,[14]PARÁMETROS!$A$11:$A$37,0)),"")</f>
        <v>566700</v>
      </c>
      <c r="P18" s="154">
        <v>4660189234</v>
      </c>
      <c r="Q18" s="155" t="s">
        <v>20</v>
      </c>
      <c r="R18" s="145" t="s">
        <v>54</v>
      </c>
      <c r="S18" s="156" t="s">
        <v>54</v>
      </c>
      <c r="T18" s="157">
        <v>1</v>
      </c>
      <c r="U18" s="153">
        <f t="shared" si="6"/>
        <v>4660189234</v>
      </c>
      <c r="V18" s="158">
        <f t="shared" si="7"/>
        <v>8223.3796259043593</v>
      </c>
      <c r="W18" s="158">
        <f t="shared" si="8"/>
        <v>4111.6898129521796</v>
      </c>
      <c r="X18" s="370" t="str">
        <f>+IF(W18="","",IF(W18&gt;=[14]PARÁMETROS!$D$5,"CUMPLE","NO CUMPLE"))</f>
        <v>CUMPLE</v>
      </c>
      <c r="Y18" s="160"/>
      <c r="Z18" s="112"/>
    </row>
    <row r="19" spans="1:26" s="79" customFormat="1" ht="114" x14ac:dyDescent="0.25">
      <c r="A19" s="652" t="s">
        <v>711</v>
      </c>
      <c r="B19" s="125" t="s">
        <v>356</v>
      </c>
      <c r="C19" s="408">
        <v>11</v>
      </c>
      <c r="D19" s="127" t="str">
        <f>+IFERROR(INDEX([14]CONSOLIDADO!$D$4:$D$108,MATCH('EXP ESPEC. 41-50'!B19,[14]CONSOLIDADO!$C$4:$C$108,0)),"")</f>
        <v>INTEGRAL DISEÑOS E INTERVENTORIA S.A.S.</v>
      </c>
      <c r="E19" s="128" t="s">
        <v>758</v>
      </c>
      <c r="F19" s="129" t="s">
        <v>759</v>
      </c>
      <c r="G19" s="368" t="s">
        <v>5</v>
      </c>
      <c r="H19" s="368" t="s">
        <v>5</v>
      </c>
      <c r="I19" s="368" t="s">
        <v>5</v>
      </c>
      <c r="J19" s="368" t="s">
        <v>6</v>
      </c>
      <c r="K19" s="131">
        <v>1</v>
      </c>
      <c r="L19" s="132">
        <v>35886</v>
      </c>
      <c r="M19" s="132">
        <v>36953</v>
      </c>
      <c r="N19" s="133">
        <f t="shared" si="5"/>
        <v>2001</v>
      </c>
      <c r="O19" s="134">
        <f>+IFERROR(INDEX([14]PARÁMETROS!$B$11:$B$37,MATCH(N19,[14]PARÁMETROS!$A$11:$A$37,0)),"")</f>
        <v>286000</v>
      </c>
      <c r="P19" s="135">
        <v>2216664177</v>
      </c>
      <c r="Q19" s="136" t="s">
        <v>20</v>
      </c>
      <c r="R19" s="125" t="s">
        <v>54</v>
      </c>
      <c r="S19" s="137" t="s">
        <v>54</v>
      </c>
      <c r="T19" s="138">
        <v>1</v>
      </c>
      <c r="U19" s="134">
        <f t="shared" si="6"/>
        <v>2216664177</v>
      </c>
      <c r="V19" s="139">
        <f t="shared" si="7"/>
        <v>7750.5740454545457</v>
      </c>
      <c r="W19" s="139">
        <f t="shared" si="8"/>
        <v>7750.5740454545457</v>
      </c>
      <c r="X19" s="368" t="str">
        <f>+IF(W19="","",IF(W19&gt;=[14]PARÁMETROS!$D$5,"CUMPLE","NO CUMPLE"))</f>
        <v>CUMPLE</v>
      </c>
      <c r="Y19" s="142"/>
      <c r="Z19" s="112"/>
    </row>
    <row r="20" spans="1:26" s="79" customFormat="1" ht="63" x14ac:dyDescent="0.25">
      <c r="A20" s="653"/>
      <c r="B20" s="377" t="s">
        <v>356</v>
      </c>
      <c r="C20" s="409">
        <v>13</v>
      </c>
      <c r="D20" s="65" t="str">
        <f>+IFERROR(INDEX([14]CONSOLIDADO!$D$4:$D$108,MATCH('EXP ESPEC. 41-50'!B20,[14]CONSOLIDADO!$C$4:$C$108,0)),"")</f>
        <v>INTEGRAL DISEÑOS E INTERVENTORIA S.A.S.</v>
      </c>
      <c r="E20" s="66" t="s">
        <v>702</v>
      </c>
      <c r="F20" s="67" t="s">
        <v>713</v>
      </c>
      <c r="G20" s="369" t="s">
        <v>5</v>
      </c>
      <c r="H20" s="369" t="s">
        <v>6</v>
      </c>
      <c r="I20" s="369" t="s">
        <v>5</v>
      </c>
      <c r="J20" s="369" t="s">
        <v>6</v>
      </c>
      <c r="K20" s="69">
        <v>1</v>
      </c>
      <c r="L20" s="70">
        <v>37792</v>
      </c>
      <c r="M20" s="70">
        <v>38429</v>
      </c>
      <c r="N20" s="71">
        <f t="shared" si="5"/>
        <v>2005</v>
      </c>
      <c r="O20" s="72">
        <f>+IFERROR(INDEX([14]PARÁMETROS!$B$11:$B$37,MATCH(N20,[14]PARÁMETROS!$A$11:$A$37,0)),"")</f>
        <v>381500</v>
      </c>
      <c r="P20" s="73">
        <v>1691644728</v>
      </c>
      <c r="Q20" s="74" t="s">
        <v>20</v>
      </c>
      <c r="R20" s="377" t="s">
        <v>54</v>
      </c>
      <c r="S20" s="75" t="s">
        <v>54</v>
      </c>
      <c r="T20" s="76">
        <v>1</v>
      </c>
      <c r="U20" s="72">
        <f t="shared" si="6"/>
        <v>1691644728</v>
      </c>
      <c r="V20" s="60">
        <f t="shared" si="7"/>
        <v>4434.1932581913497</v>
      </c>
      <c r="W20" s="60">
        <f t="shared" si="8"/>
        <v>4434.1932581913497</v>
      </c>
      <c r="X20" s="369" t="str">
        <f>+IF(W20="","",IF(W20&gt;=[14]PARÁMETROS!$D$5,"CUMPLE","NO CUMPLE"))</f>
        <v>CUMPLE</v>
      </c>
      <c r="Y20" s="143"/>
      <c r="Z20" s="112"/>
    </row>
    <row r="21" spans="1:26" s="79" customFormat="1" ht="171" x14ac:dyDescent="0.25">
      <c r="A21" s="653"/>
      <c r="B21" s="377" t="s">
        <v>356</v>
      </c>
      <c r="C21" s="409">
        <v>20</v>
      </c>
      <c r="D21" s="65" t="str">
        <f>+IFERROR(INDEX([14]CONSOLIDADO!$D$4:$D$108,MATCH('EXP ESPEC. 41-50'!B21,[14]CONSOLIDADO!$C$4:$C$108,0)),"")</f>
        <v>INTEGRAL DISEÑOS E INTERVENTORIA S.A.S.</v>
      </c>
      <c r="E21" s="66" t="s">
        <v>760</v>
      </c>
      <c r="F21" s="67" t="s">
        <v>761</v>
      </c>
      <c r="G21" s="369" t="s">
        <v>5</v>
      </c>
      <c r="H21" s="369" t="s">
        <v>5</v>
      </c>
      <c r="I21" s="369" t="s">
        <v>5</v>
      </c>
      <c r="J21" s="369" t="s">
        <v>6</v>
      </c>
      <c r="K21" s="69">
        <v>1</v>
      </c>
      <c r="L21" s="70">
        <v>41204</v>
      </c>
      <c r="M21" s="70">
        <v>42215</v>
      </c>
      <c r="N21" s="71">
        <f t="shared" si="5"/>
        <v>2015</v>
      </c>
      <c r="O21" s="72">
        <f>+IFERROR(INDEX([14]PARÁMETROS!$B$11:$B$37,MATCH(N21,[14]PARÁMETROS!$A$11:$A$37,0)),"")</f>
        <v>644350</v>
      </c>
      <c r="P21" s="73">
        <v>5638074758</v>
      </c>
      <c r="Q21" s="74" t="s">
        <v>20</v>
      </c>
      <c r="R21" s="377" t="s">
        <v>54</v>
      </c>
      <c r="S21" s="75" t="s">
        <v>54</v>
      </c>
      <c r="T21" s="76">
        <v>1</v>
      </c>
      <c r="U21" s="72">
        <f t="shared" si="6"/>
        <v>5638074758</v>
      </c>
      <c r="V21" s="60">
        <f t="shared" si="7"/>
        <v>8750.0190238224568</v>
      </c>
      <c r="W21" s="60">
        <f t="shared" si="8"/>
        <v>8750.0190238224568</v>
      </c>
      <c r="X21" s="369" t="str">
        <f>+IF(W21="","",IF(W21&gt;=[14]PARÁMETROS!$D$5,"CUMPLE","NO CUMPLE"))</f>
        <v>CUMPLE</v>
      </c>
      <c r="Y21" s="143"/>
      <c r="Z21" s="112"/>
    </row>
    <row r="22" spans="1:26" s="88" customFormat="1" ht="72" thickBot="1" x14ac:dyDescent="0.3">
      <c r="A22" s="654"/>
      <c r="B22" s="145" t="s">
        <v>356</v>
      </c>
      <c r="C22" s="411">
        <v>23</v>
      </c>
      <c r="D22" s="146" t="str">
        <f>+IFERROR(INDEX([14]CONSOLIDADO!$D$4:$D$108,MATCH('EXP ESPEC. 41-50'!B22,[14]CONSOLIDADO!$C$4:$C$108,0)),"")</f>
        <v>INTEGRAL DISEÑOS E INTERVENTORIA S.A.S.</v>
      </c>
      <c r="E22" s="147" t="s">
        <v>762</v>
      </c>
      <c r="F22" s="148" t="s">
        <v>715</v>
      </c>
      <c r="G22" s="370" t="s">
        <v>5</v>
      </c>
      <c r="H22" s="370" t="s">
        <v>6</v>
      </c>
      <c r="I22" s="370" t="s">
        <v>5</v>
      </c>
      <c r="J22" s="370" t="s">
        <v>6</v>
      </c>
      <c r="K22" s="150">
        <v>1</v>
      </c>
      <c r="L22" s="151">
        <v>37453</v>
      </c>
      <c r="M22" s="151">
        <v>38087</v>
      </c>
      <c r="N22" s="152">
        <f t="shared" si="5"/>
        <v>2004</v>
      </c>
      <c r="O22" s="153">
        <f>+IFERROR(INDEX([14]PARÁMETROS!$B$11:$B$37,MATCH(N22,[14]PARÁMETROS!$A$11:$A$37,0)),"")</f>
        <v>358000</v>
      </c>
      <c r="P22" s="154">
        <v>2256694426</v>
      </c>
      <c r="Q22" s="155" t="s">
        <v>20</v>
      </c>
      <c r="R22" s="145" t="s">
        <v>54</v>
      </c>
      <c r="S22" s="156" t="s">
        <v>54</v>
      </c>
      <c r="T22" s="157">
        <v>1</v>
      </c>
      <c r="U22" s="153">
        <f t="shared" si="6"/>
        <v>2256694426</v>
      </c>
      <c r="V22" s="158">
        <f t="shared" si="7"/>
        <v>6303.6157150837989</v>
      </c>
      <c r="W22" s="158">
        <f t="shared" si="8"/>
        <v>6303.6157150837989</v>
      </c>
      <c r="X22" s="370" t="str">
        <f>+IF(W22="","",IF(W22&gt;=[14]PARÁMETROS!$D$5,"CUMPLE","NO CUMPLE"))</f>
        <v>CUMPLE</v>
      </c>
      <c r="Y22" s="160"/>
      <c r="Z22" s="166"/>
    </row>
    <row r="23" spans="1:26" s="79" customFormat="1" ht="42.75" x14ac:dyDescent="0.25">
      <c r="A23" s="652" t="s">
        <v>719</v>
      </c>
      <c r="B23" s="125" t="s">
        <v>357</v>
      </c>
      <c r="C23" s="408">
        <v>4</v>
      </c>
      <c r="D23" s="127" t="str">
        <f>+IFERROR(INDEX([14]CONSOLIDADO!$D$4:$D$108,MATCH('EXP ESPEC. 41-50'!B23,[14]CONSOLIDADO!$C$4:$C$108,0)),"")</f>
        <v>INGETEC G &amp; C</v>
      </c>
      <c r="E23" s="128" t="s">
        <v>702</v>
      </c>
      <c r="F23" s="129" t="s">
        <v>720</v>
      </c>
      <c r="G23" s="368" t="s">
        <v>5</v>
      </c>
      <c r="H23" s="368" t="s">
        <v>6</v>
      </c>
      <c r="I23" s="368" t="s">
        <v>5</v>
      </c>
      <c r="J23" s="368" t="s">
        <v>6</v>
      </c>
      <c r="K23" s="131">
        <v>1</v>
      </c>
      <c r="L23" s="383">
        <v>36523</v>
      </c>
      <c r="M23" s="383">
        <v>37769</v>
      </c>
      <c r="N23" s="133">
        <f t="shared" si="5"/>
        <v>2003</v>
      </c>
      <c r="O23" s="134">
        <f>+IFERROR(INDEX([14]PARÁMETROS!$B$11:$B$37,MATCH(N23,[14]PARÁMETROS!$A$11:$A$37,0)),"")</f>
        <v>332000</v>
      </c>
      <c r="P23" s="392">
        <v>2582274473</v>
      </c>
      <c r="Q23" s="136" t="s">
        <v>20</v>
      </c>
      <c r="R23" s="125" t="s">
        <v>54</v>
      </c>
      <c r="S23" s="137" t="s">
        <v>54</v>
      </c>
      <c r="T23" s="138">
        <v>1</v>
      </c>
      <c r="U23" s="134">
        <f t="shared" si="6"/>
        <v>2582274473</v>
      </c>
      <c r="V23" s="139">
        <f t="shared" si="7"/>
        <v>7777.9351596385541</v>
      </c>
      <c r="W23" s="139">
        <f t="shared" si="8"/>
        <v>7777.9351596385541</v>
      </c>
      <c r="X23" s="368" t="str">
        <f>+IF(W23="","",IF(W23&gt;=[14]PARÁMETROS!$D$5,"CUMPLE","NO CUMPLE"))</f>
        <v>CUMPLE</v>
      </c>
      <c r="Y23" s="142"/>
      <c r="Z23" s="112"/>
    </row>
    <row r="24" spans="1:26" s="79" customFormat="1" ht="57" x14ac:dyDescent="0.25">
      <c r="A24" s="653"/>
      <c r="B24" s="377" t="s">
        <v>357</v>
      </c>
      <c r="C24" s="409">
        <v>8</v>
      </c>
      <c r="D24" s="65" t="str">
        <f>+IFERROR(INDEX([14]CONSOLIDADO!$D$4:$D$108,MATCH('EXP ESPEC. 41-50'!B24,[14]CONSOLIDADO!$C$4:$C$108,0)),"")</f>
        <v>INGETEC G &amp; C</v>
      </c>
      <c r="E24" s="66" t="s">
        <v>473</v>
      </c>
      <c r="F24" s="67" t="s">
        <v>763</v>
      </c>
      <c r="G24" s="369" t="s">
        <v>5</v>
      </c>
      <c r="H24" s="369" t="s">
        <v>5</v>
      </c>
      <c r="I24" s="369" t="s">
        <v>5</v>
      </c>
      <c r="J24" s="369" t="s">
        <v>6</v>
      </c>
      <c r="K24" s="69">
        <v>0.65</v>
      </c>
      <c r="L24" s="385">
        <v>37986</v>
      </c>
      <c r="M24" s="385">
        <v>40748</v>
      </c>
      <c r="N24" s="71">
        <f t="shared" si="5"/>
        <v>2011</v>
      </c>
      <c r="O24" s="72">
        <f>+IFERROR(INDEX([14]PARÁMETROS!$B$11:$B$37,MATCH(N24,[14]PARÁMETROS!$A$11:$A$37,0)),"")</f>
        <v>535600</v>
      </c>
      <c r="P24" s="393">
        <v>6087540759</v>
      </c>
      <c r="Q24" s="74" t="s">
        <v>20</v>
      </c>
      <c r="R24" s="377" t="s">
        <v>54</v>
      </c>
      <c r="S24" s="75" t="s">
        <v>54</v>
      </c>
      <c r="T24" s="76">
        <v>1</v>
      </c>
      <c r="U24" s="72">
        <f t="shared" si="6"/>
        <v>6087540759</v>
      </c>
      <c r="V24" s="60">
        <f t="shared" si="7"/>
        <v>11365.834128080658</v>
      </c>
      <c r="W24" s="60">
        <f t="shared" si="8"/>
        <v>7387.792183252428</v>
      </c>
      <c r="X24" s="369" t="str">
        <f>+IF(W24="","",IF(W24&gt;=[14]PARÁMETROS!$D$5,"CUMPLE","NO CUMPLE"))</f>
        <v>CUMPLE</v>
      </c>
      <c r="Y24" s="143"/>
      <c r="Z24" s="112"/>
    </row>
    <row r="25" spans="1:26" s="79" customFormat="1" ht="47.25" x14ac:dyDescent="0.25">
      <c r="A25" s="653"/>
      <c r="B25" s="377" t="s">
        <v>357</v>
      </c>
      <c r="C25" s="409">
        <v>14</v>
      </c>
      <c r="D25" s="65" t="str">
        <f>+IFERROR(INDEX([14]CONSOLIDADO!$D$4:$D$108,MATCH('EXP ESPEC. 41-50'!B25,[14]CONSOLIDADO!$C$4:$C$108,0)),"")</f>
        <v>INGETEC G &amp; C</v>
      </c>
      <c r="E25" s="82" t="s">
        <v>702</v>
      </c>
      <c r="F25" s="82" t="s">
        <v>721</v>
      </c>
      <c r="G25" s="369" t="s">
        <v>5</v>
      </c>
      <c r="H25" s="369" t="s">
        <v>6</v>
      </c>
      <c r="I25" s="369" t="s">
        <v>5</v>
      </c>
      <c r="J25" s="369" t="s">
        <v>6</v>
      </c>
      <c r="K25" s="83">
        <v>1</v>
      </c>
      <c r="L25" s="385">
        <v>38366</v>
      </c>
      <c r="M25" s="385">
        <v>39064</v>
      </c>
      <c r="N25" s="71">
        <f t="shared" si="5"/>
        <v>2006</v>
      </c>
      <c r="O25" s="72">
        <f>+IFERROR(INDEX([14]PARÁMETROS!$B$11:$B$37,MATCH(N25,[14]PARÁMETROS!$A$11:$A$37,0)),"")</f>
        <v>408000</v>
      </c>
      <c r="P25" s="393">
        <v>1473683024</v>
      </c>
      <c r="Q25" s="74" t="s">
        <v>20</v>
      </c>
      <c r="R25" s="377" t="s">
        <v>54</v>
      </c>
      <c r="S25" s="75" t="s">
        <v>54</v>
      </c>
      <c r="T25" s="76">
        <v>1</v>
      </c>
      <c r="U25" s="72">
        <f t="shared" si="6"/>
        <v>1473683024</v>
      </c>
      <c r="V25" s="60">
        <f t="shared" si="7"/>
        <v>3611.9681960784314</v>
      </c>
      <c r="W25" s="60">
        <f t="shared" si="8"/>
        <v>3611.9681960784314</v>
      </c>
      <c r="X25" s="369" t="str">
        <f>+IF(W25="","",IF(W25&gt;=[14]PARÁMETROS!$D$5,"CUMPLE","NO CUMPLE"))</f>
        <v>CUMPLE</v>
      </c>
      <c r="Y25" s="174"/>
      <c r="Z25" s="112"/>
    </row>
    <row r="26" spans="1:26" s="79" customFormat="1" ht="86.25" thickBot="1" x14ac:dyDescent="0.3">
      <c r="A26" s="654"/>
      <c r="B26" s="145" t="s">
        <v>358</v>
      </c>
      <c r="C26" s="411">
        <v>17</v>
      </c>
      <c r="D26" s="146" t="str">
        <f>+IFERROR(INDEX([14]CONSOLIDADO!$D$4:$D$108,MATCH('EXP ESPEC. 41-50'!B26,[14]CONSOLIDADO!$C$4:$C$108,0)),"")</f>
        <v>CEAS</v>
      </c>
      <c r="E26" s="147" t="s">
        <v>702</v>
      </c>
      <c r="F26" s="148" t="s">
        <v>764</v>
      </c>
      <c r="G26" s="370" t="s">
        <v>5</v>
      </c>
      <c r="H26" s="370" t="s">
        <v>6</v>
      </c>
      <c r="I26" s="370" t="s">
        <v>5</v>
      </c>
      <c r="J26" s="370" t="s">
        <v>6</v>
      </c>
      <c r="K26" s="402">
        <v>0.75</v>
      </c>
      <c r="L26" s="403">
        <v>38678</v>
      </c>
      <c r="M26" s="404">
        <v>39690</v>
      </c>
      <c r="N26" s="152">
        <f t="shared" si="5"/>
        <v>2008</v>
      </c>
      <c r="O26" s="153">
        <f>+IFERROR(INDEX([14]PARÁMETROS!$B$11:$B$37,MATCH(N26,[14]PARÁMETROS!$A$11:$A$37,0)),"")</f>
        <v>461500</v>
      </c>
      <c r="P26" s="405">
        <v>1702409736</v>
      </c>
      <c r="Q26" s="155" t="s">
        <v>20</v>
      </c>
      <c r="R26" s="155" t="s">
        <v>54</v>
      </c>
      <c r="S26" s="155" t="s">
        <v>54</v>
      </c>
      <c r="T26" s="155">
        <v>1</v>
      </c>
      <c r="U26" s="153">
        <f t="shared" si="6"/>
        <v>1702409736</v>
      </c>
      <c r="V26" s="158">
        <f t="shared" si="7"/>
        <v>3688.8618331527628</v>
      </c>
      <c r="W26" s="158">
        <f t="shared" si="8"/>
        <v>2766.646374864572</v>
      </c>
      <c r="X26" s="370" t="str">
        <f>+IF(W26="","",IF(W26&gt;=[14]PARÁMETROS!$D$5,"CUMPLE","NO CUMPLE"))</f>
        <v>CUMPLE</v>
      </c>
      <c r="Y26" s="160"/>
      <c r="Z26" s="112"/>
    </row>
    <row r="27" spans="1:26" s="79" customFormat="1" ht="63" x14ac:dyDescent="0.25">
      <c r="A27" s="652" t="s">
        <v>727</v>
      </c>
      <c r="B27" s="128" t="s">
        <v>360</v>
      </c>
      <c r="C27" s="408">
        <v>4</v>
      </c>
      <c r="D27" s="127" t="str">
        <f>+IFERROR(INDEX([14]CONSOLIDADO!$D$4:$D$108,MATCH('EXP ESPEC. 41-50'!B27,[14]CONSOLIDADO!$C$4:$C$108,0)),"")</f>
        <v>SONDEOS ESTRUCTURAS Y GEOTECNIA SUCURSAL S.A.</v>
      </c>
      <c r="E27" s="128" t="s">
        <v>765</v>
      </c>
      <c r="F27" s="129" t="s">
        <v>766</v>
      </c>
      <c r="G27" s="368" t="s">
        <v>5</v>
      </c>
      <c r="H27" s="368" t="s">
        <v>6</v>
      </c>
      <c r="I27" s="368" t="s">
        <v>5</v>
      </c>
      <c r="J27" s="368" t="s">
        <v>6</v>
      </c>
      <c r="K27" s="131">
        <v>0.25</v>
      </c>
      <c r="L27" s="379">
        <v>40487</v>
      </c>
      <c r="M27" s="379">
        <v>42369</v>
      </c>
      <c r="N27" s="133">
        <f t="shared" si="5"/>
        <v>2015</v>
      </c>
      <c r="O27" s="134">
        <f>+IFERROR(INDEX([14]PARÁMETROS!$B$11:$B$37,MATCH(N27,[14]PARÁMETROS!$A$11:$A$37,0)),"")</f>
        <v>644350</v>
      </c>
      <c r="P27" s="380">
        <v>25305101612</v>
      </c>
      <c r="Q27" s="136" t="s">
        <v>20</v>
      </c>
      <c r="R27" s="125"/>
      <c r="S27" s="137"/>
      <c r="T27" s="138">
        <v>1</v>
      </c>
      <c r="U27" s="134">
        <f t="shared" si="6"/>
        <v>25305101612</v>
      </c>
      <c r="V27" s="139">
        <f t="shared" si="7"/>
        <v>39272.292406300927</v>
      </c>
      <c r="W27" s="139">
        <f t="shared" si="8"/>
        <v>9818.0731015752317</v>
      </c>
      <c r="X27" s="368" t="str">
        <f>+IF(W27="","",IF(W27&gt;=[14]PARÁMETROS!$D$5,"CUMPLE","NO CUMPLE"))</f>
        <v>CUMPLE</v>
      </c>
      <c r="Y27" s="142"/>
      <c r="Z27" s="112"/>
    </row>
    <row r="28" spans="1:26" s="79" customFormat="1" ht="63" x14ac:dyDescent="0.25">
      <c r="A28" s="653"/>
      <c r="B28" s="66" t="s">
        <v>360</v>
      </c>
      <c r="C28" s="409">
        <v>11</v>
      </c>
      <c r="D28" s="65" t="str">
        <f>+IFERROR(INDEX([14]CONSOLIDADO!$D$4:$D$108,MATCH('EXP ESPEC. 41-50'!B28,[14]CONSOLIDADO!$C$4:$C$108,0)),"")</f>
        <v>SONDEOS ESTRUCTURAS Y GEOTECNIA SUCURSAL S.A.</v>
      </c>
      <c r="E28" s="66" t="s">
        <v>731</v>
      </c>
      <c r="F28" s="67" t="s">
        <v>767</v>
      </c>
      <c r="G28" s="369" t="s">
        <v>5</v>
      </c>
      <c r="H28" s="369" t="s">
        <v>6</v>
      </c>
      <c r="I28" s="369" t="s">
        <v>5</v>
      </c>
      <c r="J28" s="369" t="s">
        <v>6</v>
      </c>
      <c r="K28" s="69">
        <v>0.5</v>
      </c>
      <c r="L28" s="381">
        <v>38811</v>
      </c>
      <c r="M28" s="381">
        <v>39792</v>
      </c>
      <c r="N28" s="71">
        <f t="shared" si="5"/>
        <v>2008</v>
      </c>
      <c r="O28" s="72">
        <f>+IFERROR(INDEX([14]PARÁMETROS!$B$11:$B$37,MATCH(N28,[14]PARÁMETROS!$A$11:$A$37,0)),"")</f>
        <v>461500</v>
      </c>
      <c r="P28" s="382">
        <v>3195934611</v>
      </c>
      <c r="Q28" s="74" t="s">
        <v>730</v>
      </c>
      <c r="R28" s="377">
        <v>2311.6999999999998</v>
      </c>
      <c r="S28" s="75">
        <f>1072506.71*1.2989</f>
        <v>1393078.9656189999</v>
      </c>
      <c r="T28" s="76">
        <v>1</v>
      </c>
      <c r="U28" s="72">
        <f t="shared" si="6"/>
        <v>3195934611</v>
      </c>
      <c r="V28" s="60">
        <f t="shared" si="7"/>
        <v>6925.102082340195</v>
      </c>
      <c r="W28" s="60">
        <f t="shared" si="8"/>
        <v>3462.5510411700975</v>
      </c>
      <c r="X28" s="369" t="str">
        <f>+IF(W28="","",IF(W28&gt;=[14]PARÁMETROS!$D$5,"CUMPLE","NO CUMPLE"))</f>
        <v>CUMPLE</v>
      </c>
      <c r="Y28" s="143"/>
      <c r="Z28" s="112"/>
    </row>
    <row r="29" spans="1:26" s="79" customFormat="1" ht="71.25" x14ac:dyDescent="0.25">
      <c r="A29" s="653"/>
      <c r="B29" s="66" t="s">
        <v>360</v>
      </c>
      <c r="C29" s="409">
        <v>20</v>
      </c>
      <c r="D29" s="65" t="str">
        <f>+IFERROR(INDEX([14]CONSOLIDADO!$D$4:$D$108,MATCH('EXP ESPEC. 41-50'!B29,[14]CONSOLIDADO!$C$4:$C$108,0)),"")</f>
        <v>SONDEOS ESTRUCTURAS Y GEOTECNIA SUCURSAL S.A.</v>
      </c>
      <c r="E29" s="66" t="s">
        <v>731</v>
      </c>
      <c r="F29" s="67" t="s">
        <v>768</v>
      </c>
      <c r="G29" s="369" t="s">
        <v>5</v>
      </c>
      <c r="H29" s="369" t="s">
        <v>6</v>
      </c>
      <c r="I29" s="369" t="s">
        <v>5</v>
      </c>
      <c r="J29" s="369" t="s">
        <v>6</v>
      </c>
      <c r="K29" s="69">
        <v>0.5</v>
      </c>
      <c r="L29" s="381">
        <v>37939</v>
      </c>
      <c r="M29" s="381">
        <v>39339</v>
      </c>
      <c r="N29" s="71">
        <f t="shared" si="5"/>
        <v>2007</v>
      </c>
      <c r="O29" s="72">
        <f>+IFERROR(INDEX([14]PARÁMETROS!$B$11:$B$37,MATCH(N29,[14]PARÁMETROS!$A$11:$A$37,0)),"")</f>
        <v>433700</v>
      </c>
      <c r="P29" s="382">
        <v>7566557408</v>
      </c>
      <c r="Q29" s="74" t="s">
        <v>730</v>
      </c>
      <c r="R29" s="377">
        <v>2157.75</v>
      </c>
      <c r="S29" s="75">
        <f>2523923.36*1.3849</f>
        <v>3495381.4612639998</v>
      </c>
      <c r="T29" s="76">
        <v>1</v>
      </c>
      <c r="U29" s="72">
        <f t="shared" si="6"/>
        <v>7566557408</v>
      </c>
      <c r="V29" s="60">
        <f t="shared" si="7"/>
        <v>17446.523882868343</v>
      </c>
      <c r="W29" s="60">
        <f t="shared" si="8"/>
        <v>8723.2619414341716</v>
      </c>
      <c r="X29" s="369" t="str">
        <f>+IF(W29="","",IF(W29&gt;=[14]PARÁMETROS!$D$5,"CUMPLE","NO CUMPLE"))</f>
        <v>CUMPLE</v>
      </c>
      <c r="Y29" s="143"/>
      <c r="Z29" s="112"/>
    </row>
    <row r="30" spans="1:26" s="79" customFormat="1" ht="79.5" thickBot="1" x14ac:dyDescent="0.3">
      <c r="A30" s="654"/>
      <c r="B30" s="147" t="s">
        <v>359</v>
      </c>
      <c r="C30" s="411">
        <v>31</v>
      </c>
      <c r="D30" s="146" t="str">
        <f>+IFERROR(INDEX([14]CONSOLIDADO!$D$4:$D$108,MATCH('EXP ESPEC. 41-50'!B30,[14]CONSOLIDADO!$C$4:$C$108,0)),"")</f>
        <v>INGENIERIA CONSULTORIA Y PLANEACION S.A. INCOPLAN S.A.</v>
      </c>
      <c r="E30" s="147" t="s">
        <v>735</v>
      </c>
      <c r="F30" s="148" t="s">
        <v>769</v>
      </c>
      <c r="G30" s="370" t="s">
        <v>6</v>
      </c>
      <c r="H30" s="370" t="s">
        <v>5</v>
      </c>
      <c r="I30" s="370" t="s">
        <v>5</v>
      </c>
      <c r="J30" s="370" t="s">
        <v>6</v>
      </c>
      <c r="K30" s="150">
        <v>0.45</v>
      </c>
      <c r="L30" s="394">
        <v>40954</v>
      </c>
      <c r="M30" s="394">
        <v>42331</v>
      </c>
      <c r="N30" s="152">
        <f t="shared" si="5"/>
        <v>2015</v>
      </c>
      <c r="O30" s="153">
        <f>+IFERROR(INDEX([14]PARÁMETROS!$B$11:$B$37,MATCH(N30,[14]PARÁMETROS!$A$11:$A$37,0)),"")</f>
        <v>644350</v>
      </c>
      <c r="P30" s="395">
        <v>6670475572</v>
      </c>
      <c r="Q30" s="155" t="s">
        <v>20</v>
      </c>
      <c r="R30" s="145" t="s">
        <v>54</v>
      </c>
      <c r="S30" s="156" t="s">
        <v>54</v>
      </c>
      <c r="T30" s="157">
        <v>1</v>
      </c>
      <c r="U30" s="153">
        <f t="shared" si="6"/>
        <v>6670475572</v>
      </c>
      <c r="V30" s="158">
        <f t="shared" si="7"/>
        <v>10352.255097384961</v>
      </c>
      <c r="W30" s="158">
        <f t="shared" si="8"/>
        <v>4658.514793823233</v>
      </c>
      <c r="X30" s="370" t="str">
        <f>+IF(W30="","",IF(W30&gt;=[14]PARÁMETROS!$D$5,"CUMPLE","NO CUMPLE"))</f>
        <v>CUMPLE</v>
      </c>
      <c r="Y30" s="160"/>
      <c r="Z30" s="112"/>
    </row>
    <row r="31" spans="1:26" s="79" customFormat="1" ht="85.5" x14ac:dyDescent="0.25">
      <c r="A31" s="652" t="s">
        <v>737</v>
      </c>
      <c r="B31" s="125" t="s">
        <v>361</v>
      </c>
      <c r="C31" s="408">
        <v>5</v>
      </c>
      <c r="D31" s="127" t="str">
        <f>+IFERROR(INDEX([14]CONSOLIDADO!$D$4:$D$108,MATCH('EXP ESPEC. 41-50'!B31,[14]CONSOLIDADO!$C$4:$C$108,0)),"")</f>
        <v>HMV CONSULTORIA</v>
      </c>
      <c r="E31" s="128" t="s">
        <v>770</v>
      </c>
      <c r="F31" s="129" t="s">
        <v>771</v>
      </c>
      <c r="G31" s="368" t="s">
        <v>5</v>
      </c>
      <c r="H31" s="368" t="s">
        <v>5</v>
      </c>
      <c r="I31" s="368" t="s">
        <v>5</v>
      </c>
      <c r="J31" s="368" t="s">
        <v>6</v>
      </c>
      <c r="K31" s="131">
        <v>1</v>
      </c>
      <c r="L31" s="383">
        <v>37204</v>
      </c>
      <c r="M31" s="383">
        <v>38299</v>
      </c>
      <c r="N31" s="133">
        <f t="shared" si="5"/>
        <v>2004</v>
      </c>
      <c r="O31" s="134">
        <f>+IFERROR(INDEX([14]PARÁMETROS!$B$11:$B$37,MATCH(N31,[14]PARÁMETROS!$A$11:$A$37,0)),"")</f>
        <v>358000</v>
      </c>
      <c r="P31" s="384">
        <v>1278307085</v>
      </c>
      <c r="Q31" s="136" t="s">
        <v>20</v>
      </c>
      <c r="R31" s="125" t="s">
        <v>54</v>
      </c>
      <c r="S31" s="137" t="s">
        <v>54</v>
      </c>
      <c r="T31" s="138">
        <v>1</v>
      </c>
      <c r="U31" s="134">
        <f t="shared" si="6"/>
        <v>1278307085</v>
      </c>
      <c r="V31" s="139">
        <f t="shared" si="7"/>
        <v>3570.6901815642459</v>
      </c>
      <c r="W31" s="139">
        <f t="shared" si="8"/>
        <v>3570.6901815642459</v>
      </c>
      <c r="X31" s="368" t="str">
        <f>+IF(W31="","",IF(W31&gt;=[14]PARÁMETROS!$D$5,"CUMPLE","NO CUMPLE"))</f>
        <v>CUMPLE</v>
      </c>
      <c r="Y31" s="142"/>
      <c r="Z31" s="112"/>
    </row>
    <row r="32" spans="1:26" s="79" customFormat="1" ht="57" x14ac:dyDescent="0.25">
      <c r="A32" s="653"/>
      <c r="B32" s="377" t="s">
        <v>361</v>
      </c>
      <c r="C32" s="409">
        <v>19</v>
      </c>
      <c r="D32" s="65" t="str">
        <f>+IFERROR(INDEX([14]CONSOLIDADO!$D$4:$D$108,MATCH('EXP ESPEC. 41-50'!B32,[14]CONSOLIDADO!$C$4:$C$108,0)),"")</f>
        <v>HMV CONSULTORIA</v>
      </c>
      <c r="E32" s="66" t="s">
        <v>738</v>
      </c>
      <c r="F32" s="67" t="s">
        <v>744</v>
      </c>
      <c r="G32" s="369" t="s">
        <v>5</v>
      </c>
      <c r="H32" s="369" t="s">
        <v>6</v>
      </c>
      <c r="I32" s="369" t="s">
        <v>5</v>
      </c>
      <c r="J32" s="369" t="s">
        <v>6</v>
      </c>
      <c r="K32" s="69">
        <v>0.5</v>
      </c>
      <c r="L32" s="385">
        <v>36312</v>
      </c>
      <c r="M32" s="385">
        <v>37833</v>
      </c>
      <c r="N32" s="71">
        <f t="shared" si="5"/>
        <v>2003</v>
      </c>
      <c r="O32" s="72">
        <f>+IFERROR(INDEX([14]PARÁMETROS!$B$11:$B$37,MATCH(N32,[14]PARÁMETROS!$A$11:$A$37,0)),"")</f>
        <v>332000</v>
      </c>
      <c r="P32" s="386">
        <v>5331439397</v>
      </c>
      <c r="Q32" s="74" t="s">
        <v>20</v>
      </c>
      <c r="R32" s="377" t="s">
        <v>54</v>
      </c>
      <c r="S32" s="75" t="s">
        <v>54</v>
      </c>
      <c r="T32" s="76">
        <v>1</v>
      </c>
      <c r="U32" s="72">
        <f t="shared" si="6"/>
        <v>5331439397</v>
      </c>
      <c r="V32" s="60">
        <f t="shared" si="7"/>
        <v>16058.55240060241</v>
      </c>
      <c r="W32" s="60">
        <f t="shared" si="8"/>
        <v>8029.2762003012049</v>
      </c>
      <c r="X32" s="369" t="str">
        <f>+IF(W32="","",IF(W32&gt;=[14]PARÁMETROS!$D$5,"CUMPLE","NO CUMPLE"))</f>
        <v>CUMPLE</v>
      </c>
      <c r="Y32" s="143"/>
      <c r="Z32" s="112"/>
    </row>
    <row r="33" spans="1:26" s="79" customFormat="1" ht="57" x14ac:dyDescent="0.25">
      <c r="A33" s="653"/>
      <c r="B33" s="377" t="s">
        <v>361</v>
      </c>
      <c r="C33" s="409">
        <v>25</v>
      </c>
      <c r="D33" s="65" t="str">
        <f>+IFERROR(INDEX([14]CONSOLIDADO!$D$4:$D$108,MATCH('EXP ESPEC. 41-50'!B33,[14]CONSOLIDADO!$C$4:$C$108,0)),"")</f>
        <v>HMV CONSULTORIA</v>
      </c>
      <c r="E33" s="66" t="s">
        <v>738</v>
      </c>
      <c r="F33" s="67" t="s">
        <v>739</v>
      </c>
      <c r="G33" s="369" t="s">
        <v>5</v>
      </c>
      <c r="H33" s="369" t="s">
        <v>6</v>
      </c>
      <c r="I33" s="369" t="s">
        <v>5</v>
      </c>
      <c r="J33" s="369" t="s">
        <v>6</v>
      </c>
      <c r="K33" s="69">
        <v>1</v>
      </c>
      <c r="L33" s="385">
        <v>38323</v>
      </c>
      <c r="M33" s="385">
        <v>40694</v>
      </c>
      <c r="N33" s="71">
        <f t="shared" si="5"/>
        <v>2011</v>
      </c>
      <c r="O33" s="72">
        <f>+IFERROR(INDEX([14]PARÁMETROS!$B$11:$B$37,MATCH(N33,[14]PARÁMETROS!$A$11:$A$37,0)),"")</f>
        <v>535600</v>
      </c>
      <c r="P33" s="386">
        <v>8415351165</v>
      </c>
      <c r="Q33" s="74" t="s">
        <v>20</v>
      </c>
      <c r="R33" s="377" t="s">
        <v>54</v>
      </c>
      <c r="S33" s="75" t="s">
        <v>54</v>
      </c>
      <c r="T33" s="76">
        <v>1</v>
      </c>
      <c r="U33" s="72">
        <f t="shared" si="6"/>
        <v>8415351165</v>
      </c>
      <c r="V33" s="60">
        <f t="shared" si="7"/>
        <v>15712.007402912621</v>
      </c>
      <c r="W33" s="60">
        <f t="shared" si="8"/>
        <v>15712.007402912621</v>
      </c>
      <c r="X33" s="369" t="str">
        <f>+IF(W33="","",IF(W33&gt;=[14]PARÁMETROS!$D$5,"CUMPLE","NO CUMPLE"))</f>
        <v>CUMPLE</v>
      </c>
      <c r="Y33" s="143"/>
      <c r="Z33" s="112"/>
    </row>
    <row r="34" spans="1:26" s="79" customFormat="1" ht="57.75" thickBot="1" x14ac:dyDescent="0.3">
      <c r="A34" s="654"/>
      <c r="B34" s="145" t="s">
        <v>361</v>
      </c>
      <c r="C34" s="411">
        <v>32</v>
      </c>
      <c r="D34" s="146" t="str">
        <f>+IFERROR(INDEX([14]CONSOLIDADO!$D$4:$D$108,MATCH('EXP ESPEC. 41-50'!B34,[14]CONSOLIDADO!$C$4:$C$108,0)),"")</f>
        <v>HMV CONSULTORIA</v>
      </c>
      <c r="E34" s="306" t="s">
        <v>740</v>
      </c>
      <c r="F34" s="397" t="s">
        <v>741</v>
      </c>
      <c r="G34" s="370" t="s">
        <v>5</v>
      </c>
      <c r="H34" s="370" t="s">
        <v>6</v>
      </c>
      <c r="I34" s="370" t="s">
        <v>5</v>
      </c>
      <c r="J34" s="370" t="s">
        <v>6</v>
      </c>
      <c r="K34" s="398">
        <v>1</v>
      </c>
      <c r="L34" s="399">
        <v>39246</v>
      </c>
      <c r="M34" s="399">
        <v>40311</v>
      </c>
      <c r="N34" s="152">
        <f t="shared" si="5"/>
        <v>2010</v>
      </c>
      <c r="O34" s="153">
        <f>+IFERROR(INDEX([14]PARÁMETROS!$B$11:$B$37,MATCH(N34,[14]PARÁMETROS!$A$11:$A$37,0)),"")</f>
        <v>515000</v>
      </c>
      <c r="P34" s="400">
        <v>4653247176</v>
      </c>
      <c r="Q34" s="401" t="s">
        <v>20</v>
      </c>
      <c r="R34" s="145" t="s">
        <v>54</v>
      </c>
      <c r="S34" s="156" t="s">
        <v>54</v>
      </c>
      <c r="T34" s="157">
        <v>1</v>
      </c>
      <c r="U34" s="153">
        <f t="shared" si="6"/>
        <v>4653247176</v>
      </c>
      <c r="V34" s="158">
        <f t="shared" si="7"/>
        <v>9035.4314097087372</v>
      </c>
      <c r="W34" s="158">
        <f t="shared" si="8"/>
        <v>9035.4314097087372</v>
      </c>
      <c r="X34" s="370" t="str">
        <f>+IF(W34="","",IF(W34&gt;=[14]PARÁMETROS!$D$5,"CUMPLE","NO CUMPLE"))</f>
        <v>CUMPLE</v>
      </c>
      <c r="Y34" s="178"/>
      <c r="Z34" s="112"/>
    </row>
    <row r="35" spans="1:26" s="79" customFormat="1" ht="63" x14ac:dyDescent="0.25">
      <c r="A35" s="683" t="s">
        <v>772</v>
      </c>
      <c r="B35" s="125" t="s">
        <v>364</v>
      </c>
      <c r="C35" s="408">
        <v>5</v>
      </c>
      <c r="D35" s="406" t="str">
        <f>+IFERROR(INDEX(PROPONENTES!$D$4:$D$109,MATCH('EXP ESPEC. 41-50'!B35,PROPONENTES!$C$4:$C$109,0)),"")</f>
        <v>ARENAS DE LA HOZ CONSULTORES S.A.S.</v>
      </c>
      <c r="E35" s="407" t="s">
        <v>565</v>
      </c>
      <c r="F35" s="128" t="s">
        <v>596</v>
      </c>
      <c r="G35" s="368" t="s">
        <v>5</v>
      </c>
      <c r="H35" s="368" t="s">
        <v>6</v>
      </c>
      <c r="I35" s="368" t="s">
        <v>5</v>
      </c>
      <c r="J35" s="368" t="s">
        <v>6</v>
      </c>
      <c r="K35" s="170">
        <v>1</v>
      </c>
      <c r="L35" s="132">
        <v>41123</v>
      </c>
      <c r="M35" s="132">
        <v>41779</v>
      </c>
      <c r="N35" s="133">
        <f t="shared" si="5"/>
        <v>2014</v>
      </c>
      <c r="O35" s="134">
        <f>+IFERROR(INDEX([7]PARÁMETROS!$B$11:$B$37,MATCH(N35,[7]PARÁMETROS!$A$11:$A$37,0)),"")</f>
        <v>616000</v>
      </c>
      <c r="P35" s="294">
        <v>1605385195.3199999</v>
      </c>
      <c r="Q35" s="134" t="s">
        <v>20</v>
      </c>
      <c r="R35" s="125" t="s">
        <v>54</v>
      </c>
      <c r="S35" s="137" t="s">
        <v>54</v>
      </c>
      <c r="T35" s="138">
        <v>1</v>
      </c>
      <c r="U35" s="134">
        <f t="shared" si="6"/>
        <v>1605385195.3199999</v>
      </c>
      <c r="V35" s="139">
        <f t="shared" si="7"/>
        <v>2606.1447975974024</v>
      </c>
      <c r="W35" s="139">
        <f t="shared" si="8"/>
        <v>2606.1447975974024</v>
      </c>
      <c r="X35" s="368" t="str">
        <f>+IF(W35="","",IF(W35&gt;=[7]PARÁMETROS!$D$5,"CUMPLE","NO CUMPLE"))</f>
        <v>CUMPLE</v>
      </c>
      <c r="Y35" s="175"/>
      <c r="Z35" s="112"/>
    </row>
    <row r="36" spans="1:26" s="79" customFormat="1" ht="57" x14ac:dyDescent="0.25">
      <c r="A36" s="653"/>
      <c r="B36" s="377" t="s">
        <v>362</v>
      </c>
      <c r="C36" s="409">
        <v>12</v>
      </c>
      <c r="D36" s="65" t="str">
        <f>+IFERROR(INDEX(PROPONENTES!$D$4:$D$109,MATCH('EXP ESPEC. 41-50'!B36,PROPONENTES!$C$4:$C$109,0)),"")</f>
        <v>LA VIALIDAD LIMITADA</v>
      </c>
      <c r="E36" s="66" t="s">
        <v>565</v>
      </c>
      <c r="F36" s="66" t="s">
        <v>594</v>
      </c>
      <c r="G36" s="369" t="s">
        <v>5</v>
      </c>
      <c r="H36" s="369" t="s">
        <v>6</v>
      </c>
      <c r="I36" s="369" t="s">
        <v>5</v>
      </c>
      <c r="J36" s="369" t="s">
        <v>6</v>
      </c>
      <c r="K36" s="80">
        <v>1</v>
      </c>
      <c r="L36" s="70">
        <v>38331</v>
      </c>
      <c r="M36" s="70">
        <v>40329</v>
      </c>
      <c r="N36" s="71">
        <f t="shared" si="5"/>
        <v>2010</v>
      </c>
      <c r="O36" s="72">
        <f>+IFERROR(INDEX([7]PARÁMETROS!$B$11:$B$37,MATCH(N36,[7]PARÁMETROS!$A$11:$A$37,0)),"")</f>
        <v>515000</v>
      </c>
      <c r="P36" s="286">
        <v>4862658335</v>
      </c>
      <c r="Q36" s="72" t="s">
        <v>20</v>
      </c>
      <c r="R36" s="377" t="s">
        <v>54</v>
      </c>
      <c r="S36" s="75" t="s">
        <v>54</v>
      </c>
      <c r="T36" s="76">
        <v>1</v>
      </c>
      <c r="U36" s="72">
        <f t="shared" si="6"/>
        <v>4862658335</v>
      </c>
      <c r="V36" s="60">
        <f t="shared" si="7"/>
        <v>9442.0550194174757</v>
      </c>
      <c r="W36" s="60">
        <f t="shared" si="8"/>
        <v>9442.0550194174757</v>
      </c>
      <c r="X36" s="369" t="str">
        <f>+IF(W36="","",IF(W36&gt;=[7]PARÁMETROS!$D$5,"CUMPLE","NO CUMPLE"))</f>
        <v>CUMPLE</v>
      </c>
      <c r="Y36" s="143"/>
      <c r="Z36" s="112"/>
    </row>
    <row r="37" spans="1:26" s="79" customFormat="1" ht="47.25" x14ac:dyDescent="0.25">
      <c r="A37" s="653"/>
      <c r="B37" s="377" t="s">
        <v>365</v>
      </c>
      <c r="C37" s="409">
        <v>23</v>
      </c>
      <c r="D37" s="65" t="str">
        <f>+IFERROR(INDEX(PROPONENTES!$D$4:$D$109,MATCH('EXP ESPEC. 41-50'!B37,PROPONENTES!$C$4:$C$109,0)),"")</f>
        <v>SILVA CARREÑO Y ASOCIADOS S.A.S.</v>
      </c>
      <c r="E37" s="66" t="s">
        <v>565</v>
      </c>
      <c r="F37" s="66" t="s">
        <v>600</v>
      </c>
      <c r="G37" s="369" t="s">
        <v>5</v>
      </c>
      <c r="H37" s="369" t="s">
        <v>6</v>
      </c>
      <c r="I37" s="369" t="s">
        <v>5</v>
      </c>
      <c r="J37" s="369" t="s">
        <v>6</v>
      </c>
      <c r="K37" s="80">
        <v>1</v>
      </c>
      <c r="L37" s="70">
        <v>36992</v>
      </c>
      <c r="M37" s="70">
        <v>37636</v>
      </c>
      <c r="N37" s="71">
        <f t="shared" si="5"/>
        <v>2003</v>
      </c>
      <c r="O37" s="72">
        <f>+IFERROR(INDEX([7]PARÁMETROS!$B$11:$B$37,MATCH(N37,[7]PARÁMETROS!$A$11:$A$37,0)),"")</f>
        <v>332000</v>
      </c>
      <c r="P37" s="286">
        <v>1135751411</v>
      </c>
      <c r="Q37" s="72" t="s">
        <v>20</v>
      </c>
      <c r="R37" s="377" t="s">
        <v>54</v>
      </c>
      <c r="S37" s="75" t="s">
        <v>54</v>
      </c>
      <c r="T37" s="76">
        <v>1</v>
      </c>
      <c r="U37" s="72">
        <f t="shared" si="6"/>
        <v>1135751411</v>
      </c>
      <c r="V37" s="60">
        <f t="shared" si="7"/>
        <v>3420.9379849397592</v>
      </c>
      <c r="W37" s="60">
        <f t="shared" si="8"/>
        <v>3420.9379849397592</v>
      </c>
      <c r="X37" s="369" t="str">
        <f>+IF(W37="","",IF(W37&gt;=[7]PARÁMETROS!$D$5,"CUMPLE","NO CUMPLE"))</f>
        <v>CUMPLE</v>
      </c>
      <c r="Y37" s="143"/>
      <c r="Z37" s="112"/>
    </row>
    <row r="38" spans="1:26" s="79" customFormat="1" ht="72" thickBot="1" x14ac:dyDescent="0.3">
      <c r="A38" s="654"/>
      <c r="B38" s="145" t="s">
        <v>365</v>
      </c>
      <c r="C38" s="411">
        <v>25</v>
      </c>
      <c r="D38" s="480" t="str">
        <f>+IFERROR(INDEX(PROPONENTES!$D$4:$D$109,MATCH('EXP ESPEC. 41-50'!B38,PROPONENTES!$C$4:$C$109,0)),"")</f>
        <v>SILVA CARREÑO Y ASOCIADOS S.A.S.</v>
      </c>
      <c r="E38" s="484" t="s">
        <v>19</v>
      </c>
      <c r="F38" s="148" t="s">
        <v>617</v>
      </c>
      <c r="G38" s="370" t="s">
        <v>5</v>
      </c>
      <c r="H38" s="370" t="s">
        <v>5</v>
      </c>
      <c r="I38" s="370" t="s">
        <v>5</v>
      </c>
      <c r="J38" s="370" t="s">
        <v>6</v>
      </c>
      <c r="K38" s="172">
        <v>0.6</v>
      </c>
      <c r="L38" s="151">
        <v>41198</v>
      </c>
      <c r="M38" s="151">
        <v>41699</v>
      </c>
      <c r="N38" s="152">
        <f t="shared" si="5"/>
        <v>2014</v>
      </c>
      <c r="O38" s="153">
        <f>+IFERROR(INDEX([7]PARÁMETROS!$B$11:$B$37,MATCH(N38,[7]PARÁMETROS!$A$11:$A$37,0)),"")</f>
        <v>616000</v>
      </c>
      <c r="P38" s="173">
        <v>2668542300</v>
      </c>
      <c r="Q38" s="153" t="s">
        <v>20</v>
      </c>
      <c r="R38" s="145" t="s">
        <v>54</v>
      </c>
      <c r="S38" s="156" t="s">
        <v>54</v>
      </c>
      <c r="T38" s="157">
        <v>1</v>
      </c>
      <c r="U38" s="153">
        <f t="shared" si="6"/>
        <v>2668542300</v>
      </c>
      <c r="V38" s="158">
        <f t="shared" si="7"/>
        <v>4332.0491883116883</v>
      </c>
      <c r="W38" s="158">
        <f t="shared" si="8"/>
        <v>2599.2295129870131</v>
      </c>
      <c r="X38" s="370" t="str">
        <f>+IF(W38="","",IF(W38&gt;=[7]PARÁMETROS!$D$5,"CUMPLE","NO CUMPLE"))</f>
        <v>CUMPLE</v>
      </c>
      <c r="Y38" s="143"/>
      <c r="Z38" s="112"/>
    </row>
    <row r="39" spans="1:26" s="79" customFormat="1" ht="71.25" x14ac:dyDescent="0.25">
      <c r="A39" s="652" t="s">
        <v>773</v>
      </c>
      <c r="B39" s="125" t="s">
        <v>363</v>
      </c>
      <c r="C39" s="408">
        <v>274</v>
      </c>
      <c r="D39" s="406" t="str">
        <f>+IFERROR(INDEX(PROPONENTES!$D$4:$D$109,MATCH('EXP ESPEC. 41-50'!B39,PROPONENTES!$C$4:$C$109,0)),"")</f>
        <v>TECNOLOGIAS Y CONSULTORIAS AMBIENTALES Y GESTION S.A.</v>
      </c>
      <c r="E39" s="407" t="s">
        <v>473</v>
      </c>
      <c r="F39" s="129" t="s">
        <v>530</v>
      </c>
      <c r="G39" s="368" t="s">
        <v>5</v>
      </c>
      <c r="H39" s="368" t="s">
        <v>6</v>
      </c>
      <c r="I39" s="368" t="s">
        <v>5</v>
      </c>
      <c r="J39" s="368" t="s">
        <v>6</v>
      </c>
      <c r="K39" s="131">
        <v>0.6</v>
      </c>
      <c r="L39" s="132">
        <v>39860</v>
      </c>
      <c r="M39" s="132">
        <v>41260</v>
      </c>
      <c r="N39" s="133">
        <f t="shared" si="5"/>
        <v>2012</v>
      </c>
      <c r="O39" s="134">
        <f>+IFERROR(INDEX([6]PARÁMETROS!$B$11:$B$37,MATCH(N39,[6]PARÁMETROS!$A$11:$A$37,0)),"")</f>
        <v>566700</v>
      </c>
      <c r="P39" s="135">
        <v>8593771469</v>
      </c>
      <c r="Q39" s="136" t="s">
        <v>20</v>
      </c>
      <c r="R39" s="125" t="s">
        <v>54</v>
      </c>
      <c r="S39" s="137" t="s">
        <v>54</v>
      </c>
      <c r="T39" s="138">
        <v>1</v>
      </c>
      <c r="U39" s="134">
        <f t="shared" si="6"/>
        <v>8593771469</v>
      </c>
      <c r="V39" s="139">
        <f t="shared" si="7"/>
        <v>15164.587028410093</v>
      </c>
      <c r="W39" s="139">
        <f t="shared" si="8"/>
        <v>9098.7522170460561</v>
      </c>
      <c r="X39" s="373" t="str">
        <f>+IF(W39="","",IF(W39&gt;=[14]PARÁMETROS!$D$5,"CUMPLE","NO CUMPLE"))</f>
        <v>CUMPLE</v>
      </c>
      <c r="Y39" s="142"/>
      <c r="Z39" s="112"/>
    </row>
    <row r="40" spans="1:26" s="79" customFormat="1" ht="63" x14ac:dyDescent="0.25">
      <c r="A40" s="653"/>
      <c r="B40" s="377" t="s">
        <v>363</v>
      </c>
      <c r="C40" s="409">
        <v>277</v>
      </c>
      <c r="D40" s="65" t="str">
        <f>+IFERROR(INDEX(PROPONENTES!$D$4:$D$109,MATCH('EXP ESPEC. 41-50'!B40,PROPONENTES!$C$4:$C$109,0)),"")</f>
        <v>TECNOLOGIAS Y CONSULTORIAS AMBIENTALES Y GESTION S.A.</v>
      </c>
      <c r="E40" s="66" t="s">
        <v>531</v>
      </c>
      <c r="F40" s="67" t="s">
        <v>532</v>
      </c>
      <c r="G40" s="369" t="s">
        <v>5</v>
      </c>
      <c r="H40" s="369" t="s">
        <v>6</v>
      </c>
      <c r="I40" s="369" t="s">
        <v>5</v>
      </c>
      <c r="J40" s="369" t="s">
        <v>6</v>
      </c>
      <c r="K40" s="69">
        <v>0.7</v>
      </c>
      <c r="L40" s="70">
        <v>41404</v>
      </c>
      <c r="M40" s="70">
        <v>42137</v>
      </c>
      <c r="N40" s="71">
        <f t="shared" si="5"/>
        <v>2015</v>
      </c>
      <c r="O40" s="72">
        <f>+IFERROR(INDEX([6]PARÁMETROS!$B$11:$B$37,MATCH(N40,[6]PARÁMETROS!$A$11:$A$37,0)),"")</f>
        <v>644350</v>
      </c>
      <c r="P40" s="73">
        <v>5284171200</v>
      </c>
      <c r="Q40" s="74" t="s">
        <v>20</v>
      </c>
      <c r="R40" s="377" t="s">
        <v>54</v>
      </c>
      <c r="S40" s="75" t="s">
        <v>54</v>
      </c>
      <c r="T40" s="76">
        <v>1</v>
      </c>
      <c r="U40" s="72">
        <f t="shared" si="6"/>
        <v>5284171200</v>
      </c>
      <c r="V40" s="60">
        <f t="shared" si="7"/>
        <v>8200.7778381314511</v>
      </c>
      <c r="W40" s="60">
        <f t="shared" si="8"/>
        <v>5740.5444866920152</v>
      </c>
      <c r="X40" s="369" t="str">
        <f>+IF(W40="","",IF(W40&gt;=[14]PARÁMETROS!$D$5,"CUMPLE","NO CUMPLE"))</f>
        <v>CUMPLE</v>
      </c>
      <c r="Y40" s="143"/>
      <c r="Z40" s="112"/>
    </row>
    <row r="41" spans="1:26" s="79" customFormat="1" ht="63" x14ac:dyDescent="0.25">
      <c r="A41" s="653"/>
      <c r="B41" s="377" t="s">
        <v>367</v>
      </c>
      <c r="C41" s="409">
        <v>279</v>
      </c>
      <c r="D41" s="65" t="str">
        <f>+IFERROR(INDEX(PROPONENTES!$D$4:$D$109,MATCH('EXP ESPEC. 41-50'!B41,PROPONENTES!$C$4:$C$109,0)),"")</f>
        <v>HORACIO FRANCISCO MENDOZA MARTINEZ</v>
      </c>
      <c r="E41" s="66" t="s">
        <v>533</v>
      </c>
      <c r="F41" s="67" t="s">
        <v>534</v>
      </c>
      <c r="G41" s="369" t="s">
        <v>5</v>
      </c>
      <c r="H41" s="369" t="s">
        <v>5</v>
      </c>
      <c r="I41" s="369" t="s">
        <v>5</v>
      </c>
      <c r="J41" s="369" t="s">
        <v>6</v>
      </c>
      <c r="K41" s="69">
        <v>0.1</v>
      </c>
      <c r="L41" s="70">
        <v>37229</v>
      </c>
      <c r="M41" s="70">
        <v>40168</v>
      </c>
      <c r="N41" s="71">
        <f t="shared" si="5"/>
        <v>2009</v>
      </c>
      <c r="O41" s="72">
        <f>+IFERROR(INDEX([6]PARÁMETROS!$B$11:$B$37,MATCH(N41,[6]PARÁMETROS!$A$11:$A$37,0)),"")</f>
        <v>496900</v>
      </c>
      <c r="P41" s="73">
        <f>23197769047.38+6341313646+1215568184.53</f>
        <v>30754650877.91</v>
      </c>
      <c r="Q41" s="74" t="s">
        <v>20</v>
      </c>
      <c r="R41" s="377" t="s">
        <v>54</v>
      </c>
      <c r="S41" s="75" t="s">
        <v>54</v>
      </c>
      <c r="T41" s="76">
        <v>1</v>
      </c>
      <c r="U41" s="72">
        <f t="shared" si="6"/>
        <v>30754650877.91</v>
      </c>
      <c r="V41" s="60">
        <f t="shared" si="7"/>
        <v>61893.038595109683</v>
      </c>
      <c r="W41" s="60">
        <f t="shared" si="8"/>
        <v>6189.3038595109683</v>
      </c>
      <c r="X41" s="369" t="str">
        <f>+IF(W41="","",IF(W41&gt;=[14]PARÁMETROS!$D$5,"CUMPLE","NO CUMPLE"))</f>
        <v>CUMPLE</v>
      </c>
      <c r="Y41" s="143"/>
      <c r="Z41" s="112"/>
    </row>
    <row r="42" spans="1:26" s="79" customFormat="1" ht="72" thickBot="1" x14ac:dyDescent="0.3">
      <c r="A42" s="654"/>
      <c r="B42" s="145" t="s">
        <v>366</v>
      </c>
      <c r="C42" s="411">
        <v>286</v>
      </c>
      <c r="D42" s="114" t="str">
        <f>+IFERROR(INDEX(PROPONENTES!$D$4:$D$109,MATCH('EXP ESPEC. 41-50'!B42,PROPONENTES!$C$4:$C$109,0)),"")</f>
        <v>PROYECTOS TECNICOS DE COLOMBIA</v>
      </c>
      <c r="E42" s="43" t="s">
        <v>473</v>
      </c>
      <c r="F42" s="148" t="s">
        <v>535</v>
      </c>
      <c r="G42" s="370" t="s">
        <v>5</v>
      </c>
      <c r="H42" s="370" t="s">
        <v>6</v>
      </c>
      <c r="I42" s="370" t="s">
        <v>5</v>
      </c>
      <c r="J42" s="370" t="s">
        <v>6</v>
      </c>
      <c r="K42" s="150">
        <v>0.5</v>
      </c>
      <c r="L42" s="151">
        <v>39862</v>
      </c>
      <c r="M42" s="151">
        <v>40878</v>
      </c>
      <c r="N42" s="152">
        <f t="shared" si="5"/>
        <v>2011</v>
      </c>
      <c r="O42" s="153">
        <f>+IFERROR(INDEX([6]PARÁMETROS!$B$11:$B$37,MATCH(N42,[6]PARÁMETROS!$A$11:$A$37,0)),"")</f>
        <v>535600</v>
      </c>
      <c r="P42" s="154">
        <v>8675772032</v>
      </c>
      <c r="Q42" s="155" t="s">
        <v>20</v>
      </c>
      <c r="R42" s="145" t="s">
        <v>54</v>
      </c>
      <c r="S42" s="156" t="s">
        <v>54</v>
      </c>
      <c r="T42" s="157">
        <v>1</v>
      </c>
      <c r="U42" s="153">
        <f t="shared" si="6"/>
        <v>8675772032</v>
      </c>
      <c r="V42" s="158">
        <f t="shared" si="7"/>
        <v>16198.23008215086</v>
      </c>
      <c r="W42" s="158">
        <f t="shared" si="8"/>
        <v>8099.1150410754299</v>
      </c>
      <c r="X42" s="370" t="str">
        <f>+IF(W42="","",IF(W42&gt;=[14]PARÁMETROS!$D$5,"CUMPLE","NO CUMPLE"))</f>
        <v>CUMPLE</v>
      </c>
      <c r="Y42" s="143"/>
      <c r="Z42" s="112"/>
    </row>
    <row r="43" spans="1:26" s="79" customFormat="1" ht="30" customHeight="1" x14ac:dyDescent="0.25">
      <c r="A43" s="652"/>
      <c r="B43" s="125"/>
      <c r="C43" s="408"/>
      <c r="D43" s="127" t="str">
        <f>+IFERROR(INDEX([14]CONSOLIDADO!$D$4:$D$108,MATCH('EXP ESPEC. 41-50'!B43,[14]CONSOLIDADO!$C$4:$C$108,0)),"")</f>
        <v/>
      </c>
      <c r="E43" s="128"/>
      <c r="F43" s="128"/>
      <c r="G43" s="368"/>
      <c r="H43" s="368"/>
      <c r="I43" s="368"/>
      <c r="J43" s="368"/>
      <c r="K43" s="170"/>
      <c r="L43" s="132"/>
      <c r="M43" s="132"/>
      <c r="N43" s="133" t="str">
        <f t="shared" ref="N43:N54" si="9">IF(M43="","",YEAR(M43))</f>
        <v/>
      </c>
      <c r="O43" s="134" t="str">
        <f>+IFERROR(INDEX([14]PARÁMETROS!$B$11:$B$37,MATCH(N43,[14]PARÁMETROS!$A$11:$A$37,0)),"")</f>
        <v/>
      </c>
      <c r="P43" s="171"/>
      <c r="Q43" s="134"/>
      <c r="R43" s="125"/>
      <c r="S43" s="137"/>
      <c r="T43" s="138"/>
      <c r="U43" s="134" t="str">
        <f t="shared" ref="U43:U54" si="10">IF(T43&lt;&gt;"",P43*T43,"")</f>
        <v/>
      </c>
      <c r="V43" s="139" t="str">
        <f t="shared" ref="V43:V54" si="11">+IFERROR(U43/O43,"")</f>
        <v/>
      </c>
      <c r="W43" s="139" t="str">
        <f t="shared" ref="W43:W54" si="12">IFERROR(V43*K43,"")</f>
        <v/>
      </c>
      <c r="X43" s="373" t="str">
        <f>+IF(W43="","",IF(W43&gt;=[14]PARÁMETROS!$D$5,"CUMPLE","NO CUMPLE"))</f>
        <v/>
      </c>
      <c r="Y43" s="142"/>
      <c r="Z43" s="112"/>
    </row>
    <row r="44" spans="1:26" s="79" customFormat="1" ht="30" customHeight="1" x14ac:dyDescent="0.25">
      <c r="A44" s="653"/>
      <c r="B44" s="377"/>
      <c r="C44" s="409"/>
      <c r="D44" s="65" t="str">
        <f>+IFERROR(INDEX([14]CONSOLIDADO!$D$4:$D$108,MATCH('EXP ESPEC. 41-50'!B44,[14]CONSOLIDADO!$C$4:$C$108,0)),"")</f>
        <v/>
      </c>
      <c r="E44" s="66"/>
      <c r="F44" s="66"/>
      <c r="G44" s="369"/>
      <c r="H44" s="369"/>
      <c r="I44" s="369"/>
      <c r="J44" s="369"/>
      <c r="K44" s="80"/>
      <c r="L44" s="70"/>
      <c r="M44" s="70"/>
      <c r="N44" s="71" t="str">
        <f t="shared" si="9"/>
        <v/>
      </c>
      <c r="O44" s="72" t="str">
        <f>+IFERROR(INDEX([14]PARÁMETROS!$B$11:$B$37,MATCH(N44,[14]PARÁMETROS!$A$11:$A$37,0)),"")</f>
        <v/>
      </c>
      <c r="P44" s="81"/>
      <c r="Q44" s="72"/>
      <c r="R44" s="377"/>
      <c r="S44" s="75"/>
      <c r="T44" s="76"/>
      <c r="U44" s="72" t="str">
        <f t="shared" si="10"/>
        <v/>
      </c>
      <c r="V44" s="60" t="str">
        <f t="shared" si="11"/>
        <v/>
      </c>
      <c r="W44" s="60" t="str">
        <f t="shared" si="12"/>
        <v/>
      </c>
      <c r="X44" s="369" t="str">
        <f>+IF(W44="","",IF(W44&gt;=[14]PARÁMETROS!$D$5,"CUMPLE","NO CUMPLE"))</f>
        <v/>
      </c>
      <c r="Y44" s="143"/>
      <c r="Z44" s="112"/>
    </row>
    <row r="45" spans="1:26" s="79" customFormat="1" ht="30" customHeight="1" x14ac:dyDescent="0.25">
      <c r="A45" s="653"/>
      <c r="B45" s="377"/>
      <c r="C45" s="409"/>
      <c r="D45" s="65" t="str">
        <f>+IFERROR(INDEX([14]CONSOLIDADO!$D$4:$D$108,MATCH('EXP ESPEC. 41-50'!B45,[14]CONSOLIDADO!$C$4:$C$108,0)),"")</f>
        <v/>
      </c>
      <c r="E45" s="66"/>
      <c r="F45" s="66"/>
      <c r="G45" s="369"/>
      <c r="H45" s="369"/>
      <c r="I45" s="369"/>
      <c r="J45" s="369"/>
      <c r="K45" s="80"/>
      <c r="L45" s="70"/>
      <c r="M45" s="70"/>
      <c r="N45" s="71" t="str">
        <f t="shared" si="9"/>
        <v/>
      </c>
      <c r="O45" s="72" t="str">
        <f>+IFERROR(INDEX([14]PARÁMETROS!$B$11:$B$37,MATCH(N45,[14]PARÁMETROS!$A$11:$A$37,0)),"")</f>
        <v/>
      </c>
      <c r="P45" s="81"/>
      <c r="Q45" s="72"/>
      <c r="R45" s="377"/>
      <c r="S45" s="75"/>
      <c r="T45" s="76"/>
      <c r="U45" s="72" t="str">
        <f t="shared" si="10"/>
        <v/>
      </c>
      <c r="V45" s="60" t="str">
        <f t="shared" si="11"/>
        <v/>
      </c>
      <c r="W45" s="60" t="str">
        <f t="shared" si="12"/>
        <v/>
      </c>
      <c r="X45" s="369" t="str">
        <f>+IF(W45="","",IF(W45&gt;=[14]PARÁMETROS!$D$5,"CUMPLE","NO CUMPLE"))</f>
        <v/>
      </c>
      <c r="Y45" s="143"/>
      <c r="Z45" s="112"/>
    </row>
    <row r="46" spans="1:26" s="79" customFormat="1" ht="30" customHeight="1" thickBot="1" x14ac:dyDescent="0.3">
      <c r="A46" s="653"/>
      <c r="B46" s="377"/>
      <c r="C46" s="409"/>
      <c r="D46" s="65" t="str">
        <f>+IFERROR(INDEX([14]CONSOLIDADO!$D$4:$D$108,MATCH('EXP ESPEC. 41-50'!B46,[14]CONSOLIDADO!$C$4:$C$108,0)),"")</f>
        <v/>
      </c>
      <c r="E46" s="66"/>
      <c r="F46" s="66"/>
      <c r="G46" s="369"/>
      <c r="H46" s="369"/>
      <c r="I46" s="369"/>
      <c r="J46" s="369"/>
      <c r="K46" s="80"/>
      <c r="L46" s="70"/>
      <c r="M46" s="70"/>
      <c r="N46" s="71" t="str">
        <f t="shared" si="9"/>
        <v/>
      </c>
      <c r="O46" s="72" t="str">
        <f>+IFERROR(INDEX([14]PARÁMETROS!$B$11:$B$37,MATCH(N46,[14]PARÁMETROS!$A$11:$A$37,0)),"")</f>
        <v/>
      </c>
      <c r="P46" s="81"/>
      <c r="Q46" s="72"/>
      <c r="R46" s="377"/>
      <c r="S46" s="75"/>
      <c r="T46" s="76"/>
      <c r="U46" s="72" t="str">
        <f t="shared" si="10"/>
        <v/>
      </c>
      <c r="V46" s="60" t="str">
        <f t="shared" si="11"/>
        <v/>
      </c>
      <c r="W46" s="60" t="str">
        <f t="shared" si="12"/>
        <v/>
      </c>
      <c r="X46" s="370" t="str">
        <f>+IF(W46="","",IF(W46&gt;=[14]PARÁMETROS!$D$5,"CUMPLE","NO CUMPLE"))</f>
        <v/>
      </c>
      <c r="Y46" s="143"/>
      <c r="Z46" s="112"/>
    </row>
    <row r="47" spans="1:26" s="79" customFormat="1" ht="30" customHeight="1" x14ac:dyDescent="0.25">
      <c r="A47" s="652"/>
      <c r="B47" s="125"/>
      <c r="C47" s="408"/>
      <c r="D47" s="127" t="str">
        <f>+IFERROR(INDEX([14]CONSOLIDADO!$D$4:$D$108,MATCH('EXP ESPEC. 41-50'!B47,[14]CONSOLIDADO!$C$4:$C$108,0)),"")</f>
        <v/>
      </c>
      <c r="E47" s="128"/>
      <c r="F47" s="128"/>
      <c r="G47" s="368"/>
      <c r="H47" s="368"/>
      <c r="I47" s="368"/>
      <c r="J47" s="368"/>
      <c r="K47" s="170"/>
      <c r="L47" s="132"/>
      <c r="M47" s="132"/>
      <c r="N47" s="133" t="str">
        <f t="shared" si="9"/>
        <v/>
      </c>
      <c r="O47" s="134" t="str">
        <f>+IFERROR(INDEX([14]PARÁMETROS!$B$11:$B$37,MATCH(N47,[14]PARÁMETROS!$A$11:$A$37,0)),"")</f>
        <v/>
      </c>
      <c r="P47" s="171"/>
      <c r="Q47" s="134"/>
      <c r="R47" s="125"/>
      <c r="S47" s="137"/>
      <c r="T47" s="138"/>
      <c r="U47" s="134" t="str">
        <f t="shared" si="10"/>
        <v/>
      </c>
      <c r="V47" s="139" t="str">
        <f t="shared" si="11"/>
        <v/>
      </c>
      <c r="W47" s="139" t="str">
        <f t="shared" si="12"/>
        <v/>
      </c>
      <c r="X47" s="373" t="str">
        <f>+IF(W47="","",IF(W47&gt;=[14]PARÁMETROS!$D$5,"CUMPLE","NO CUMPLE"))</f>
        <v/>
      </c>
      <c r="Y47" s="142"/>
      <c r="Z47" s="112"/>
    </row>
    <row r="48" spans="1:26" s="79" customFormat="1" ht="30" customHeight="1" x14ac:dyDescent="0.25">
      <c r="A48" s="653"/>
      <c r="B48" s="377"/>
      <c r="C48" s="409"/>
      <c r="D48" s="65" t="str">
        <f>+IFERROR(INDEX([14]CONSOLIDADO!$D$4:$D$108,MATCH('EXP ESPEC. 41-50'!B48,[14]CONSOLIDADO!$C$4:$C$108,0)),"")</f>
        <v/>
      </c>
      <c r="E48" s="66"/>
      <c r="F48" s="66"/>
      <c r="G48" s="369"/>
      <c r="H48" s="369"/>
      <c r="I48" s="369"/>
      <c r="J48" s="369"/>
      <c r="K48" s="80"/>
      <c r="L48" s="70"/>
      <c r="M48" s="70"/>
      <c r="N48" s="71" t="str">
        <f t="shared" si="9"/>
        <v/>
      </c>
      <c r="O48" s="72" t="str">
        <f>+IFERROR(INDEX([14]PARÁMETROS!$B$11:$B$37,MATCH(N48,[14]PARÁMETROS!$A$11:$A$37,0)),"")</f>
        <v/>
      </c>
      <c r="P48" s="81"/>
      <c r="Q48" s="72"/>
      <c r="R48" s="377"/>
      <c r="S48" s="75"/>
      <c r="T48" s="76"/>
      <c r="U48" s="72" t="str">
        <f t="shared" si="10"/>
        <v/>
      </c>
      <c r="V48" s="60" t="str">
        <f t="shared" si="11"/>
        <v/>
      </c>
      <c r="W48" s="60" t="str">
        <f t="shared" si="12"/>
        <v/>
      </c>
      <c r="X48" s="369" t="str">
        <f>+IF(W48="","",IF(W48&gt;=[14]PARÁMETROS!$D$5,"CUMPLE","NO CUMPLE"))</f>
        <v/>
      </c>
      <c r="Y48" s="143"/>
      <c r="Z48" s="112"/>
    </row>
    <row r="49" spans="1:26" s="79" customFormat="1" ht="30" customHeight="1" x14ac:dyDescent="0.25">
      <c r="A49" s="653"/>
      <c r="B49" s="377"/>
      <c r="C49" s="409"/>
      <c r="D49" s="65" t="str">
        <f>+IFERROR(INDEX([14]CONSOLIDADO!$D$4:$D$108,MATCH('EXP ESPEC. 41-50'!B49,[14]CONSOLIDADO!$C$4:$C$108,0)),"")</f>
        <v/>
      </c>
      <c r="E49" s="66"/>
      <c r="F49" s="66"/>
      <c r="G49" s="369"/>
      <c r="H49" s="369"/>
      <c r="I49" s="369"/>
      <c r="J49" s="369"/>
      <c r="K49" s="80"/>
      <c r="L49" s="70"/>
      <c r="M49" s="70"/>
      <c r="N49" s="71" t="str">
        <f t="shared" si="9"/>
        <v/>
      </c>
      <c r="O49" s="72" t="str">
        <f>+IFERROR(INDEX([14]PARÁMETROS!$B$11:$B$37,MATCH(N49,[14]PARÁMETROS!$A$11:$A$37,0)),"")</f>
        <v/>
      </c>
      <c r="P49" s="81"/>
      <c r="Q49" s="72"/>
      <c r="R49" s="377"/>
      <c r="S49" s="75"/>
      <c r="T49" s="76"/>
      <c r="U49" s="72" t="str">
        <f t="shared" si="10"/>
        <v/>
      </c>
      <c r="V49" s="60" t="str">
        <f t="shared" si="11"/>
        <v/>
      </c>
      <c r="W49" s="60" t="str">
        <f t="shared" si="12"/>
        <v/>
      </c>
      <c r="X49" s="369" t="str">
        <f>+IF(W49="","",IF(W49&gt;=[14]PARÁMETROS!$D$5,"CUMPLE","NO CUMPLE"))</f>
        <v/>
      </c>
      <c r="Y49" s="143"/>
      <c r="Z49" s="112"/>
    </row>
    <row r="50" spans="1:26" s="79" customFormat="1" ht="30" customHeight="1" thickBot="1" x14ac:dyDescent="0.3">
      <c r="A50" s="653"/>
      <c r="B50" s="377"/>
      <c r="C50" s="409"/>
      <c r="D50" s="65" t="str">
        <f>+IFERROR(INDEX([14]CONSOLIDADO!$D$4:$D$108,MATCH('EXP ESPEC. 41-50'!B50,[14]CONSOLIDADO!$C$4:$C$108,0)),"")</f>
        <v/>
      </c>
      <c r="E50" s="66"/>
      <c r="F50" s="66"/>
      <c r="G50" s="369"/>
      <c r="H50" s="369"/>
      <c r="I50" s="369"/>
      <c r="J50" s="369"/>
      <c r="K50" s="80"/>
      <c r="L50" s="70"/>
      <c r="M50" s="70"/>
      <c r="N50" s="71" t="str">
        <f t="shared" si="9"/>
        <v/>
      </c>
      <c r="O50" s="72" t="str">
        <f>+IFERROR(INDEX([14]PARÁMETROS!$B$11:$B$37,MATCH(N50,[14]PARÁMETROS!$A$11:$A$37,0)),"")</f>
        <v/>
      </c>
      <c r="P50" s="81"/>
      <c r="Q50" s="72"/>
      <c r="R50" s="377"/>
      <c r="S50" s="75"/>
      <c r="T50" s="76"/>
      <c r="U50" s="72" t="str">
        <f t="shared" si="10"/>
        <v/>
      </c>
      <c r="V50" s="60" t="str">
        <f t="shared" si="11"/>
        <v/>
      </c>
      <c r="W50" s="60" t="str">
        <f t="shared" si="12"/>
        <v/>
      </c>
      <c r="X50" s="370" t="str">
        <f>+IF(W50="","",IF(W50&gt;=[14]PARÁMETROS!$D$5,"CUMPLE","NO CUMPLE"))</f>
        <v/>
      </c>
      <c r="Y50" s="143"/>
      <c r="Z50" s="112"/>
    </row>
    <row r="51" spans="1:26" s="79" customFormat="1" ht="30" customHeight="1" x14ac:dyDescent="0.25">
      <c r="A51" s="652"/>
      <c r="B51" s="125"/>
      <c r="C51" s="408"/>
      <c r="D51" s="127" t="str">
        <f>+IFERROR(INDEX([14]CONSOLIDADO!$D$4:$D$108,MATCH('EXP ESPEC. 41-50'!B51,[14]CONSOLIDADO!$C$4:$C$108,0)),"")</f>
        <v/>
      </c>
      <c r="E51" s="128"/>
      <c r="F51" s="128"/>
      <c r="G51" s="368"/>
      <c r="H51" s="368"/>
      <c r="I51" s="368"/>
      <c r="J51" s="368"/>
      <c r="K51" s="170"/>
      <c r="L51" s="132"/>
      <c r="M51" s="132"/>
      <c r="N51" s="133" t="str">
        <f t="shared" si="9"/>
        <v/>
      </c>
      <c r="O51" s="134" t="str">
        <f>+IFERROR(INDEX([14]PARÁMETROS!$B$11:$B$37,MATCH(N51,[14]PARÁMETROS!$A$11:$A$37,0)),"")</f>
        <v/>
      </c>
      <c r="P51" s="171"/>
      <c r="Q51" s="134"/>
      <c r="R51" s="125"/>
      <c r="S51" s="137"/>
      <c r="T51" s="138"/>
      <c r="U51" s="134" t="str">
        <f t="shared" si="10"/>
        <v/>
      </c>
      <c r="V51" s="139" t="str">
        <f t="shared" si="11"/>
        <v/>
      </c>
      <c r="W51" s="139" t="str">
        <f t="shared" si="12"/>
        <v/>
      </c>
      <c r="X51" s="373" t="str">
        <f>+IF(W51="","",IF(W51&gt;=[14]PARÁMETROS!$D$5,"CUMPLE","NO CUMPLE"))</f>
        <v/>
      </c>
      <c r="Y51" s="142"/>
      <c r="Z51" s="112"/>
    </row>
    <row r="52" spans="1:26" s="79" customFormat="1" ht="30" customHeight="1" x14ac:dyDescent="0.25">
      <c r="A52" s="653"/>
      <c r="B52" s="377"/>
      <c r="C52" s="409"/>
      <c r="D52" s="65" t="str">
        <f>+IFERROR(INDEX([14]CONSOLIDADO!$D$4:$D$108,MATCH('EXP ESPEC. 41-50'!B52,[14]CONSOLIDADO!$C$4:$C$108,0)),"")</f>
        <v/>
      </c>
      <c r="E52" s="66"/>
      <c r="F52" s="66"/>
      <c r="G52" s="369"/>
      <c r="H52" s="369"/>
      <c r="I52" s="369"/>
      <c r="J52" s="369"/>
      <c r="K52" s="80"/>
      <c r="L52" s="70"/>
      <c r="M52" s="70"/>
      <c r="N52" s="71" t="str">
        <f t="shared" si="9"/>
        <v/>
      </c>
      <c r="O52" s="72" t="str">
        <f>+IFERROR(INDEX([14]PARÁMETROS!$B$11:$B$37,MATCH(N52,[14]PARÁMETROS!$A$11:$A$37,0)),"")</f>
        <v/>
      </c>
      <c r="P52" s="81"/>
      <c r="Q52" s="72"/>
      <c r="R52" s="377"/>
      <c r="S52" s="75"/>
      <c r="T52" s="76"/>
      <c r="U52" s="72" t="str">
        <f t="shared" si="10"/>
        <v/>
      </c>
      <c r="V52" s="60" t="str">
        <f t="shared" si="11"/>
        <v/>
      </c>
      <c r="W52" s="60" t="str">
        <f t="shared" si="12"/>
        <v/>
      </c>
      <c r="X52" s="369" t="str">
        <f>+IF(W52="","",IF(W52&gt;=[14]PARÁMETROS!$D$5,"CUMPLE","NO CUMPLE"))</f>
        <v/>
      </c>
      <c r="Y52" s="143"/>
      <c r="Z52" s="112"/>
    </row>
    <row r="53" spans="1:26" s="79" customFormat="1" ht="30" customHeight="1" x14ac:dyDescent="0.25">
      <c r="A53" s="653"/>
      <c r="B53" s="377"/>
      <c r="C53" s="409"/>
      <c r="D53" s="65" t="str">
        <f>+IFERROR(INDEX([14]CONSOLIDADO!$D$4:$D$108,MATCH('EXP ESPEC. 41-50'!B53,[14]CONSOLIDADO!$C$4:$C$108,0)),"")</f>
        <v/>
      </c>
      <c r="E53" s="66"/>
      <c r="F53" s="66"/>
      <c r="G53" s="369"/>
      <c r="H53" s="369"/>
      <c r="I53" s="369"/>
      <c r="J53" s="369"/>
      <c r="K53" s="80"/>
      <c r="L53" s="70"/>
      <c r="M53" s="70"/>
      <c r="N53" s="71" t="str">
        <f t="shared" si="9"/>
        <v/>
      </c>
      <c r="O53" s="72" t="str">
        <f>+IFERROR(INDEX([14]PARÁMETROS!$B$11:$B$37,MATCH(N53,[14]PARÁMETROS!$A$11:$A$37,0)),"")</f>
        <v/>
      </c>
      <c r="P53" s="81"/>
      <c r="Q53" s="72"/>
      <c r="R53" s="377"/>
      <c r="S53" s="75"/>
      <c r="T53" s="76"/>
      <c r="U53" s="72" t="str">
        <f t="shared" si="10"/>
        <v/>
      </c>
      <c r="V53" s="60" t="str">
        <f t="shared" si="11"/>
        <v/>
      </c>
      <c r="W53" s="60" t="str">
        <f t="shared" si="12"/>
        <v/>
      </c>
      <c r="X53" s="369" t="str">
        <f>+IF(W53="","",IF(W53&gt;=[14]PARÁMETROS!$D$5,"CUMPLE","NO CUMPLE"))</f>
        <v/>
      </c>
      <c r="Y53" s="143"/>
      <c r="Z53" s="112"/>
    </row>
    <row r="54" spans="1:26" s="79" customFormat="1" ht="30" customHeight="1" thickBot="1" x14ac:dyDescent="0.3">
      <c r="A54" s="654"/>
      <c r="B54" s="145"/>
      <c r="C54" s="411"/>
      <c r="D54" s="146" t="str">
        <f>+IFERROR(INDEX([14]CONSOLIDADO!$D$4:$D$108,MATCH('EXP ESPEC. 41-50'!B54,[14]CONSOLIDADO!$C$4:$C$108,0)),"")</f>
        <v/>
      </c>
      <c r="E54" s="147"/>
      <c r="F54" s="147"/>
      <c r="G54" s="370"/>
      <c r="H54" s="370"/>
      <c r="I54" s="370"/>
      <c r="J54" s="370"/>
      <c r="K54" s="172"/>
      <c r="L54" s="151"/>
      <c r="M54" s="151"/>
      <c r="N54" s="152" t="str">
        <f t="shared" si="9"/>
        <v/>
      </c>
      <c r="O54" s="153" t="str">
        <f>+IFERROR(INDEX([14]PARÁMETROS!$B$11:$B$37,MATCH(N54,[14]PARÁMETROS!$A$11:$A$37,0)),"")</f>
        <v/>
      </c>
      <c r="P54" s="173"/>
      <c r="Q54" s="153"/>
      <c r="R54" s="145"/>
      <c r="S54" s="156"/>
      <c r="T54" s="157"/>
      <c r="U54" s="153" t="str">
        <f t="shared" si="10"/>
        <v/>
      </c>
      <c r="V54" s="158" t="str">
        <f t="shared" si="11"/>
        <v/>
      </c>
      <c r="W54" s="158" t="str">
        <f t="shared" si="12"/>
        <v/>
      </c>
      <c r="X54" s="370" t="str">
        <f>+IF(W54="","",IF(W54&gt;=[14]PARÁMETROS!$D$5,"CUMPLE","NO CUMPLE"))</f>
        <v/>
      </c>
      <c r="Y54" s="160"/>
      <c r="Z54" s="112"/>
    </row>
    <row r="55" spans="1:26" s="79" customFormat="1" ht="30" customHeight="1" x14ac:dyDescent="0.25">
      <c r="A55" s="113"/>
      <c r="B55" s="113"/>
      <c r="C55" s="414"/>
      <c r="D55" s="114"/>
      <c r="E55" s="115"/>
      <c r="F55" s="115"/>
      <c r="G55" s="115"/>
      <c r="H55" s="115"/>
      <c r="I55" s="115"/>
      <c r="J55" s="115"/>
      <c r="K55" s="167"/>
      <c r="L55" s="118"/>
      <c r="M55" s="118"/>
      <c r="N55" s="168"/>
      <c r="O55" s="119"/>
      <c r="P55" s="169"/>
      <c r="Q55" s="119"/>
      <c r="R55" s="113"/>
      <c r="S55" s="121"/>
      <c r="T55" s="122"/>
      <c r="U55" s="119"/>
      <c r="V55" s="123"/>
      <c r="W55" s="123"/>
      <c r="X55" s="376"/>
      <c r="Y55" s="115"/>
    </row>
    <row r="56" spans="1:26" s="79" customFormat="1" ht="30" customHeight="1" x14ac:dyDescent="0.25">
      <c r="A56" s="377"/>
      <c r="B56" s="377"/>
      <c r="C56" s="409"/>
      <c r="D56" s="65"/>
      <c r="E56" s="66"/>
      <c r="F56" s="66"/>
      <c r="G56" s="66"/>
      <c r="H56" s="66"/>
      <c r="I56" s="66"/>
      <c r="J56" s="66"/>
      <c r="K56" s="80"/>
      <c r="L56" s="70"/>
      <c r="M56" s="70"/>
      <c r="N56" s="71"/>
      <c r="O56" s="72"/>
      <c r="P56" s="81"/>
      <c r="Q56" s="72"/>
      <c r="R56" s="377"/>
      <c r="S56" s="75"/>
      <c r="T56" s="76"/>
      <c r="U56" s="72"/>
      <c r="V56" s="60"/>
      <c r="W56" s="60"/>
      <c r="X56" s="369"/>
      <c r="Y56" s="66"/>
    </row>
    <row r="57" spans="1:26" s="79" customFormat="1" ht="30" customHeight="1" x14ac:dyDescent="0.25">
      <c r="A57" s="377"/>
      <c r="B57" s="377"/>
      <c r="C57" s="409"/>
      <c r="D57" s="65"/>
      <c r="E57" s="66"/>
      <c r="F57" s="66"/>
      <c r="G57" s="66"/>
      <c r="H57" s="66"/>
      <c r="I57" s="66"/>
      <c r="J57" s="66"/>
      <c r="K57" s="80"/>
      <c r="L57" s="70"/>
      <c r="M57" s="70"/>
      <c r="N57" s="71"/>
      <c r="O57" s="72"/>
      <c r="P57" s="81"/>
      <c r="Q57" s="72"/>
      <c r="R57" s="377"/>
      <c r="S57" s="75"/>
      <c r="T57" s="76"/>
      <c r="U57" s="72"/>
      <c r="V57" s="60"/>
      <c r="W57" s="60"/>
      <c r="X57" s="369"/>
      <c r="Y57" s="66"/>
    </row>
    <row r="58" spans="1:26" s="79" customFormat="1" ht="30" customHeight="1" x14ac:dyDescent="0.25">
      <c r="A58" s="377"/>
      <c r="B58" s="377"/>
      <c r="C58" s="409"/>
      <c r="D58" s="65"/>
      <c r="E58" s="66"/>
      <c r="F58" s="66"/>
      <c r="G58" s="66"/>
      <c r="H58" s="66"/>
      <c r="I58" s="66"/>
      <c r="J58" s="66"/>
      <c r="K58" s="80"/>
      <c r="L58" s="70"/>
      <c r="M58" s="70"/>
      <c r="N58" s="71"/>
      <c r="O58" s="72"/>
      <c r="P58" s="81"/>
      <c r="Q58" s="72"/>
      <c r="R58" s="377"/>
      <c r="S58" s="75"/>
      <c r="T58" s="76"/>
      <c r="U58" s="72"/>
      <c r="V58" s="60"/>
      <c r="W58" s="60"/>
      <c r="X58" s="369"/>
      <c r="Y58" s="66"/>
    </row>
    <row r="59" spans="1:26" s="79" customFormat="1" ht="30" customHeight="1" x14ac:dyDescent="0.25">
      <c r="A59" s="377"/>
      <c r="B59" s="377"/>
      <c r="C59" s="409"/>
      <c r="D59" s="65"/>
      <c r="E59" s="66"/>
      <c r="F59" s="66"/>
      <c r="G59" s="66"/>
      <c r="H59" s="66"/>
      <c r="I59" s="66"/>
      <c r="J59" s="66"/>
      <c r="K59" s="80"/>
      <c r="L59" s="70"/>
      <c r="M59" s="70"/>
      <c r="N59" s="71"/>
      <c r="O59" s="72"/>
      <c r="P59" s="81"/>
      <c r="Q59" s="72"/>
      <c r="R59" s="377"/>
      <c r="S59" s="75"/>
      <c r="T59" s="76"/>
      <c r="U59" s="72"/>
      <c r="V59" s="60"/>
      <c r="W59" s="60"/>
      <c r="X59" s="369"/>
      <c r="Y59" s="66"/>
    </row>
    <row r="60" spans="1:26" s="79" customFormat="1" ht="30" customHeight="1" x14ac:dyDescent="0.25">
      <c r="A60" s="377"/>
      <c r="B60" s="377"/>
      <c r="C60" s="409"/>
      <c r="D60" s="65"/>
      <c r="E60" s="66"/>
      <c r="F60" s="66"/>
      <c r="G60" s="66"/>
      <c r="H60" s="66"/>
      <c r="I60" s="66"/>
      <c r="J60" s="66"/>
      <c r="K60" s="80"/>
      <c r="L60" s="70"/>
      <c r="M60" s="70"/>
      <c r="N60" s="71"/>
      <c r="O60" s="72"/>
      <c r="P60" s="81"/>
      <c r="Q60" s="72"/>
      <c r="R60" s="377"/>
      <c r="S60" s="75"/>
      <c r="T60" s="76"/>
      <c r="U60" s="72"/>
      <c r="V60" s="60"/>
      <c r="W60" s="60"/>
      <c r="X60" s="369"/>
      <c r="Y60" s="66"/>
    </row>
    <row r="61" spans="1:26" s="79" customFormat="1" ht="30" customHeight="1" x14ac:dyDescent="0.25">
      <c r="A61" s="377"/>
      <c r="B61" s="377"/>
      <c r="C61" s="409"/>
      <c r="D61" s="65"/>
      <c r="E61" s="66"/>
      <c r="F61" s="66"/>
      <c r="G61" s="66"/>
      <c r="H61" s="66"/>
      <c r="I61" s="66"/>
      <c r="J61" s="66"/>
      <c r="K61" s="80"/>
      <c r="L61" s="70"/>
      <c r="M61" s="70"/>
      <c r="N61" s="71"/>
      <c r="O61" s="72"/>
      <c r="P61" s="81"/>
      <c r="Q61" s="72"/>
      <c r="R61" s="377"/>
      <c r="S61" s="75"/>
      <c r="T61" s="76"/>
      <c r="U61" s="72"/>
      <c r="V61" s="60"/>
      <c r="W61" s="60"/>
      <c r="X61" s="369"/>
      <c r="Y61" s="66"/>
    </row>
    <row r="62" spans="1:26" s="79" customFormat="1" ht="30" customHeight="1" x14ac:dyDescent="0.25">
      <c r="A62" s="377"/>
      <c r="B62" s="377"/>
      <c r="C62" s="409"/>
      <c r="D62" s="65"/>
      <c r="E62" s="66"/>
      <c r="F62" s="66"/>
      <c r="G62" s="66"/>
      <c r="H62" s="66"/>
      <c r="I62" s="66"/>
      <c r="J62" s="66"/>
      <c r="K62" s="80"/>
      <c r="L62" s="70"/>
      <c r="M62" s="70"/>
      <c r="N62" s="71"/>
      <c r="O62" s="72"/>
      <c r="P62" s="81"/>
      <c r="Q62" s="72"/>
      <c r="R62" s="377"/>
      <c r="S62" s="75"/>
      <c r="T62" s="76"/>
      <c r="U62" s="72"/>
      <c r="V62" s="60"/>
      <c r="W62" s="60"/>
      <c r="X62" s="369"/>
      <c r="Y62" s="66"/>
    </row>
    <row r="63" spans="1:26" s="79" customFormat="1" ht="30" customHeight="1" x14ac:dyDescent="0.25">
      <c r="A63" s="377"/>
      <c r="B63" s="377"/>
      <c r="C63" s="409"/>
      <c r="D63" s="65"/>
      <c r="E63" s="66"/>
      <c r="F63" s="66"/>
      <c r="G63" s="66"/>
      <c r="H63" s="66"/>
      <c r="I63" s="66"/>
      <c r="J63" s="66"/>
      <c r="K63" s="80"/>
      <c r="L63" s="70"/>
      <c r="M63" s="70"/>
      <c r="N63" s="71"/>
      <c r="O63" s="72"/>
      <c r="P63" s="81"/>
      <c r="Q63" s="72"/>
      <c r="R63" s="377"/>
      <c r="S63" s="75"/>
      <c r="T63" s="76"/>
      <c r="U63" s="72"/>
      <c r="V63" s="60"/>
      <c r="W63" s="60"/>
      <c r="X63" s="369"/>
      <c r="Y63" s="66"/>
    </row>
    <row r="64" spans="1:26" s="79" customFormat="1" ht="30" customHeight="1" x14ac:dyDescent="0.25">
      <c r="A64" s="377"/>
      <c r="B64" s="377"/>
      <c r="C64" s="409"/>
      <c r="D64" s="65"/>
      <c r="E64" s="66"/>
      <c r="F64" s="66"/>
      <c r="G64" s="66"/>
      <c r="H64" s="66"/>
      <c r="I64" s="66"/>
      <c r="J64" s="66"/>
      <c r="K64" s="80"/>
      <c r="L64" s="70"/>
      <c r="M64" s="70"/>
      <c r="N64" s="71"/>
      <c r="O64" s="72"/>
      <c r="P64" s="81"/>
      <c r="Q64" s="72"/>
      <c r="R64" s="377"/>
      <c r="S64" s="75"/>
      <c r="T64" s="76"/>
      <c r="U64" s="72"/>
      <c r="V64" s="60"/>
      <c r="W64" s="60"/>
      <c r="X64" s="369"/>
      <c r="Y64" s="66"/>
    </row>
    <row r="65" spans="1:25" s="79" customFormat="1" ht="30" customHeight="1" x14ac:dyDescent="0.25">
      <c r="A65" s="377"/>
      <c r="B65" s="377"/>
      <c r="C65" s="409"/>
      <c r="D65" s="65"/>
      <c r="E65" s="66"/>
      <c r="F65" s="66"/>
      <c r="G65" s="66"/>
      <c r="H65" s="66"/>
      <c r="I65" s="66"/>
      <c r="J65" s="66"/>
      <c r="K65" s="80"/>
      <c r="L65" s="70"/>
      <c r="M65" s="70"/>
      <c r="N65" s="71"/>
      <c r="O65" s="72"/>
      <c r="P65" s="81"/>
      <c r="Q65" s="72"/>
      <c r="R65" s="377"/>
      <c r="S65" s="75"/>
      <c r="T65" s="76"/>
      <c r="U65" s="72"/>
      <c r="V65" s="60"/>
      <c r="W65" s="60"/>
      <c r="X65" s="369"/>
      <c r="Y65" s="66"/>
    </row>
    <row r="66" spans="1:25" s="79" customFormat="1" ht="30" customHeight="1" x14ac:dyDescent="0.25">
      <c r="A66" s="377"/>
      <c r="B66" s="377"/>
      <c r="C66" s="409"/>
      <c r="D66" s="65"/>
      <c r="E66" s="66"/>
      <c r="F66" s="66"/>
      <c r="G66" s="66"/>
      <c r="H66" s="66"/>
      <c r="I66" s="66"/>
      <c r="J66" s="66"/>
      <c r="K66" s="80"/>
      <c r="L66" s="70"/>
      <c r="M66" s="70"/>
      <c r="N66" s="71"/>
      <c r="O66" s="72"/>
      <c r="P66" s="81"/>
      <c r="Q66" s="72"/>
      <c r="R66" s="377"/>
      <c r="S66" s="75"/>
      <c r="T66" s="76"/>
      <c r="U66" s="72"/>
      <c r="V66" s="60"/>
      <c r="W66" s="60"/>
      <c r="X66" s="369"/>
      <c r="Y66" s="66"/>
    </row>
    <row r="67" spans="1:25" s="103" customFormat="1" ht="30" customHeight="1" x14ac:dyDescent="0.25">
      <c r="A67" s="94"/>
      <c r="B67" s="94"/>
      <c r="C67" s="413"/>
      <c r="D67" s="95"/>
      <c r="E67" s="96"/>
      <c r="F67" s="96"/>
      <c r="G67" s="96"/>
      <c r="H67" s="96"/>
      <c r="I67" s="96"/>
      <c r="J67" s="96"/>
      <c r="K67" s="97"/>
      <c r="L67" s="98"/>
      <c r="M67" s="98"/>
      <c r="N67" s="99"/>
      <c r="O67" s="72"/>
      <c r="P67" s="100"/>
      <c r="Q67" s="101"/>
      <c r="R67" s="377"/>
      <c r="S67" s="75"/>
      <c r="T67" s="76"/>
      <c r="U67" s="72"/>
      <c r="V67" s="60"/>
      <c r="W67" s="60"/>
      <c r="X67" s="369"/>
      <c r="Y67" s="96"/>
    </row>
    <row r="68" spans="1:25" s="103" customFormat="1" ht="30" customHeight="1" x14ac:dyDescent="0.25">
      <c r="A68" s="94"/>
      <c r="B68" s="94"/>
      <c r="C68" s="413"/>
      <c r="D68" s="95"/>
      <c r="E68" s="96"/>
      <c r="F68" s="96"/>
      <c r="G68" s="96"/>
      <c r="H68" s="96"/>
      <c r="I68" s="96"/>
      <c r="J68" s="96"/>
      <c r="K68" s="97"/>
      <c r="L68" s="98"/>
      <c r="M68" s="98"/>
      <c r="N68" s="99"/>
      <c r="O68" s="72"/>
      <c r="P68" s="100"/>
      <c r="Q68" s="101"/>
      <c r="R68" s="377"/>
      <c r="S68" s="75"/>
      <c r="T68" s="76"/>
      <c r="U68" s="72"/>
      <c r="V68" s="60"/>
      <c r="W68" s="60"/>
      <c r="X68" s="369"/>
      <c r="Y68" s="96"/>
    </row>
    <row r="69" spans="1:25" s="103" customFormat="1" ht="30" customHeight="1" x14ac:dyDescent="0.25">
      <c r="A69" s="94"/>
      <c r="B69" s="94"/>
      <c r="C69" s="413"/>
      <c r="D69" s="95"/>
      <c r="E69" s="96"/>
      <c r="F69" s="96"/>
      <c r="G69" s="96"/>
      <c r="H69" s="96"/>
      <c r="I69" s="96"/>
      <c r="J69" s="96"/>
      <c r="K69" s="97"/>
      <c r="L69" s="98"/>
      <c r="M69" s="98"/>
      <c r="N69" s="99"/>
      <c r="O69" s="72"/>
      <c r="P69" s="100"/>
      <c r="Q69" s="101"/>
      <c r="R69" s="377"/>
      <c r="S69" s="75"/>
      <c r="T69" s="76"/>
      <c r="U69" s="72"/>
      <c r="V69" s="60"/>
      <c r="W69" s="60"/>
      <c r="X69" s="369"/>
      <c r="Y69" s="96"/>
    </row>
    <row r="70" spans="1:25" s="103" customFormat="1" ht="30" customHeight="1" x14ac:dyDescent="0.25">
      <c r="A70" s="94"/>
      <c r="B70" s="94"/>
      <c r="C70" s="413"/>
      <c r="D70" s="95"/>
      <c r="E70" s="96"/>
      <c r="F70" s="96"/>
      <c r="G70" s="96"/>
      <c r="H70" s="96"/>
      <c r="I70" s="96"/>
      <c r="J70" s="96"/>
      <c r="K70" s="97"/>
      <c r="L70" s="98"/>
      <c r="M70" s="98"/>
      <c r="N70" s="99"/>
      <c r="O70" s="72"/>
      <c r="P70" s="100"/>
      <c r="Q70" s="101"/>
      <c r="R70" s="377"/>
      <c r="S70" s="75"/>
      <c r="T70" s="76"/>
      <c r="U70" s="72"/>
      <c r="V70" s="60"/>
      <c r="W70" s="60"/>
      <c r="X70" s="369"/>
      <c r="Y70" s="96"/>
    </row>
    <row r="71" spans="1:25" s="103" customFormat="1" ht="30" customHeight="1" x14ac:dyDescent="0.25">
      <c r="A71" s="94"/>
      <c r="B71" s="94"/>
      <c r="C71" s="413"/>
      <c r="D71" s="95"/>
      <c r="E71" s="96"/>
      <c r="F71" s="96"/>
      <c r="G71" s="96"/>
      <c r="H71" s="96"/>
      <c r="I71" s="96"/>
      <c r="J71" s="96"/>
      <c r="K71" s="97"/>
      <c r="L71" s="98"/>
      <c r="M71" s="98"/>
      <c r="N71" s="99"/>
      <c r="O71" s="72"/>
      <c r="P71" s="100"/>
      <c r="Q71" s="101"/>
      <c r="R71" s="377"/>
      <c r="S71" s="75"/>
      <c r="T71" s="76"/>
      <c r="U71" s="72"/>
      <c r="V71" s="60"/>
      <c r="W71" s="60"/>
      <c r="X71" s="369"/>
      <c r="Y71" s="96"/>
    </row>
    <row r="72" spans="1:25" s="103" customFormat="1" ht="30" customHeight="1" x14ac:dyDescent="0.25">
      <c r="A72" s="94"/>
      <c r="B72" s="94"/>
      <c r="C72" s="413"/>
      <c r="D72" s="95"/>
      <c r="E72" s="96"/>
      <c r="F72" s="96"/>
      <c r="G72" s="96"/>
      <c r="H72" s="96"/>
      <c r="I72" s="96"/>
      <c r="J72" s="96"/>
      <c r="K72" s="97"/>
      <c r="L72" s="98"/>
      <c r="M72" s="98"/>
      <c r="N72" s="99"/>
      <c r="O72" s="72"/>
      <c r="P72" s="100"/>
      <c r="Q72" s="101"/>
      <c r="R72" s="377"/>
      <c r="S72" s="75"/>
      <c r="T72" s="76"/>
      <c r="U72" s="72"/>
      <c r="V72" s="60"/>
      <c r="W72" s="60"/>
      <c r="X72" s="369"/>
      <c r="Y72" s="96"/>
    </row>
    <row r="73" spans="1:25" s="103" customFormat="1" ht="30" customHeight="1" x14ac:dyDescent="0.25">
      <c r="A73" s="94"/>
      <c r="B73" s="94"/>
      <c r="C73" s="413"/>
      <c r="D73" s="95"/>
      <c r="E73" s="96"/>
      <c r="F73" s="96"/>
      <c r="G73" s="96"/>
      <c r="H73" s="96"/>
      <c r="I73" s="96"/>
      <c r="J73" s="96"/>
      <c r="K73" s="97"/>
      <c r="L73" s="98"/>
      <c r="M73" s="98"/>
      <c r="N73" s="99"/>
      <c r="O73" s="72"/>
      <c r="P73" s="100"/>
      <c r="Q73" s="101"/>
      <c r="R73" s="377"/>
      <c r="S73" s="75"/>
      <c r="T73" s="76"/>
      <c r="U73" s="72"/>
      <c r="V73" s="60"/>
      <c r="W73" s="60"/>
      <c r="X73" s="369"/>
      <c r="Y73" s="96"/>
    </row>
    <row r="74" spans="1:25" s="103" customFormat="1" ht="30" customHeight="1" x14ac:dyDescent="0.25">
      <c r="A74" s="94"/>
      <c r="B74" s="94"/>
      <c r="C74" s="413"/>
      <c r="D74" s="95"/>
      <c r="E74" s="96"/>
      <c r="F74" s="96"/>
      <c r="G74" s="96"/>
      <c r="H74" s="96"/>
      <c r="I74" s="96"/>
      <c r="J74" s="96"/>
      <c r="K74" s="97"/>
      <c r="L74" s="98"/>
      <c r="M74" s="98"/>
      <c r="N74" s="99"/>
      <c r="O74" s="72"/>
      <c r="P74" s="100"/>
      <c r="Q74" s="101"/>
      <c r="R74" s="377"/>
      <c r="S74" s="75"/>
      <c r="T74" s="76"/>
      <c r="U74" s="72"/>
      <c r="V74" s="60"/>
      <c r="W74" s="60"/>
      <c r="X74" s="369"/>
      <c r="Y74" s="96"/>
    </row>
    <row r="75" spans="1:25" s="103" customFormat="1" ht="30" customHeight="1" x14ac:dyDescent="0.25">
      <c r="A75" s="94"/>
      <c r="B75" s="94"/>
      <c r="C75" s="413"/>
      <c r="D75" s="95"/>
      <c r="E75" s="96"/>
      <c r="F75" s="96"/>
      <c r="G75" s="96"/>
      <c r="H75" s="96"/>
      <c r="I75" s="96"/>
      <c r="J75" s="96"/>
      <c r="K75" s="97"/>
      <c r="L75" s="98"/>
      <c r="M75" s="98"/>
      <c r="N75" s="99"/>
      <c r="O75" s="72"/>
      <c r="P75" s="100"/>
      <c r="Q75" s="101"/>
      <c r="R75" s="377"/>
      <c r="S75" s="75"/>
      <c r="T75" s="76"/>
      <c r="U75" s="72"/>
      <c r="V75" s="60"/>
      <c r="W75" s="60"/>
      <c r="X75" s="369"/>
      <c r="Y75" s="96"/>
    </row>
    <row r="76" spans="1:25" s="103" customFormat="1" ht="30" customHeight="1" x14ac:dyDescent="0.25">
      <c r="A76" s="94"/>
      <c r="B76" s="94"/>
      <c r="C76" s="413"/>
      <c r="D76" s="95"/>
      <c r="E76" s="96"/>
      <c r="F76" s="96"/>
      <c r="G76" s="96"/>
      <c r="H76" s="96"/>
      <c r="I76" s="96"/>
      <c r="J76" s="96"/>
      <c r="K76" s="97"/>
      <c r="L76" s="98"/>
      <c r="M76" s="98"/>
      <c r="N76" s="99"/>
      <c r="O76" s="72"/>
      <c r="P76" s="100"/>
      <c r="Q76" s="101"/>
      <c r="R76" s="377"/>
      <c r="S76" s="75"/>
      <c r="T76" s="76"/>
      <c r="U76" s="72"/>
      <c r="V76" s="60"/>
      <c r="W76" s="60"/>
      <c r="X76" s="369"/>
      <c r="Y76" s="96"/>
    </row>
    <row r="77" spans="1:25" s="103" customFormat="1" ht="30" customHeight="1" x14ac:dyDescent="0.25">
      <c r="A77" s="94"/>
      <c r="B77" s="94"/>
      <c r="C77" s="413"/>
      <c r="D77" s="95"/>
      <c r="E77" s="96"/>
      <c r="F77" s="96"/>
      <c r="G77" s="96"/>
      <c r="H77" s="96"/>
      <c r="I77" s="96"/>
      <c r="J77" s="96"/>
      <c r="K77" s="97"/>
      <c r="L77" s="98"/>
      <c r="M77" s="98"/>
      <c r="N77" s="99"/>
      <c r="O77" s="72"/>
      <c r="P77" s="100"/>
      <c r="Q77" s="101"/>
      <c r="R77" s="377"/>
      <c r="S77" s="75"/>
      <c r="T77" s="76"/>
      <c r="U77" s="72"/>
      <c r="V77" s="60"/>
      <c r="W77" s="60"/>
      <c r="X77" s="369"/>
      <c r="Y77" s="96"/>
    </row>
    <row r="78" spans="1:25" s="103" customFormat="1" ht="30" customHeight="1" x14ac:dyDescent="0.25">
      <c r="A78" s="94"/>
      <c r="B78" s="94"/>
      <c r="C78" s="413"/>
      <c r="D78" s="95"/>
      <c r="E78" s="96"/>
      <c r="F78" s="96"/>
      <c r="G78" s="96"/>
      <c r="H78" s="96"/>
      <c r="I78" s="96"/>
      <c r="J78" s="96"/>
      <c r="K78" s="97"/>
      <c r="L78" s="98"/>
      <c r="M78" s="98"/>
      <c r="N78" s="99"/>
      <c r="O78" s="72"/>
      <c r="P78" s="100"/>
      <c r="Q78" s="101"/>
      <c r="R78" s="377"/>
      <c r="S78" s="75"/>
      <c r="T78" s="76"/>
      <c r="U78" s="72"/>
      <c r="V78" s="60"/>
      <c r="W78" s="60"/>
      <c r="X78" s="369"/>
      <c r="Y78" s="96"/>
    </row>
    <row r="79" spans="1:25" s="103" customFormat="1" ht="30" customHeight="1" x14ac:dyDescent="0.25">
      <c r="A79" s="94"/>
      <c r="B79" s="94"/>
      <c r="C79" s="413"/>
      <c r="D79" s="95"/>
      <c r="E79" s="96"/>
      <c r="F79" s="96"/>
      <c r="G79" s="96"/>
      <c r="H79" s="96"/>
      <c r="I79" s="96"/>
      <c r="J79" s="96"/>
      <c r="K79" s="97"/>
      <c r="L79" s="98"/>
      <c r="M79" s="98"/>
      <c r="N79" s="99"/>
      <c r="O79" s="72"/>
      <c r="P79" s="100"/>
      <c r="Q79" s="101"/>
      <c r="R79" s="377"/>
      <c r="S79" s="75"/>
      <c r="T79" s="76"/>
      <c r="U79" s="72"/>
      <c r="V79" s="60"/>
      <c r="W79" s="60"/>
      <c r="X79" s="369"/>
      <c r="Y79" s="96"/>
    </row>
    <row r="80" spans="1:25" s="103" customFormat="1" ht="30" customHeight="1" x14ac:dyDescent="0.25">
      <c r="A80" s="94"/>
      <c r="B80" s="94"/>
      <c r="C80" s="413"/>
      <c r="D80" s="95"/>
      <c r="E80" s="96"/>
      <c r="F80" s="96"/>
      <c r="G80" s="96"/>
      <c r="H80" s="96"/>
      <c r="I80" s="96"/>
      <c r="J80" s="96"/>
      <c r="K80" s="97"/>
      <c r="L80" s="98"/>
      <c r="M80" s="98"/>
      <c r="N80" s="99"/>
      <c r="O80" s="72"/>
      <c r="P80" s="100"/>
      <c r="Q80" s="101"/>
      <c r="R80" s="377"/>
      <c r="S80" s="75"/>
      <c r="T80" s="76"/>
      <c r="U80" s="72"/>
      <c r="V80" s="60"/>
      <c r="W80" s="60"/>
      <c r="X80" s="369"/>
      <c r="Y80" s="96"/>
    </row>
    <row r="81" spans="1:25" s="103" customFormat="1" ht="30" customHeight="1" x14ac:dyDescent="0.25">
      <c r="A81" s="94"/>
      <c r="B81" s="94"/>
      <c r="C81" s="413"/>
      <c r="D81" s="95"/>
      <c r="E81" s="96"/>
      <c r="F81" s="96"/>
      <c r="G81" s="96"/>
      <c r="H81" s="96"/>
      <c r="I81" s="96"/>
      <c r="J81" s="96"/>
      <c r="K81" s="97"/>
      <c r="L81" s="98"/>
      <c r="M81" s="98"/>
      <c r="N81" s="99"/>
      <c r="O81" s="72"/>
      <c r="P81" s="100"/>
      <c r="Q81" s="101"/>
      <c r="R81" s="377"/>
      <c r="S81" s="75"/>
      <c r="T81" s="76"/>
      <c r="U81" s="72"/>
      <c r="V81" s="60"/>
      <c r="W81" s="60"/>
      <c r="X81" s="369"/>
      <c r="Y81" s="96"/>
    </row>
    <row r="82" spans="1:25" s="103" customFormat="1" ht="30" customHeight="1" x14ac:dyDescent="0.25">
      <c r="A82" s="94"/>
      <c r="B82" s="94"/>
      <c r="C82" s="413"/>
      <c r="D82" s="95"/>
      <c r="E82" s="96"/>
      <c r="F82" s="96"/>
      <c r="G82" s="96"/>
      <c r="H82" s="96"/>
      <c r="I82" s="96"/>
      <c r="J82" s="96"/>
      <c r="K82" s="97"/>
      <c r="L82" s="98"/>
      <c r="M82" s="98"/>
      <c r="N82" s="99"/>
      <c r="O82" s="72"/>
      <c r="P82" s="100"/>
      <c r="Q82" s="101"/>
      <c r="R82" s="377"/>
      <c r="S82" s="75"/>
      <c r="T82" s="76"/>
      <c r="U82" s="72"/>
      <c r="V82" s="60"/>
      <c r="W82" s="60"/>
      <c r="X82" s="369"/>
      <c r="Y82" s="96"/>
    </row>
    <row r="83" spans="1:25" s="103" customFormat="1" ht="30" customHeight="1" x14ac:dyDescent="0.25">
      <c r="A83" s="94"/>
      <c r="B83" s="94"/>
      <c r="C83" s="413"/>
      <c r="D83" s="95"/>
      <c r="E83" s="96"/>
      <c r="F83" s="96"/>
      <c r="G83" s="96"/>
      <c r="H83" s="96"/>
      <c r="I83" s="96"/>
      <c r="J83" s="96"/>
      <c r="K83" s="97"/>
      <c r="L83" s="98"/>
      <c r="M83" s="98"/>
      <c r="N83" s="99"/>
      <c r="O83" s="72"/>
      <c r="P83" s="100"/>
      <c r="Q83" s="101"/>
      <c r="R83" s="377"/>
      <c r="S83" s="75"/>
      <c r="T83" s="76"/>
      <c r="U83" s="72"/>
      <c r="V83" s="60"/>
      <c r="W83" s="60"/>
      <c r="X83" s="369"/>
      <c r="Y83" s="96"/>
    </row>
    <row r="84" spans="1:25" s="103" customFormat="1" ht="30" customHeight="1" x14ac:dyDescent="0.25">
      <c r="A84" s="94"/>
      <c r="B84" s="94"/>
      <c r="C84" s="413"/>
      <c r="D84" s="95"/>
      <c r="E84" s="96"/>
      <c r="F84" s="96"/>
      <c r="G84" s="96"/>
      <c r="H84" s="96"/>
      <c r="I84" s="96"/>
      <c r="J84" s="96"/>
      <c r="K84" s="97"/>
      <c r="L84" s="98"/>
      <c r="M84" s="98"/>
      <c r="N84" s="99"/>
      <c r="O84" s="72"/>
      <c r="P84" s="100"/>
      <c r="Q84" s="101"/>
      <c r="R84" s="377"/>
      <c r="S84" s="75"/>
      <c r="T84" s="76"/>
      <c r="U84" s="72"/>
      <c r="V84" s="60"/>
      <c r="W84" s="60"/>
      <c r="X84" s="369"/>
      <c r="Y84" s="96"/>
    </row>
    <row r="85" spans="1:25" s="103" customFormat="1" ht="30" customHeight="1" x14ac:dyDescent="0.25">
      <c r="A85" s="94"/>
      <c r="B85" s="94"/>
      <c r="C85" s="413"/>
      <c r="D85" s="95"/>
      <c r="E85" s="96"/>
      <c r="F85" s="96"/>
      <c r="G85" s="96"/>
      <c r="H85" s="96"/>
      <c r="I85" s="96"/>
      <c r="J85" s="96"/>
      <c r="K85" s="97"/>
      <c r="L85" s="98"/>
      <c r="M85" s="98"/>
      <c r="N85" s="99"/>
      <c r="O85" s="72"/>
      <c r="P85" s="100"/>
      <c r="Q85" s="101"/>
      <c r="R85" s="377"/>
      <c r="S85" s="75"/>
      <c r="T85" s="76"/>
      <c r="U85" s="72"/>
      <c r="V85" s="60"/>
      <c r="W85" s="60"/>
      <c r="X85" s="369"/>
      <c r="Y85" s="96"/>
    </row>
    <row r="86" spans="1:25" s="103" customFormat="1" ht="30" customHeight="1" x14ac:dyDescent="0.25">
      <c r="A86" s="94"/>
      <c r="B86" s="94"/>
      <c r="C86" s="413"/>
      <c r="D86" s="95"/>
      <c r="E86" s="96"/>
      <c r="F86" s="96"/>
      <c r="G86" s="96"/>
      <c r="H86" s="96"/>
      <c r="I86" s="96"/>
      <c r="J86" s="96"/>
      <c r="K86" s="97"/>
      <c r="L86" s="98"/>
      <c r="M86" s="98"/>
      <c r="N86" s="99"/>
      <c r="O86" s="72"/>
      <c r="P86" s="100"/>
      <c r="Q86" s="101"/>
      <c r="R86" s="377"/>
      <c r="S86" s="75"/>
      <c r="T86" s="76"/>
      <c r="U86" s="72"/>
      <c r="V86" s="60"/>
      <c r="W86" s="60"/>
      <c r="X86" s="369"/>
      <c r="Y86" s="96"/>
    </row>
    <row r="87" spans="1:25" s="103" customFormat="1" ht="30" customHeight="1" x14ac:dyDescent="0.25">
      <c r="A87" s="94"/>
      <c r="B87" s="94"/>
      <c r="C87" s="413"/>
      <c r="D87" s="95"/>
      <c r="E87" s="96"/>
      <c r="F87" s="96"/>
      <c r="G87" s="96"/>
      <c r="H87" s="96"/>
      <c r="I87" s="96"/>
      <c r="J87" s="96"/>
      <c r="K87" s="97"/>
      <c r="L87" s="98"/>
      <c r="M87" s="98"/>
      <c r="N87" s="99"/>
      <c r="O87" s="72"/>
      <c r="P87" s="100"/>
      <c r="Q87" s="101"/>
      <c r="R87" s="377"/>
      <c r="S87" s="75"/>
      <c r="T87" s="76"/>
      <c r="U87" s="72"/>
      <c r="V87" s="60"/>
      <c r="W87" s="60"/>
      <c r="X87" s="369"/>
      <c r="Y87" s="96"/>
    </row>
    <row r="88" spans="1:25" s="103" customFormat="1" ht="30" customHeight="1" x14ac:dyDescent="0.25">
      <c r="A88" s="94"/>
      <c r="B88" s="94"/>
      <c r="C88" s="413"/>
      <c r="D88" s="95"/>
      <c r="E88" s="96"/>
      <c r="F88" s="96"/>
      <c r="G88" s="96"/>
      <c r="H88" s="96"/>
      <c r="I88" s="96"/>
      <c r="J88" s="96"/>
      <c r="K88" s="97"/>
      <c r="L88" s="98"/>
      <c r="M88" s="98"/>
      <c r="N88" s="99"/>
      <c r="O88" s="72"/>
      <c r="P88" s="100"/>
      <c r="Q88" s="101"/>
      <c r="R88" s="377"/>
      <c r="S88" s="75"/>
      <c r="T88" s="76"/>
      <c r="U88" s="72"/>
      <c r="V88" s="60"/>
      <c r="W88" s="60"/>
      <c r="X88" s="369"/>
      <c r="Y88" s="96"/>
    </row>
    <row r="89" spans="1:25" s="103" customFormat="1" ht="30" customHeight="1" x14ac:dyDescent="0.25">
      <c r="A89" s="94"/>
      <c r="B89" s="94"/>
      <c r="C89" s="413"/>
      <c r="D89" s="95"/>
      <c r="E89" s="96"/>
      <c r="F89" s="96"/>
      <c r="G89" s="96"/>
      <c r="H89" s="96"/>
      <c r="I89" s="96"/>
      <c r="J89" s="96"/>
      <c r="K89" s="97"/>
      <c r="L89" s="98"/>
      <c r="M89" s="98"/>
      <c r="N89" s="99"/>
      <c r="O89" s="72"/>
      <c r="P89" s="100"/>
      <c r="Q89" s="101"/>
      <c r="R89" s="377"/>
      <c r="S89" s="75"/>
      <c r="T89" s="76"/>
      <c r="U89" s="72"/>
      <c r="V89" s="60"/>
      <c r="W89" s="60"/>
      <c r="X89" s="369"/>
      <c r="Y89" s="96"/>
    </row>
    <row r="90" spans="1:25" s="103" customFormat="1" ht="30" customHeight="1" x14ac:dyDescent="0.25">
      <c r="A90" s="94"/>
      <c r="B90" s="94"/>
      <c r="C90" s="413"/>
      <c r="D90" s="95"/>
      <c r="E90" s="96"/>
      <c r="F90" s="96"/>
      <c r="G90" s="96"/>
      <c r="H90" s="96"/>
      <c r="I90" s="96"/>
      <c r="J90" s="96"/>
      <c r="K90" s="97"/>
      <c r="L90" s="98"/>
      <c r="M90" s="98"/>
      <c r="N90" s="99"/>
      <c r="O90" s="72"/>
      <c r="P90" s="100"/>
      <c r="Q90" s="101"/>
      <c r="R90" s="377"/>
      <c r="S90" s="75"/>
      <c r="T90" s="76"/>
      <c r="U90" s="72"/>
      <c r="V90" s="60"/>
      <c r="W90" s="60"/>
      <c r="X90" s="369"/>
      <c r="Y90" s="96"/>
    </row>
    <row r="91" spans="1:25" s="103" customFormat="1" ht="30" customHeight="1" x14ac:dyDescent="0.25">
      <c r="A91" s="94"/>
      <c r="B91" s="94"/>
      <c r="C91" s="413"/>
      <c r="D91" s="95"/>
      <c r="E91" s="96"/>
      <c r="F91" s="96"/>
      <c r="G91" s="96"/>
      <c r="H91" s="96"/>
      <c r="I91" s="96"/>
      <c r="J91" s="96"/>
      <c r="K91" s="97"/>
      <c r="L91" s="98"/>
      <c r="M91" s="98"/>
      <c r="N91" s="99"/>
      <c r="O91" s="72"/>
      <c r="P91" s="100"/>
      <c r="Q91" s="101"/>
      <c r="R91" s="377"/>
      <c r="S91" s="75"/>
      <c r="T91" s="76"/>
      <c r="U91" s="72"/>
      <c r="V91" s="60"/>
      <c r="W91" s="60"/>
      <c r="X91" s="369"/>
      <c r="Y91" s="96"/>
    </row>
    <row r="92" spans="1:25" s="103" customFormat="1" ht="30" customHeight="1" x14ac:dyDescent="0.25">
      <c r="A92" s="94"/>
      <c r="B92" s="94"/>
      <c r="C92" s="413"/>
      <c r="D92" s="95"/>
      <c r="E92" s="96"/>
      <c r="F92" s="96"/>
      <c r="G92" s="96"/>
      <c r="H92" s="96"/>
      <c r="I92" s="96"/>
      <c r="J92" s="96"/>
      <c r="K92" s="97"/>
      <c r="L92" s="98"/>
      <c r="M92" s="98"/>
      <c r="N92" s="99"/>
      <c r="O92" s="72"/>
      <c r="P92" s="100"/>
      <c r="Q92" s="101"/>
      <c r="R92" s="377"/>
      <c r="S92" s="75"/>
      <c r="T92" s="76"/>
      <c r="U92" s="72"/>
      <c r="V92" s="60"/>
      <c r="W92" s="60"/>
      <c r="X92" s="369"/>
      <c r="Y92" s="96"/>
    </row>
    <row r="93" spans="1:25" s="103" customFormat="1" ht="30" customHeight="1" x14ac:dyDescent="0.25">
      <c r="A93" s="94"/>
      <c r="B93" s="94"/>
      <c r="C93" s="413"/>
      <c r="D93" s="95"/>
      <c r="E93" s="96"/>
      <c r="F93" s="96"/>
      <c r="G93" s="96"/>
      <c r="H93" s="96"/>
      <c r="I93" s="96"/>
      <c r="J93" s="96"/>
      <c r="K93" s="97"/>
      <c r="L93" s="98"/>
      <c r="M93" s="98"/>
      <c r="N93" s="99"/>
      <c r="O93" s="72"/>
      <c r="P93" s="100"/>
      <c r="Q93" s="101"/>
      <c r="R93" s="377"/>
      <c r="S93" s="75"/>
      <c r="T93" s="76"/>
      <c r="U93" s="72"/>
      <c r="V93" s="60"/>
      <c r="W93" s="60"/>
      <c r="X93" s="369"/>
      <c r="Y93" s="96"/>
    </row>
    <row r="94" spans="1:25" s="103" customFormat="1" ht="30" customHeight="1" x14ac:dyDescent="0.25">
      <c r="A94" s="94"/>
      <c r="B94" s="94"/>
      <c r="C94" s="413"/>
      <c r="D94" s="95"/>
      <c r="E94" s="96"/>
      <c r="F94" s="96"/>
      <c r="G94" s="96"/>
      <c r="H94" s="96"/>
      <c r="I94" s="96"/>
      <c r="J94" s="96"/>
      <c r="K94" s="97"/>
      <c r="L94" s="98"/>
      <c r="M94" s="98"/>
      <c r="N94" s="99"/>
      <c r="O94" s="72"/>
      <c r="P94" s="100"/>
      <c r="Q94" s="101"/>
      <c r="R94" s="377"/>
      <c r="S94" s="75"/>
      <c r="T94" s="76"/>
      <c r="U94" s="72"/>
      <c r="V94" s="60"/>
      <c r="W94" s="60"/>
      <c r="X94" s="369"/>
      <c r="Y94" s="96"/>
    </row>
    <row r="95" spans="1:25" s="103" customFormat="1" ht="30" customHeight="1" x14ac:dyDescent="0.25">
      <c r="A95" s="94"/>
      <c r="B95" s="94"/>
      <c r="C95" s="413"/>
      <c r="D95" s="95"/>
      <c r="E95" s="96"/>
      <c r="F95" s="96"/>
      <c r="G95" s="96"/>
      <c r="H95" s="96"/>
      <c r="I95" s="96"/>
      <c r="J95" s="96"/>
      <c r="K95" s="97"/>
      <c r="L95" s="98"/>
      <c r="M95" s="98"/>
      <c r="N95" s="99"/>
      <c r="O95" s="72"/>
      <c r="P95" s="100"/>
      <c r="Q95" s="101"/>
      <c r="R95" s="377"/>
      <c r="S95" s="75"/>
      <c r="T95" s="76"/>
      <c r="U95" s="72"/>
      <c r="V95" s="60"/>
      <c r="W95" s="60"/>
      <c r="X95" s="369"/>
      <c r="Y95" s="96"/>
    </row>
    <row r="96" spans="1:25" s="103" customFormat="1" ht="30" customHeight="1" x14ac:dyDescent="0.25">
      <c r="A96" s="94"/>
      <c r="B96" s="94"/>
      <c r="C96" s="413"/>
      <c r="D96" s="95"/>
      <c r="E96" s="96"/>
      <c r="F96" s="96"/>
      <c r="G96" s="96"/>
      <c r="H96" s="96"/>
      <c r="I96" s="96"/>
      <c r="J96" s="96"/>
      <c r="K96" s="97"/>
      <c r="L96" s="98"/>
      <c r="M96" s="98"/>
      <c r="N96" s="99"/>
      <c r="O96" s="72"/>
      <c r="P96" s="100"/>
      <c r="Q96" s="101"/>
      <c r="R96" s="377"/>
      <c r="S96" s="75"/>
      <c r="T96" s="76"/>
      <c r="U96" s="72"/>
      <c r="V96" s="60"/>
      <c r="W96" s="60"/>
      <c r="X96" s="369"/>
      <c r="Y96" s="96"/>
    </row>
    <row r="97" spans="1:25" s="103" customFormat="1" ht="30" customHeight="1" x14ac:dyDescent="0.25">
      <c r="A97" s="94"/>
      <c r="B97" s="94"/>
      <c r="C97" s="413"/>
      <c r="D97" s="95"/>
      <c r="E97" s="96"/>
      <c r="F97" s="96"/>
      <c r="G97" s="96"/>
      <c r="H97" s="96"/>
      <c r="I97" s="96"/>
      <c r="J97" s="96"/>
      <c r="K97" s="97"/>
      <c r="L97" s="98"/>
      <c r="M97" s="98"/>
      <c r="N97" s="99"/>
      <c r="O97" s="72"/>
      <c r="P97" s="100"/>
      <c r="Q97" s="101"/>
      <c r="R97" s="377"/>
      <c r="S97" s="75"/>
      <c r="T97" s="76"/>
      <c r="U97" s="72"/>
      <c r="V97" s="60"/>
      <c r="W97" s="60"/>
      <c r="X97" s="369"/>
      <c r="Y97" s="96"/>
    </row>
    <row r="98" spans="1:25" s="103" customFormat="1" ht="30" customHeight="1" x14ac:dyDescent="0.25">
      <c r="A98" s="94"/>
      <c r="B98" s="94"/>
      <c r="C98" s="413"/>
      <c r="D98" s="95"/>
      <c r="E98" s="96"/>
      <c r="F98" s="96"/>
      <c r="G98" s="96"/>
      <c r="H98" s="96"/>
      <c r="I98" s="96"/>
      <c r="J98" s="96"/>
      <c r="K98" s="97"/>
      <c r="L98" s="98"/>
      <c r="M98" s="98"/>
      <c r="N98" s="99"/>
      <c r="O98" s="72"/>
      <c r="P98" s="100"/>
      <c r="Q98" s="101"/>
      <c r="R98" s="377"/>
      <c r="S98" s="75"/>
      <c r="T98" s="76"/>
      <c r="U98" s="72"/>
      <c r="V98" s="60"/>
      <c r="W98" s="60"/>
      <c r="X98" s="369"/>
      <c r="Y98" s="96"/>
    </row>
    <row r="99" spans="1:25" s="103" customFormat="1" ht="30" customHeight="1" x14ac:dyDescent="0.25">
      <c r="A99" s="94"/>
      <c r="B99" s="94"/>
      <c r="C99" s="413"/>
      <c r="D99" s="95"/>
      <c r="E99" s="96"/>
      <c r="F99" s="96"/>
      <c r="G99" s="96"/>
      <c r="H99" s="96"/>
      <c r="I99" s="96"/>
      <c r="J99" s="96"/>
      <c r="K99" s="97"/>
      <c r="L99" s="98"/>
      <c r="M99" s="98"/>
      <c r="N99" s="99"/>
      <c r="O99" s="72"/>
      <c r="P99" s="100"/>
      <c r="Q99" s="101"/>
      <c r="R99" s="377"/>
      <c r="S99" s="75"/>
      <c r="T99" s="76"/>
      <c r="U99" s="72"/>
      <c r="V99" s="60"/>
      <c r="W99" s="60"/>
      <c r="X99" s="369"/>
      <c r="Y99" s="96"/>
    </row>
    <row r="100" spans="1:25" s="103" customFormat="1" ht="30" customHeight="1" x14ac:dyDescent="0.25">
      <c r="A100" s="94"/>
      <c r="B100" s="94"/>
      <c r="C100" s="413"/>
      <c r="D100" s="95"/>
      <c r="E100" s="96"/>
      <c r="F100" s="96"/>
      <c r="G100" s="96"/>
      <c r="H100" s="96"/>
      <c r="I100" s="96"/>
      <c r="J100" s="96"/>
      <c r="K100" s="97"/>
      <c r="L100" s="98"/>
      <c r="M100" s="98"/>
      <c r="N100" s="99"/>
      <c r="O100" s="72"/>
      <c r="P100" s="100"/>
      <c r="Q100" s="101"/>
      <c r="R100" s="377"/>
      <c r="S100" s="75"/>
      <c r="T100" s="76"/>
      <c r="U100" s="72"/>
      <c r="V100" s="60"/>
      <c r="W100" s="60"/>
      <c r="X100" s="369"/>
      <c r="Y100" s="96"/>
    </row>
    <row r="101" spans="1:25" s="103" customFormat="1" ht="30" customHeight="1" x14ac:dyDescent="0.25">
      <c r="A101" s="94"/>
      <c r="B101" s="94"/>
      <c r="C101" s="413"/>
      <c r="D101" s="95"/>
      <c r="E101" s="96"/>
      <c r="F101" s="96"/>
      <c r="G101" s="96"/>
      <c r="H101" s="96"/>
      <c r="I101" s="96"/>
      <c r="J101" s="96"/>
      <c r="K101" s="97"/>
      <c r="L101" s="98"/>
      <c r="M101" s="98"/>
      <c r="N101" s="99"/>
      <c r="O101" s="72"/>
      <c r="P101" s="100"/>
      <c r="Q101" s="101"/>
      <c r="R101" s="377"/>
      <c r="S101" s="75"/>
      <c r="T101" s="76"/>
      <c r="U101" s="72"/>
      <c r="V101" s="60"/>
      <c r="W101" s="60"/>
      <c r="X101" s="369"/>
      <c r="Y101" s="96"/>
    </row>
    <row r="102" spans="1:25" s="103" customFormat="1" ht="30" customHeight="1" x14ac:dyDescent="0.25">
      <c r="A102" s="94"/>
      <c r="B102" s="94"/>
      <c r="C102" s="413"/>
      <c r="D102" s="95"/>
      <c r="E102" s="96"/>
      <c r="F102" s="96"/>
      <c r="G102" s="96"/>
      <c r="H102" s="96"/>
      <c r="I102" s="96"/>
      <c r="J102" s="96"/>
      <c r="K102" s="97"/>
      <c r="L102" s="98"/>
      <c r="M102" s="98"/>
      <c r="N102" s="99"/>
      <c r="O102" s="72"/>
      <c r="P102" s="100"/>
      <c r="Q102" s="101"/>
      <c r="R102" s="377"/>
      <c r="S102" s="75"/>
      <c r="T102" s="76"/>
      <c r="U102" s="72"/>
      <c r="V102" s="60"/>
      <c r="W102" s="60"/>
      <c r="X102" s="369"/>
      <c r="Y102" s="96"/>
    </row>
    <row r="103" spans="1:25" s="103" customFormat="1" ht="30" customHeight="1" x14ac:dyDescent="0.25">
      <c r="A103" s="94"/>
      <c r="B103" s="94"/>
      <c r="C103" s="413"/>
      <c r="D103" s="95"/>
      <c r="E103" s="96"/>
      <c r="F103" s="96"/>
      <c r="G103" s="96"/>
      <c r="H103" s="96"/>
      <c r="I103" s="96"/>
      <c r="J103" s="96"/>
      <c r="K103" s="97"/>
      <c r="L103" s="98"/>
      <c r="M103" s="98"/>
      <c r="N103" s="99"/>
      <c r="O103" s="72"/>
      <c r="P103" s="100"/>
      <c r="Q103" s="101"/>
      <c r="R103" s="377"/>
      <c r="S103" s="75"/>
      <c r="T103" s="76"/>
      <c r="U103" s="72"/>
      <c r="V103" s="60"/>
      <c r="W103" s="60"/>
      <c r="X103" s="369"/>
      <c r="Y103" s="96"/>
    </row>
    <row r="104" spans="1:25" s="103" customFormat="1" ht="30" customHeight="1" x14ac:dyDescent="0.25">
      <c r="A104" s="94"/>
      <c r="B104" s="94"/>
      <c r="C104" s="413"/>
      <c r="D104" s="95"/>
      <c r="E104" s="96"/>
      <c r="F104" s="96"/>
      <c r="G104" s="96"/>
      <c r="H104" s="96"/>
      <c r="I104" s="96"/>
      <c r="J104" s="96"/>
      <c r="K104" s="97"/>
      <c r="L104" s="98"/>
      <c r="M104" s="98"/>
      <c r="N104" s="99"/>
      <c r="O104" s="72"/>
      <c r="P104" s="100"/>
      <c r="Q104" s="101"/>
      <c r="R104" s="377"/>
      <c r="S104" s="75"/>
      <c r="T104" s="76"/>
      <c r="U104" s="72"/>
      <c r="V104" s="60"/>
      <c r="W104" s="60"/>
      <c r="X104" s="369"/>
      <c r="Y104" s="96"/>
    </row>
    <row r="105" spans="1:25" s="103" customFormat="1" ht="30" customHeight="1" x14ac:dyDescent="0.25">
      <c r="A105" s="94"/>
      <c r="B105" s="94"/>
      <c r="C105" s="413"/>
      <c r="D105" s="95"/>
      <c r="E105" s="96"/>
      <c r="F105" s="96"/>
      <c r="G105" s="96"/>
      <c r="H105" s="96"/>
      <c r="I105" s="96"/>
      <c r="J105" s="96"/>
      <c r="K105" s="97"/>
      <c r="L105" s="98"/>
      <c r="M105" s="98"/>
      <c r="N105" s="99"/>
      <c r="O105" s="72"/>
      <c r="P105" s="100"/>
      <c r="Q105" s="101"/>
      <c r="R105" s="377"/>
      <c r="S105" s="75"/>
      <c r="T105" s="76"/>
      <c r="U105" s="72"/>
      <c r="V105" s="60"/>
      <c r="W105" s="60"/>
      <c r="X105" s="369"/>
      <c r="Y105" s="96"/>
    </row>
    <row r="106" spans="1:25" s="103" customFormat="1" ht="30" customHeight="1" x14ac:dyDescent="0.25">
      <c r="A106" s="94"/>
      <c r="B106" s="94"/>
      <c r="C106" s="413"/>
      <c r="D106" s="95"/>
      <c r="E106" s="96"/>
      <c r="F106" s="96"/>
      <c r="G106" s="96"/>
      <c r="H106" s="96"/>
      <c r="I106" s="96"/>
      <c r="J106" s="96"/>
      <c r="K106" s="97"/>
      <c r="L106" s="98"/>
      <c r="M106" s="98"/>
      <c r="N106" s="99"/>
      <c r="O106" s="72"/>
      <c r="P106" s="100"/>
      <c r="Q106" s="101"/>
      <c r="R106" s="377"/>
      <c r="S106" s="75"/>
      <c r="T106" s="76"/>
      <c r="U106" s="72"/>
      <c r="V106" s="60"/>
      <c r="W106" s="60"/>
      <c r="X106" s="369"/>
      <c r="Y106" s="96"/>
    </row>
    <row r="107" spans="1:25" s="103" customFormat="1" ht="30" customHeight="1" x14ac:dyDescent="0.25">
      <c r="A107" s="94"/>
      <c r="B107" s="94"/>
      <c r="C107" s="413"/>
      <c r="D107" s="95"/>
      <c r="E107" s="96"/>
      <c r="F107" s="96"/>
      <c r="G107" s="96"/>
      <c r="H107" s="96"/>
      <c r="I107" s="96"/>
      <c r="J107" s="96"/>
      <c r="K107" s="97"/>
      <c r="L107" s="98"/>
      <c r="M107" s="98"/>
      <c r="N107" s="99"/>
      <c r="O107" s="72"/>
      <c r="P107" s="100"/>
      <c r="Q107" s="101"/>
      <c r="R107" s="377"/>
      <c r="S107" s="75"/>
      <c r="T107" s="76"/>
      <c r="U107" s="72"/>
      <c r="V107" s="60"/>
      <c r="W107" s="60"/>
      <c r="X107" s="369"/>
      <c r="Y107" s="96"/>
    </row>
    <row r="108" spans="1:25" s="103" customFormat="1" ht="30" customHeight="1" x14ac:dyDescent="0.25">
      <c r="A108" s="94"/>
      <c r="B108" s="94"/>
      <c r="C108" s="413"/>
      <c r="D108" s="95"/>
      <c r="E108" s="96"/>
      <c r="F108" s="96"/>
      <c r="G108" s="96"/>
      <c r="H108" s="96"/>
      <c r="I108" s="96"/>
      <c r="J108" s="96"/>
      <c r="K108" s="97"/>
      <c r="L108" s="98"/>
      <c r="M108" s="98"/>
      <c r="N108" s="99"/>
      <c r="O108" s="72"/>
      <c r="P108" s="100"/>
      <c r="Q108" s="101"/>
      <c r="R108" s="377"/>
      <c r="S108" s="75"/>
      <c r="T108" s="76"/>
      <c r="U108" s="72"/>
      <c r="V108" s="60"/>
      <c r="W108" s="60"/>
      <c r="X108" s="369"/>
      <c r="Y108" s="96"/>
    </row>
    <row r="109" spans="1:25" s="103" customFormat="1" ht="30" customHeight="1" x14ac:dyDescent="0.25">
      <c r="A109" s="94"/>
      <c r="B109" s="94"/>
      <c r="C109" s="413"/>
      <c r="D109" s="95"/>
      <c r="E109" s="96"/>
      <c r="F109" s="96"/>
      <c r="G109" s="96"/>
      <c r="H109" s="96"/>
      <c r="I109" s="96"/>
      <c r="J109" s="96"/>
      <c r="K109" s="97"/>
      <c r="L109" s="98"/>
      <c r="M109" s="98"/>
      <c r="N109" s="99"/>
      <c r="O109" s="72"/>
      <c r="P109" s="100"/>
      <c r="Q109" s="101"/>
      <c r="R109" s="377"/>
      <c r="S109" s="75"/>
      <c r="T109" s="76"/>
      <c r="U109" s="72"/>
      <c r="V109" s="60"/>
      <c r="W109" s="60"/>
      <c r="X109" s="369"/>
      <c r="Y109" s="96"/>
    </row>
    <row r="110" spans="1:25" s="103" customFormat="1" ht="65.099999999999994" customHeight="1" x14ac:dyDescent="0.25">
      <c r="A110" s="94"/>
      <c r="B110" s="94"/>
      <c r="C110" s="413"/>
      <c r="D110" s="95"/>
      <c r="E110" s="96"/>
      <c r="F110" s="96"/>
      <c r="G110" s="96"/>
      <c r="H110" s="96"/>
      <c r="I110" s="96"/>
      <c r="J110" s="96"/>
      <c r="K110" s="97"/>
      <c r="L110" s="98"/>
      <c r="M110" s="98"/>
      <c r="N110" s="99"/>
      <c r="O110" s="72"/>
      <c r="P110" s="100"/>
      <c r="Q110" s="101"/>
      <c r="R110" s="377"/>
      <c r="S110" s="75"/>
      <c r="T110" s="76"/>
      <c r="U110" s="72"/>
      <c r="V110" s="60"/>
      <c r="W110" s="60"/>
      <c r="X110" s="369"/>
      <c r="Y110" s="96"/>
    </row>
    <row r="111" spans="1:25" s="103" customFormat="1" ht="65.099999999999994" customHeight="1" x14ac:dyDescent="0.25">
      <c r="A111" s="94"/>
      <c r="B111" s="94"/>
      <c r="C111" s="413"/>
      <c r="D111" s="95"/>
      <c r="E111" s="96"/>
      <c r="F111" s="96"/>
      <c r="G111" s="96"/>
      <c r="H111" s="96"/>
      <c r="I111" s="96"/>
      <c r="J111" s="96"/>
      <c r="K111" s="97"/>
      <c r="L111" s="98"/>
      <c r="M111" s="98"/>
      <c r="N111" s="99"/>
      <c r="O111" s="72"/>
      <c r="P111" s="100"/>
      <c r="Q111" s="101"/>
      <c r="R111" s="377"/>
      <c r="S111" s="75"/>
      <c r="T111" s="76"/>
      <c r="U111" s="72"/>
      <c r="V111" s="60"/>
      <c r="W111" s="60"/>
      <c r="X111" s="369"/>
      <c r="Y111" s="96"/>
    </row>
    <row r="112" spans="1:25" s="103" customFormat="1" ht="65.099999999999994" customHeight="1" x14ac:dyDescent="0.25">
      <c r="A112" s="94"/>
      <c r="B112" s="94"/>
      <c r="C112" s="413"/>
      <c r="D112" s="95"/>
      <c r="E112" s="96"/>
      <c r="F112" s="96"/>
      <c r="G112" s="96"/>
      <c r="H112" s="96"/>
      <c r="I112" s="96"/>
      <c r="J112" s="96"/>
      <c r="K112" s="97"/>
      <c r="L112" s="98"/>
      <c r="M112" s="98"/>
      <c r="N112" s="99"/>
      <c r="O112" s="72"/>
      <c r="P112" s="100"/>
      <c r="Q112" s="101"/>
      <c r="R112" s="377"/>
      <c r="S112" s="75"/>
      <c r="T112" s="76"/>
      <c r="U112" s="72"/>
      <c r="V112" s="60"/>
      <c r="W112" s="60"/>
      <c r="X112" s="369"/>
      <c r="Y112" s="96"/>
    </row>
    <row r="113" spans="1:25" s="103" customFormat="1" ht="65.099999999999994" customHeight="1" x14ac:dyDescent="0.25">
      <c r="A113" s="94"/>
      <c r="B113" s="94"/>
      <c r="C113" s="413"/>
      <c r="D113" s="95"/>
      <c r="E113" s="96"/>
      <c r="F113" s="96"/>
      <c r="G113" s="96"/>
      <c r="H113" s="96"/>
      <c r="I113" s="96"/>
      <c r="J113" s="96"/>
      <c r="K113" s="97"/>
      <c r="L113" s="98"/>
      <c r="M113" s="98"/>
      <c r="N113" s="99"/>
      <c r="O113" s="72"/>
      <c r="P113" s="100"/>
      <c r="Q113" s="101"/>
      <c r="R113" s="377"/>
      <c r="S113" s="75"/>
      <c r="T113" s="76"/>
      <c r="U113" s="72"/>
      <c r="V113" s="60"/>
      <c r="W113" s="60"/>
      <c r="X113" s="369"/>
      <c r="Y113" s="96"/>
    </row>
    <row r="114" spans="1:25" s="103" customFormat="1" ht="65.099999999999994" customHeight="1" x14ac:dyDescent="0.25">
      <c r="A114" s="94"/>
      <c r="B114" s="94"/>
      <c r="C114" s="413"/>
      <c r="D114" s="95"/>
      <c r="E114" s="96"/>
      <c r="F114" s="96"/>
      <c r="G114" s="96"/>
      <c r="H114" s="96"/>
      <c r="I114" s="96"/>
      <c r="J114" s="96"/>
      <c r="K114" s="97"/>
      <c r="L114" s="98"/>
      <c r="M114" s="98"/>
      <c r="N114" s="99"/>
      <c r="O114" s="72"/>
      <c r="P114" s="100"/>
      <c r="Q114" s="101"/>
      <c r="R114" s="377"/>
      <c r="S114" s="75"/>
      <c r="T114" s="76"/>
      <c r="U114" s="72"/>
      <c r="V114" s="60"/>
      <c r="W114" s="60"/>
      <c r="X114" s="369"/>
      <c r="Y114" s="96"/>
    </row>
    <row r="115" spans="1:25" s="103" customFormat="1" ht="65.099999999999994" customHeight="1" x14ac:dyDescent="0.25">
      <c r="A115" s="94"/>
      <c r="B115" s="94"/>
      <c r="C115" s="413"/>
      <c r="D115" s="95"/>
      <c r="E115" s="96"/>
      <c r="F115" s="96"/>
      <c r="G115" s="96"/>
      <c r="H115" s="96"/>
      <c r="I115" s="96"/>
      <c r="J115" s="96"/>
      <c r="K115" s="97"/>
      <c r="L115" s="98"/>
      <c r="M115" s="98"/>
      <c r="N115" s="99"/>
      <c r="O115" s="72"/>
      <c r="P115" s="100"/>
      <c r="Q115" s="101"/>
      <c r="R115" s="377"/>
      <c r="S115" s="75"/>
      <c r="T115" s="76"/>
      <c r="U115" s="72"/>
      <c r="V115" s="60"/>
      <c r="W115" s="60"/>
      <c r="X115" s="369"/>
      <c r="Y115" s="96"/>
    </row>
    <row r="116" spans="1:25" s="103" customFormat="1" ht="65.099999999999994" customHeight="1" x14ac:dyDescent="0.25">
      <c r="A116" s="94"/>
      <c r="B116" s="94"/>
      <c r="C116" s="413"/>
      <c r="D116" s="95"/>
      <c r="E116" s="96"/>
      <c r="F116" s="96"/>
      <c r="G116" s="96"/>
      <c r="H116" s="96"/>
      <c r="I116" s="96"/>
      <c r="J116" s="96"/>
      <c r="K116" s="97"/>
      <c r="L116" s="98"/>
      <c r="M116" s="98"/>
      <c r="N116" s="99"/>
      <c r="O116" s="72"/>
      <c r="P116" s="100"/>
      <c r="Q116" s="101"/>
      <c r="R116" s="377"/>
      <c r="S116" s="75"/>
      <c r="T116" s="76"/>
      <c r="U116" s="72"/>
      <c r="V116" s="60"/>
      <c r="W116" s="60"/>
      <c r="X116" s="369"/>
      <c r="Y116" s="96"/>
    </row>
    <row r="117" spans="1:25" s="103" customFormat="1" ht="65.099999999999994" customHeight="1" x14ac:dyDescent="0.25">
      <c r="A117" s="94"/>
      <c r="B117" s="94"/>
      <c r="C117" s="413"/>
      <c r="D117" s="95"/>
      <c r="E117" s="96"/>
      <c r="F117" s="96"/>
      <c r="G117" s="96"/>
      <c r="H117" s="96"/>
      <c r="I117" s="96"/>
      <c r="J117" s="96"/>
      <c r="K117" s="97"/>
      <c r="L117" s="98"/>
      <c r="M117" s="98"/>
      <c r="N117" s="99"/>
      <c r="O117" s="72"/>
      <c r="P117" s="100"/>
      <c r="Q117" s="101"/>
      <c r="R117" s="377"/>
      <c r="S117" s="75"/>
      <c r="T117" s="76"/>
      <c r="U117" s="72"/>
      <c r="V117" s="60"/>
      <c r="W117" s="60"/>
      <c r="X117" s="369"/>
      <c r="Y117" s="96"/>
    </row>
    <row r="118" spans="1:25" s="103" customFormat="1" ht="65.099999999999994" customHeight="1" x14ac:dyDescent="0.25">
      <c r="A118" s="94"/>
      <c r="B118" s="94"/>
      <c r="C118" s="413"/>
      <c r="D118" s="95"/>
      <c r="E118" s="96"/>
      <c r="F118" s="96"/>
      <c r="G118" s="96"/>
      <c r="H118" s="96"/>
      <c r="I118" s="96"/>
      <c r="J118" s="96"/>
      <c r="K118" s="97"/>
      <c r="L118" s="98"/>
      <c r="M118" s="98"/>
      <c r="N118" s="99"/>
      <c r="O118" s="72"/>
      <c r="P118" s="100"/>
      <c r="Q118" s="101"/>
      <c r="R118" s="377"/>
      <c r="S118" s="75"/>
      <c r="T118" s="76"/>
      <c r="U118" s="72"/>
      <c r="V118" s="60"/>
      <c r="W118" s="60"/>
      <c r="X118" s="369"/>
      <c r="Y118" s="96"/>
    </row>
    <row r="119" spans="1:25" s="103" customFormat="1" ht="65.099999999999994" customHeight="1" x14ac:dyDescent="0.25">
      <c r="A119" s="94"/>
      <c r="B119" s="94"/>
      <c r="C119" s="413"/>
      <c r="D119" s="95"/>
      <c r="E119" s="96"/>
      <c r="F119" s="96"/>
      <c r="G119" s="96"/>
      <c r="H119" s="96"/>
      <c r="I119" s="96"/>
      <c r="J119" s="96"/>
      <c r="K119" s="97"/>
      <c r="L119" s="98"/>
      <c r="M119" s="98"/>
      <c r="N119" s="99"/>
      <c r="O119" s="72"/>
      <c r="P119" s="100"/>
      <c r="Q119" s="101"/>
      <c r="R119" s="377"/>
      <c r="S119" s="75"/>
      <c r="T119" s="76"/>
      <c r="U119" s="72"/>
      <c r="V119" s="60"/>
      <c r="W119" s="60"/>
      <c r="X119" s="369"/>
      <c r="Y119" s="96"/>
    </row>
    <row r="120" spans="1:25" s="103" customFormat="1" ht="65.099999999999994" customHeight="1" x14ac:dyDescent="0.25">
      <c r="A120" s="94"/>
      <c r="B120" s="94"/>
      <c r="C120" s="413"/>
      <c r="D120" s="95"/>
      <c r="E120" s="96"/>
      <c r="F120" s="96"/>
      <c r="G120" s="96"/>
      <c r="H120" s="96"/>
      <c r="I120" s="96"/>
      <c r="J120" s="96"/>
      <c r="K120" s="97"/>
      <c r="L120" s="98"/>
      <c r="M120" s="98"/>
      <c r="N120" s="99"/>
      <c r="O120" s="72"/>
      <c r="P120" s="100"/>
      <c r="Q120" s="101"/>
      <c r="R120" s="377"/>
      <c r="S120" s="75"/>
      <c r="T120" s="76"/>
      <c r="U120" s="72"/>
      <c r="V120" s="60"/>
      <c r="W120" s="60"/>
      <c r="X120" s="369"/>
      <c r="Y120" s="96"/>
    </row>
    <row r="121" spans="1:25" s="103" customFormat="1" ht="65.099999999999994" customHeight="1" x14ac:dyDescent="0.25">
      <c r="A121" s="94"/>
      <c r="B121" s="94"/>
      <c r="C121" s="413"/>
      <c r="D121" s="95"/>
      <c r="E121" s="96"/>
      <c r="F121" s="96"/>
      <c r="G121" s="96"/>
      <c r="H121" s="96"/>
      <c r="I121" s="96"/>
      <c r="J121" s="96"/>
      <c r="K121" s="97"/>
      <c r="L121" s="98"/>
      <c r="M121" s="98"/>
      <c r="N121" s="99"/>
      <c r="O121" s="72"/>
      <c r="P121" s="100"/>
      <c r="Q121" s="101"/>
      <c r="R121" s="377"/>
      <c r="S121" s="75"/>
      <c r="T121" s="76"/>
      <c r="U121" s="72"/>
      <c r="V121" s="60"/>
      <c r="W121" s="60"/>
      <c r="X121" s="369"/>
      <c r="Y121" s="96"/>
    </row>
    <row r="122" spans="1:25" s="103" customFormat="1" ht="65.099999999999994" customHeight="1" x14ac:dyDescent="0.25">
      <c r="A122" s="94"/>
      <c r="B122" s="94"/>
      <c r="C122" s="413"/>
      <c r="D122" s="95"/>
      <c r="E122" s="96"/>
      <c r="F122" s="96"/>
      <c r="G122" s="96"/>
      <c r="H122" s="96"/>
      <c r="I122" s="96"/>
      <c r="J122" s="96"/>
      <c r="K122" s="97"/>
      <c r="L122" s="98"/>
      <c r="M122" s="98"/>
      <c r="N122" s="99"/>
      <c r="O122" s="72"/>
      <c r="P122" s="100"/>
      <c r="Q122" s="101"/>
      <c r="R122" s="377"/>
      <c r="S122" s="75"/>
      <c r="T122" s="76"/>
      <c r="U122" s="72"/>
      <c r="V122" s="60"/>
      <c r="W122" s="60"/>
      <c r="X122" s="369"/>
      <c r="Y122" s="96"/>
    </row>
    <row r="123" spans="1:25" s="103" customFormat="1" ht="65.099999999999994" customHeight="1" x14ac:dyDescent="0.25">
      <c r="A123" s="94"/>
      <c r="B123" s="94"/>
      <c r="C123" s="413"/>
      <c r="D123" s="95"/>
      <c r="E123" s="96"/>
      <c r="F123" s="96"/>
      <c r="G123" s="96"/>
      <c r="H123" s="96"/>
      <c r="I123" s="96"/>
      <c r="J123" s="96"/>
      <c r="K123" s="97"/>
      <c r="L123" s="98"/>
      <c r="M123" s="98"/>
      <c r="N123" s="99"/>
      <c r="O123" s="72"/>
      <c r="P123" s="100"/>
      <c r="Q123" s="101"/>
      <c r="R123" s="377"/>
      <c r="S123" s="75"/>
      <c r="T123" s="76"/>
      <c r="U123" s="72"/>
      <c r="V123" s="60"/>
      <c r="W123" s="60"/>
      <c r="X123" s="369"/>
      <c r="Y123" s="96"/>
    </row>
    <row r="124" spans="1:25" s="103" customFormat="1" ht="65.099999999999994" customHeight="1" x14ac:dyDescent="0.25">
      <c r="A124" s="94"/>
      <c r="B124" s="94"/>
      <c r="C124" s="413"/>
      <c r="D124" s="95"/>
      <c r="E124" s="96"/>
      <c r="F124" s="96"/>
      <c r="G124" s="96"/>
      <c r="H124" s="96"/>
      <c r="I124" s="96"/>
      <c r="J124" s="96"/>
      <c r="K124" s="97"/>
      <c r="L124" s="98"/>
      <c r="M124" s="98"/>
      <c r="N124" s="99"/>
      <c r="O124" s="72"/>
      <c r="P124" s="100"/>
      <c r="Q124" s="101"/>
      <c r="R124" s="377"/>
      <c r="S124" s="75"/>
      <c r="T124" s="76"/>
      <c r="U124" s="72"/>
      <c r="V124" s="60"/>
      <c r="W124" s="60"/>
      <c r="X124" s="369"/>
      <c r="Y124" s="96"/>
    </row>
    <row r="125" spans="1:25" s="103" customFormat="1" ht="65.099999999999994" customHeight="1" x14ac:dyDescent="0.25">
      <c r="A125" s="94"/>
      <c r="B125" s="94"/>
      <c r="C125" s="413"/>
      <c r="D125" s="95"/>
      <c r="E125" s="96"/>
      <c r="F125" s="96"/>
      <c r="G125" s="96"/>
      <c r="H125" s="96"/>
      <c r="I125" s="96"/>
      <c r="J125" s="96"/>
      <c r="K125" s="97"/>
      <c r="L125" s="98"/>
      <c r="M125" s="98"/>
      <c r="N125" s="99"/>
      <c r="O125" s="72"/>
      <c r="P125" s="100"/>
      <c r="Q125" s="101"/>
      <c r="R125" s="377"/>
      <c r="S125" s="75"/>
      <c r="T125" s="76"/>
      <c r="U125" s="72"/>
      <c r="V125" s="60"/>
      <c r="W125" s="60"/>
      <c r="X125" s="369"/>
      <c r="Y125" s="96"/>
    </row>
    <row r="126" spans="1:25" s="103" customFormat="1" ht="65.099999999999994" customHeight="1" x14ac:dyDescent="0.25">
      <c r="A126" s="94"/>
      <c r="B126" s="94"/>
      <c r="C126" s="413"/>
      <c r="D126" s="95"/>
      <c r="E126" s="96"/>
      <c r="F126" s="96"/>
      <c r="G126" s="96"/>
      <c r="H126" s="96"/>
      <c r="I126" s="96"/>
      <c r="J126" s="96"/>
      <c r="K126" s="97"/>
      <c r="L126" s="98"/>
      <c r="M126" s="98"/>
      <c r="N126" s="99"/>
      <c r="O126" s="72"/>
      <c r="P126" s="100"/>
      <c r="Q126" s="101"/>
      <c r="R126" s="377"/>
      <c r="S126" s="75"/>
      <c r="T126" s="76"/>
      <c r="U126" s="72"/>
      <c r="V126" s="60"/>
      <c r="W126" s="60"/>
      <c r="X126" s="369"/>
      <c r="Y126" s="96"/>
    </row>
    <row r="127" spans="1:25" s="103" customFormat="1" ht="65.099999999999994" customHeight="1" x14ac:dyDescent="0.25">
      <c r="A127" s="94"/>
      <c r="B127" s="94"/>
      <c r="C127" s="413"/>
      <c r="D127" s="95"/>
      <c r="E127" s="96"/>
      <c r="F127" s="96"/>
      <c r="G127" s="96"/>
      <c r="H127" s="96"/>
      <c r="I127" s="96"/>
      <c r="J127" s="96"/>
      <c r="K127" s="97"/>
      <c r="L127" s="98"/>
      <c r="M127" s="98"/>
      <c r="N127" s="99"/>
      <c r="O127" s="72"/>
      <c r="P127" s="100"/>
      <c r="Q127" s="101"/>
      <c r="R127" s="377"/>
      <c r="S127" s="75"/>
      <c r="T127" s="76"/>
      <c r="U127" s="72"/>
      <c r="V127" s="60"/>
      <c r="W127" s="60"/>
      <c r="X127" s="369"/>
      <c r="Y127" s="96"/>
    </row>
    <row r="128" spans="1:25" s="103" customFormat="1" ht="65.099999999999994" customHeight="1" x14ac:dyDescent="0.25">
      <c r="A128" s="94"/>
      <c r="B128" s="94"/>
      <c r="C128" s="413"/>
      <c r="D128" s="95"/>
      <c r="E128" s="96"/>
      <c r="F128" s="96"/>
      <c r="G128" s="96"/>
      <c r="H128" s="96"/>
      <c r="I128" s="96"/>
      <c r="J128" s="96"/>
      <c r="K128" s="97"/>
      <c r="L128" s="98"/>
      <c r="M128" s="98"/>
      <c r="N128" s="99"/>
      <c r="O128" s="72"/>
      <c r="P128" s="100"/>
      <c r="Q128" s="101"/>
      <c r="R128" s="377"/>
      <c r="S128" s="75"/>
      <c r="T128" s="76"/>
      <c r="U128" s="72"/>
      <c r="V128" s="60"/>
      <c r="W128" s="60"/>
      <c r="X128" s="369"/>
      <c r="Y128" s="96"/>
    </row>
    <row r="129" spans="1:25" s="103" customFormat="1" ht="65.099999999999994" customHeight="1" x14ac:dyDescent="0.25">
      <c r="A129" s="94"/>
      <c r="B129" s="94"/>
      <c r="C129" s="413"/>
      <c r="D129" s="95"/>
      <c r="E129" s="96"/>
      <c r="F129" s="96"/>
      <c r="G129" s="96"/>
      <c r="H129" s="96"/>
      <c r="I129" s="96"/>
      <c r="J129" s="96"/>
      <c r="K129" s="97"/>
      <c r="L129" s="98"/>
      <c r="M129" s="98"/>
      <c r="N129" s="99"/>
      <c r="O129" s="72"/>
      <c r="P129" s="100"/>
      <c r="Q129" s="101"/>
      <c r="R129" s="377"/>
      <c r="S129" s="75"/>
      <c r="T129" s="76"/>
      <c r="U129" s="72"/>
      <c r="V129" s="60"/>
      <c r="W129" s="60"/>
      <c r="X129" s="369"/>
      <c r="Y129" s="96"/>
    </row>
    <row r="130" spans="1:25" s="103" customFormat="1" ht="65.099999999999994" customHeight="1" x14ac:dyDescent="0.25">
      <c r="A130" s="94"/>
      <c r="B130" s="94"/>
      <c r="C130" s="413"/>
      <c r="D130" s="95"/>
      <c r="E130" s="96"/>
      <c r="F130" s="96"/>
      <c r="G130" s="96"/>
      <c r="H130" s="96"/>
      <c r="I130" s="96"/>
      <c r="J130" s="96"/>
      <c r="K130" s="97"/>
      <c r="L130" s="98"/>
      <c r="M130" s="98"/>
      <c r="N130" s="99"/>
      <c r="O130" s="72"/>
      <c r="P130" s="100"/>
      <c r="Q130" s="101"/>
      <c r="R130" s="377"/>
      <c r="S130" s="75"/>
      <c r="T130" s="76"/>
      <c r="U130" s="72"/>
      <c r="V130" s="60"/>
      <c r="W130" s="60"/>
      <c r="X130" s="369"/>
      <c r="Y130" s="96"/>
    </row>
    <row r="131" spans="1:25" s="103" customFormat="1" ht="65.099999999999994" customHeight="1" x14ac:dyDescent="0.25">
      <c r="A131" s="94"/>
      <c r="B131" s="94"/>
      <c r="C131" s="413"/>
      <c r="D131" s="95"/>
      <c r="E131" s="96"/>
      <c r="F131" s="96"/>
      <c r="G131" s="96"/>
      <c r="H131" s="96"/>
      <c r="I131" s="96"/>
      <c r="J131" s="96"/>
      <c r="K131" s="97"/>
      <c r="L131" s="98"/>
      <c r="M131" s="98"/>
      <c r="N131" s="99"/>
      <c r="O131" s="72"/>
      <c r="P131" s="100"/>
      <c r="Q131" s="101"/>
      <c r="R131" s="377"/>
      <c r="S131" s="75"/>
      <c r="T131" s="76"/>
      <c r="U131" s="72"/>
      <c r="V131" s="60"/>
      <c r="W131" s="60"/>
      <c r="X131" s="369"/>
      <c r="Y131" s="96"/>
    </row>
    <row r="132" spans="1:25" s="103" customFormat="1" ht="65.099999999999994" customHeight="1" x14ac:dyDescent="0.25">
      <c r="A132" s="94"/>
      <c r="B132" s="94"/>
      <c r="C132" s="413"/>
      <c r="D132" s="95"/>
      <c r="E132" s="96"/>
      <c r="F132" s="96"/>
      <c r="G132" s="96"/>
      <c r="H132" s="96"/>
      <c r="I132" s="96"/>
      <c r="J132" s="96"/>
      <c r="K132" s="97"/>
      <c r="L132" s="98"/>
      <c r="M132" s="98"/>
      <c r="N132" s="99"/>
      <c r="O132" s="72"/>
      <c r="P132" s="100"/>
      <c r="Q132" s="101"/>
      <c r="R132" s="377"/>
      <c r="S132" s="75"/>
      <c r="T132" s="76"/>
      <c r="U132" s="72"/>
      <c r="V132" s="60"/>
      <c r="W132" s="60"/>
      <c r="X132" s="369"/>
      <c r="Y132" s="96"/>
    </row>
    <row r="133" spans="1:25" s="103" customFormat="1" ht="65.099999999999994" customHeight="1" x14ac:dyDescent="0.25">
      <c r="A133" s="94"/>
      <c r="B133" s="94"/>
      <c r="C133" s="413"/>
      <c r="D133" s="95"/>
      <c r="E133" s="96"/>
      <c r="F133" s="96"/>
      <c r="G133" s="96"/>
      <c r="H133" s="96"/>
      <c r="I133" s="96"/>
      <c r="J133" s="96"/>
      <c r="K133" s="97"/>
      <c r="L133" s="98"/>
      <c r="M133" s="98"/>
      <c r="N133" s="99"/>
      <c r="O133" s="72"/>
      <c r="P133" s="100"/>
      <c r="Q133" s="101"/>
      <c r="R133" s="377"/>
      <c r="S133" s="75"/>
      <c r="T133" s="76"/>
      <c r="U133" s="72"/>
      <c r="V133" s="60"/>
      <c r="W133" s="60"/>
      <c r="X133" s="369"/>
      <c r="Y133" s="96"/>
    </row>
    <row r="134" spans="1:25" s="103" customFormat="1" ht="65.099999999999994" customHeight="1" x14ac:dyDescent="0.25">
      <c r="A134" s="94"/>
      <c r="B134" s="94"/>
      <c r="C134" s="413"/>
      <c r="D134" s="95"/>
      <c r="E134" s="96"/>
      <c r="F134" s="96"/>
      <c r="G134" s="96"/>
      <c r="H134" s="96"/>
      <c r="I134" s="96"/>
      <c r="J134" s="96"/>
      <c r="K134" s="97"/>
      <c r="L134" s="98"/>
      <c r="M134" s="98"/>
      <c r="N134" s="99"/>
      <c r="O134" s="72"/>
      <c r="P134" s="100"/>
      <c r="Q134" s="101"/>
      <c r="R134" s="377"/>
      <c r="S134" s="75"/>
      <c r="T134" s="76"/>
      <c r="U134" s="72"/>
      <c r="V134" s="60"/>
      <c r="W134" s="60"/>
      <c r="X134" s="369"/>
      <c r="Y134" s="96"/>
    </row>
    <row r="135" spans="1:25" s="103" customFormat="1" ht="65.099999999999994" customHeight="1" x14ac:dyDescent="0.25">
      <c r="A135" s="94"/>
      <c r="B135" s="94"/>
      <c r="C135" s="413"/>
      <c r="D135" s="95"/>
      <c r="E135" s="96"/>
      <c r="F135" s="96"/>
      <c r="G135" s="96"/>
      <c r="H135" s="96"/>
      <c r="I135" s="96"/>
      <c r="J135" s="96"/>
      <c r="K135" s="97"/>
      <c r="L135" s="98"/>
      <c r="M135" s="98"/>
      <c r="N135" s="99"/>
      <c r="O135" s="72"/>
      <c r="P135" s="100"/>
      <c r="Q135" s="101"/>
      <c r="R135" s="377"/>
      <c r="S135" s="75"/>
      <c r="T135" s="76"/>
      <c r="U135" s="72"/>
      <c r="V135" s="60"/>
      <c r="W135" s="60"/>
      <c r="X135" s="369"/>
      <c r="Y135" s="96"/>
    </row>
    <row r="136" spans="1:25" s="103" customFormat="1" ht="65.099999999999994" customHeight="1" x14ac:dyDescent="0.25">
      <c r="A136" s="94"/>
      <c r="B136" s="94"/>
      <c r="C136" s="413"/>
      <c r="D136" s="95"/>
      <c r="E136" s="96"/>
      <c r="F136" s="96"/>
      <c r="G136" s="96"/>
      <c r="H136" s="96"/>
      <c r="I136" s="96"/>
      <c r="J136" s="96"/>
      <c r="K136" s="97"/>
      <c r="L136" s="98"/>
      <c r="M136" s="98"/>
      <c r="N136" s="99"/>
      <c r="O136" s="72"/>
      <c r="P136" s="100"/>
      <c r="Q136" s="101"/>
      <c r="R136" s="377"/>
      <c r="S136" s="75"/>
      <c r="T136" s="76"/>
      <c r="U136" s="72"/>
      <c r="V136" s="60"/>
      <c r="W136" s="60"/>
      <c r="X136" s="369"/>
      <c r="Y136" s="96"/>
    </row>
    <row r="137" spans="1:25" s="103" customFormat="1" ht="65.099999999999994" customHeight="1" x14ac:dyDescent="0.25">
      <c r="A137" s="94"/>
      <c r="B137" s="94"/>
      <c r="C137" s="413"/>
      <c r="D137" s="95"/>
      <c r="E137" s="96"/>
      <c r="F137" s="96"/>
      <c r="G137" s="96"/>
      <c r="H137" s="96"/>
      <c r="I137" s="96"/>
      <c r="J137" s="96"/>
      <c r="K137" s="97"/>
      <c r="L137" s="98"/>
      <c r="M137" s="98"/>
      <c r="N137" s="99"/>
      <c r="O137" s="72"/>
      <c r="P137" s="100"/>
      <c r="Q137" s="101"/>
      <c r="R137" s="377"/>
      <c r="S137" s="75"/>
      <c r="T137" s="76"/>
      <c r="U137" s="72"/>
      <c r="V137" s="60"/>
      <c r="W137" s="60"/>
      <c r="X137" s="369"/>
      <c r="Y137" s="96"/>
    </row>
    <row r="138" spans="1:25" s="103" customFormat="1" ht="65.099999999999994" customHeight="1" x14ac:dyDescent="0.25">
      <c r="A138" s="94"/>
      <c r="B138" s="94"/>
      <c r="C138" s="413"/>
      <c r="D138" s="95"/>
      <c r="E138" s="96"/>
      <c r="F138" s="96"/>
      <c r="G138" s="96"/>
      <c r="H138" s="96"/>
      <c r="I138" s="96"/>
      <c r="J138" s="96"/>
      <c r="K138" s="97"/>
      <c r="L138" s="98"/>
      <c r="M138" s="98"/>
      <c r="N138" s="99"/>
      <c r="O138" s="72"/>
      <c r="P138" s="100"/>
      <c r="Q138" s="101"/>
      <c r="R138" s="377"/>
      <c r="S138" s="75"/>
      <c r="T138" s="76"/>
      <c r="U138" s="72"/>
      <c r="V138" s="60"/>
      <c r="W138" s="60"/>
      <c r="X138" s="369"/>
      <c r="Y138" s="96"/>
    </row>
    <row r="139" spans="1:25" s="103" customFormat="1" ht="65.099999999999994" customHeight="1" x14ac:dyDescent="0.25">
      <c r="A139" s="94"/>
      <c r="B139" s="94"/>
      <c r="C139" s="413"/>
      <c r="D139" s="95"/>
      <c r="E139" s="96"/>
      <c r="F139" s="96"/>
      <c r="G139" s="96"/>
      <c r="H139" s="96"/>
      <c r="I139" s="96"/>
      <c r="J139" s="96"/>
      <c r="K139" s="97"/>
      <c r="L139" s="98"/>
      <c r="M139" s="98"/>
      <c r="N139" s="99"/>
      <c r="O139" s="72"/>
      <c r="P139" s="100"/>
      <c r="Q139" s="101"/>
      <c r="R139" s="377"/>
      <c r="S139" s="75"/>
      <c r="T139" s="76"/>
      <c r="U139" s="72"/>
      <c r="V139" s="60"/>
      <c r="W139" s="60"/>
      <c r="X139" s="369"/>
      <c r="Y139" s="96"/>
    </row>
    <row r="140" spans="1:25" s="103" customFormat="1" ht="65.099999999999994" customHeight="1" x14ac:dyDescent="0.25">
      <c r="A140" s="94"/>
      <c r="B140" s="94"/>
      <c r="C140" s="413"/>
      <c r="D140" s="95"/>
      <c r="E140" s="96"/>
      <c r="F140" s="96"/>
      <c r="G140" s="96"/>
      <c r="H140" s="96"/>
      <c r="I140" s="96"/>
      <c r="J140" s="96"/>
      <c r="K140" s="97"/>
      <c r="L140" s="98"/>
      <c r="M140" s="98"/>
      <c r="N140" s="99"/>
      <c r="O140" s="72"/>
      <c r="P140" s="100"/>
      <c r="Q140" s="101"/>
      <c r="R140" s="377"/>
      <c r="S140" s="75"/>
      <c r="T140" s="76"/>
      <c r="U140" s="72"/>
      <c r="V140" s="60"/>
      <c r="W140" s="60"/>
      <c r="X140" s="369"/>
      <c r="Y140" s="96"/>
    </row>
    <row r="141" spans="1:25" s="103" customFormat="1" ht="65.099999999999994" customHeight="1" x14ac:dyDescent="0.25">
      <c r="A141" s="94"/>
      <c r="B141" s="94"/>
      <c r="C141" s="413"/>
      <c r="D141" s="95"/>
      <c r="E141" s="96"/>
      <c r="F141" s="96"/>
      <c r="G141" s="96"/>
      <c r="H141" s="96"/>
      <c r="I141" s="96"/>
      <c r="J141" s="96"/>
      <c r="K141" s="97"/>
      <c r="L141" s="98"/>
      <c r="M141" s="98"/>
      <c r="N141" s="99"/>
      <c r="O141" s="72"/>
      <c r="P141" s="100"/>
      <c r="Q141" s="101"/>
      <c r="R141" s="377"/>
      <c r="S141" s="75"/>
      <c r="T141" s="76"/>
      <c r="U141" s="72"/>
      <c r="V141" s="60"/>
      <c r="W141" s="60"/>
      <c r="X141" s="369"/>
      <c r="Y141" s="96"/>
    </row>
    <row r="142" spans="1:25" s="103" customFormat="1" ht="65.099999999999994" customHeight="1" x14ac:dyDescent="0.25">
      <c r="A142" s="94"/>
      <c r="B142" s="94"/>
      <c r="C142" s="413"/>
      <c r="D142" s="95"/>
      <c r="E142" s="96"/>
      <c r="F142" s="96"/>
      <c r="G142" s="96"/>
      <c r="H142" s="96"/>
      <c r="I142" s="96"/>
      <c r="J142" s="96"/>
      <c r="K142" s="97"/>
      <c r="L142" s="98"/>
      <c r="M142" s="98"/>
      <c r="N142" s="99"/>
      <c r="O142" s="72"/>
      <c r="P142" s="100"/>
      <c r="Q142" s="101"/>
      <c r="R142" s="377"/>
      <c r="S142" s="75"/>
      <c r="T142" s="76"/>
      <c r="U142" s="72"/>
      <c r="V142" s="60"/>
      <c r="W142" s="60"/>
      <c r="X142" s="369"/>
      <c r="Y142" s="96"/>
    </row>
    <row r="143" spans="1:25" s="103" customFormat="1" ht="65.099999999999994" customHeight="1" x14ac:dyDescent="0.25">
      <c r="A143" s="94"/>
      <c r="B143" s="94"/>
      <c r="C143" s="413"/>
      <c r="D143" s="95"/>
      <c r="E143" s="96"/>
      <c r="F143" s="96"/>
      <c r="G143" s="96"/>
      <c r="H143" s="96"/>
      <c r="I143" s="96"/>
      <c r="J143" s="96"/>
      <c r="K143" s="97"/>
      <c r="L143" s="98"/>
      <c r="M143" s="98"/>
      <c r="N143" s="99"/>
      <c r="O143" s="72"/>
      <c r="P143" s="100"/>
      <c r="Q143" s="101"/>
      <c r="R143" s="377"/>
      <c r="S143" s="75"/>
      <c r="T143" s="76"/>
      <c r="U143" s="72"/>
      <c r="V143" s="60"/>
      <c r="W143" s="60"/>
      <c r="X143" s="369"/>
      <c r="Y143" s="96"/>
    </row>
    <row r="144" spans="1:25" s="103" customFormat="1" ht="65.099999999999994" customHeight="1" x14ac:dyDescent="0.25">
      <c r="A144" s="94"/>
      <c r="B144" s="94"/>
      <c r="C144" s="413"/>
      <c r="D144" s="95"/>
      <c r="E144" s="96"/>
      <c r="F144" s="96"/>
      <c r="G144" s="96"/>
      <c r="H144" s="96"/>
      <c r="I144" s="96"/>
      <c r="J144" s="96"/>
      <c r="K144" s="97"/>
      <c r="L144" s="98"/>
      <c r="M144" s="98"/>
      <c r="N144" s="99"/>
      <c r="O144" s="72"/>
      <c r="P144" s="100"/>
      <c r="Q144" s="101"/>
      <c r="R144" s="377"/>
      <c r="S144" s="75"/>
      <c r="T144" s="76"/>
      <c r="U144" s="72"/>
      <c r="V144" s="60"/>
      <c r="W144" s="60"/>
      <c r="X144" s="369"/>
      <c r="Y144" s="96"/>
    </row>
    <row r="145" spans="1:25" s="103" customFormat="1" ht="65.099999999999994" customHeight="1" x14ac:dyDescent="0.25">
      <c r="A145" s="94"/>
      <c r="B145" s="94"/>
      <c r="C145" s="413"/>
      <c r="D145" s="95"/>
      <c r="E145" s="96"/>
      <c r="F145" s="96"/>
      <c r="G145" s="96"/>
      <c r="H145" s="96"/>
      <c r="I145" s="96"/>
      <c r="J145" s="96"/>
      <c r="K145" s="97"/>
      <c r="L145" s="98"/>
      <c r="M145" s="98"/>
      <c r="N145" s="99"/>
      <c r="O145" s="72"/>
      <c r="P145" s="100"/>
      <c r="Q145" s="101"/>
      <c r="R145" s="377"/>
      <c r="S145" s="75"/>
      <c r="T145" s="76"/>
      <c r="U145" s="72"/>
      <c r="V145" s="60"/>
      <c r="W145" s="60"/>
      <c r="X145" s="369"/>
      <c r="Y145" s="96"/>
    </row>
    <row r="146" spans="1:25" s="103" customFormat="1" ht="65.099999999999994" customHeight="1" x14ac:dyDescent="0.25">
      <c r="A146" s="94"/>
      <c r="B146" s="94"/>
      <c r="C146" s="413"/>
      <c r="D146" s="95"/>
      <c r="E146" s="96"/>
      <c r="F146" s="96"/>
      <c r="G146" s="96"/>
      <c r="H146" s="96"/>
      <c r="I146" s="96"/>
      <c r="J146" s="96"/>
      <c r="K146" s="97"/>
      <c r="L146" s="98"/>
      <c r="M146" s="98"/>
      <c r="N146" s="99"/>
      <c r="O146" s="72"/>
      <c r="P146" s="100"/>
      <c r="Q146" s="101"/>
      <c r="R146" s="377"/>
      <c r="S146" s="75"/>
      <c r="T146" s="76"/>
      <c r="U146" s="72"/>
      <c r="V146" s="60"/>
      <c r="W146" s="60"/>
      <c r="X146" s="369"/>
      <c r="Y146" s="96"/>
    </row>
    <row r="147" spans="1:25" s="103" customFormat="1" ht="65.099999999999994" customHeight="1" x14ac:dyDescent="0.25">
      <c r="A147" s="94"/>
      <c r="B147" s="94"/>
      <c r="C147" s="413"/>
      <c r="D147" s="95"/>
      <c r="E147" s="96"/>
      <c r="F147" s="96"/>
      <c r="G147" s="96"/>
      <c r="H147" s="96"/>
      <c r="I147" s="96"/>
      <c r="J147" s="96"/>
      <c r="K147" s="97"/>
      <c r="L147" s="98"/>
      <c r="M147" s="98"/>
      <c r="N147" s="99"/>
      <c r="O147" s="72"/>
      <c r="P147" s="100"/>
      <c r="Q147" s="101"/>
      <c r="R147" s="377"/>
      <c r="S147" s="75"/>
      <c r="T147" s="76"/>
      <c r="U147" s="72"/>
      <c r="V147" s="60"/>
      <c r="W147" s="60"/>
      <c r="X147" s="369"/>
      <c r="Y147" s="96"/>
    </row>
    <row r="148" spans="1:25" s="103" customFormat="1" ht="65.099999999999994" customHeight="1" x14ac:dyDescent="0.25">
      <c r="A148" s="94"/>
      <c r="B148" s="94"/>
      <c r="C148" s="413"/>
      <c r="D148" s="95"/>
      <c r="E148" s="96"/>
      <c r="F148" s="96"/>
      <c r="G148" s="96"/>
      <c r="H148" s="96"/>
      <c r="I148" s="96"/>
      <c r="J148" s="96"/>
      <c r="K148" s="97"/>
      <c r="L148" s="98"/>
      <c r="M148" s="98"/>
      <c r="N148" s="99"/>
      <c r="O148" s="72"/>
      <c r="P148" s="100"/>
      <c r="Q148" s="101"/>
      <c r="R148" s="377"/>
      <c r="S148" s="75"/>
      <c r="T148" s="76"/>
      <c r="U148" s="72"/>
      <c r="V148" s="60"/>
      <c r="W148" s="60"/>
      <c r="X148" s="369"/>
      <c r="Y148" s="96"/>
    </row>
    <row r="149" spans="1:25" s="103" customFormat="1" ht="65.099999999999994" customHeight="1" x14ac:dyDescent="0.25">
      <c r="A149" s="94"/>
      <c r="B149" s="94"/>
      <c r="C149" s="413"/>
      <c r="D149" s="95"/>
      <c r="E149" s="96"/>
      <c r="F149" s="96"/>
      <c r="G149" s="96"/>
      <c r="H149" s="96"/>
      <c r="I149" s="96"/>
      <c r="J149" s="96"/>
      <c r="K149" s="97"/>
      <c r="L149" s="98"/>
      <c r="M149" s="98"/>
      <c r="N149" s="99"/>
      <c r="O149" s="72"/>
      <c r="P149" s="100"/>
      <c r="Q149" s="101"/>
      <c r="R149" s="377"/>
      <c r="S149" s="75"/>
      <c r="T149" s="76"/>
      <c r="U149" s="72"/>
      <c r="V149" s="60"/>
      <c r="W149" s="60"/>
      <c r="X149" s="369"/>
      <c r="Y149" s="96"/>
    </row>
    <row r="150" spans="1:25" s="103" customFormat="1" ht="65.099999999999994" customHeight="1" x14ac:dyDescent="0.25">
      <c r="A150" s="94"/>
      <c r="B150" s="94"/>
      <c r="C150" s="413"/>
      <c r="D150" s="95"/>
      <c r="E150" s="96"/>
      <c r="F150" s="96"/>
      <c r="G150" s="96"/>
      <c r="H150" s="96"/>
      <c r="I150" s="96"/>
      <c r="J150" s="96"/>
      <c r="K150" s="97"/>
      <c r="L150" s="98"/>
      <c r="M150" s="98"/>
      <c r="N150" s="99"/>
      <c r="O150" s="72"/>
      <c r="P150" s="100"/>
      <c r="Q150" s="101"/>
      <c r="R150" s="377"/>
      <c r="S150" s="75"/>
      <c r="T150" s="76"/>
      <c r="U150" s="72"/>
      <c r="V150" s="60"/>
      <c r="W150" s="60"/>
      <c r="X150" s="369"/>
      <c r="Y150" s="96"/>
    </row>
    <row r="151" spans="1:25" s="103" customFormat="1" ht="65.099999999999994" customHeight="1" x14ac:dyDescent="0.25">
      <c r="A151" s="94"/>
      <c r="B151" s="94"/>
      <c r="C151" s="413"/>
      <c r="D151" s="95"/>
      <c r="E151" s="96"/>
      <c r="F151" s="96"/>
      <c r="G151" s="96"/>
      <c r="H151" s="96"/>
      <c r="I151" s="96"/>
      <c r="J151" s="96"/>
      <c r="K151" s="97"/>
      <c r="L151" s="98"/>
      <c r="M151" s="98"/>
      <c r="N151" s="99"/>
      <c r="O151" s="72"/>
      <c r="P151" s="100"/>
      <c r="Q151" s="101"/>
      <c r="R151" s="377"/>
      <c r="S151" s="75"/>
      <c r="T151" s="76"/>
      <c r="U151" s="72"/>
      <c r="V151" s="60"/>
      <c r="W151" s="60"/>
      <c r="X151" s="369"/>
      <c r="Y151" s="96"/>
    </row>
    <row r="152" spans="1:25" s="103" customFormat="1" ht="65.099999999999994" customHeight="1" x14ac:dyDescent="0.25">
      <c r="A152" s="94"/>
      <c r="B152" s="94"/>
      <c r="C152" s="413"/>
      <c r="D152" s="95"/>
      <c r="E152" s="96"/>
      <c r="F152" s="96"/>
      <c r="G152" s="96"/>
      <c r="H152" s="96"/>
      <c r="I152" s="96"/>
      <c r="J152" s="96"/>
      <c r="K152" s="97"/>
      <c r="L152" s="98"/>
      <c r="M152" s="98"/>
      <c r="N152" s="99"/>
      <c r="O152" s="72"/>
      <c r="P152" s="100"/>
      <c r="Q152" s="101"/>
      <c r="R152" s="377"/>
      <c r="S152" s="75"/>
      <c r="T152" s="76"/>
      <c r="U152" s="72"/>
      <c r="V152" s="60"/>
      <c r="W152" s="60"/>
      <c r="X152" s="369"/>
      <c r="Y152" s="96"/>
    </row>
    <row r="153" spans="1:25" s="103" customFormat="1" ht="65.099999999999994" customHeight="1" x14ac:dyDescent="0.25">
      <c r="A153" s="94"/>
      <c r="B153" s="94"/>
      <c r="C153" s="413"/>
      <c r="D153" s="95"/>
      <c r="E153" s="96"/>
      <c r="F153" s="96"/>
      <c r="G153" s="96"/>
      <c r="H153" s="96"/>
      <c r="I153" s="96"/>
      <c r="J153" s="96"/>
      <c r="K153" s="97"/>
      <c r="L153" s="98"/>
      <c r="M153" s="98"/>
      <c r="N153" s="99"/>
      <c r="O153" s="72"/>
      <c r="P153" s="100"/>
      <c r="Q153" s="101"/>
      <c r="R153" s="377"/>
      <c r="S153" s="75"/>
      <c r="T153" s="76"/>
      <c r="U153" s="72"/>
      <c r="V153" s="60"/>
      <c r="W153" s="60"/>
      <c r="X153" s="369"/>
      <c r="Y153" s="96"/>
    </row>
    <row r="154" spans="1:25" s="103" customFormat="1" ht="65.099999999999994" customHeight="1" x14ac:dyDescent="0.25">
      <c r="A154" s="94"/>
      <c r="B154" s="94"/>
      <c r="C154" s="413"/>
      <c r="D154" s="95"/>
      <c r="E154" s="96"/>
      <c r="F154" s="96"/>
      <c r="G154" s="96"/>
      <c r="H154" s="96"/>
      <c r="I154" s="96"/>
      <c r="J154" s="96"/>
      <c r="K154" s="97"/>
      <c r="L154" s="98"/>
      <c r="M154" s="98"/>
      <c r="N154" s="99"/>
      <c r="O154" s="72"/>
      <c r="P154" s="100"/>
      <c r="Q154" s="101"/>
      <c r="R154" s="377"/>
      <c r="S154" s="75"/>
      <c r="T154" s="76"/>
      <c r="U154" s="72"/>
      <c r="V154" s="60"/>
      <c r="W154" s="60"/>
      <c r="X154" s="369"/>
      <c r="Y154" s="96"/>
    </row>
    <row r="155" spans="1:25" s="103" customFormat="1" ht="65.099999999999994" customHeight="1" x14ac:dyDescent="0.25">
      <c r="A155" s="94"/>
      <c r="B155" s="94"/>
      <c r="C155" s="413"/>
      <c r="D155" s="95"/>
      <c r="E155" s="96"/>
      <c r="F155" s="96"/>
      <c r="G155" s="96"/>
      <c r="H155" s="96"/>
      <c r="I155" s="96"/>
      <c r="J155" s="96"/>
      <c r="K155" s="97"/>
      <c r="L155" s="98"/>
      <c r="M155" s="98"/>
      <c r="N155" s="99"/>
      <c r="O155" s="72"/>
      <c r="P155" s="100"/>
      <c r="Q155" s="101"/>
      <c r="R155" s="377"/>
      <c r="S155" s="75"/>
      <c r="T155" s="76"/>
      <c r="U155" s="72"/>
      <c r="V155" s="60"/>
      <c r="W155" s="60"/>
      <c r="X155" s="369"/>
      <c r="Y155" s="96"/>
    </row>
    <row r="156" spans="1:25" s="103" customFormat="1" ht="65.099999999999994" customHeight="1" x14ac:dyDescent="0.25">
      <c r="A156" s="94"/>
      <c r="B156" s="94"/>
      <c r="C156" s="413"/>
      <c r="D156" s="95"/>
      <c r="E156" s="96"/>
      <c r="F156" s="96"/>
      <c r="G156" s="96"/>
      <c r="H156" s="96"/>
      <c r="I156" s="96"/>
      <c r="J156" s="96"/>
      <c r="K156" s="97"/>
      <c r="L156" s="98"/>
      <c r="M156" s="98"/>
      <c r="N156" s="99"/>
      <c r="O156" s="72"/>
      <c r="P156" s="100"/>
      <c r="Q156" s="101"/>
      <c r="R156" s="377"/>
      <c r="S156" s="75"/>
      <c r="T156" s="76"/>
      <c r="U156" s="72"/>
      <c r="V156" s="60"/>
      <c r="W156" s="60"/>
      <c r="X156" s="369"/>
      <c r="Y156" s="96"/>
    </row>
    <row r="157" spans="1:25" s="103" customFormat="1" ht="65.099999999999994" customHeight="1" x14ac:dyDescent="0.25">
      <c r="A157" s="94"/>
      <c r="B157" s="94"/>
      <c r="C157" s="413"/>
      <c r="D157" s="95"/>
      <c r="E157" s="96"/>
      <c r="F157" s="96"/>
      <c r="G157" s="96"/>
      <c r="H157" s="96"/>
      <c r="I157" s="96"/>
      <c r="J157" s="96"/>
      <c r="K157" s="97"/>
      <c r="L157" s="98"/>
      <c r="M157" s="98"/>
      <c r="N157" s="99"/>
      <c r="O157" s="72"/>
      <c r="P157" s="100"/>
      <c r="Q157" s="101"/>
      <c r="R157" s="377"/>
      <c r="S157" s="75"/>
      <c r="T157" s="76"/>
      <c r="U157" s="72"/>
      <c r="V157" s="60"/>
      <c r="W157" s="60"/>
      <c r="X157" s="369"/>
      <c r="Y157" s="96"/>
    </row>
    <row r="158" spans="1:25" s="103" customFormat="1" ht="65.099999999999994" customHeight="1" x14ac:dyDescent="0.25">
      <c r="A158" s="94"/>
      <c r="B158" s="94"/>
      <c r="C158" s="413"/>
      <c r="D158" s="95"/>
      <c r="E158" s="96"/>
      <c r="F158" s="96"/>
      <c r="G158" s="96"/>
      <c r="H158" s="96"/>
      <c r="I158" s="96"/>
      <c r="J158" s="96"/>
      <c r="K158" s="97"/>
      <c r="L158" s="98"/>
      <c r="M158" s="98"/>
      <c r="N158" s="99"/>
      <c r="O158" s="72"/>
      <c r="P158" s="100"/>
      <c r="Q158" s="101"/>
      <c r="R158" s="377"/>
      <c r="S158" s="75"/>
      <c r="T158" s="76"/>
      <c r="U158" s="72"/>
      <c r="V158" s="60"/>
      <c r="W158" s="60"/>
      <c r="X158" s="369"/>
      <c r="Y158" s="96"/>
    </row>
    <row r="159" spans="1:25" s="103" customFormat="1" ht="65.099999999999994" customHeight="1" x14ac:dyDescent="0.25">
      <c r="A159" s="94"/>
      <c r="B159" s="94"/>
      <c r="C159" s="413"/>
      <c r="D159" s="95"/>
      <c r="E159" s="96"/>
      <c r="F159" s="96"/>
      <c r="G159" s="96"/>
      <c r="H159" s="96"/>
      <c r="I159" s="96"/>
      <c r="J159" s="96"/>
      <c r="K159" s="97"/>
      <c r="L159" s="98"/>
      <c r="M159" s="98"/>
      <c r="N159" s="99"/>
      <c r="O159" s="72"/>
      <c r="P159" s="100"/>
      <c r="Q159" s="101"/>
      <c r="R159" s="377"/>
      <c r="S159" s="75"/>
      <c r="T159" s="76"/>
      <c r="U159" s="72"/>
      <c r="V159" s="60"/>
      <c r="W159" s="60"/>
      <c r="X159" s="369"/>
      <c r="Y159" s="96"/>
    </row>
    <row r="160" spans="1:25" s="103" customFormat="1" ht="65.099999999999994" customHeight="1" x14ac:dyDescent="0.25">
      <c r="A160" s="94"/>
      <c r="B160" s="94"/>
      <c r="C160" s="413"/>
      <c r="D160" s="95"/>
      <c r="E160" s="96"/>
      <c r="F160" s="96"/>
      <c r="G160" s="96"/>
      <c r="H160" s="96"/>
      <c r="I160" s="96"/>
      <c r="J160" s="96"/>
      <c r="K160" s="97"/>
      <c r="L160" s="98"/>
      <c r="M160" s="98"/>
      <c r="N160" s="99"/>
      <c r="O160" s="72"/>
      <c r="P160" s="100"/>
      <c r="Q160" s="101"/>
      <c r="R160" s="377"/>
      <c r="S160" s="75"/>
      <c r="T160" s="76"/>
      <c r="U160" s="72"/>
      <c r="V160" s="60"/>
      <c r="W160" s="60"/>
      <c r="X160" s="369"/>
      <c r="Y160" s="96"/>
    </row>
    <row r="161" spans="1:25" s="103" customFormat="1" ht="65.099999999999994" customHeight="1" x14ac:dyDescent="0.25">
      <c r="A161" s="94"/>
      <c r="B161" s="94"/>
      <c r="C161" s="413"/>
      <c r="D161" s="95"/>
      <c r="E161" s="96"/>
      <c r="F161" s="96"/>
      <c r="G161" s="96"/>
      <c r="H161" s="96"/>
      <c r="I161" s="96"/>
      <c r="J161" s="96"/>
      <c r="K161" s="97"/>
      <c r="L161" s="98"/>
      <c r="M161" s="98"/>
      <c r="N161" s="99"/>
      <c r="O161" s="72"/>
      <c r="P161" s="100"/>
      <c r="Q161" s="101"/>
      <c r="R161" s="377"/>
      <c r="S161" s="75"/>
      <c r="T161" s="76"/>
      <c r="U161" s="72"/>
      <c r="V161" s="60"/>
      <c r="W161" s="60"/>
      <c r="X161" s="369"/>
      <c r="Y161" s="96"/>
    </row>
    <row r="162" spans="1:25" s="103" customFormat="1" ht="65.099999999999994" customHeight="1" x14ac:dyDescent="0.25">
      <c r="A162" s="94"/>
      <c r="B162" s="94"/>
      <c r="C162" s="413"/>
      <c r="D162" s="95"/>
      <c r="E162" s="96"/>
      <c r="F162" s="96"/>
      <c r="G162" s="96"/>
      <c r="H162" s="96"/>
      <c r="I162" s="96"/>
      <c r="J162" s="96"/>
      <c r="K162" s="97"/>
      <c r="L162" s="98"/>
      <c r="M162" s="98"/>
      <c r="N162" s="99"/>
      <c r="O162" s="72"/>
      <c r="P162" s="100"/>
      <c r="Q162" s="101"/>
      <c r="R162" s="377"/>
      <c r="S162" s="75"/>
      <c r="T162" s="76"/>
      <c r="U162" s="72"/>
      <c r="V162" s="60"/>
      <c r="W162" s="60"/>
      <c r="X162" s="369"/>
      <c r="Y162" s="96"/>
    </row>
    <row r="163" spans="1:25" s="103" customFormat="1" ht="65.099999999999994" customHeight="1" x14ac:dyDescent="0.25">
      <c r="A163" s="94"/>
      <c r="B163" s="94"/>
      <c r="C163" s="413"/>
      <c r="D163" s="95"/>
      <c r="E163" s="96"/>
      <c r="F163" s="96"/>
      <c r="G163" s="96"/>
      <c r="H163" s="96"/>
      <c r="I163" s="96"/>
      <c r="J163" s="96"/>
      <c r="K163" s="97"/>
      <c r="L163" s="98"/>
      <c r="M163" s="98"/>
      <c r="N163" s="99"/>
      <c r="O163" s="72"/>
      <c r="P163" s="100"/>
      <c r="Q163" s="101"/>
      <c r="R163" s="377"/>
      <c r="S163" s="75"/>
      <c r="T163" s="76"/>
      <c r="U163" s="72"/>
      <c r="V163" s="60"/>
      <c r="W163" s="60"/>
      <c r="X163" s="369"/>
      <c r="Y163" s="96"/>
    </row>
    <row r="164" spans="1:25" s="103" customFormat="1" ht="65.099999999999994" customHeight="1" x14ac:dyDescent="0.25">
      <c r="A164" s="94"/>
      <c r="B164" s="94"/>
      <c r="C164" s="413"/>
      <c r="D164" s="95"/>
      <c r="E164" s="96"/>
      <c r="F164" s="96"/>
      <c r="G164" s="96"/>
      <c r="H164" s="96"/>
      <c r="I164" s="96"/>
      <c r="J164" s="96"/>
      <c r="K164" s="97"/>
      <c r="L164" s="98"/>
      <c r="M164" s="98"/>
      <c r="N164" s="99"/>
      <c r="O164" s="72"/>
      <c r="P164" s="100"/>
      <c r="Q164" s="101"/>
      <c r="R164" s="377"/>
      <c r="S164" s="75"/>
      <c r="T164" s="76"/>
      <c r="U164" s="72"/>
      <c r="V164" s="60"/>
      <c r="W164" s="60"/>
      <c r="X164" s="369"/>
      <c r="Y164" s="96"/>
    </row>
    <row r="165" spans="1:25" s="103" customFormat="1" ht="65.099999999999994" customHeight="1" x14ac:dyDescent="0.25">
      <c r="A165" s="94"/>
      <c r="B165" s="94"/>
      <c r="C165" s="413"/>
      <c r="D165" s="95"/>
      <c r="E165" s="96"/>
      <c r="F165" s="96"/>
      <c r="G165" s="96"/>
      <c r="H165" s="96"/>
      <c r="I165" s="96"/>
      <c r="J165" s="96"/>
      <c r="K165" s="97"/>
      <c r="L165" s="98"/>
      <c r="M165" s="98"/>
      <c r="N165" s="99"/>
      <c r="O165" s="72"/>
      <c r="P165" s="100"/>
      <c r="Q165" s="101"/>
      <c r="R165" s="377"/>
      <c r="S165" s="75"/>
      <c r="T165" s="76"/>
      <c r="U165" s="72"/>
      <c r="V165" s="60"/>
      <c r="W165" s="60"/>
      <c r="X165" s="369"/>
      <c r="Y165" s="96"/>
    </row>
    <row r="166" spans="1:25" s="103" customFormat="1" ht="65.099999999999994" customHeight="1" x14ac:dyDescent="0.25">
      <c r="A166" s="94"/>
      <c r="B166" s="94"/>
      <c r="C166" s="413"/>
      <c r="D166" s="95"/>
      <c r="E166" s="96"/>
      <c r="F166" s="96"/>
      <c r="G166" s="96"/>
      <c r="H166" s="96"/>
      <c r="I166" s="96"/>
      <c r="J166" s="96"/>
      <c r="K166" s="97"/>
      <c r="L166" s="98"/>
      <c r="M166" s="98"/>
      <c r="N166" s="99"/>
      <c r="O166" s="72"/>
      <c r="P166" s="100"/>
      <c r="Q166" s="101"/>
      <c r="R166" s="377"/>
      <c r="S166" s="75"/>
      <c r="T166" s="76"/>
      <c r="U166" s="72"/>
      <c r="V166" s="60"/>
      <c r="W166" s="60"/>
      <c r="X166" s="369"/>
      <c r="Y166" s="96"/>
    </row>
    <row r="167" spans="1:25" s="103" customFormat="1" ht="65.099999999999994" customHeight="1" x14ac:dyDescent="0.25">
      <c r="A167" s="94"/>
      <c r="B167" s="94"/>
      <c r="C167" s="413"/>
      <c r="D167" s="95"/>
      <c r="E167" s="96"/>
      <c r="F167" s="96"/>
      <c r="G167" s="96"/>
      <c r="H167" s="96"/>
      <c r="I167" s="96"/>
      <c r="J167" s="96"/>
      <c r="K167" s="97"/>
      <c r="L167" s="98"/>
      <c r="M167" s="98"/>
      <c r="N167" s="99"/>
      <c r="O167" s="72"/>
      <c r="P167" s="100"/>
      <c r="Q167" s="101"/>
      <c r="R167" s="377"/>
      <c r="S167" s="75"/>
      <c r="T167" s="76"/>
      <c r="U167" s="72"/>
      <c r="V167" s="60"/>
      <c r="W167" s="60"/>
      <c r="X167" s="369"/>
      <c r="Y167" s="96"/>
    </row>
    <row r="168" spans="1:25" s="103" customFormat="1" ht="65.099999999999994" customHeight="1" x14ac:dyDescent="0.25">
      <c r="A168" s="94"/>
      <c r="B168" s="94"/>
      <c r="C168" s="413"/>
      <c r="D168" s="95"/>
      <c r="E168" s="96"/>
      <c r="F168" s="96"/>
      <c r="G168" s="96"/>
      <c r="H168" s="96"/>
      <c r="I168" s="96"/>
      <c r="J168" s="96"/>
      <c r="K168" s="97"/>
      <c r="L168" s="98"/>
      <c r="M168" s="98"/>
      <c r="N168" s="99"/>
      <c r="O168" s="72"/>
      <c r="P168" s="100"/>
      <c r="Q168" s="101"/>
      <c r="R168" s="377"/>
      <c r="S168" s="75"/>
      <c r="T168" s="76"/>
      <c r="U168" s="72"/>
      <c r="V168" s="60"/>
      <c r="W168" s="60"/>
      <c r="X168" s="369"/>
      <c r="Y168" s="96"/>
    </row>
    <row r="169" spans="1:25" s="103" customFormat="1" ht="65.099999999999994" customHeight="1" x14ac:dyDescent="0.25">
      <c r="A169" s="94"/>
      <c r="B169" s="94"/>
      <c r="C169" s="413"/>
      <c r="D169" s="95"/>
      <c r="E169" s="96"/>
      <c r="F169" s="96"/>
      <c r="G169" s="96"/>
      <c r="H169" s="96"/>
      <c r="I169" s="96"/>
      <c r="J169" s="96"/>
      <c r="K169" s="97"/>
      <c r="L169" s="98"/>
      <c r="M169" s="98"/>
      <c r="N169" s="99"/>
      <c r="O169" s="72"/>
      <c r="P169" s="100"/>
      <c r="Q169" s="101"/>
      <c r="R169" s="377"/>
      <c r="S169" s="75"/>
      <c r="T169" s="76"/>
      <c r="U169" s="72"/>
      <c r="V169" s="60"/>
      <c r="W169" s="60"/>
      <c r="X169" s="369"/>
      <c r="Y169" s="96"/>
    </row>
    <row r="170" spans="1:25" s="103" customFormat="1" ht="65.099999999999994" customHeight="1" x14ac:dyDescent="0.25">
      <c r="A170" s="94"/>
      <c r="B170" s="94"/>
      <c r="C170" s="413"/>
      <c r="D170" s="95"/>
      <c r="E170" s="96"/>
      <c r="F170" s="96"/>
      <c r="G170" s="96"/>
      <c r="H170" s="96"/>
      <c r="I170" s="96"/>
      <c r="J170" s="96"/>
      <c r="K170" s="97"/>
      <c r="L170" s="98"/>
      <c r="M170" s="98"/>
      <c r="N170" s="99"/>
      <c r="O170" s="72"/>
      <c r="P170" s="100"/>
      <c r="Q170" s="101"/>
      <c r="R170" s="377"/>
      <c r="S170" s="75"/>
      <c r="T170" s="76"/>
      <c r="U170" s="72"/>
      <c r="V170" s="60"/>
      <c r="W170" s="60"/>
      <c r="X170" s="369"/>
      <c r="Y170" s="96"/>
    </row>
    <row r="171" spans="1:25" s="103" customFormat="1" ht="65.099999999999994" customHeight="1" x14ac:dyDescent="0.25">
      <c r="A171" s="94"/>
      <c r="B171" s="94"/>
      <c r="C171" s="413"/>
      <c r="D171" s="95"/>
      <c r="E171" s="96"/>
      <c r="F171" s="96"/>
      <c r="G171" s="96"/>
      <c r="H171" s="96"/>
      <c r="I171" s="96"/>
      <c r="J171" s="96"/>
      <c r="K171" s="97"/>
      <c r="L171" s="98"/>
      <c r="M171" s="98"/>
      <c r="N171" s="99"/>
      <c r="O171" s="72"/>
      <c r="P171" s="100"/>
      <c r="Q171" s="101"/>
      <c r="R171" s="377"/>
      <c r="S171" s="75"/>
      <c r="T171" s="76"/>
      <c r="U171" s="72"/>
      <c r="V171" s="60"/>
      <c r="W171" s="60"/>
      <c r="X171" s="369"/>
      <c r="Y171" s="96"/>
    </row>
    <row r="172" spans="1:25" s="103" customFormat="1" ht="65.099999999999994" customHeight="1" x14ac:dyDescent="0.25">
      <c r="A172" s="94"/>
      <c r="B172" s="94"/>
      <c r="C172" s="413"/>
      <c r="D172" s="95"/>
      <c r="E172" s="96"/>
      <c r="F172" s="96"/>
      <c r="G172" s="96"/>
      <c r="H172" s="96"/>
      <c r="I172" s="96"/>
      <c r="J172" s="96"/>
      <c r="K172" s="97"/>
      <c r="L172" s="98"/>
      <c r="M172" s="98"/>
      <c r="N172" s="99"/>
      <c r="O172" s="72"/>
      <c r="P172" s="100"/>
      <c r="Q172" s="101"/>
      <c r="R172" s="377"/>
      <c r="S172" s="75"/>
      <c r="T172" s="76"/>
      <c r="U172" s="72"/>
      <c r="V172" s="60"/>
      <c r="W172" s="60"/>
      <c r="X172" s="369"/>
      <c r="Y172" s="96"/>
    </row>
    <row r="173" spans="1:25" s="103" customFormat="1" ht="65.099999999999994" customHeight="1" x14ac:dyDescent="0.25">
      <c r="A173" s="94"/>
      <c r="B173" s="94"/>
      <c r="C173" s="413"/>
      <c r="D173" s="95"/>
      <c r="E173" s="96"/>
      <c r="F173" s="96"/>
      <c r="G173" s="96"/>
      <c r="H173" s="96"/>
      <c r="I173" s="96"/>
      <c r="J173" s="96"/>
      <c r="K173" s="97"/>
      <c r="L173" s="98"/>
      <c r="M173" s="98"/>
      <c r="N173" s="99"/>
      <c r="O173" s="72"/>
      <c r="P173" s="100"/>
      <c r="Q173" s="101"/>
      <c r="R173" s="377"/>
      <c r="S173" s="75"/>
      <c r="T173" s="76"/>
      <c r="U173" s="72"/>
      <c r="V173" s="60"/>
      <c r="W173" s="60"/>
      <c r="X173" s="369"/>
      <c r="Y173" s="96"/>
    </row>
    <row r="174" spans="1:25" s="103" customFormat="1" ht="65.099999999999994" customHeight="1" x14ac:dyDescent="0.25">
      <c r="A174" s="94"/>
      <c r="B174" s="94"/>
      <c r="C174" s="413"/>
      <c r="D174" s="95"/>
      <c r="E174" s="96"/>
      <c r="F174" s="96"/>
      <c r="G174" s="96"/>
      <c r="H174" s="96"/>
      <c r="I174" s="96"/>
      <c r="J174" s="96"/>
      <c r="K174" s="97"/>
      <c r="L174" s="98"/>
      <c r="M174" s="98"/>
      <c r="N174" s="99"/>
      <c r="O174" s="72"/>
      <c r="P174" s="100"/>
      <c r="Q174" s="101"/>
      <c r="R174" s="377"/>
      <c r="S174" s="75"/>
      <c r="T174" s="76"/>
      <c r="U174" s="72"/>
      <c r="V174" s="60"/>
      <c r="W174" s="60"/>
      <c r="X174" s="369"/>
      <c r="Y174" s="96"/>
    </row>
    <row r="175" spans="1:25" s="103" customFormat="1" ht="65.099999999999994" customHeight="1" x14ac:dyDescent="0.25">
      <c r="A175" s="94"/>
      <c r="B175" s="94"/>
      <c r="C175" s="413"/>
      <c r="D175" s="95"/>
      <c r="E175" s="96"/>
      <c r="F175" s="96"/>
      <c r="G175" s="96"/>
      <c r="H175" s="96"/>
      <c r="I175" s="96"/>
      <c r="J175" s="96"/>
      <c r="K175" s="97"/>
      <c r="L175" s="98"/>
      <c r="M175" s="98"/>
      <c r="N175" s="99"/>
      <c r="O175" s="72"/>
      <c r="P175" s="100"/>
      <c r="Q175" s="101"/>
      <c r="R175" s="377"/>
      <c r="S175" s="75"/>
      <c r="T175" s="76"/>
      <c r="U175" s="72"/>
      <c r="V175" s="60"/>
      <c r="W175" s="60"/>
      <c r="X175" s="369"/>
      <c r="Y175" s="96"/>
    </row>
    <row r="176" spans="1:25" s="103" customFormat="1" ht="65.099999999999994" customHeight="1" x14ac:dyDescent="0.25">
      <c r="A176" s="94"/>
      <c r="B176" s="94"/>
      <c r="C176" s="413"/>
      <c r="D176" s="95"/>
      <c r="E176" s="96"/>
      <c r="F176" s="96"/>
      <c r="G176" s="96"/>
      <c r="H176" s="96"/>
      <c r="I176" s="96"/>
      <c r="J176" s="96"/>
      <c r="K176" s="97"/>
      <c r="L176" s="98"/>
      <c r="M176" s="98"/>
      <c r="N176" s="99"/>
      <c r="O176" s="72"/>
      <c r="P176" s="100"/>
      <c r="Q176" s="101"/>
      <c r="R176" s="377"/>
      <c r="S176" s="75"/>
      <c r="T176" s="76"/>
      <c r="U176" s="72"/>
      <c r="V176" s="60"/>
      <c r="W176" s="60"/>
      <c r="X176" s="369"/>
      <c r="Y176" s="96"/>
    </row>
    <row r="177" spans="1:25" s="103" customFormat="1" ht="65.099999999999994" customHeight="1" x14ac:dyDescent="0.25">
      <c r="A177" s="94"/>
      <c r="B177" s="94"/>
      <c r="C177" s="413"/>
      <c r="D177" s="95"/>
      <c r="E177" s="96"/>
      <c r="F177" s="96"/>
      <c r="G177" s="96"/>
      <c r="H177" s="96"/>
      <c r="I177" s="96"/>
      <c r="J177" s="96"/>
      <c r="K177" s="97"/>
      <c r="L177" s="98"/>
      <c r="M177" s="98"/>
      <c r="N177" s="99"/>
      <c r="O177" s="72"/>
      <c r="P177" s="100"/>
      <c r="Q177" s="101"/>
      <c r="R177" s="377"/>
      <c r="S177" s="75"/>
      <c r="T177" s="76"/>
      <c r="U177" s="72"/>
      <c r="V177" s="60"/>
      <c r="W177" s="60"/>
      <c r="X177" s="369"/>
      <c r="Y177" s="96"/>
    </row>
    <row r="178" spans="1:25" s="103" customFormat="1" ht="65.099999999999994" customHeight="1" x14ac:dyDescent="0.25">
      <c r="A178" s="94"/>
      <c r="B178" s="94"/>
      <c r="C178" s="413"/>
      <c r="D178" s="95"/>
      <c r="E178" s="96"/>
      <c r="F178" s="96"/>
      <c r="G178" s="96"/>
      <c r="H178" s="96"/>
      <c r="I178" s="96"/>
      <c r="J178" s="96"/>
      <c r="K178" s="97"/>
      <c r="L178" s="98"/>
      <c r="M178" s="98"/>
      <c r="N178" s="99"/>
      <c r="O178" s="72"/>
      <c r="P178" s="100"/>
      <c r="Q178" s="101"/>
      <c r="R178" s="377"/>
      <c r="S178" s="75"/>
      <c r="T178" s="76"/>
      <c r="U178" s="72"/>
      <c r="V178" s="60"/>
      <c r="W178" s="60"/>
      <c r="X178" s="369"/>
      <c r="Y178" s="96"/>
    </row>
    <row r="179" spans="1:25" s="103" customFormat="1" ht="65.099999999999994" customHeight="1" x14ac:dyDescent="0.25">
      <c r="A179" s="94"/>
      <c r="B179" s="94"/>
      <c r="C179" s="413"/>
      <c r="D179" s="95"/>
      <c r="E179" s="96"/>
      <c r="F179" s="96"/>
      <c r="G179" s="96"/>
      <c r="H179" s="96"/>
      <c r="I179" s="96"/>
      <c r="J179" s="96"/>
      <c r="K179" s="97"/>
      <c r="L179" s="98"/>
      <c r="M179" s="98"/>
      <c r="N179" s="99"/>
      <c r="O179" s="72"/>
      <c r="P179" s="100"/>
      <c r="Q179" s="101"/>
      <c r="R179" s="377"/>
      <c r="S179" s="75"/>
      <c r="T179" s="76"/>
      <c r="U179" s="72"/>
      <c r="V179" s="60"/>
      <c r="W179" s="60"/>
      <c r="X179" s="369"/>
      <c r="Y179" s="96"/>
    </row>
    <row r="180" spans="1:25" s="103" customFormat="1" ht="65.099999999999994" customHeight="1" x14ac:dyDescent="0.25">
      <c r="A180" s="94"/>
      <c r="B180" s="94"/>
      <c r="C180" s="413"/>
      <c r="D180" s="95"/>
      <c r="E180" s="96"/>
      <c r="F180" s="96"/>
      <c r="G180" s="96"/>
      <c r="H180" s="96"/>
      <c r="I180" s="96"/>
      <c r="J180" s="96"/>
      <c r="K180" s="97"/>
      <c r="L180" s="98"/>
      <c r="M180" s="98"/>
      <c r="N180" s="99"/>
      <c r="O180" s="72"/>
      <c r="P180" s="100"/>
      <c r="Q180" s="101"/>
      <c r="R180" s="377"/>
      <c r="S180" s="75"/>
      <c r="T180" s="76"/>
      <c r="U180" s="72"/>
      <c r="V180" s="60"/>
      <c r="W180" s="60"/>
      <c r="X180" s="369"/>
      <c r="Y180" s="96"/>
    </row>
    <row r="181" spans="1:25" s="103" customFormat="1" ht="65.099999999999994" customHeight="1" x14ac:dyDescent="0.25">
      <c r="A181" s="94"/>
      <c r="B181" s="94"/>
      <c r="C181" s="413"/>
      <c r="D181" s="95"/>
      <c r="E181" s="96"/>
      <c r="F181" s="96"/>
      <c r="G181" s="96"/>
      <c r="H181" s="96"/>
      <c r="I181" s="96"/>
      <c r="J181" s="96"/>
      <c r="K181" s="97"/>
      <c r="L181" s="98"/>
      <c r="M181" s="98"/>
      <c r="N181" s="99"/>
      <c r="O181" s="72"/>
      <c r="P181" s="100"/>
      <c r="Q181" s="101"/>
      <c r="R181" s="377"/>
      <c r="S181" s="75"/>
      <c r="T181" s="76"/>
      <c r="U181" s="72"/>
      <c r="V181" s="60"/>
      <c r="W181" s="60"/>
      <c r="X181" s="369"/>
      <c r="Y181" s="96"/>
    </row>
    <row r="182" spans="1:25" s="103" customFormat="1" ht="65.099999999999994" customHeight="1" x14ac:dyDescent="0.25">
      <c r="A182" s="94"/>
      <c r="B182" s="94"/>
      <c r="C182" s="413"/>
      <c r="D182" s="95"/>
      <c r="E182" s="96"/>
      <c r="F182" s="96"/>
      <c r="G182" s="96"/>
      <c r="H182" s="96"/>
      <c r="I182" s="96"/>
      <c r="J182" s="96"/>
      <c r="K182" s="97"/>
      <c r="L182" s="98"/>
      <c r="M182" s="98"/>
      <c r="N182" s="99"/>
      <c r="O182" s="72"/>
      <c r="P182" s="100"/>
      <c r="Q182" s="101"/>
      <c r="R182" s="377"/>
      <c r="S182" s="75"/>
      <c r="T182" s="76"/>
      <c r="U182" s="72"/>
      <c r="V182" s="60"/>
      <c r="W182" s="60"/>
      <c r="X182" s="369"/>
      <c r="Y182" s="96"/>
    </row>
    <row r="183" spans="1:25" s="103" customFormat="1" ht="65.099999999999994" customHeight="1" x14ac:dyDescent="0.25">
      <c r="A183" s="94"/>
      <c r="B183" s="94"/>
      <c r="C183" s="413"/>
      <c r="D183" s="95"/>
      <c r="E183" s="96"/>
      <c r="F183" s="96"/>
      <c r="G183" s="96"/>
      <c r="H183" s="96"/>
      <c r="I183" s="96"/>
      <c r="J183" s="96"/>
      <c r="K183" s="97"/>
      <c r="L183" s="98"/>
      <c r="M183" s="98"/>
      <c r="N183" s="99"/>
      <c r="O183" s="72"/>
      <c r="P183" s="100"/>
      <c r="Q183" s="101"/>
      <c r="R183" s="377"/>
      <c r="S183" s="75"/>
      <c r="T183" s="76"/>
      <c r="U183" s="72"/>
      <c r="V183" s="60"/>
      <c r="W183" s="60"/>
      <c r="X183" s="369"/>
      <c r="Y183" s="96"/>
    </row>
    <row r="184" spans="1:25" s="103" customFormat="1" ht="65.099999999999994" customHeight="1" x14ac:dyDescent="0.25">
      <c r="A184" s="94"/>
      <c r="B184" s="94"/>
      <c r="C184" s="413"/>
      <c r="D184" s="95"/>
      <c r="E184" s="96"/>
      <c r="F184" s="96"/>
      <c r="G184" s="96"/>
      <c r="H184" s="96"/>
      <c r="I184" s="96"/>
      <c r="J184" s="96"/>
      <c r="K184" s="97"/>
      <c r="L184" s="98"/>
      <c r="M184" s="98"/>
      <c r="N184" s="99"/>
      <c r="O184" s="72"/>
      <c r="P184" s="100"/>
      <c r="Q184" s="101"/>
      <c r="R184" s="377"/>
      <c r="S184" s="75"/>
      <c r="T184" s="76"/>
      <c r="U184" s="72"/>
      <c r="V184" s="60"/>
      <c r="W184" s="60"/>
      <c r="X184" s="369"/>
      <c r="Y184" s="96"/>
    </row>
    <row r="185" spans="1:25" s="103" customFormat="1" ht="65.099999999999994" customHeight="1" x14ac:dyDescent="0.25">
      <c r="A185" s="94"/>
      <c r="B185" s="94"/>
      <c r="C185" s="413"/>
      <c r="D185" s="95"/>
      <c r="E185" s="96"/>
      <c r="F185" s="96"/>
      <c r="G185" s="96"/>
      <c r="H185" s="96"/>
      <c r="I185" s="96"/>
      <c r="J185" s="96"/>
      <c r="K185" s="97"/>
      <c r="L185" s="98"/>
      <c r="M185" s="98"/>
      <c r="N185" s="99"/>
      <c r="O185" s="72"/>
      <c r="P185" s="100"/>
      <c r="Q185" s="101"/>
      <c r="R185" s="377"/>
      <c r="S185" s="75"/>
      <c r="T185" s="76"/>
      <c r="U185" s="72"/>
      <c r="V185" s="60"/>
      <c r="W185" s="60"/>
      <c r="X185" s="369"/>
      <c r="Y185" s="96"/>
    </row>
    <row r="186" spans="1:25" s="103" customFormat="1" ht="65.099999999999994" customHeight="1" x14ac:dyDescent="0.25">
      <c r="A186" s="94"/>
      <c r="B186" s="94"/>
      <c r="C186" s="413"/>
      <c r="D186" s="95"/>
      <c r="E186" s="96"/>
      <c r="F186" s="96"/>
      <c r="G186" s="96"/>
      <c r="H186" s="96"/>
      <c r="I186" s="96"/>
      <c r="J186" s="96"/>
      <c r="K186" s="97"/>
      <c r="L186" s="98"/>
      <c r="M186" s="98"/>
      <c r="N186" s="99"/>
      <c r="O186" s="72"/>
      <c r="P186" s="100"/>
      <c r="Q186" s="101"/>
      <c r="R186" s="377"/>
      <c r="S186" s="75"/>
      <c r="T186" s="76"/>
      <c r="U186" s="72"/>
      <c r="V186" s="60"/>
      <c r="W186" s="60"/>
      <c r="X186" s="369"/>
      <c r="Y186" s="96"/>
    </row>
    <row r="187" spans="1:25" s="103" customFormat="1" ht="65.099999999999994" customHeight="1" x14ac:dyDescent="0.25">
      <c r="A187" s="94"/>
      <c r="B187" s="94"/>
      <c r="C187" s="413"/>
      <c r="D187" s="95"/>
      <c r="E187" s="96"/>
      <c r="F187" s="96"/>
      <c r="G187" s="96"/>
      <c r="H187" s="96"/>
      <c r="I187" s="96"/>
      <c r="J187" s="96"/>
      <c r="K187" s="97"/>
      <c r="L187" s="98"/>
      <c r="M187" s="98"/>
      <c r="N187" s="99"/>
      <c r="O187" s="72"/>
      <c r="P187" s="100"/>
      <c r="Q187" s="101"/>
      <c r="R187" s="377"/>
      <c r="S187" s="75"/>
      <c r="T187" s="76"/>
      <c r="U187" s="72"/>
      <c r="V187" s="60"/>
      <c r="W187" s="60"/>
      <c r="X187" s="369"/>
      <c r="Y187" s="96"/>
    </row>
    <row r="188" spans="1:25" s="103" customFormat="1" ht="65.099999999999994" customHeight="1" x14ac:dyDescent="0.25">
      <c r="A188" s="94"/>
      <c r="B188" s="94"/>
      <c r="C188" s="413"/>
      <c r="D188" s="95"/>
      <c r="E188" s="96"/>
      <c r="F188" s="96"/>
      <c r="G188" s="96"/>
      <c r="H188" s="96"/>
      <c r="I188" s="96"/>
      <c r="J188" s="96"/>
      <c r="K188" s="97"/>
      <c r="L188" s="98"/>
      <c r="M188" s="98"/>
      <c r="N188" s="99"/>
      <c r="O188" s="72"/>
      <c r="P188" s="100"/>
      <c r="Q188" s="101"/>
      <c r="R188" s="377"/>
      <c r="S188" s="75"/>
      <c r="T188" s="76"/>
      <c r="U188" s="72"/>
      <c r="V188" s="60"/>
      <c r="W188" s="60"/>
      <c r="X188" s="369"/>
      <c r="Y188" s="96"/>
    </row>
    <row r="189" spans="1:25" s="103" customFormat="1" ht="65.099999999999994" customHeight="1" x14ac:dyDescent="0.25">
      <c r="A189" s="94"/>
      <c r="B189" s="94"/>
      <c r="C189" s="413"/>
      <c r="D189" s="95"/>
      <c r="E189" s="96"/>
      <c r="F189" s="96"/>
      <c r="G189" s="96"/>
      <c r="H189" s="96"/>
      <c r="I189" s="96"/>
      <c r="J189" s="96"/>
      <c r="K189" s="97"/>
      <c r="L189" s="98"/>
      <c r="M189" s="98"/>
      <c r="N189" s="99"/>
      <c r="O189" s="72"/>
      <c r="P189" s="100"/>
      <c r="Q189" s="101"/>
      <c r="R189" s="377"/>
      <c r="S189" s="75"/>
      <c r="T189" s="76"/>
      <c r="U189" s="72"/>
      <c r="V189" s="60"/>
      <c r="W189" s="60"/>
      <c r="X189" s="369"/>
      <c r="Y189" s="96"/>
    </row>
    <row r="190" spans="1:25" s="103" customFormat="1" ht="65.099999999999994" customHeight="1" x14ac:dyDescent="0.25">
      <c r="A190" s="94"/>
      <c r="B190" s="94"/>
      <c r="C190" s="413"/>
      <c r="D190" s="95"/>
      <c r="E190" s="96"/>
      <c r="F190" s="96"/>
      <c r="G190" s="96"/>
      <c r="H190" s="96"/>
      <c r="I190" s="96"/>
      <c r="J190" s="96"/>
      <c r="K190" s="97"/>
      <c r="L190" s="98"/>
      <c r="M190" s="98"/>
      <c r="N190" s="99"/>
      <c r="O190" s="72"/>
      <c r="P190" s="100"/>
      <c r="Q190" s="101"/>
      <c r="R190" s="377"/>
      <c r="S190" s="75"/>
      <c r="T190" s="76"/>
      <c r="U190" s="72"/>
      <c r="V190" s="60"/>
      <c r="W190" s="60"/>
      <c r="X190" s="369"/>
      <c r="Y190" s="96"/>
    </row>
    <row r="191" spans="1:25" s="103" customFormat="1" ht="65.099999999999994" customHeight="1" x14ac:dyDescent="0.25">
      <c r="A191" s="94"/>
      <c r="B191" s="94"/>
      <c r="C191" s="413"/>
      <c r="D191" s="95"/>
      <c r="E191" s="96"/>
      <c r="F191" s="96"/>
      <c r="G191" s="96"/>
      <c r="H191" s="96"/>
      <c r="I191" s="96"/>
      <c r="J191" s="96"/>
      <c r="K191" s="97"/>
      <c r="L191" s="98"/>
      <c r="M191" s="98"/>
      <c r="N191" s="99"/>
      <c r="O191" s="72"/>
      <c r="P191" s="100"/>
      <c r="Q191" s="101"/>
      <c r="R191" s="377"/>
      <c r="S191" s="75"/>
      <c r="T191" s="76"/>
      <c r="U191" s="72"/>
      <c r="V191" s="60"/>
      <c r="W191" s="60"/>
      <c r="X191" s="369"/>
      <c r="Y191" s="96"/>
    </row>
    <row r="192" spans="1:25" s="103" customFormat="1" ht="65.099999999999994" customHeight="1" x14ac:dyDescent="0.25">
      <c r="A192" s="94"/>
      <c r="B192" s="94"/>
      <c r="C192" s="413"/>
      <c r="D192" s="95"/>
      <c r="E192" s="96"/>
      <c r="F192" s="96"/>
      <c r="G192" s="96"/>
      <c r="H192" s="96"/>
      <c r="I192" s="96"/>
      <c r="J192" s="96"/>
      <c r="K192" s="97"/>
      <c r="L192" s="98"/>
      <c r="M192" s="98"/>
      <c r="N192" s="99"/>
      <c r="O192" s="72"/>
      <c r="P192" s="100"/>
      <c r="Q192" s="101"/>
      <c r="R192" s="377"/>
      <c r="S192" s="75"/>
      <c r="T192" s="76"/>
      <c r="U192" s="72"/>
      <c r="V192" s="60"/>
      <c r="W192" s="60"/>
      <c r="X192" s="369"/>
      <c r="Y192" s="96"/>
    </row>
    <row r="193" spans="1:25" s="103" customFormat="1" ht="65.099999999999994" customHeight="1" x14ac:dyDescent="0.25">
      <c r="A193" s="94"/>
      <c r="B193" s="94"/>
      <c r="C193" s="413"/>
      <c r="D193" s="95"/>
      <c r="E193" s="96"/>
      <c r="F193" s="96"/>
      <c r="G193" s="96"/>
      <c r="H193" s="96"/>
      <c r="I193" s="96"/>
      <c r="J193" s="96"/>
      <c r="K193" s="97"/>
      <c r="L193" s="98"/>
      <c r="M193" s="98"/>
      <c r="N193" s="99"/>
      <c r="O193" s="72"/>
      <c r="P193" s="100"/>
      <c r="Q193" s="101"/>
      <c r="R193" s="377"/>
      <c r="S193" s="75"/>
      <c r="T193" s="76"/>
      <c r="U193" s="72"/>
      <c r="V193" s="60"/>
      <c r="W193" s="60"/>
      <c r="X193" s="369"/>
      <c r="Y193" s="96"/>
    </row>
    <row r="194" spans="1:25" s="103" customFormat="1" ht="65.099999999999994" customHeight="1" x14ac:dyDescent="0.25">
      <c r="A194" s="94"/>
      <c r="B194" s="94"/>
      <c r="C194" s="413"/>
      <c r="D194" s="95"/>
      <c r="E194" s="96"/>
      <c r="F194" s="96"/>
      <c r="G194" s="96"/>
      <c r="H194" s="96"/>
      <c r="I194" s="96"/>
      <c r="J194" s="96"/>
      <c r="K194" s="97"/>
      <c r="L194" s="98"/>
      <c r="M194" s="98"/>
      <c r="N194" s="99"/>
      <c r="O194" s="72"/>
      <c r="P194" s="100"/>
      <c r="Q194" s="101"/>
      <c r="R194" s="377"/>
      <c r="S194" s="75"/>
      <c r="T194" s="76"/>
      <c r="U194" s="72"/>
      <c r="V194" s="60"/>
      <c r="W194" s="60"/>
      <c r="X194" s="369"/>
      <c r="Y194" s="96"/>
    </row>
    <row r="195" spans="1:25" s="103" customFormat="1" ht="65.099999999999994" customHeight="1" x14ac:dyDescent="0.25">
      <c r="A195" s="94"/>
      <c r="B195" s="94"/>
      <c r="C195" s="413"/>
      <c r="D195" s="95"/>
      <c r="E195" s="96"/>
      <c r="F195" s="96"/>
      <c r="G195" s="96"/>
      <c r="H195" s="96"/>
      <c r="I195" s="96"/>
      <c r="J195" s="96"/>
      <c r="K195" s="97"/>
      <c r="L195" s="98"/>
      <c r="M195" s="98"/>
      <c r="N195" s="99"/>
      <c r="O195" s="72"/>
      <c r="P195" s="100"/>
      <c r="Q195" s="101"/>
      <c r="R195" s="377"/>
      <c r="S195" s="75"/>
      <c r="T195" s="76"/>
      <c r="U195" s="72"/>
      <c r="V195" s="60"/>
      <c r="W195" s="60"/>
      <c r="X195" s="369"/>
      <c r="Y195" s="96"/>
    </row>
    <row r="196" spans="1:25" s="103" customFormat="1" ht="65.099999999999994" customHeight="1" x14ac:dyDescent="0.25">
      <c r="A196" s="94"/>
      <c r="B196" s="94"/>
      <c r="C196" s="413"/>
      <c r="D196" s="95"/>
      <c r="E196" s="96"/>
      <c r="F196" s="96"/>
      <c r="G196" s="96"/>
      <c r="H196" s="96"/>
      <c r="I196" s="96"/>
      <c r="J196" s="96"/>
      <c r="K196" s="97"/>
      <c r="L196" s="98"/>
      <c r="M196" s="98"/>
      <c r="N196" s="99"/>
      <c r="O196" s="72"/>
      <c r="P196" s="100"/>
      <c r="Q196" s="101"/>
      <c r="R196" s="377"/>
      <c r="S196" s="75"/>
      <c r="T196" s="76"/>
      <c r="U196" s="72"/>
      <c r="V196" s="60"/>
      <c r="W196" s="60"/>
      <c r="X196" s="369"/>
      <c r="Y196" s="96"/>
    </row>
    <row r="197" spans="1:25" s="103" customFormat="1" ht="65.099999999999994" customHeight="1" x14ac:dyDescent="0.25">
      <c r="A197" s="94"/>
      <c r="B197" s="94"/>
      <c r="C197" s="413"/>
      <c r="D197" s="95"/>
      <c r="E197" s="96"/>
      <c r="F197" s="96"/>
      <c r="G197" s="96"/>
      <c r="H197" s="96"/>
      <c r="I197" s="96"/>
      <c r="J197" s="96"/>
      <c r="K197" s="97"/>
      <c r="L197" s="98"/>
      <c r="M197" s="98"/>
      <c r="N197" s="99"/>
      <c r="O197" s="72"/>
      <c r="P197" s="100"/>
      <c r="Q197" s="101"/>
      <c r="R197" s="377"/>
      <c r="S197" s="75"/>
      <c r="T197" s="76"/>
      <c r="U197" s="72"/>
      <c r="V197" s="60"/>
      <c r="W197" s="60"/>
      <c r="X197" s="369"/>
      <c r="Y197" s="96"/>
    </row>
    <row r="198" spans="1:25" s="103" customFormat="1" ht="65.099999999999994" customHeight="1" x14ac:dyDescent="0.25">
      <c r="A198" s="94"/>
      <c r="B198" s="94"/>
      <c r="C198" s="413"/>
      <c r="D198" s="95"/>
      <c r="E198" s="96"/>
      <c r="F198" s="96"/>
      <c r="G198" s="96"/>
      <c r="H198" s="96"/>
      <c r="I198" s="96"/>
      <c r="J198" s="96"/>
      <c r="K198" s="97"/>
      <c r="L198" s="98"/>
      <c r="M198" s="98"/>
      <c r="N198" s="99"/>
      <c r="O198" s="72"/>
      <c r="P198" s="100"/>
      <c r="Q198" s="101"/>
      <c r="R198" s="377"/>
      <c r="S198" s="75"/>
      <c r="T198" s="76"/>
      <c r="U198" s="72"/>
      <c r="V198" s="60"/>
      <c r="W198" s="60"/>
      <c r="X198" s="369"/>
      <c r="Y198" s="96"/>
    </row>
  </sheetData>
  <autoFilter ref="A1:Y17"/>
  <mergeCells count="38">
    <mergeCell ref="A19:A22"/>
    <mergeCell ref="S1:S2"/>
    <mergeCell ref="T1:T2"/>
    <mergeCell ref="U1:U2"/>
    <mergeCell ref="V1:V2"/>
    <mergeCell ref="M1:M2"/>
    <mergeCell ref="N1:N2"/>
    <mergeCell ref="O1:O2"/>
    <mergeCell ref="P1:P2"/>
    <mergeCell ref="Q1:Q2"/>
    <mergeCell ref="R1:R2"/>
    <mergeCell ref="G1:G2"/>
    <mergeCell ref="H1:H2"/>
    <mergeCell ref="I1:I2"/>
    <mergeCell ref="J1:J2"/>
    <mergeCell ref="K1:K2"/>
    <mergeCell ref="Y1:Y2"/>
    <mergeCell ref="A3:A6"/>
    <mergeCell ref="A7:A10"/>
    <mergeCell ref="A11:A14"/>
    <mergeCell ref="A15:A18"/>
    <mergeCell ref="W1:W2"/>
    <mergeCell ref="X1:X2"/>
    <mergeCell ref="L1:L2"/>
    <mergeCell ref="A1:A2"/>
    <mergeCell ref="B1:B2"/>
    <mergeCell ref="C1:C2"/>
    <mergeCell ref="D1:D2"/>
    <mergeCell ref="E1:E2"/>
    <mergeCell ref="F1:F2"/>
    <mergeCell ref="A47:A50"/>
    <mergeCell ref="A51:A54"/>
    <mergeCell ref="A23:A26"/>
    <mergeCell ref="A27:A30"/>
    <mergeCell ref="A31:A34"/>
    <mergeCell ref="A35:A38"/>
    <mergeCell ref="A39:A42"/>
    <mergeCell ref="A43:A46"/>
  </mergeCells>
  <conditionalFormatting sqref="X3">
    <cfRule type="containsText" dxfId="13" priority="17" operator="containsText" text="NO CUMPLE">
      <formula>NOT(ISERROR(SEARCH("NO CUMPLE",X3)))</formula>
    </cfRule>
  </conditionalFormatting>
  <conditionalFormatting sqref="X4">
    <cfRule type="containsText" dxfId="12" priority="16" operator="containsText" text="NO CUMPLE">
      <formula>NOT(ISERROR(SEARCH("NO CUMPLE",X4)))</formula>
    </cfRule>
  </conditionalFormatting>
  <conditionalFormatting sqref="X5">
    <cfRule type="containsText" dxfId="11" priority="15" operator="containsText" text="NO CUMPLE">
      <formula>NOT(ISERROR(SEARCH("NO CUMPLE",X5)))</formula>
    </cfRule>
  </conditionalFormatting>
  <conditionalFormatting sqref="X10 X42 X46 X50 X54 X14 X18 X22 X26 X30 X34">
    <cfRule type="containsText" dxfId="10" priority="14" operator="containsText" text="NO CUMPLE">
      <formula>NOT(ISERROR(SEARCH("NO CUMPLE",X10)))</formula>
    </cfRule>
  </conditionalFormatting>
  <conditionalFormatting sqref="X8:X9 X40:X41 X44:X45 X48:X49 X52:X53 X12:X13 X16:X17 X20:X21 X24:X25 X28:X29 X32:X33">
    <cfRule type="containsText" dxfId="9" priority="13" operator="containsText" text="NO CUMPLE">
      <formula>NOT(ISERROR(SEARCH("NO CUMPLE",X8)))</formula>
    </cfRule>
  </conditionalFormatting>
  <conditionalFormatting sqref="X7 X39 X43 X47 X51 X11 X15 X19 X23 X27 X31">
    <cfRule type="containsText" dxfId="8" priority="12" operator="containsText" text="NO CUMPLE">
      <formula>NOT(ISERROR(SEARCH("NO CUMPLE",X7)))</formula>
    </cfRule>
  </conditionalFormatting>
  <conditionalFormatting sqref="X6">
    <cfRule type="containsText" dxfId="7" priority="11" operator="containsText" text="NO CUMPLE">
      <formula>NOT(ISERROR(SEARCH("NO CUMPLE",X6)))</formula>
    </cfRule>
  </conditionalFormatting>
  <conditionalFormatting sqref="X7">
    <cfRule type="containsText" dxfId="6" priority="10" operator="containsText" text="NO CUMPLE">
      <formula>NOT(ISERROR(SEARCH("NO CUMPLE",X7)))</formula>
    </cfRule>
  </conditionalFormatting>
  <conditionalFormatting sqref="X8">
    <cfRule type="containsText" dxfId="5" priority="9" operator="containsText" text="NO CUMPLE">
      <formula>NOT(ISERROR(SEARCH("NO CUMPLE",X8)))</formula>
    </cfRule>
  </conditionalFormatting>
  <conditionalFormatting sqref="X9">
    <cfRule type="containsText" dxfId="4" priority="8" operator="containsText" text="NO CUMPLE">
      <formula>NOT(ISERROR(SEARCH("NO CUMPLE",X9)))</formula>
    </cfRule>
  </conditionalFormatting>
  <conditionalFormatting sqref="X10">
    <cfRule type="containsText" dxfId="3" priority="7" operator="containsText" text="NO CUMPLE">
      <formula>NOT(ISERROR(SEARCH("NO CUMPLE",X10)))</formula>
    </cfRule>
  </conditionalFormatting>
  <conditionalFormatting sqref="X38">
    <cfRule type="containsText" dxfId="2" priority="5" operator="containsText" text="NO CUMPLE">
      <formula>NOT(ISERROR(SEARCH("NO CUMPLE",X38)))</formula>
    </cfRule>
  </conditionalFormatting>
  <conditionalFormatting sqref="X36:X37">
    <cfRule type="containsText" dxfId="1" priority="4" operator="containsText" text="NO CUMPLE">
      <formula>NOT(ISERROR(SEARCH("NO CUMPLE",X36)))</formula>
    </cfRule>
  </conditionalFormatting>
  <conditionalFormatting sqref="X35">
    <cfRule type="containsText" dxfId="0" priority="3" operator="containsText" text="NO CUMPLE">
      <formula>NOT(ISERROR(SEARCH("NO CUMPLE",X35)))</formula>
    </cfRule>
  </conditionalFormatting>
  <dataValidations count="1">
    <dataValidation type="list" allowBlank="1" showInputMessage="1" showErrorMessage="1" sqref="G3:J54">
      <formula1>$AA$1:$AB$1</formula1>
    </dataValidation>
  </dataValidations>
  <pageMargins left="0.75" right="0.75" top="1" bottom="1" header="0.5" footer="0.5"/>
  <pageSetup orientation="portrait" horizontalDpi="4294967292" vertic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B36" sqref="B36"/>
    </sheetView>
  </sheetViews>
  <sheetFormatPr baseColWidth="10" defaultColWidth="10.875" defaultRowHeight="15.75" x14ac:dyDescent="0.25"/>
  <cols>
    <col min="1" max="1" width="48.625" style="1" customWidth="1"/>
    <col min="2" max="2" width="16.125" style="3" bestFit="1" customWidth="1"/>
    <col min="3" max="3" width="5.125" style="3" customWidth="1"/>
    <col min="4" max="4" width="30.375" style="1" bestFit="1" customWidth="1"/>
    <col min="5" max="5" width="2.5" style="1" customWidth="1"/>
    <col min="6" max="6" width="27.125" style="1" bestFit="1" customWidth="1"/>
    <col min="7" max="7" width="2.625" style="1" customWidth="1"/>
    <col min="8" max="8" width="27.875" style="1" bestFit="1" customWidth="1"/>
    <col min="9" max="9" width="4.125" style="1" customWidth="1"/>
    <col min="10" max="10" width="21.5" style="2" customWidth="1"/>
    <col min="11" max="11" width="3.125" style="2" customWidth="1"/>
    <col min="12" max="12" width="30.625" style="2" bestFit="1" customWidth="1"/>
    <col min="13" max="16384" width="10.875" style="2"/>
  </cols>
  <sheetData>
    <row r="1" spans="1:12" ht="16.5" thickBot="1" x14ac:dyDescent="0.3">
      <c r="A1" s="607" t="s">
        <v>58</v>
      </c>
      <c r="B1" s="608"/>
    </row>
    <row r="2" spans="1:12" s="6" customFormat="1" ht="16.5" thickBot="1" x14ac:dyDescent="0.3">
      <c r="A2" s="4" t="s">
        <v>38</v>
      </c>
      <c r="B2" s="5" t="s">
        <v>39</v>
      </c>
      <c r="C2" s="3"/>
      <c r="D2" s="1"/>
      <c r="E2" s="1"/>
      <c r="F2" s="1"/>
      <c r="G2" s="1"/>
      <c r="H2" s="1"/>
      <c r="I2" s="1"/>
    </row>
    <row r="3" spans="1:12" ht="30.95" customHeight="1" thickBot="1" x14ac:dyDescent="0.3">
      <c r="A3" s="7" t="s">
        <v>59</v>
      </c>
      <c r="B3" s="8">
        <v>28458744093</v>
      </c>
      <c r="D3" s="9" t="s">
        <v>40</v>
      </c>
      <c r="F3" s="9" t="s">
        <v>41</v>
      </c>
      <c r="H3" s="9" t="s">
        <v>42</v>
      </c>
      <c r="J3" s="10" t="s">
        <v>43</v>
      </c>
      <c r="L3" s="10" t="s">
        <v>876</v>
      </c>
    </row>
    <row r="4" spans="1:12" x14ac:dyDescent="0.25">
      <c r="A4" s="11" t="s">
        <v>879</v>
      </c>
      <c r="B4" s="12">
        <f>+B3/B34</f>
        <v>48276.071404580151</v>
      </c>
      <c r="D4" s="13" t="s">
        <v>60</v>
      </c>
      <c r="F4" s="13" t="s">
        <v>61</v>
      </c>
      <c r="H4" s="13" t="s">
        <v>62</v>
      </c>
      <c r="J4" s="13" t="s">
        <v>63</v>
      </c>
      <c r="L4" s="13" t="s">
        <v>875</v>
      </c>
    </row>
    <row r="5" spans="1:12" ht="16.5" thickBot="1" x14ac:dyDescent="0.3">
      <c r="A5" s="14" t="s">
        <v>44</v>
      </c>
      <c r="B5" s="15">
        <v>42401</v>
      </c>
      <c r="C5" s="16"/>
      <c r="D5" s="44">
        <f>4%*B4</f>
        <v>1931.0428561832061</v>
      </c>
      <c r="F5" s="44">
        <f>B4*20.4%</f>
        <v>9848.3185665343499</v>
      </c>
      <c r="G5" s="3"/>
      <c r="H5" s="44">
        <f>B4*40%</f>
        <v>19310.428561832061</v>
      </c>
      <c r="J5" s="44">
        <f>B4*5%</f>
        <v>2413.8035702290076</v>
      </c>
      <c r="L5" s="17">
        <f>15%*B4</f>
        <v>7241.4107106870224</v>
      </c>
    </row>
    <row r="6" spans="1:12" ht="16.5" thickBot="1" x14ac:dyDescent="0.3">
      <c r="A6" s="18" t="s">
        <v>45</v>
      </c>
      <c r="B6" s="19">
        <v>42401</v>
      </c>
      <c r="C6" s="16"/>
    </row>
    <row r="7" spans="1:12" x14ac:dyDescent="0.25">
      <c r="A7" s="20"/>
      <c r="B7" s="16"/>
      <c r="C7" s="16"/>
      <c r="H7" s="2"/>
      <c r="L7" s="585"/>
    </row>
    <row r="8" spans="1:12" ht="16.5" thickBot="1" x14ac:dyDescent="0.3">
      <c r="D8" s="21"/>
      <c r="H8" s="2"/>
      <c r="J8" s="584"/>
    </row>
    <row r="9" spans="1:12" x14ac:dyDescent="0.25">
      <c r="A9" s="4" t="s">
        <v>46</v>
      </c>
      <c r="B9" s="5"/>
      <c r="H9" s="2"/>
    </row>
    <row r="10" spans="1:12" x14ac:dyDescent="0.25">
      <c r="A10" s="22" t="s">
        <v>47</v>
      </c>
      <c r="B10" s="23" t="s">
        <v>48</v>
      </c>
      <c r="H10" s="2"/>
    </row>
    <row r="11" spans="1:12" x14ac:dyDescent="0.25">
      <c r="A11" s="24">
        <v>1990</v>
      </c>
      <c r="B11" s="25">
        <v>41025</v>
      </c>
      <c r="F11" s="21"/>
    </row>
    <row r="12" spans="1:12" x14ac:dyDescent="0.25">
      <c r="A12" s="24">
        <v>1991</v>
      </c>
      <c r="B12" s="25">
        <v>51716</v>
      </c>
    </row>
    <row r="13" spans="1:12" x14ac:dyDescent="0.25">
      <c r="A13" s="24">
        <v>1992</v>
      </c>
      <c r="B13" s="25">
        <v>65190</v>
      </c>
      <c r="D13" s="21"/>
    </row>
    <row r="14" spans="1:12" x14ac:dyDescent="0.25">
      <c r="A14" s="24">
        <v>1993</v>
      </c>
      <c r="B14" s="25">
        <v>81510</v>
      </c>
      <c r="H14" s="26"/>
    </row>
    <row r="15" spans="1:12" x14ac:dyDescent="0.25">
      <c r="A15" s="24">
        <v>1994</v>
      </c>
      <c r="B15" s="25">
        <v>98700</v>
      </c>
    </row>
    <row r="16" spans="1:12" x14ac:dyDescent="0.25">
      <c r="A16" s="24">
        <v>1995</v>
      </c>
      <c r="B16" s="25">
        <v>118933.5</v>
      </c>
    </row>
    <row r="17" spans="1:2" x14ac:dyDescent="0.25">
      <c r="A17" s="24">
        <v>1996</v>
      </c>
      <c r="B17" s="25">
        <v>142125</v>
      </c>
    </row>
    <row r="18" spans="1:2" x14ac:dyDescent="0.25">
      <c r="A18" s="24">
        <v>1997</v>
      </c>
      <c r="B18" s="25">
        <v>172005</v>
      </c>
    </row>
    <row r="19" spans="1:2" x14ac:dyDescent="0.25">
      <c r="A19" s="24">
        <v>1998</v>
      </c>
      <c r="B19" s="25">
        <v>203826</v>
      </c>
    </row>
    <row r="20" spans="1:2" x14ac:dyDescent="0.25">
      <c r="A20" s="24">
        <v>1999</v>
      </c>
      <c r="B20" s="25">
        <v>236460</v>
      </c>
    </row>
    <row r="21" spans="1:2" x14ac:dyDescent="0.25">
      <c r="A21" s="24">
        <v>2000</v>
      </c>
      <c r="B21" s="25">
        <v>260100</v>
      </c>
    </row>
    <row r="22" spans="1:2" x14ac:dyDescent="0.25">
      <c r="A22" s="24">
        <v>2001</v>
      </c>
      <c r="B22" s="25">
        <v>286000</v>
      </c>
    </row>
    <row r="23" spans="1:2" x14ac:dyDescent="0.25">
      <c r="A23" s="24">
        <v>2002</v>
      </c>
      <c r="B23" s="25">
        <v>309000</v>
      </c>
    </row>
    <row r="24" spans="1:2" x14ac:dyDescent="0.25">
      <c r="A24" s="24">
        <v>2003</v>
      </c>
      <c r="B24" s="25">
        <v>332000</v>
      </c>
    </row>
    <row r="25" spans="1:2" x14ac:dyDescent="0.25">
      <c r="A25" s="24">
        <v>2004</v>
      </c>
      <c r="B25" s="25">
        <v>358000</v>
      </c>
    </row>
    <row r="26" spans="1:2" x14ac:dyDescent="0.25">
      <c r="A26" s="24">
        <v>2005</v>
      </c>
      <c r="B26" s="25">
        <v>381500</v>
      </c>
    </row>
    <row r="27" spans="1:2" x14ac:dyDescent="0.25">
      <c r="A27" s="24">
        <v>2006</v>
      </c>
      <c r="B27" s="25">
        <v>408000</v>
      </c>
    </row>
    <row r="28" spans="1:2" x14ac:dyDescent="0.25">
      <c r="A28" s="24">
        <v>2007</v>
      </c>
      <c r="B28" s="25">
        <v>433700</v>
      </c>
    </row>
    <row r="29" spans="1:2" x14ac:dyDescent="0.25">
      <c r="A29" s="24">
        <v>2008</v>
      </c>
      <c r="B29" s="25">
        <v>461500</v>
      </c>
    </row>
    <row r="30" spans="1:2" x14ac:dyDescent="0.25">
      <c r="A30" s="24">
        <v>2009</v>
      </c>
      <c r="B30" s="25">
        <v>496900</v>
      </c>
    </row>
    <row r="31" spans="1:2" x14ac:dyDescent="0.25">
      <c r="A31" s="24">
        <v>2010</v>
      </c>
      <c r="B31" s="25">
        <v>515000</v>
      </c>
    </row>
    <row r="32" spans="1:2" x14ac:dyDescent="0.25">
      <c r="A32" s="24">
        <v>2011</v>
      </c>
      <c r="B32" s="25">
        <v>535600</v>
      </c>
    </row>
    <row r="33" spans="1:2" x14ac:dyDescent="0.25">
      <c r="A33" s="24">
        <v>2012</v>
      </c>
      <c r="B33" s="25">
        <v>566700</v>
      </c>
    </row>
    <row r="34" spans="1:2" x14ac:dyDescent="0.25">
      <c r="A34" s="24">
        <v>2013</v>
      </c>
      <c r="B34" s="25">
        <v>589500</v>
      </c>
    </row>
    <row r="35" spans="1:2" x14ac:dyDescent="0.25">
      <c r="A35" s="24">
        <v>2014</v>
      </c>
      <c r="B35" s="25">
        <v>616000</v>
      </c>
    </row>
    <row r="36" spans="1:2" x14ac:dyDescent="0.25">
      <c r="A36" s="24">
        <v>2015</v>
      </c>
      <c r="B36" s="25">
        <v>644350</v>
      </c>
    </row>
    <row r="37" spans="1:2" ht="16.5" thickBot="1" x14ac:dyDescent="0.3">
      <c r="A37" s="27">
        <v>2016</v>
      </c>
      <c r="B37" s="28">
        <v>689554</v>
      </c>
    </row>
  </sheetData>
  <mergeCells count="1">
    <mergeCell ref="A1:B1"/>
  </mergeCells>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109"/>
  <sheetViews>
    <sheetView zoomScale="85" zoomScaleNormal="85" zoomScalePageLayoutView="125" workbookViewId="0">
      <pane xSplit="5" ySplit="2" topLeftCell="F3" activePane="bottomRight" state="frozen"/>
      <selection pane="topRight" activeCell="F1" sqref="F1"/>
      <selection pane="bottomLeft" activeCell="A3" sqref="A3"/>
      <selection pane="bottomRight" activeCell="N106" sqref="N106:N108"/>
    </sheetView>
  </sheetViews>
  <sheetFormatPr baseColWidth="10" defaultRowHeight="11.25" x14ac:dyDescent="0.2"/>
  <cols>
    <col min="1" max="1" width="7.75" style="40" customWidth="1"/>
    <col min="2" max="2" width="25.125" style="40" customWidth="1"/>
    <col min="3" max="3" width="9.875" style="40" customWidth="1"/>
    <col min="4" max="4" width="41.125" style="41" customWidth="1"/>
    <col min="5" max="5" width="10.625" style="47" customWidth="1"/>
    <col min="6" max="6" width="13.75" style="499" customWidth="1"/>
    <col min="7" max="7" width="16" style="500" customWidth="1"/>
    <col min="8" max="8" width="4.625" style="501" customWidth="1"/>
    <col min="9" max="9" width="13.5" style="499" customWidth="1"/>
    <col min="10" max="10" width="14" style="500" customWidth="1"/>
    <col min="11" max="11" width="13" style="500" customWidth="1"/>
    <col min="12" max="12" width="16.5" style="500" customWidth="1"/>
    <col min="13" max="13" width="13.625" style="491" customWidth="1"/>
    <col min="14" max="14" width="12.875" style="556" customWidth="1"/>
    <col min="15" max="15" width="10.5" style="40" customWidth="1"/>
    <col min="16" max="16" width="30.875" style="40" bestFit="1" customWidth="1"/>
    <col min="17" max="17" width="38.875" style="40" customWidth="1"/>
    <col min="18" max="18" width="15.875" style="40" customWidth="1"/>
    <col min="19" max="20" width="14.875" style="40" customWidth="1"/>
    <col min="21" max="24" width="11.375" style="40" bestFit="1" customWidth="1"/>
    <col min="25" max="25" width="3.5" style="40" customWidth="1"/>
    <col min="26" max="26" width="10.5" style="40" bestFit="1" customWidth="1"/>
    <col min="27" max="27" width="30.875" style="40" bestFit="1" customWidth="1"/>
    <col min="28" max="28" width="38.875" style="40" customWidth="1"/>
    <col min="29" max="29" width="15.875" style="40" customWidth="1"/>
    <col min="30" max="31" width="14.875" style="40" customWidth="1"/>
    <col min="32" max="35" width="11.375" style="40" bestFit="1" customWidth="1"/>
    <col min="36" max="36" width="4.625" style="40" customWidth="1"/>
    <col min="37" max="37" width="9.125" style="40" customWidth="1"/>
    <col min="38" max="38" width="30.875" style="40" bestFit="1" customWidth="1"/>
    <col min="39" max="39" width="38.875" style="40" customWidth="1"/>
    <col min="40" max="40" width="15.875" style="40" customWidth="1"/>
    <col min="41" max="41" width="14.875" style="40" customWidth="1"/>
    <col min="42" max="42" width="15" style="40" customWidth="1"/>
    <col min="43" max="46" width="11.375" style="40" bestFit="1" customWidth="1"/>
    <col min="47" max="47" width="4.125" style="40" customWidth="1"/>
    <col min="48" max="48" width="10.5" style="40" bestFit="1" customWidth="1"/>
    <col min="49" max="49" width="30.875" style="40" bestFit="1" customWidth="1"/>
    <col min="50" max="50" width="38.875" style="40" customWidth="1"/>
    <col min="51" max="51" width="15.875" style="40" customWidth="1"/>
    <col min="52" max="53" width="14.875" style="40" customWidth="1"/>
    <col min="54" max="57" width="11.375" style="40" bestFit="1" customWidth="1"/>
    <col min="58" max="58" width="3.875" style="40" customWidth="1"/>
    <col min="59" max="59" width="10.5" style="40" bestFit="1" customWidth="1"/>
    <col min="60" max="60" width="30.875" style="40" bestFit="1" customWidth="1"/>
    <col min="61" max="61" width="38.875" style="40" customWidth="1"/>
    <col min="62" max="62" width="15.875" style="40" customWidth="1"/>
    <col min="63" max="64" width="14.875" style="40" customWidth="1"/>
    <col min="65" max="68" width="11.375" style="40" bestFit="1" customWidth="1"/>
    <col min="69" max="16384" width="11" style="40"/>
  </cols>
  <sheetData>
    <row r="1" spans="1:14" ht="35.25" customHeight="1" x14ac:dyDescent="0.2">
      <c r="A1" s="621" t="s">
        <v>49</v>
      </c>
      <c r="B1" s="621" t="s">
        <v>50</v>
      </c>
      <c r="C1" s="621" t="s">
        <v>152</v>
      </c>
      <c r="D1" s="621" t="s">
        <v>51</v>
      </c>
      <c r="E1" s="623" t="s">
        <v>79</v>
      </c>
      <c r="F1" s="625" t="s">
        <v>862</v>
      </c>
      <c r="G1" s="626" t="s">
        <v>863</v>
      </c>
      <c r="H1" s="636" t="s">
        <v>864</v>
      </c>
      <c r="I1" s="627" t="s">
        <v>865</v>
      </c>
      <c r="J1" s="629" t="s">
        <v>866</v>
      </c>
      <c r="K1" s="629" t="s">
        <v>870</v>
      </c>
      <c r="L1" s="631" t="s">
        <v>877</v>
      </c>
      <c r="M1" s="631" t="s">
        <v>874</v>
      </c>
      <c r="N1" s="631" t="s">
        <v>873</v>
      </c>
    </row>
    <row r="2" spans="1:14" ht="22.5" customHeight="1" thickBot="1" x14ac:dyDescent="0.25">
      <c r="A2" s="622"/>
      <c r="B2" s="622"/>
      <c r="C2" s="622"/>
      <c r="D2" s="622"/>
      <c r="E2" s="624"/>
      <c r="F2" s="626"/>
      <c r="G2" s="635"/>
      <c r="H2" s="637"/>
      <c r="I2" s="628"/>
      <c r="J2" s="630"/>
      <c r="K2" s="630"/>
      <c r="L2" s="630"/>
      <c r="M2" s="630"/>
      <c r="N2" s="630"/>
    </row>
    <row r="3" spans="1:14" s="495" customFormat="1" ht="12" customHeight="1" x14ac:dyDescent="0.2">
      <c r="A3" s="618" t="s">
        <v>66</v>
      </c>
      <c r="B3" s="615" t="s">
        <v>153</v>
      </c>
      <c r="C3" s="505" t="s">
        <v>239</v>
      </c>
      <c r="D3" s="506" t="s">
        <v>154</v>
      </c>
      <c r="E3" s="507">
        <v>0.51</v>
      </c>
      <c r="F3" s="508"/>
      <c r="G3" s="508" t="s">
        <v>871</v>
      </c>
      <c r="H3" s="638"/>
      <c r="I3" s="562">
        <f>+SUM('[1]EXP GEN. 1-8.'!U3:U4)</f>
        <v>22958.798276332134</v>
      </c>
      <c r="J3" s="523">
        <f>+SUM('[1]EXP ESPEC. 1-8.'!W5:W6)</f>
        <v>17680.852589797876</v>
      </c>
      <c r="K3" s="523">
        <f>+I3+J3</f>
        <v>40639.65086613001</v>
      </c>
      <c r="L3" s="557" t="str">
        <f>+IF(K3&gt;=PARÁMETROS!$L$5,"SI","NO")</f>
        <v>SI</v>
      </c>
      <c r="M3" s="563" t="str">
        <f t="shared" ref="M3:M34" si="0">+IF(G3="ACREDITA",IF(L3="SI","CUMPLE","NO CUMPLE"),"")</f>
        <v>CUMPLE</v>
      </c>
      <c r="N3" s="632" t="s">
        <v>872</v>
      </c>
    </row>
    <row r="4" spans="1:14" s="495" customFormat="1" ht="12" customHeight="1" x14ac:dyDescent="0.2">
      <c r="A4" s="619"/>
      <c r="B4" s="617"/>
      <c r="C4" s="490" t="s">
        <v>240</v>
      </c>
      <c r="D4" s="36" t="s">
        <v>155</v>
      </c>
      <c r="E4" s="57">
        <v>0.3</v>
      </c>
      <c r="F4" s="483"/>
      <c r="G4" s="483" t="s">
        <v>858</v>
      </c>
      <c r="H4" s="638"/>
      <c r="I4" s="564">
        <f>+SUM('[1]EXP GEN. 1-8.'!U6:U7)</f>
        <v>10431.770307224026</v>
      </c>
      <c r="J4" s="494">
        <f>+SUM('[1]EXP ESPEC. 1-8.'!W4)</f>
        <v>10431.770307224026</v>
      </c>
      <c r="K4" s="494">
        <f t="shared" ref="K4:K67" si="1">+I4+J4</f>
        <v>20863.540614448051</v>
      </c>
      <c r="L4" s="558" t="str">
        <f>+IF(K4&gt;=PARÁMETROS!$L$5,"SI","NO")</f>
        <v>SI</v>
      </c>
      <c r="M4" s="396" t="str">
        <f t="shared" si="0"/>
        <v/>
      </c>
      <c r="N4" s="633"/>
    </row>
    <row r="5" spans="1:14" s="495" customFormat="1" ht="12" customHeight="1" thickBot="1" x14ac:dyDescent="0.25">
      <c r="A5" s="620"/>
      <c r="B5" s="616"/>
      <c r="C5" s="509" t="s">
        <v>241</v>
      </c>
      <c r="D5" s="510" t="s">
        <v>156</v>
      </c>
      <c r="E5" s="511">
        <v>0.19</v>
      </c>
      <c r="F5" s="512"/>
      <c r="G5" s="512" t="s">
        <v>858</v>
      </c>
      <c r="H5" s="638"/>
      <c r="I5" s="565">
        <f>+SUM('[1]EXP GEN. 1-8.'!U5)</f>
        <v>3816.7756618181825</v>
      </c>
      <c r="J5" s="524">
        <f>+SUM('[1]EXP ESPEC. 1-8.'!W3)</f>
        <v>3816.7756618181825</v>
      </c>
      <c r="K5" s="524">
        <f t="shared" si="1"/>
        <v>7633.5513236363649</v>
      </c>
      <c r="L5" s="559" t="str">
        <f>+IF(K5&gt;=PARÁMETROS!$L$5,"SI","NO")</f>
        <v>SI</v>
      </c>
      <c r="M5" s="566" t="str">
        <f t="shared" si="0"/>
        <v/>
      </c>
      <c r="N5" s="634"/>
    </row>
    <row r="6" spans="1:14" s="495" customFormat="1" ht="12" customHeight="1" x14ac:dyDescent="0.2">
      <c r="A6" s="609" t="s">
        <v>67</v>
      </c>
      <c r="B6" s="615" t="s">
        <v>157</v>
      </c>
      <c r="C6" s="505" t="s">
        <v>242</v>
      </c>
      <c r="D6" s="506" t="s">
        <v>158</v>
      </c>
      <c r="E6" s="507">
        <v>0.6</v>
      </c>
      <c r="F6" s="508"/>
      <c r="G6" s="508" t="s">
        <v>858</v>
      </c>
      <c r="H6" s="638"/>
      <c r="I6" s="562">
        <f>+SUM('[1]EXP GEN. 1-8.'!U8:U10)</f>
        <v>26014.42268642586</v>
      </c>
      <c r="J6" s="523">
        <f>+SUM('[1]EXP ESPEC. 1-8.'!W7:W9)</f>
        <v>26014.42268642586</v>
      </c>
      <c r="K6" s="523">
        <f t="shared" si="1"/>
        <v>52028.84537285172</v>
      </c>
      <c r="L6" s="557" t="str">
        <f>+IF(K6&gt;=PARÁMETROS!$L$5,"SI","NO")</f>
        <v>SI</v>
      </c>
      <c r="M6" s="563" t="str">
        <f t="shared" si="0"/>
        <v/>
      </c>
      <c r="N6" s="640" t="s">
        <v>872</v>
      </c>
    </row>
    <row r="7" spans="1:14" s="495" customFormat="1" ht="12" customHeight="1" thickBot="1" x14ac:dyDescent="0.25">
      <c r="A7" s="611"/>
      <c r="B7" s="616"/>
      <c r="C7" s="509" t="s">
        <v>247</v>
      </c>
      <c r="D7" s="510" t="s">
        <v>159</v>
      </c>
      <c r="E7" s="511">
        <v>0.4</v>
      </c>
      <c r="F7" s="512"/>
      <c r="G7" s="512" t="s">
        <v>871</v>
      </c>
      <c r="H7" s="638"/>
      <c r="I7" s="565">
        <f>+SUM('[1]EXP GEN. 1-8.'!U11:U12)</f>
        <v>31820.512113091521</v>
      </c>
      <c r="J7" s="524">
        <f>+SUM('[1]EXP ESPEC. 1-8.'!W10)</f>
        <v>21960.584908858302</v>
      </c>
      <c r="K7" s="524">
        <f t="shared" si="1"/>
        <v>53781.097021949827</v>
      </c>
      <c r="L7" s="559" t="str">
        <f>+IF(K7&gt;=PARÁMETROS!$L$5,"SI","NO")</f>
        <v>SI</v>
      </c>
      <c r="M7" s="566" t="str">
        <f t="shared" si="0"/>
        <v>CUMPLE</v>
      </c>
      <c r="N7" s="641"/>
    </row>
    <row r="8" spans="1:14" s="495" customFormat="1" ht="12" customHeight="1" x14ac:dyDescent="0.2">
      <c r="A8" s="618" t="s">
        <v>68</v>
      </c>
      <c r="B8" s="615" t="s">
        <v>160</v>
      </c>
      <c r="C8" s="505" t="s">
        <v>243</v>
      </c>
      <c r="D8" s="506" t="s">
        <v>3</v>
      </c>
      <c r="E8" s="507">
        <v>0.51</v>
      </c>
      <c r="F8" s="508"/>
      <c r="G8" s="508" t="s">
        <v>871</v>
      </c>
      <c r="H8" s="638"/>
      <c r="I8" s="562">
        <f>+SUM('[1]EXP GEN. 1-8.'!U13:U14)</f>
        <v>10926.878044820893</v>
      </c>
      <c r="J8" s="523">
        <f>+SUM('[1]EXP ESPEC. 1-8.'!W11:W12)</f>
        <v>10926.878044820893</v>
      </c>
      <c r="K8" s="523">
        <f t="shared" si="1"/>
        <v>21853.756089641785</v>
      </c>
      <c r="L8" s="557" t="str">
        <f>+IF(K8&gt;=PARÁMETROS!$L$5,"SI","NO")</f>
        <v>SI</v>
      </c>
      <c r="M8" s="563" t="str">
        <f t="shared" si="0"/>
        <v>CUMPLE</v>
      </c>
      <c r="N8" s="642" t="s">
        <v>575</v>
      </c>
    </row>
    <row r="9" spans="1:14" s="495" customFormat="1" ht="12" customHeight="1" thickBot="1" x14ac:dyDescent="0.25">
      <c r="A9" s="620"/>
      <c r="B9" s="616"/>
      <c r="C9" s="509" t="s">
        <v>248</v>
      </c>
      <c r="D9" s="510" t="s">
        <v>161</v>
      </c>
      <c r="E9" s="511">
        <v>0.49</v>
      </c>
      <c r="F9" s="512"/>
      <c r="G9" s="512" t="s">
        <v>871</v>
      </c>
      <c r="H9" s="638"/>
      <c r="I9" s="565">
        <f>+SUM('[1]EXP GEN. 1-8.'!U15:U17)</f>
        <v>10871.14859702656</v>
      </c>
      <c r="J9" s="524">
        <f>+SUM('[1]EXP ESPEC. 1-8.'!W13:W14)</f>
        <v>7902.5380575863564</v>
      </c>
      <c r="K9" s="524">
        <f t="shared" si="1"/>
        <v>18773.686654612917</v>
      </c>
      <c r="L9" s="559" t="str">
        <f>+IF(K9&gt;=PARÁMETROS!$L$5,"SI","NO")</f>
        <v>SI</v>
      </c>
      <c r="M9" s="566" t="str">
        <f t="shared" si="0"/>
        <v>CUMPLE</v>
      </c>
      <c r="N9" s="644"/>
    </row>
    <row r="10" spans="1:14" s="495" customFormat="1" ht="12" customHeight="1" x14ac:dyDescent="0.2">
      <c r="A10" s="609" t="s">
        <v>69</v>
      </c>
      <c r="B10" s="615" t="s">
        <v>162</v>
      </c>
      <c r="C10" s="505" t="s">
        <v>244</v>
      </c>
      <c r="D10" s="506" t="s">
        <v>163</v>
      </c>
      <c r="E10" s="507">
        <v>0.49</v>
      </c>
      <c r="F10" s="508"/>
      <c r="G10" s="508" t="s">
        <v>871</v>
      </c>
      <c r="H10" s="638"/>
      <c r="I10" s="562">
        <f>+SUM('[1]EXP GEN. 1-8.'!U22:U23)</f>
        <v>23541.231832347326</v>
      </c>
      <c r="J10" s="523">
        <f>+SUM('[1]EXP ESPEC. 1-8.'!W17:W18)</f>
        <v>15359.309125414276</v>
      </c>
      <c r="K10" s="523">
        <f t="shared" si="1"/>
        <v>38900.540957761601</v>
      </c>
      <c r="L10" s="557" t="str">
        <f>+IF(K10&gt;=PARÁMETROS!$L$5,"SI","NO")</f>
        <v>SI</v>
      </c>
      <c r="M10" s="563" t="str">
        <f t="shared" si="0"/>
        <v>CUMPLE</v>
      </c>
      <c r="N10" s="640" t="s">
        <v>872</v>
      </c>
    </row>
    <row r="11" spans="1:14" s="495" customFormat="1" ht="12" customHeight="1" thickBot="1" x14ac:dyDescent="0.25">
      <c r="A11" s="611"/>
      <c r="B11" s="616"/>
      <c r="C11" s="509" t="s">
        <v>249</v>
      </c>
      <c r="D11" s="510" t="s">
        <v>164</v>
      </c>
      <c r="E11" s="511">
        <v>0.51</v>
      </c>
      <c r="F11" s="512"/>
      <c r="G11" s="512" t="s">
        <v>858</v>
      </c>
      <c r="H11" s="638"/>
      <c r="I11" s="565">
        <f>+SUM('[1]EXP GEN. 1-8.'!U18:U21)</f>
        <v>18841.41528922705</v>
      </c>
      <c r="J11" s="524">
        <f>+SUM('[1]EXP ESPEC. 1-8.'!W15:W16)</f>
        <v>12285.21917643947</v>
      </c>
      <c r="K11" s="524">
        <f t="shared" si="1"/>
        <v>31126.634465666521</v>
      </c>
      <c r="L11" s="559" t="str">
        <f>+IF(K11&gt;=PARÁMETROS!$L$5,"SI","NO")</f>
        <v>SI</v>
      </c>
      <c r="M11" s="566" t="str">
        <f t="shared" si="0"/>
        <v/>
      </c>
      <c r="N11" s="641"/>
    </row>
    <row r="12" spans="1:14" s="495" customFormat="1" ht="12" customHeight="1" x14ac:dyDescent="0.2">
      <c r="A12" s="609" t="s">
        <v>70</v>
      </c>
      <c r="B12" s="615" t="s">
        <v>165</v>
      </c>
      <c r="C12" s="505" t="s">
        <v>245</v>
      </c>
      <c r="D12" s="506" t="s">
        <v>166</v>
      </c>
      <c r="E12" s="507">
        <v>0.49</v>
      </c>
      <c r="F12" s="508"/>
      <c r="G12" s="508" t="s">
        <v>859</v>
      </c>
      <c r="H12" s="638"/>
      <c r="I12" s="562">
        <f>+SUM('[1]EXP GEN. 1-8.'!U27:U28)</f>
        <v>13004.073204683707</v>
      </c>
      <c r="J12" s="523">
        <f>+SUM('[1]EXP ESPEC. 1-8.'!W19)</f>
        <v>6799.6596234948538</v>
      </c>
      <c r="K12" s="523">
        <f t="shared" si="1"/>
        <v>19803.732828178559</v>
      </c>
      <c r="L12" s="557" t="str">
        <f>+IF(K12&gt;=PARÁMETROS!$L$5,"SI","NO")</f>
        <v>SI</v>
      </c>
      <c r="M12" s="563" t="str">
        <f t="shared" si="0"/>
        <v/>
      </c>
      <c r="N12" s="640" t="s">
        <v>872</v>
      </c>
    </row>
    <row r="13" spans="1:14" s="495" customFormat="1" ht="12" customHeight="1" thickBot="1" x14ac:dyDescent="0.25">
      <c r="A13" s="611"/>
      <c r="B13" s="616"/>
      <c r="C13" s="509" t="s">
        <v>250</v>
      </c>
      <c r="D13" s="510" t="s">
        <v>167</v>
      </c>
      <c r="E13" s="511">
        <v>0.51</v>
      </c>
      <c r="F13" s="512"/>
      <c r="G13" s="512" t="s">
        <v>871</v>
      </c>
      <c r="H13" s="638"/>
      <c r="I13" s="565">
        <f>+SUM('[1]EXP GEN. 1-8.'!U24:U26)</f>
        <v>12532.250337727379</v>
      </c>
      <c r="J13" s="524">
        <f>+SUM('[1]EXP ESPEC. 1-8.'!W20:W22)</f>
        <v>12532.250337727379</v>
      </c>
      <c r="K13" s="524">
        <f t="shared" si="1"/>
        <v>25064.500675454758</v>
      </c>
      <c r="L13" s="559" t="str">
        <f>+IF(K13&gt;=PARÁMETROS!$L$5,"SI","NO")</f>
        <v>SI</v>
      </c>
      <c r="M13" s="566" t="str">
        <f t="shared" si="0"/>
        <v>CUMPLE</v>
      </c>
      <c r="N13" s="641"/>
    </row>
    <row r="14" spans="1:14" s="495" customFormat="1" ht="12" customHeight="1" x14ac:dyDescent="0.2">
      <c r="A14" s="609" t="s">
        <v>71</v>
      </c>
      <c r="B14" s="615" t="s">
        <v>168</v>
      </c>
      <c r="C14" s="505" t="s">
        <v>246</v>
      </c>
      <c r="D14" s="506" t="s">
        <v>169</v>
      </c>
      <c r="E14" s="507">
        <v>0.6</v>
      </c>
      <c r="F14" s="508"/>
      <c r="G14" s="508" t="s">
        <v>858</v>
      </c>
      <c r="H14" s="638"/>
      <c r="I14" s="562">
        <f>+SUM('[1]EXP GEN. 1-8.'!U29:U30)</f>
        <v>15464.515209432251</v>
      </c>
      <c r="J14" s="523">
        <f>+SUM('[1]EXP ESPEC. 1-8.'!W23:W24)</f>
        <v>15464.515209432251</v>
      </c>
      <c r="K14" s="523">
        <f t="shared" si="1"/>
        <v>30929.030418864502</v>
      </c>
      <c r="L14" s="557" t="str">
        <f>+IF(K14&gt;=PARÁMETROS!$L$5,"SI","NO")</f>
        <v>SI</v>
      </c>
      <c r="M14" s="563" t="str">
        <f t="shared" si="0"/>
        <v/>
      </c>
      <c r="N14" s="642" t="s">
        <v>575</v>
      </c>
    </row>
    <row r="15" spans="1:14" s="495" customFormat="1" ht="27" customHeight="1" thickBot="1" x14ac:dyDescent="0.25">
      <c r="A15" s="611"/>
      <c r="B15" s="616"/>
      <c r="C15" s="509" t="s">
        <v>251</v>
      </c>
      <c r="D15" s="510" t="s">
        <v>170</v>
      </c>
      <c r="E15" s="511">
        <v>0.4</v>
      </c>
      <c r="F15" s="512"/>
      <c r="G15" s="512" t="s">
        <v>871</v>
      </c>
      <c r="H15" s="638"/>
      <c r="I15" s="565">
        <f>+SUM('[1]EXP GEN. 1-8.'!U31:U32)</f>
        <v>8532.3092625240733</v>
      </c>
      <c r="J15" s="524">
        <f>+SUM('[1]EXP ESPEC. 1-8.'!W25:W26)</f>
        <v>8532.3092625240733</v>
      </c>
      <c r="K15" s="524">
        <f t="shared" si="1"/>
        <v>17064.618525048147</v>
      </c>
      <c r="L15" s="559" t="str">
        <f>+IF(K15&gt;=PARÁMETROS!$L$5,"SI","NO")</f>
        <v>SI</v>
      </c>
      <c r="M15" s="566" t="str">
        <f t="shared" si="0"/>
        <v>CUMPLE</v>
      </c>
      <c r="N15" s="644"/>
    </row>
    <row r="16" spans="1:14" s="495" customFormat="1" ht="12" customHeight="1" x14ac:dyDescent="0.2">
      <c r="A16" s="609" t="s">
        <v>72</v>
      </c>
      <c r="B16" s="615" t="s">
        <v>171</v>
      </c>
      <c r="C16" s="505" t="s">
        <v>252</v>
      </c>
      <c r="D16" s="506" t="s">
        <v>172</v>
      </c>
      <c r="E16" s="507">
        <v>0.49</v>
      </c>
      <c r="F16" s="508"/>
      <c r="G16" s="508" t="s">
        <v>871</v>
      </c>
      <c r="H16" s="638"/>
      <c r="I16" s="562">
        <f>+SUM('EXP GEN. 1-8.'!U37:U38)</f>
        <v>4674.106602545201</v>
      </c>
      <c r="J16" s="523">
        <f>+SUM('EXP ESPEC. 1-8.'!W30)</f>
        <v>2707.0552118413907</v>
      </c>
      <c r="K16" s="523">
        <f t="shared" si="1"/>
        <v>7381.1618143865917</v>
      </c>
      <c r="L16" s="557" t="str">
        <f>+IF(K16&gt;=PARÁMETROS!$L$5,"SI","NO")</f>
        <v>SI</v>
      </c>
      <c r="M16" s="563" t="str">
        <f t="shared" si="0"/>
        <v>CUMPLE</v>
      </c>
      <c r="N16" s="640" t="s">
        <v>872</v>
      </c>
    </row>
    <row r="17" spans="1:14" s="495" customFormat="1" ht="23.25" thickBot="1" x14ac:dyDescent="0.25">
      <c r="A17" s="611"/>
      <c r="B17" s="616"/>
      <c r="C17" s="509" t="s">
        <v>253</v>
      </c>
      <c r="D17" s="510" t="s">
        <v>173</v>
      </c>
      <c r="E17" s="511">
        <v>0.51</v>
      </c>
      <c r="F17" s="512"/>
      <c r="G17" s="512" t="s">
        <v>858</v>
      </c>
      <c r="H17" s="638"/>
      <c r="I17" s="565">
        <f>+SUM('[1]EXP GEN. 1-8.'!U33:U36)</f>
        <v>16801.678417163577</v>
      </c>
      <c r="J17" s="524">
        <f>+SUM('[1]EXP ESPEC. 1-8.'!W27:W29)</f>
        <v>13473.516724264548</v>
      </c>
      <c r="K17" s="524">
        <f t="shared" si="1"/>
        <v>30275.195141428125</v>
      </c>
      <c r="L17" s="559" t="str">
        <f>+IF(K17&gt;=PARÁMETROS!$L$5,"SI","NO")</f>
        <v>SI</v>
      </c>
      <c r="M17" s="566" t="str">
        <f t="shared" si="0"/>
        <v/>
      </c>
      <c r="N17" s="641"/>
    </row>
    <row r="18" spans="1:14" s="495" customFormat="1" ht="22.5" x14ac:dyDescent="0.2">
      <c r="A18" s="609" t="s">
        <v>73</v>
      </c>
      <c r="B18" s="615" t="s">
        <v>174</v>
      </c>
      <c r="C18" s="505" t="s">
        <v>254</v>
      </c>
      <c r="D18" s="506" t="s">
        <v>175</v>
      </c>
      <c r="E18" s="507">
        <v>0.49</v>
      </c>
      <c r="F18" s="508"/>
      <c r="G18" s="508" t="s">
        <v>871</v>
      </c>
      <c r="H18" s="638"/>
      <c r="I18" s="562">
        <f>+SUM('[1]EXP GEN. 1-8.'!U43)</f>
        <v>4326.2347368506498</v>
      </c>
      <c r="J18" s="523">
        <f>+SUM('[1]EXP ESPEC. 1-8.'!W34)</f>
        <v>4326.2347368506498</v>
      </c>
      <c r="K18" s="523">
        <f t="shared" si="1"/>
        <v>8652.4694737012996</v>
      </c>
      <c r="L18" s="557" t="str">
        <f>+IF(K18&gt;=PARÁMETROS!$L$5,"SI","NO")</f>
        <v>SI</v>
      </c>
      <c r="M18" s="563" t="str">
        <f t="shared" si="0"/>
        <v>CUMPLE</v>
      </c>
      <c r="N18" s="640" t="s">
        <v>872</v>
      </c>
    </row>
    <row r="19" spans="1:14" s="495" customFormat="1" ht="12" customHeight="1" thickBot="1" x14ac:dyDescent="0.25">
      <c r="A19" s="611"/>
      <c r="B19" s="616"/>
      <c r="C19" s="509" t="s">
        <v>255</v>
      </c>
      <c r="D19" s="510" t="s">
        <v>176</v>
      </c>
      <c r="E19" s="511">
        <v>0.51</v>
      </c>
      <c r="F19" s="512"/>
      <c r="G19" s="512" t="s">
        <v>858</v>
      </c>
      <c r="H19" s="638"/>
      <c r="I19" s="565">
        <f>+SUM('[1]EXP GEN. 1-8.'!U39:U42)</f>
        <v>15625.036823714967</v>
      </c>
      <c r="J19" s="524">
        <f>+SUM('[1]EXP ESPEC. 1-8.'!W31:W33)</f>
        <v>9804.9457477952019</v>
      </c>
      <c r="K19" s="524">
        <f t="shared" si="1"/>
        <v>25429.982571510169</v>
      </c>
      <c r="L19" s="559" t="str">
        <f>+IF(K19&gt;=PARÁMETROS!$L$5,"SI","NO")</f>
        <v>SI</v>
      </c>
      <c r="M19" s="566" t="str">
        <f t="shared" si="0"/>
        <v/>
      </c>
      <c r="N19" s="641"/>
    </row>
    <row r="20" spans="1:14" s="495" customFormat="1" ht="12" customHeight="1" x14ac:dyDescent="0.2">
      <c r="A20" s="609" t="s">
        <v>74</v>
      </c>
      <c r="B20" s="615" t="s">
        <v>95</v>
      </c>
      <c r="C20" s="505" t="s">
        <v>256</v>
      </c>
      <c r="D20" s="506" t="s">
        <v>177</v>
      </c>
      <c r="E20" s="507">
        <v>0.6</v>
      </c>
      <c r="F20" s="508"/>
      <c r="G20" s="508" t="s">
        <v>6</v>
      </c>
      <c r="H20" s="638"/>
      <c r="I20" s="562">
        <f>+SUM('[2]EXP GEN. 9-16'!U3:U4)</f>
        <v>16609.629578215201</v>
      </c>
      <c r="J20" s="523">
        <f>+SUM('[2]EXP ESPEC. 9 - 16'!W3:W5)</f>
        <v>13240.068952671252</v>
      </c>
      <c r="K20" s="523">
        <f t="shared" si="1"/>
        <v>29849.698530886453</v>
      </c>
      <c r="L20" s="557" t="str">
        <f>+IF(K20&gt;=PARÁMETROS!$L$5,"SI","NO")</f>
        <v>SI</v>
      </c>
      <c r="M20" s="563" t="str">
        <f t="shared" si="0"/>
        <v/>
      </c>
      <c r="N20" s="640" t="s">
        <v>872</v>
      </c>
    </row>
    <row r="21" spans="1:14" s="495" customFormat="1" ht="12" customHeight="1" thickBot="1" x14ac:dyDescent="0.25">
      <c r="A21" s="611"/>
      <c r="B21" s="616"/>
      <c r="C21" s="509" t="s">
        <v>281</v>
      </c>
      <c r="D21" s="510" t="s">
        <v>178</v>
      </c>
      <c r="E21" s="511">
        <v>0.4</v>
      </c>
      <c r="F21" s="512"/>
      <c r="G21" s="512" t="s">
        <v>871</v>
      </c>
      <c r="H21" s="638"/>
      <c r="I21" s="565">
        <f>+SUM('[2]EXP GEN. 9-16'!U4:U5)</f>
        <v>17182.169791168337</v>
      </c>
      <c r="J21" s="524">
        <f>+'[2]EXP ESPEC. 9 - 16'!W6</f>
        <v>5199.6832516233762</v>
      </c>
      <c r="K21" s="524">
        <f t="shared" si="1"/>
        <v>22381.853042791714</v>
      </c>
      <c r="L21" s="559" t="str">
        <f>+IF(K21&gt;=PARÁMETROS!$L$5,"SI","NO")</f>
        <v>SI</v>
      </c>
      <c r="M21" s="566" t="str">
        <f t="shared" si="0"/>
        <v>CUMPLE</v>
      </c>
      <c r="N21" s="641"/>
    </row>
    <row r="22" spans="1:14" ht="12" customHeight="1" x14ac:dyDescent="0.2">
      <c r="A22" s="609" t="s">
        <v>75</v>
      </c>
      <c r="B22" s="615" t="s">
        <v>95</v>
      </c>
      <c r="C22" s="505" t="s">
        <v>282</v>
      </c>
      <c r="D22" s="506" t="s">
        <v>179</v>
      </c>
      <c r="E22" s="507">
        <v>0.51</v>
      </c>
      <c r="F22" s="508"/>
      <c r="G22" s="508" t="s">
        <v>6</v>
      </c>
      <c r="H22" s="638"/>
      <c r="I22" s="562">
        <f>+SUM('[2]EXP GEN. 9-16'!U6:U9)</f>
        <v>32814.326445807732</v>
      </c>
      <c r="J22" s="523">
        <f>+SUM('[2]EXP ESPEC. 9 - 16'!W9:W10)</f>
        <v>10884.246923438695</v>
      </c>
      <c r="K22" s="523">
        <f t="shared" si="1"/>
        <v>43698.573369246427</v>
      </c>
      <c r="L22" s="557" t="str">
        <f>+IF(K22&gt;=PARÁMETROS!$L$5,"SI","NO")</f>
        <v>SI</v>
      </c>
      <c r="M22" s="563" t="str">
        <f t="shared" si="0"/>
        <v/>
      </c>
      <c r="N22" s="640" t="s">
        <v>872</v>
      </c>
    </row>
    <row r="23" spans="1:14" ht="12" customHeight="1" thickBot="1" x14ac:dyDescent="0.25">
      <c r="A23" s="611"/>
      <c r="B23" s="616"/>
      <c r="C23" s="509" t="s">
        <v>283</v>
      </c>
      <c r="D23" s="510" t="s">
        <v>180</v>
      </c>
      <c r="E23" s="511">
        <v>0.49</v>
      </c>
      <c r="F23" s="512"/>
      <c r="G23" s="512" t="s">
        <v>871</v>
      </c>
      <c r="H23" s="638"/>
      <c r="I23" s="565">
        <f>+SUM('[2]EXP GEN. 9-16'!U10:U11)</f>
        <v>12405.989836381299</v>
      </c>
      <c r="J23" s="524">
        <f>+SUM('[2]EXP ESPEC. 9 - 16'!W7:W8)</f>
        <v>17513.383302687456</v>
      </c>
      <c r="K23" s="524">
        <f t="shared" si="1"/>
        <v>29919.373139068754</v>
      </c>
      <c r="L23" s="559" t="str">
        <f>+IF(K23&gt;=PARÁMETROS!$L$5,"SI","NO")</f>
        <v>SI</v>
      </c>
      <c r="M23" s="566" t="str">
        <f t="shared" si="0"/>
        <v>CUMPLE</v>
      </c>
      <c r="N23" s="641"/>
    </row>
    <row r="24" spans="1:14" ht="12" customHeight="1" x14ac:dyDescent="0.2">
      <c r="A24" s="609" t="s">
        <v>181</v>
      </c>
      <c r="B24" s="615" t="s">
        <v>182</v>
      </c>
      <c r="C24" s="505" t="s">
        <v>284</v>
      </c>
      <c r="D24" s="506" t="s">
        <v>183</v>
      </c>
      <c r="E24" s="507">
        <v>0.51</v>
      </c>
      <c r="F24" s="508"/>
      <c r="G24" s="508" t="s">
        <v>858</v>
      </c>
      <c r="H24" s="638"/>
      <c r="I24" s="562">
        <f>+SUM('[2]EXP GEN. 9-16'!U12:U13)</f>
        <v>15358.300802978465</v>
      </c>
      <c r="J24" s="523">
        <f>+SUM('[2]EXP ESPEC. 9 - 16'!W11:W12)</f>
        <v>14678.201579526329</v>
      </c>
      <c r="K24" s="523">
        <f t="shared" si="1"/>
        <v>30036.502382504794</v>
      </c>
      <c r="L24" s="557" t="str">
        <f>+IF(K24&gt;=PARÁMETROS!$L$5,"SI","NO")</f>
        <v>SI</v>
      </c>
      <c r="M24" s="563" t="str">
        <f t="shared" si="0"/>
        <v/>
      </c>
      <c r="N24" s="640" t="s">
        <v>872</v>
      </c>
    </row>
    <row r="25" spans="1:14" ht="12" customHeight="1" thickBot="1" x14ac:dyDescent="0.25">
      <c r="A25" s="611"/>
      <c r="B25" s="616"/>
      <c r="C25" s="509" t="s">
        <v>285</v>
      </c>
      <c r="D25" s="510" t="s">
        <v>184</v>
      </c>
      <c r="E25" s="511">
        <v>0.49</v>
      </c>
      <c r="F25" s="512"/>
      <c r="G25" s="512" t="s">
        <v>871</v>
      </c>
      <c r="H25" s="638"/>
      <c r="I25" s="565">
        <f>+SUM('[2]EXP GEN. 9-16'!T14:T16)</f>
        <v>23677.865263984771</v>
      </c>
      <c r="J25" s="524">
        <f>+SUM('[2]EXP ESPEC. 9 - 16'!W13:W14)</f>
        <v>23353.924119658572</v>
      </c>
      <c r="K25" s="524">
        <f t="shared" si="1"/>
        <v>47031.789383643343</v>
      </c>
      <c r="L25" s="559" t="str">
        <f>+IF(K25&gt;=PARÁMETROS!$L$5,"SI","NO")</f>
        <v>SI</v>
      </c>
      <c r="M25" s="566" t="str">
        <f t="shared" si="0"/>
        <v>CUMPLE</v>
      </c>
      <c r="N25" s="641"/>
    </row>
    <row r="26" spans="1:14" ht="12" customHeight="1" x14ac:dyDescent="0.2">
      <c r="A26" s="609" t="s">
        <v>185</v>
      </c>
      <c r="B26" s="615" t="s">
        <v>186</v>
      </c>
      <c r="C26" s="505" t="s">
        <v>286</v>
      </c>
      <c r="D26" s="506" t="s">
        <v>187</v>
      </c>
      <c r="E26" s="507">
        <v>0.7</v>
      </c>
      <c r="F26" s="513"/>
      <c r="G26" s="508" t="s">
        <v>871</v>
      </c>
      <c r="H26" s="638"/>
      <c r="I26" s="567">
        <f>+SUM('[2]EXP GEN. 9-16'!U17:U18)</f>
        <v>20642.813450561196</v>
      </c>
      <c r="J26" s="526">
        <f>+SUM('[2]EXP ESPEC. 9 - 16'!W15:W17)</f>
        <v>23763.055267219039</v>
      </c>
      <c r="K26" s="523">
        <f t="shared" si="1"/>
        <v>44405.868717780235</v>
      </c>
      <c r="L26" s="557" t="str">
        <f>+IF(K26&gt;=PARÁMETROS!$L$5,"SI","NO")</f>
        <v>SI</v>
      </c>
      <c r="M26" s="563" t="str">
        <f t="shared" si="0"/>
        <v>CUMPLE</v>
      </c>
      <c r="N26" s="640" t="s">
        <v>872</v>
      </c>
    </row>
    <row r="27" spans="1:14" ht="12" customHeight="1" thickBot="1" x14ac:dyDescent="0.25">
      <c r="A27" s="611"/>
      <c r="B27" s="616"/>
      <c r="C27" s="509" t="s">
        <v>287</v>
      </c>
      <c r="D27" s="510" t="s">
        <v>188</v>
      </c>
      <c r="E27" s="511">
        <v>0.3</v>
      </c>
      <c r="F27" s="514"/>
      <c r="G27" s="512" t="s">
        <v>858</v>
      </c>
      <c r="H27" s="638"/>
      <c r="I27" s="568">
        <f>+SUM('[2]EXP GEN. 9-16'!U19)</f>
        <v>8331.2737485436883</v>
      </c>
      <c r="J27" s="527">
        <f>+'[2]EXP ESPEC. 9 - 16'!W18</f>
        <v>8331.2737485436883</v>
      </c>
      <c r="K27" s="524">
        <f t="shared" si="1"/>
        <v>16662.547497087377</v>
      </c>
      <c r="L27" s="559" t="str">
        <f>+IF(K27&gt;=PARÁMETROS!$L$5,"SI","NO")</f>
        <v>SI</v>
      </c>
      <c r="M27" s="566" t="str">
        <f t="shared" si="0"/>
        <v/>
      </c>
      <c r="N27" s="641"/>
    </row>
    <row r="28" spans="1:14" ht="12" customHeight="1" x14ac:dyDescent="0.2">
      <c r="A28" s="609" t="s">
        <v>189</v>
      </c>
      <c r="B28" s="615" t="s">
        <v>190</v>
      </c>
      <c r="C28" s="505" t="s">
        <v>288</v>
      </c>
      <c r="D28" s="506" t="s">
        <v>191</v>
      </c>
      <c r="E28" s="507">
        <v>0.51</v>
      </c>
      <c r="F28" s="513"/>
      <c r="G28" s="508" t="s">
        <v>858</v>
      </c>
      <c r="H28" s="638"/>
      <c r="I28" s="567">
        <f>+SUM('[2]EXP GEN. 9-16'!U20:U22)</f>
        <v>21608.963142445766</v>
      </c>
      <c r="J28" s="526">
        <f>+SUM('[2]EXP ESPEC. 9 - 16'!W19)</f>
        <v>13669.28617055724</v>
      </c>
      <c r="K28" s="523">
        <f t="shared" si="1"/>
        <v>35278.249313003005</v>
      </c>
      <c r="L28" s="557" t="str">
        <f>+IF(K28&gt;=PARÁMETROS!$L$5,"SI","NO")</f>
        <v>SI</v>
      </c>
      <c r="M28" s="563" t="str">
        <f t="shared" si="0"/>
        <v/>
      </c>
      <c r="N28" s="640" t="s">
        <v>872</v>
      </c>
    </row>
    <row r="29" spans="1:14" ht="12" customHeight="1" thickBot="1" x14ac:dyDescent="0.25">
      <c r="A29" s="611"/>
      <c r="B29" s="616"/>
      <c r="C29" s="509" t="s">
        <v>289</v>
      </c>
      <c r="D29" s="510" t="s">
        <v>192</v>
      </c>
      <c r="E29" s="511">
        <v>0.49</v>
      </c>
      <c r="F29" s="514"/>
      <c r="G29" s="512" t="s">
        <v>871</v>
      </c>
      <c r="H29" s="638"/>
      <c r="I29" s="568">
        <f>+SUM('[2]EXP GEN. 9-16'!U23:U25)</f>
        <v>38305.732483959931</v>
      </c>
      <c r="J29" s="527">
        <f>+SUM('[2]EXP ESPEC. 9 - 16'!W20:W22)</f>
        <v>38305.732483959939</v>
      </c>
      <c r="K29" s="524">
        <f t="shared" si="1"/>
        <v>76611.464967919863</v>
      </c>
      <c r="L29" s="559" t="str">
        <f>+IF(K29&gt;=PARÁMETROS!$L$5,"SI","NO")</f>
        <v>SI</v>
      </c>
      <c r="M29" s="566" t="str">
        <f t="shared" si="0"/>
        <v>CUMPLE</v>
      </c>
      <c r="N29" s="641"/>
    </row>
    <row r="30" spans="1:14" ht="12" customHeight="1" x14ac:dyDescent="0.2">
      <c r="A30" s="609" t="s">
        <v>193</v>
      </c>
      <c r="B30" s="615" t="s">
        <v>194</v>
      </c>
      <c r="C30" s="505" t="s">
        <v>290</v>
      </c>
      <c r="D30" s="506" t="s">
        <v>195</v>
      </c>
      <c r="E30" s="507">
        <v>0.6</v>
      </c>
      <c r="F30" s="513"/>
      <c r="G30" s="508" t="s">
        <v>6</v>
      </c>
      <c r="H30" s="638"/>
      <c r="I30" s="567">
        <f>+SUM('[2]EXP GEN. 9-16'!U26:U29)</f>
        <v>40594.341480352887</v>
      </c>
      <c r="J30" s="526">
        <f>+SUM('[2]EXP ESPEC. 9 - 16'!W24:W26)</f>
        <v>35197.989530650688</v>
      </c>
      <c r="K30" s="523">
        <f t="shared" si="1"/>
        <v>75792.331011003582</v>
      </c>
      <c r="L30" s="557" t="str">
        <f>+IF(K30&gt;=PARÁMETROS!$L$5,"SI","NO")</f>
        <v>SI</v>
      </c>
      <c r="M30" s="563" t="str">
        <f t="shared" si="0"/>
        <v/>
      </c>
      <c r="N30" s="640" t="s">
        <v>872</v>
      </c>
    </row>
    <row r="31" spans="1:14" ht="12" customHeight="1" thickBot="1" x14ac:dyDescent="0.25">
      <c r="A31" s="611"/>
      <c r="B31" s="616"/>
      <c r="C31" s="509" t="s">
        <v>291</v>
      </c>
      <c r="D31" s="510" t="s">
        <v>196</v>
      </c>
      <c r="E31" s="511">
        <v>0.4</v>
      </c>
      <c r="F31" s="514"/>
      <c r="G31" s="512" t="s">
        <v>871</v>
      </c>
      <c r="H31" s="638"/>
      <c r="I31" s="568">
        <f>+SUM('[2]EXP GEN. 9-16'!U30:U31)</f>
        <v>6585.0156027107278</v>
      </c>
      <c r="J31" s="527">
        <f>+'[2]EXP ESPEC. 9 - 16'!W23</f>
        <v>4348.2507528517117</v>
      </c>
      <c r="K31" s="524">
        <f t="shared" si="1"/>
        <v>10933.266355562439</v>
      </c>
      <c r="L31" s="559" t="str">
        <f>+IF(K31&gt;=PARÁMETROS!$L$5,"SI","NO")</f>
        <v>SI</v>
      </c>
      <c r="M31" s="566" t="str">
        <f t="shared" si="0"/>
        <v>CUMPLE</v>
      </c>
      <c r="N31" s="641"/>
    </row>
    <row r="32" spans="1:14" ht="12" customHeight="1" x14ac:dyDescent="0.2">
      <c r="A32" s="609" t="s">
        <v>197</v>
      </c>
      <c r="B32" s="615" t="s">
        <v>95</v>
      </c>
      <c r="C32" s="505" t="s">
        <v>292</v>
      </c>
      <c r="D32" s="506" t="s">
        <v>198</v>
      </c>
      <c r="E32" s="507">
        <v>0.51</v>
      </c>
      <c r="F32" s="513"/>
      <c r="G32" s="508" t="s">
        <v>858</v>
      </c>
      <c r="H32" s="638"/>
      <c r="I32" s="567">
        <f>+SUM('[2]EXP GEN. 9-16'!U32:U34)</f>
        <v>25887.396396223059</v>
      </c>
      <c r="J32" s="526">
        <f>+SUM('[2]EXP ESPEC. 9 - 16'!W27:W28)</f>
        <v>21182.317256495233</v>
      </c>
      <c r="K32" s="523">
        <f t="shared" si="1"/>
        <v>47069.713652718288</v>
      </c>
      <c r="L32" s="557" t="str">
        <f>+IF(K32&gt;=PARÁMETROS!$L$5,"SI","NO")</f>
        <v>SI</v>
      </c>
      <c r="M32" s="563" t="str">
        <f t="shared" si="0"/>
        <v/>
      </c>
      <c r="N32" s="640" t="s">
        <v>872</v>
      </c>
    </row>
    <row r="33" spans="1:14" ht="12" customHeight="1" thickBot="1" x14ac:dyDescent="0.25">
      <c r="A33" s="611"/>
      <c r="B33" s="616"/>
      <c r="C33" s="509" t="s">
        <v>293</v>
      </c>
      <c r="D33" s="510" t="s">
        <v>199</v>
      </c>
      <c r="E33" s="511">
        <v>0.49</v>
      </c>
      <c r="F33" s="514"/>
      <c r="G33" s="512" t="s">
        <v>871</v>
      </c>
      <c r="H33" s="638"/>
      <c r="I33" s="568">
        <f>+SUM('[2]EXP GEN. 9-16'!U35:U36)</f>
        <v>16412.459149621725</v>
      </c>
      <c r="J33" s="527">
        <f>+SUM('[2]EXP ESPEC. 9 - 16'!W29:W30)</f>
        <v>12377.014299357448</v>
      </c>
      <c r="K33" s="524">
        <f t="shared" si="1"/>
        <v>28789.473448979174</v>
      </c>
      <c r="L33" s="559" t="str">
        <f>+IF(K33&gt;=PARÁMETROS!$L$5,"SI","NO")</f>
        <v>SI</v>
      </c>
      <c r="M33" s="566" t="str">
        <f t="shared" si="0"/>
        <v>CUMPLE</v>
      </c>
      <c r="N33" s="641"/>
    </row>
    <row r="34" spans="1:14" ht="12" customHeight="1" thickBot="1" x14ac:dyDescent="0.25">
      <c r="A34" s="586" t="s">
        <v>200</v>
      </c>
      <c r="B34" s="515" t="s">
        <v>201</v>
      </c>
      <c r="C34" s="516" t="s">
        <v>294</v>
      </c>
      <c r="D34" s="517" t="s">
        <v>201</v>
      </c>
      <c r="E34" s="518">
        <v>1</v>
      </c>
      <c r="F34" s="519"/>
      <c r="G34" s="520" t="s">
        <v>871</v>
      </c>
      <c r="H34" s="638"/>
      <c r="I34" s="569">
        <f>+SUM('[2]EXP GEN. 9-16'!U37:U38)</f>
        <v>30757.124028669044</v>
      </c>
      <c r="J34" s="535">
        <f>+SUM('[2]EXP ESPEC. 9 - 16'!W31:W34)</f>
        <v>42533.257657199247</v>
      </c>
      <c r="K34" s="536">
        <f t="shared" si="1"/>
        <v>73290.381685868284</v>
      </c>
      <c r="L34" s="560" t="str">
        <f>+IF(K34&gt;=PARÁMETROS!$L$5,"SI","NO")</f>
        <v>SI</v>
      </c>
      <c r="M34" s="552" t="str">
        <f t="shared" si="0"/>
        <v>CUMPLE</v>
      </c>
      <c r="N34" s="570" t="s">
        <v>872</v>
      </c>
    </row>
    <row r="35" spans="1:14" ht="12" customHeight="1" x14ac:dyDescent="0.2">
      <c r="A35" s="609" t="s">
        <v>202</v>
      </c>
      <c r="B35" s="615" t="s">
        <v>203</v>
      </c>
      <c r="C35" s="505" t="s">
        <v>295</v>
      </c>
      <c r="D35" s="506" t="s">
        <v>204</v>
      </c>
      <c r="E35" s="507">
        <v>0.51</v>
      </c>
      <c r="F35" s="513"/>
      <c r="G35" s="508" t="s">
        <v>6</v>
      </c>
      <c r="H35" s="638"/>
      <c r="I35" s="567">
        <f>+'[3]EXP GEN. 17-24'!U3+'[3]EXP GEN. 17-24'!U4+'[3]EXP GEN. 17-24'!U5</f>
        <v>10931.279869579625</v>
      </c>
      <c r="J35" s="526">
        <f>+'[3]EXP ESPEC. 17-24'!W5+'[3]EXP ESPEC. 17-24'!W6</f>
        <v>9378.5925087995602</v>
      </c>
      <c r="K35" s="523">
        <f t="shared" si="1"/>
        <v>20309.872378379187</v>
      </c>
      <c r="L35" s="557" t="str">
        <f>+IF(K35&gt;=PARÁMETROS!$L$5,"SI","NO")</f>
        <v>SI</v>
      </c>
      <c r="M35" s="563" t="str">
        <f t="shared" ref="M35:M66" si="2">+IF(G35="ACREDITA",IF(L35="SI","CUMPLE","NO CUMPLE"),"")</f>
        <v/>
      </c>
      <c r="N35" s="642" t="s">
        <v>575</v>
      </c>
    </row>
    <row r="36" spans="1:14" ht="12" customHeight="1" x14ac:dyDescent="0.2">
      <c r="A36" s="610"/>
      <c r="B36" s="617"/>
      <c r="C36" s="490" t="s">
        <v>296</v>
      </c>
      <c r="D36" s="36" t="s">
        <v>205</v>
      </c>
      <c r="E36" s="57">
        <v>0.25</v>
      </c>
      <c r="F36" s="491"/>
      <c r="G36" s="483" t="s">
        <v>871</v>
      </c>
      <c r="H36" s="638"/>
      <c r="I36" s="571">
        <f>+'[3]EXP GEN. 17-24'!U7</f>
        <v>5584.2182583377453</v>
      </c>
      <c r="J36" s="496">
        <f>+'[3]EXP ESPEC. 17-24'!W4</f>
        <v>5584.2182583377453</v>
      </c>
      <c r="K36" s="494">
        <f t="shared" si="1"/>
        <v>11168.436516675491</v>
      </c>
      <c r="L36" s="558" t="str">
        <f>+IF(K36&gt;=PARÁMETROS!$L$5,"SI","NO")</f>
        <v>SI</v>
      </c>
      <c r="M36" s="396" t="str">
        <f t="shared" si="2"/>
        <v>CUMPLE</v>
      </c>
      <c r="N36" s="643"/>
    </row>
    <row r="37" spans="1:14" ht="12" customHeight="1" thickBot="1" x14ac:dyDescent="0.25">
      <c r="A37" s="611"/>
      <c r="B37" s="616"/>
      <c r="C37" s="509" t="s">
        <v>297</v>
      </c>
      <c r="D37" s="510" t="s">
        <v>206</v>
      </c>
      <c r="E37" s="511">
        <v>0.24</v>
      </c>
      <c r="F37" s="514"/>
      <c r="G37" s="512" t="s">
        <v>6</v>
      </c>
      <c r="H37" s="638"/>
      <c r="I37" s="568">
        <f>+'[3]EXP GEN. 17-24'!U6</f>
        <v>27993.030511368044</v>
      </c>
      <c r="J37" s="527">
        <f>+'[3]EXP ESPEC. 17-24'!W3</f>
        <v>27993.030511368044</v>
      </c>
      <c r="K37" s="524">
        <f t="shared" si="1"/>
        <v>55986.061022736088</v>
      </c>
      <c r="L37" s="559" t="str">
        <f>+IF(K37&gt;=PARÁMETROS!$L$5,"SI","NO")</f>
        <v>SI</v>
      </c>
      <c r="M37" s="566" t="str">
        <f t="shared" si="2"/>
        <v/>
      </c>
      <c r="N37" s="644"/>
    </row>
    <row r="38" spans="1:14" ht="12" customHeight="1" x14ac:dyDescent="0.2">
      <c r="A38" s="609" t="s">
        <v>207</v>
      </c>
      <c r="B38" s="615" t="s">
        <v>208</v>
      </c>
      <c r="C38" s="505" t="s">
        <v>298</v>
      </c>
      <c r="D38" s="506" t="s">
        <v>209</v>
      </c>
      <c r="E38" s="507">
        <v>0.51</v>
      </c>
      <c r="F38" s="513"/>
      <c r="G38" s="508" t="s">
        <v>871</v>
      </c>
      <c r="H38" s="638"/>
      <c r="I38" s="567">
        <f>+'[3]EXP GEN. 17-24'!U8+'[3]EXP GEN. 17-24'!U9</f>
        <v>19648.199429502598</v>
      </c>
      <c r="J38" s="526">
        <f>+'[3]EXP ESPEC. 17-24'!W7+'[3]EXP ESPEC. 17-24'!W8</f>
        <v>19648.199429502598</v>
      </c>
      <c r="K38" s="523">
        <f t="shared" si="1"/>
        <v>39296.398859005196</v>
      </c>
      <c r="L38" s="557" t="str">
        <f>+IF(K38&gt;=PARÁMETROS!$L$5,"SI","NO")</f>
        <v>SI</v>
      </c>
      <c r="M38" s="563" t="str">
        <f t="shared" si="2"/>
        <v>CUMPLE</v>
      </c>
      <c r="N38" s="640" t="s">
        <v>872</v>
      </c>
    </row>
    <row r="39" spans="1:14" ht="12" customHeight="1" x14ac:dyDescent="0.2">
      <c r="A39" s="610"/>
      <c r="B39" s="617"/>
      <c r="C39" s="490" t="s">
        <v>299</v>
      </c>
      <c r="D39" s="36" t="s">
        <v>210</v>
      </c>
      <c r="E39" s="57">
        <v>0.25</v>
      </c>
      <c r="F39" s="491"/>
      <c r="G39" s="483" t="s">
        <v>858</v>
      </c>
      <c r="H39" s="638"/>
      <c r="I39" s="571">
        <f>+'[3]EXP GEN. 17-24'!U10</f>
        <v>5016.6300194078403</v>
      </c>
      <c r="J39" s="496">
        <f>+'[3]EXP ESPEC. 17-24'!W10</f>
        <v>5016.6300194078403</v>
      </c>
      <c r="K39" s="494">
        <f t="shared" si="1"/>
        <v>10033.260038815681</v>
      </c>
      <c r="L39" s="558" t="str">
        <f>+IF(K39&gt;=PARÁMETROS!$L$5,"SI","NO")</f>
        <v>SI</v>
      </c>
      <c r="M39" s="396" t="str">
        <f t="shared" si="2"/>
        <v/>
      </c>
      <c r="N39" s="645"/>
    </row>
    <row r="40" spans="1:14" ht="12" customHeight="1" thickBot="1" x14ac:dyDescent="0.25">
      <c r="A40" s="611"/>
      <c r="B40" s="616"/>
      <c r="C40" s="509" t="s">
        <v>300</v>
      </c>
      <c r="D40" s="510" t="s">
        <v>211</v>
      </c>
      <c r="E40" s="511">
        <v>0.24</v>
      </c>
      <c r="F40" s="514"/>
      <c r="G40" s="512" t="s">
        <v>871</v>
      </c>
      <c r="H40" s="638"/>
      <c r="I40" s="568">
        <f>+'[3]EXP GEN. 17-24'!U11</f>
        <v>3944.7665194071542</v>
      </c>
      <c r="J40" s="527">
        <f>+'[3]EXP ESPEC. 17-24'!W9</f>
        <v>3944.7665194071542</v>
      </c>
      <c r="K40" s="524">
        <f t="shared" si="1"/>
        <v>7889.5330388143084</v>
      </c>
      <c r="L40" s="559" t="str">
        <f>+IF(K40&gt;=PARÁMETROS!$L$5,"SI","NO")</f>
        <v>SI</v>
      </c>
      <c r="M40" s="566" t="str">
        <f t="shared" si="2"/>
        <v>CUMPLE</v>
      </c>
      <c r="N40" s="641"/>
    </row>
    <row r="41" spans="1:14" ht="12" customHeight="1" x14ac:dyDescent="0.2">
      <c r="A41" s="609" t="s">
        <v>212</v>
      </c>
      <c r="B41" s="615" t="s">
        <v>213</v>
      </c>
      <c r="C41" s="505" t="s">
        <v>301</v>
      </c>
      <c r="D41" s="506" t="s">
        <v>214</v>
      </c>
      <c r="E41" s="507">
        <v>0.49</v>
      </c>
      <c r="F41" s="513"/>
      <c r="G41" s="508" t="s">
        <v>871</v>
      </c>
      <c r="H41" s="638"/>
      <c r="I41" s="567">
        <f>+'[3]EXP GEN. 17-24'!U14+'[3]EXP GEN. 17-24'!U15</f>
        <v>9479.5102490689424</v>
      </c>
      <c r="J41" s="526">
        <f>+'[3]EXP ESPEC. 17-24'!W13+'[3]EXP ESPEC. 17-24'!W14</f>
        <v>9479.5102490689424</v>
      </c>
      <c r="K41" s="523">
        <f t="shared" si="1"/>
        <v>18959.020498137885</v>
      </c>
      <c r="L41" s="557" t="str">
        <f>+IF(K41&gt;=PARÁMETROS!$L$5,"SI","NO")</f>
        <v>SI</v>
      </c>
      <c r="M41" s="563" t="str">
        <f t="shared" si="2"/>
        <v>CUMPLE</v>
      </c>
      <c r="N41" s="640" t="s">
        <v>872</v>
      </c>
    </row>
    <row r="42" spans="1:14" ht="12" customHeight="1" thickBot="1" x14ac:dyDescent="0.25">
      <c r="A42" s="611"/>
      <c r="B42" s="616"/>
      <c r="C42" s="509" t="s">
        <v>302</v>
      </c>
      <c r="D42" s="510" t="s">
        <v>215</v>
      </c>
      <c r="E42" s="511">
        <v>0.51</v>
      </c>
      <c r="F42" s="514"/>
      <c r="G42" s="512" t="s">
        <v>6</v>
      </c>
      <c r="H42" s="638"/>
      <c r="I42" s="568">
        <f>+'[3]EXP GEN. 17-24'!U12+'[3]EXP GEN. 17-24'!U13</f>
        <v>20231.818177847948</v>
      </c>
      <c r="J42" s="527">
        <f>+'[3]EXP ESPEC. 17-24'!W12</f>
        <v>4.2764106401553397</v>
      </c>
      <c r="K42" s="524">
        <f t="shared" si="1"/>
        <v>20236.094588488104</v>
      </c>
      <c r="L42" s="559" t="str">
        <f>+IF(K42&gt;=PARÁMETROS!$L$5,"SI","NO")</f>
        <v>SI</v>
      </c>
      <c r="M42" s="566" t="str">
        <f t="shared" si="2"/>
        <v/>
      </c>
      <c r="N42" s="641"/>
    </row>
    <row r="43" spans="1:14" ht="12" customHeight="1" x14ac:dyDescent="0.2">
      <c r="A43" s="609" t="s">
        <v>216</v>
      </c>
      <c r="B43" s="615" t="s">
        <v>217</v>
      </c>
      <c r="C43" s="505" t="s">
        <v>303</v>
      </c>
      <c r="D43" s="506" t="s">
        <v>218</v>
      </c>
      <c r="E43" s="507">
        <v>0.25</v>
      </c>
      <c r="F43" s="513"/>
      <c r="G43" s="508" t="s">
        <v>6</v>
      </c>
      <c r="H43" s="638"/>
      <c r="I43" s="567">
        <f>+'[3]EXP GEN. 17-24'!U16+'[3]EXP GEN. 17-24'!U17</f>
        <v>16504.705096164031</v>
      </c>
      <c r="J43" s="526">
        <f>+'[3]EXP ESPEC. 17-24'!W17+'[3]EXP ESPEC. 17-24'!W18</f>
        <v>16504.705096164031</v>
      </c>
      <c r="K43" s="523">
        <f t="shared" si="1"/>
        <v>33009.410192328061</v>
      </c>
      <c r="L43" s="557" t="str">
        <f>+IF(K43&gt;=PARÁMETROS!$L$5,"SI","NO")</f>
        <v>SI</v>
      </c>
      <c r="M43" s="563" t="str">
        <f t="shared" si="2"/>
        <v/>
      </c>
      <c r="N43" s="640" t="s">
        <v>872</v>
      </c>
    </row>
    <row r="44" spans="1:14" ht="12" customHeight="1" x14ac:dyDescent="0.2">
      <c r="A44" s="610"/>
      <c r="B44" s="617"/>
      <c r="C44" s="490" t="s">
        <v>304</v>
      </c>
      <c r="D44" s="36" t="s">
        <v>219</v>
      </c>
      <c r="E44" s="57">
        <v>0.24</v>
      </c>
      <c r="F44" s="491"/>
      <c r="G44" s="483" t="s">
        <v>6</v>
      </c>
      <c r="H44" s="638"/>
      <c r="I44" s="571">
        <f>+'[3]EXP GEN. 17-24'!U18</f>
        <v>2743.8299926868904</v>
      </c>
      <c r="J44" s="496">
        <v>0</v>
      </c>
      <c r="K44" s="494">
        <f t="shared" si="1"/>
        <v>2743.8299926868904</v>
      </c>
      <c r="L44" s="558" t="str">
        <f>+IF(K44&gt;=PARÁMETROS!$L$5,"SI","NO")</f>
        <v>NO</v>
      </c>
      <c r="M44" s="396" t="str">
        <f t="shared" si="2"/>
        <v/>
      </c>
      <c r="N44" s="645"/>
    </row>
    <row r="45" spans="1:14" ht="12" customHeight="1" thickBot="1" x14ac:dyDescent="0.25">
      <c r="A45" s="611"/>
      <c r="B45" s="616"/>
      <c r="C45" s="509" t="s">
        <v>650</v>
      </c>
      <c r="D45" s="510" t="s">
        <v>774</v>
      </c>
      <c r="E45" s="511">
        <v>0.51</v>
      </c>
      <c r="F45" s="514"/>
      <c r="G45" s="483" t="s">
        <v>871</v>
      </c>
      <c r="H45" s="638"/>
      <c r="I45" s="568">
        <f>+'[3]EXP GEN. 17-24'!U19+'[3]EXP GEN. 17-24'!U20+'[3]EXP GEN. 17-24'!U21</f>
        <v>12142.900079931795</v>
      </c>
      <c r="J45" s="527">
        <f>+'[3]EXP ESPEC. 17-24'!W15+'[3]EXP ESPEC. 17-24'!W16</f>
        <v>9589.8992587027442</v>
      </c>
      <c r="K45" s="524">
        <f t="shared" si="1"/>
        <v>21732.799338634541</v>
      </c>
      <c r="L45" s="559" t="str">
        <f>+IF(K45&gt;=PARÁMETROS!$L$5,"SI","NO")</f>
        <v>SI</v>
      </c>
      <c r="M45" s="566" t="str">
        <f t="shared" si="2"/>
        <v>CUMPLE</v>
      </c>
      <c r="N45" s="641"/>
    </row>
    <row r="46" spans="1:14" ht="12" customHeight="1" x14ac:dyDescent="0.2">
      <c r="A46" s="609" t="s">
        <v>220</v>
      </c>
      <c r="B46" s="615" t="s">
        <v>221</v>
      </c>
      <c r="C46" s="505" t="s">
        <v>305</v>
      </c>
      <c r="D46" s="506" t="s">
        <v>222</v>
      </c>
      <c r="E46" s="507">
        <v>0.51</v>
      </c>
      <c r="F46" s="513"/>
      <c r="G46" s="508" t="s">
        <v>871</v>
      </c>
      <c r="H46" s="638"/>
      <c r="I46" s="567">
        <f>+'[3]EXP GEN. 17-24'!U22+'[3]EXP GEN. 17-24'!U23+'[3]EXP GEN. 17-24'!U24</f>
        <v>22695.271617700546</v>
      </c>
      <c r="J46" s="526">
        <f>+'[3]EXP ESPEC. 17-24'!W20+'[3]EXP ESPEC. 17-24'!W21+'[3]EXP ESPEC. 17-24'!W22</f>
        <v>19579.279307667439</v>
      </c>
      <c r="K46" s="523">
        <f t="shared" si="1"/>
        <v>42274.550925367985</v>
      </c>
      <c r="L46" s="557" t="str">
        <f>+IF(K46&gt;=PARÁMETROS!$L$5,"SI","NO")</f>
        <v>SI</v>
      </c>
      <c r="M46" s="563" t="str">
        <f t="shared" si="2"/>
        <v>CUMPLE</v>
      </c>
      <c r="N46" s="640" t="s">
        <v>872</v>
      </c>
    </row>
    <row r="47" spans="1:14" ht="12" customHeight="1" thickBot="1" x14ac:dyDescent="0.25">
      <c r="A47" s="611"/>
      <c r="B47" s="616"/>
      <c r="C47" s="509" t="s">
        <v>306</v>
      </c>
      <c r="D47" s="510" t="s">
        <v>223</v>
      </c>
      <c r="E47" s="511">
        <v>0.49</v>
      </c>
      <c r="F47" s="514"/>
      <c r="G47" s="512" t="s">
        <v>6</v>
      </c>
      <c r="H47" s="638"/>
      <c r="I47" s="568">
        <f>+'[3]EXP GEN. 17-24'!U25</f>
        <v>2581.8437846649226</v>
      </c>
      <c r="J47" s="527">
        <f>+'[3]EXP ESPEC. 17-24'!W19</f>
        <v>5697.8360946980274</v>
      </c>
      <c r="K47" s="524">
        <f t="shared" si="1"/>
        <v>8279.6798793629496</v>
      </c>
      <c r="L47" s="559" t="str">
        <f>+IF(K47&gt;=PARÁMETROS!$L$5,"SI","NO")</f>
        <v>SI</v>
      </c>
      <c r="M47" s="566" t="str">
        <f t="shared" si="2"/>
        <v/>
      </c>
      <c r="N47" s="641"/>
    </row>
    <row r="48" spans="1:14" ht="12" customHeight="1" x14ac:dyDescent="0.2">
      <c r="A48" s="609" t="s">
        <v>224</v>
      </c>
      <c r="B48" s="615" t="s">
        <v>225</v>
      </c>
      <c r="C48" s="505" t="s">
        <v>307</v>
      </c>
      <c r="D48" s="506" t="s">
        <v>226</v>
      </c>
      <c r="E48" s="507">
        <v>0.49</v>
      </c>
      <c r="F48" s="513"/>
      <c r="G48" s="508" t="s">
        <v>6</v>
      </c>
      <c r="H48" s="638"/>
      <c r="I48" s="567">
        <f>+'[3]EXP GEN. 17-24'!U29+'[3]EXP GEN. 17-24'!U30+'[3]EXP GEN. 17-24'!U31</f>
        <v>10201.982754575083</v>
      </c>
      <c r="J48" s="526">
        <f>+'[3]EXP ESPEC. 17-24'!W25+'[3]EXP ESPEC. 17-24'!W26</f>
        <v>7258.0203199223579</v>
      </c>
      <c r="K48" s="523">
        <f t="shared" si="1"/>
        <v>17460.003074497443</v>
      </c>
      <c r="L48" s="557" t="str">
        <f>+IF(K48&gt;=PARÁMETROS!$L$5,"SI","NO")</f>
        <v>SI</v>
      </c>
      <c r="M48" s="563" t="str">
        <f t="shared" si="2"/>
        <v/>
      </c>
      <c r="N48" s="640" t="s">
        <v>872</v>
      </c>
    </row>
    <row r="49" spans="1:14" ht="12" customHeight="1" thickBot="1" x14ac:dyDescent="0.25">
      <c r="A49" s="611"/>
      <c r="B49" s="616"/>
      <c r="C49" s="509" t="s">
        <v>308</v>
      </c>
      <c r="D49" s="510" t="s">
        <v>227</v>
      </c>
      <c r="E49" s="511">
        <v>0.51</v>
      </c>
      <c r="F49" s="514"/>
      <c r="G49" s="512" t="s">
        <v>871</v>
      </c>
      <c r="H49" s="638"/>
      <c r="I49" s="568">
        <f>+'[3]EXP GEN. 17-24'!U26+'[3]EXP GEN. 17-24'!U27+'[3]EXP GEN. 17-24'!U28</f>
        <v>36764.461368857657</v>
      </c>
      <c r="J49" s="527">
        <f>+'[3]EXP ESPEC. 17-24'!W23+'[3]EXP ESPEC. 17-24'!W24</f>
        <v>29420.089977595519</v>
      </c>
      <c r="K49" s="524">
        <f t="shared" si="1"/>
        <v>66184.551346453169</v>
      </c>
      <c r="L49" s="559" t="str">
        <f>+IF(K49&gt;=PARÁMETROS!$L$5,"SI","NO")</f>
        <v>SI</v>
      </c>
      <c r="M49" s="566" t="str">
        <f t="shared" si="2"/>
        <v>CUMPLE</v>
      </c>
      <c r="N49" s="641"/>
    </row>
    <row r="50" spans="1:14" ht="12" customHeight="1" x14ac:dyDescent="0.2">
      <c r="A50" s="609" t="s">
        <v>228</v>
      </c>
      <c r="B50" s="615" t="s">
        <v>229</v>
      </c>
      <c r="C50" s="505" t="s">
        <v>309</v>
      </c>
      <c r="D50" s="506" t="s">
        <v>230</v>
      </c>
      <c r="E50" s="507">
        <v>0.65</v>
      </c>
      <c r="F50" s="513"/>
      <c r="G50" s="508" t="s">
        <v>858</v>
      </c>
      <c r="H50" s="638"/>
      <c r="I50" s="567">
        <f>+'[3]EXP GEN. 17-24'!U32+'[3]EXP GEN. 17-24'!U33</f>
        <v>22175.999248024022</v>
      </c>
      <c r="J50" s="526">
        <f>+'[3]EXP ESPEC. 17-24'!W27+'[3]EXP ESPEC. 17-24'!W28+'[3]EXP ESPEC. 17-24'!W30</f>
        <v>30468.178073504874</v>
      </c>
      <c r="K50" s="523">
        <f t="shared" si="1"/>
        <v>52644.177321528899</v>
      </c>
      <c r="L50" s="557" t="str">
        <f>+IF(K50&gt;=PARÁMETROS!$L$5,"SI","NO")</f>
        <v>SI</v>
      </c>
      <c r="M50" s="563" t="str">
        <f t="shared" si="2"/>
        <v/>
      </c>
      <c r="N50" s="642" t="s">
        <v>575</v>
      </c>
    </row>
    <row r="51" spans="1:14" ht="12" customHeight="1" thickBot="1" x14ac:dyDescent="0.25">
      <c r="A51" s="611"/>
      <c r="B51" s="616"/>
      <c r="C51" s="509" t="s">
        <v>310</v>
      </c>
      <c r="D51" s="510" t="s">
        <v>231</v>
      </c>
      <c r="E51" s="511">
        <v>0.35</v>
      </c>
      <c r="F51" s="514"/>
      <c r="G51" s="512" t="s">
        <v>871</v>
      </c>
      <c r="H51" s="638"/>
      <c r="I51" s="568">
        <f>+'[3]EXP GEN. 17-24'!U34</f>
        <v>5890.8438609451387</v>
      </c>
      <c r="J51" s="527">
        <f>+'[3]EXP ESPEC. 17-24'!W29</f>
        <v>5890.8438609451387</v>
      </c>
      <c r="K51" s="524">
        <f t="shared" si="1"/>
        <v>11781.687721890277</v>
      </c>
      <c r="L51" s="559" t="str">
        <f>+IF(K51&gt;=PARÁMETROS!$L$5,"SI","NO")</f>
        <v>SI</v>
      </c>
      <c r="M51" s="566" t="str">
        <f t="shared" si="2"/>
        <v>CUMPLE</v>
      </c>
      <c r="N51" s="644"/>
    </row>
    <row r="52" spans="1:14" ht="21" customHeight="1" x14ac:dyDescent="0.2">
      <c r="A52" s="609" t="s">
        <v>235</v>
      </c>
      <c r="B52" s="615" t="s">
        <v>236</v>
      </c>
      <c r="C52" s="505" t="s">
        <v>311</v>
      </c>
      <c r="D52" s="506" t="s">
        <v>232</v>
      </c>
      <c r="E52" s="537">
        <v>0.57499999999999996</v>
      </c>
      <c r="F52" s="513"/>
      <c r="G52" s="508" t="s">
        <v>6</v>
      </c>
      <c r="H52" s="638"/>
      <c r="I52" s="567">
        <f>+'[3]EXP GEN. 17-24'!U35+'[3]EXP GEN. 17-24'!U36+'[3]EXP GEN. 17-24'!U37</f>
        <v>19455.792510842861</v>
      </c>
      <c r="J52" s="526">
        <f>+'[3]EXP ESPEC. 17-24'!W31+'[3]EXP ESPEC. 17-24'!W32+'[3]EXP ESPEC. 17-24'!W33</f>
        <v>19455.792510842861</v>
      </c>
      <c r="K52" s="523">
        <f t="shared" si="1"/>
        <v>38911.585021685722</v>
      </c>
      <c r="L52" s="557" t="str">
        <f>+IF(K52&gt;=PARÁMETROS!$L$5,"SI","NO")</f>
        <v>SI</v>
      </c>
      <c r="M52" s="563" t="str">
        <f t="shared" si="2"/>
        <v/>
      </c>
      <c r="N52" s="640" t="s">
        <v>872</v>
      </c>
    </row>
    <row r="53" spans="1:14" ht="12" customHeight="1" thickBot="1" x14ac:dyDescent="0.25">
      <c r="A53" s="611"/>
      <c r="B53" s="616"/>
      <c r="C53" s="509" t="s">
        <v>313</v>
      </c>
      <c r="D53" s="510" t="s">
        <v>233</v>
      </c>
      <c r="E53" s="539">
        <v>0.42499999999999999</v>
      </c>
      <c r="F53" s="514"/>
      <c r="G53" s="512" t="s">
        <v>871</v>
      </c>
      <c r="H53" s="638"/>
      <c r="I53" s="568">
        <f>+'[3]EXP GEN. 17-24'!U38</f>
        <v>9192.4995579723673</v>
      </c>
      <c r="J53" s="527">
        <f>+'[3]EXP ESPEC. 17-24'!W34</f>
        <v>9192.4995579723673</v>
      </c>
      <c r="K53" s="524">
        <f t="shared" si="1"/>
        <v>18384.999115944735</v>
      </c>
      <c r="L53" s="559" t="str">
        <f>+IF(K53&gt;=PARÁMETROS!$L$5,"SI","NO")</f>
        <v>SI</v>
      </c>
      <c r="M53" s="566" t="str">
        <f t="shared" si="2"/>
        <v>CUMPLE</v>
      </c>
      <c r="N53" s="641"/>
    </row>
    <row r="54" spans="1:14" ht="12" customHeight="1" thickBot="1" x14ac:dyDescent="0.25">
      <c r="A54" s="528" t="s">
        <v>237</v>
      </c>
      <c r="B54" s="529" t="s">
        <v>238</v>
      </c>
      <c r="C54" s="530" t="s">
        <v>312</v>
      </c>
      <c r="D54" s="531" t="s">
        <v>234</v>
      </c>
      <c r="E54" s="532">
        <v>1</v>
      </c>
      <c r="F54" s="533"/>
      <c r="G54" s="534" t="s">
        <v>871</v>
      </c>
      <c r="H54" s="638"/>
      <c r="I54" s="572">
        <v>27922.08530287374</v>
      </c>
      <c r="J54" s="573">
        <v>19037.442751490969</v>
      </c>
      <c r="K54" s="536">
        <f t="shared" si="1"/>
        <v>46959.52805436471</v>
      </c>
      <c r="L54" s="560" t="str">
        <f>+IF(K54&gt;=PARÁMETROS!$L$5,"SI","NO")</f>
        <v>SI</v>
      </c>
      <c r="M54" s="552" t="str">
        <f t="shared" si="2"/>
        <v>CUMPLE</v>
      </c>
      <c r="N54" s="570" t="s">
        <v>872</v>
      </c>
    </row>
    <row r="55" spans="1:14" s="495" customFormat="1" ht="12" customHeight="1" x14ac:dyDescent="0.2">
      <c r="A55" s="609" t="s">
        <v>151</v>
      </c>
      <c r="B55" s="615" t="s">
        <v>76</v>
      </c>
      <c r="C55" s="505" t="s">
        <v>314</v>
      </c>
      <c r="D55" s="506" t="s">
        <v>77</v>
      </c>
      <c r="E55" s="540">
        <v>0.51</v>
      </c>
      <c r="F55" s="513"/>
      <c r="G55" s="508" t="s">
        <v>871</v>
      </c>
      <c r="H55" s="638"/>
      <c r="I55" s="574">
        <v>48037.650813299791</v>
      </c>
      <c r="J55" s="541">
        <v>52602.348297896671</v>
      </c>
      <c r="K55" s="523">
        <f t="shared" si="1"/>
        <v>100639.99911119646</v>
      </c>
      <c r="L55" s="557" t="str">
        <f>+IF(K55&gt;=PARÁMETROS!$L$5,"SI","NO")</f>
        <v>SI</v>
      </c>
      <c r="M55" s="563" t="str">
        <f t="shared" si="2"/>
        <v>CUMPLE</v>
      </c>
      <c r="N55" s="640" t="s">
        <v>872</v>
      </c>
    </row>
    <row r="56" spans="1:14" s="495" customFormat="1" ht="12" customHeight="1" thickBot="1" x14ac:dyDescent="0.25">
      <c r="A56" s="611"/>
      <c r="B56" s="616"/>
      <c r="C56" s="509" t="s">
        <v>315</v>
      </c>
      <c r="D56" s="510" t="s">
        <v>78</v>
      </c>
      <c r="E56" s="542">
        <v>0.49</v>
      </c>
      <c r="F56" s="514"/>
      <c r="G56" s="512" t="s">
        <v>6</v>
      </c>
      <c r="H56" s="638"/>
      <c r="I56" s="575">
        <v>12552.249357662131</v>
      </c>
      <c r="J56" s="538">
        <v>5450.6777526708438</v>
      </c>
      <c r="K56" s="524">
        <f t="shared" si="1"/>
        <v>18002.927110332974</v>
      </c>
      <c r="L56" s="559" t="str">
        <f>+IF(K56&gt;=PARÁMETROS!$L$5,"SI","NO")</f>
        <v>SI</v>
      </c>
      <c r="M56" s="566" t="str">
        <f t="shared" si="2"/>
        <v/>
      </c>
      <c r="N56" s="641"/>
    </row>
    <row r="57" spans="1:14" s="495" customFormat="1" ht="12" customHeight="1" x14ac:dyDescent="0.2">
      <c r="A57" s="609" t="s">
        <v>257</v>
      </c>
      <c r="B57" s="615" t="s">
        <v>80</v>
      </c>
      <c r="C57" s="505" t="s">
        <v>316</v>
      </c>
      <c r="D57" s="506" t="s">
        <v>81</v>
      </c>
      <c r="E57" s="540">
        <v>0.51</v>
      </c>
      <c r="F57" s="513"/>
      <c r="G57" s="508" t="s">
        <v>6</v>
      </c>
      <c r="H57" s="638"/>
      <c r="I57" s="574">
        <v>27993.030511368044</v>
      </c>
      <c r="J57" s="541">
        <v>27993.030511368044</v>
      </c>
      <c r="K57" s="523">
        <f t="shared" si="1"/>
        <v>55986.061022736088</v>
      </c>
      <c r="L57" s="557" t="str">
        <f>+IF(K57&gt;=PARÁMETROS!$L$5,"SI","NO")</f>
        <v>SI</v>
      </c>
      <c r="M57" s="563" t="str">
        <f t="shared" si="2"/>
        <v/>
      </c>
      <c r="N57" s="642" t="s">
        <v>575</v>
      </c>
    </row>
    <row r="58" spans="1:14" s="495" customFormat="1" ht="12" customHeight="1" x14ac:dyDescent="0.2">
      <c r="A58" s="610"/>
      <c r="B58" s="617"/>
      <c r="C58" s="490" t="s">
        <v>317</v>
      </c>
      <c r="D58" s="36" t="s">
        <v>82</v>
      </c>
      <c r="E58" s="46">
        <v>0.25</v>
      </c>
      <c r="F58" s="491"/>
      <c r="G58" s="483" t="s">
        <v>871</v>
      </c>
      <c r="H58" s="638"/>
      <c r="I58" s="576">
        <v>11268.881725197913</v>
      </c>
      <c r="J58" s="497">
        <v>9570.7609679163597</v>
      </c>
      <c r="K58" s="494">
        <f t="shared" si="1"/>
        <v>20839.642693114271</v>
      </c>
      <c r="L58" s="558" t="str">
        <f>+IF(K58&gt;=PARÁMETROS!$L$5,"SI","NO")</f>
        <v>SI</v>
      </c>
      <c r="M58" s="396" t="str">
        <f t="shared" si="2"/>
        <v>CUMPLE</v>
      </c>
      <c r="N58" s="643"/>
    </row>
    <row r="59" spans="1:14" s="495" customFormat="1" ht="12" customHeight="1" thickBot="1" x14ac:dyDescent="0.25">
      <c r="A59" s="611"/>
      <c r="B59" s="616"/>
      <c r="C59" s="509" t="s">
        <v>318</v>
      </c>
      <c r="D59" s="510" t="s">
        <v>83</v>
      </c>
      <c r="E59" s="542">
        <v>0.24</v>
      </c>
      <c r="F59" s="514"/>
      <c r="G59" s="512" t="s">
        <v>6</v>
      </c>
      <c r="H59" s="638"/>
      <c r="I59" s="575">
        <v>2460.0884837995577</v>
      </c>
      <c r="J59" s="538">
        <v>9570.7609679163597</v>
      </c>
      <c r="K59" s="524">
        <f t="shared" si="1"/>
        <v>12030.849451715918</v>
      </c>
      <c r="L59" s="559" t="str">
        <f>+IF(K59&gt;=PARÁMETROS!$L$5,"SI","NO")</f>
        <v>SI</v>
      </c>
      <c r="M59" s="566" t="str">
        <f t="shared" si="2"/>
        <v/>
      </c>
      <c r="N59" s="644"/>
    </row>
    <row r="60" spans="1:14" s="495" customFormat="1" ht="12" customHeight="1" x14ac:dyDescent="0.2">
      <c r="A60" s="609" t="s">
        <v>258</v>
      </c>
      <c r="B60" s="615" t="s">
        <v>84</v>
      </c>
      <c r="C60" s="505" t="s">
        <v>319</v>
      </c>
      <c r="D60" s="506" t="s">
        <v>85</v>
      </c>
      <c r="E60" s="540">
        <v>0.51</v>
      </c>
      <c r="F60" s="513"/>
      <c r="G60" s="508" t="s">
        <v>858</v>
      </c>
      <c r="H60" s="638"/>
      <c r="I60" s="574">
        <v>25715.171216000574</v>
      </c>
      <c r="J60" s="541">
        <v>25715.171216000574</v>
      </c>
      <c r="K60" s="523">
        <f t="shared" si="1"/>
        <v>51430.342432001147</v>
      </c>
      <c r="L60" s="557" t="str">
        <f>+IF(K60&gt;=PARÁMETROS!$L$5,"SI","NO")</f>
        <v>SI</v>
      </c>
      <c r="M60" s="563" t="str">
        <f t="shared" si="2"/>
        <v/>
      </c>
      <c r="N60" s="640" t="s">
        <v>872</v>
      </c>
    </row>
    <row r="61" spans="1:14" s="495" customFormat="1" ht="12" customHeight="1" thickBot="1" x14ac:dyDescent="0.25">
      <c r="A61" s="611"/>
      <c r="B61" s="616"/>
      <c r="C61" s="509" t="s">
        <v>320</v>
      </c>
      <c r="D61" s="543" t="s">
        <v>841</v>
      </c>
      <c r="E61" s="544">
        <v>0.49</v>
      </c>
      <c r="F61" s="514"/>
      <c r="G61" s="512" t="s">
        <v>871</v>
      </c>
      <c r="H61" s="638"/>
      <c r="I61" s="575">
        <v>13390.019458846162</v>
      </c>
      <c r="J61" s="538">
        <v>10728.89325214225</v>
      </c>
      <c r="K61" s="524">
        <f t="shared" si="1"/>
        <v>24118.912710988414</v>
      </c>
      <c r="L61" s="559" t="str">
        <f>+IF(K61&gt;=PARÁMETROS!$L$5,"SI","NO")</f>
        <v>SI</v>
      </c>
      <c r="M61" s="566" t="str">
        <f t="shared" si="2"/>
        <v>CUMPLE</v>
      </c>
      <c r="N61" s="641"/>
    </row>
    <row r="62" spans="1:14" s="495" customFormat="1" ht="12" customHeight="1" x14ac:dyDescent="0.2">
      <c r="A62" s="609" t="s">
        <v>259</v>
      </c>
      <c r="B62" s="615" t="s">
        <v>86</v>
      </c>
      <c r="C62" s="505" t="s">
        <v>321</v>
      </c>
      <c r="D62" s="506" t="s">
        <v>87</v>
      </c>
      <c r="E62" s="540">
        <v>0.75</v>
      </c>
      <c r="F62" s="513"/>
      <c r="G62" s="508" t="s">
        <v>6</v>
      </c>
      <c r="H62" s="638"/>
      <c r="I62" s="574">
        <v>16730.541727739725</v>
      </c>
      <c r="J62" s="541">
        <v>16730.541727739725</v>
      </c>
      <c r="K62" s="523">
        <f t="shared" si="1"/>
        <v>33461.083455479449</v>
      </c>
      <c r="L62" s="557" t="str">
        <f>+IF(K62&gt;=PARÁMETROS!$L$5,"SI","NO")</f>
        <v>SI</v>
      </c>
      <c r="M62" s="563" t="str">
        <f t="shared" si="2"/>
        <v/>
      </c>
      <c r="N62" s="640" t="s">
        <v>872</v>
      </c>
    </row>
    <row r="63" spans="1:14" s="495" customFormat="1" ht="12" customHeight="1" thickBot="1" x14ac:dyDescent="0.25">
      <c r="A63" s="611"/>
      <c r="B63" s="616"/>
      <c r="C63" s="509" t="s">
        <v>322</v>
      </c>
      <c r="D63" s="510" t="s">
        <v>88</v>
      </c>
      <c r="E63" s="542">
        <v>0.25</v>
      </c>
      <c r="F63" s="514"/>
      <c r="G63" s="512" t="s">
        <v>871</v>
      </c>
      <c r="H63" s="638"/>
      <c r="I63" s="575">
        <v>5041.8658132479723</v>
      </c>
      <c r="J63" s="538">
        <v>3378.5515244397388</v>
      </c>
      <c r="K63" s="524">
        <f t="shared" si="1"/>
        <v>8420.4173376877116</v>
      </c>
      <c r="L63" s="559" t="str">
        <f>+IF(K63&gt;=PARÁMETROS!$L$5,"SI","NO")</f>
        <v>SI</v>
      </c>
      <c r="M63" s="566" t="str">
        <f t="shared" si="2"/>
        <v>CUMPLE</v>
      </c>
      <c r="N63" s="641"/>
    </row>
    <row r="64" spans="1:14" s="495" customFormat="1" ht="12" customHeight="1" x14ac:dyDescent="0.2">
      <c r="A64" s="618" t="s">
        <v>260</v>
      </c>
      <c r="B64" s="615" t="s">
        <v>89</v>
      </c>
      <c r="C64" s="505" t="s">
        <v>323</v>
      </c>
      <c r="D64" s="506" t="s">
        <v>109</v>
      </c>
      <c r="E64" s="540">
        <v>0.51</v>
      </c>
      <c r="F64" s="513"/>
      <c r="G64" s="508" t="s">
        <v>6</v>
      </c>
      <c r="H64" s="638"/>
      <c r="I64" s="574">
        <v>228502.20160773781</v>
      </c>
      <c r="J64" s="541">
        <v>205460.68280178451</v>
      </c>
      <c r="K64" s="523">
        <f t="shared" si="1"/>
        <v>433962.88440952229</v>
      </c>
      <c r="L64" s="557" t="str">
        <f>+IF(K64&gt;=PARÁMETROS!$L$5,"SI","NO")</f>
        <v>SI</v>
      </c>
      <c r="M64" s="563" t="str">
        <f t="shared" si="2"/>
        <v/>
      </c>
      <c r="N64" s="642" t="s">
        <v>575</v>
      </c>
    </row>
    <row r="65" spans="1:14" s="495" customFormat="1" ht="12" customHeight="1" x14ac:dyDescent="0.2">
      <c r="A65" s="619"/>
      <c r="B65" s="617"/>
      <c r="C65" s="490" t="s">
        <v>324</v>
      </c>
      <c r="D65" s="36" t="s">
        <v>110</v>
      </c>
      <c r="E65" s="46">
        <v>0.25</v>
      </c>
      <c r="F65" s="491"/>
      <c r="G65" s="483" t="s">
        <v>871</v>
      </c>
      <c r="H65" s="638"/>
      <c r="I65" s="576">
        <v>17994.384638433035</v>
      </c>
      <c r="J65" s="497">
        <v>17994.384638433035</v>
      </c>
      <c r="K65" s="494">
        <f t="shared" si="1"/>
        <v>35988.769276866071</v>
      </c>
      <c r="L65" s="558" t="str">
        <f>+IF(K65&gt;=PARÁMETROS!$L$5,"SI","NO")</f>
        <v>SI</v>
      </c>
      <c r="M65" s="396" t="str">
        <f t="shared" si="2"/>
        <v>CUMPLE</v>
      </c>
      <c r="N65" s="643"/>
    </row>
    <row r="66" spans="1:14" s="495" customFormat="1" ht="12" customHeight="1" thickBot="1" x14ac:dyDescent="0.25">
      <c r="A66" s="620"/>
      <c r="B66" s="616"/>
      <c r="C66" s="509" t="s">
        <v>325</v>
      </c>
      <c r="D66" s="510" t="s">
        <v>111</v>
      </c>
      <c r="E66" s="542">
        <v>0.24</v>
      </c>
      <c r="F66" s="514"/>
      <c r="G66" s="512" t="s">
        <v>6</v>
      </c>
      <c r="H66" s="638"/>
      <c r="I66" s="575">
        <v>13885.302179941615</v>
      </c>
      <c r="J66" s="538">
        <v>17812.077294553237</v>
      </c>
      <c r="K66" s="524">
        <f t="shared" si="1"/>
        <v>31697.379474494854</v>
      </c>
      <c r="L66" s="559" t="str">
        <f>+IF(K66&gt;=PARÁMETROS!$L$5,"SI","NO")</f>
        <v>SI</v>
      </c>
      <c r="M66" s="566" t="str">
        <f t="shared" si="2"/>
        <v/>
      </c>
      <c r="N66" s="644"/>
    </row>
    <row r="67" spans="1:14" s="495" customFormat="1" ht="12" customHeight="1" x14ac:dyDescent="0.2">
      <c r="A67" s="618" t="s">
        <v>261</v>
      </c>
      <c r="B67" s="615" t="s">
        <v>96</v>
      </c>
      <c r="C67" s="505" t="s">
        <v>326</v>
      </c>
      <c r="D67" s="506" t="s">
        <v>112</v>
      </c>
      <c r="E67" s="540">
        <v>0.51</v>
      </c>
      <c r="F67" s="513"/>
      <c r="G67" s="508" t="s">
        <v>6</v>
      </c>
      <c r="H67" s="638"/>
      <c r="I67" s="574">
        <v>17432.463918255162</v>
      </c>
      <c r="J67" s="541">
        <v>13735.666731957979</v>
      </c>
      <c r="K67" s="523">
        <f t="shared" si="1"/>
        <v>31168.130650213141</v>
      </c>
      <c r="L67" s="557" t="str">
        <f>+IF(K67&gt;=PARÁMETROS!$L$5,"SI","NO")</f>
        <v>SI</v>
      </c>
      <c r="M67" s="563" t="str">
        <f t="shared" ref="M67:M98" si="3">+IF(G67="ACREDITA",IF(L67="SI","CUMPLE","NO CUMPLE"),"")</f>
        <v/>
      </c>
      <c r="N67" s="646" t="s">
        <v>872</v>
      </c>
    </row>
    <row r="68" spans="1:14" s="495" customFormat="1" ht="12" customHeight="1" x14ac:dyDescent="0.2">
      <c r="A68" s="619"/>
      <c r="B68" s="617"/>
      <c r="C68" s="490" t="s">
        <v>327</v>
      </c>
      <c r="D68" s="36" t="s">
        <v>113</v>
      </c>
      <c r="E68" s="46">
        <v>0.25</v>
      </c>
      <c r="F68" s="491"/>
      <c r="G68" s="483" t="s">
        <v>871</v>
      </c>
      <c r="H68" s="638"/>
      <c r="I68" s="576">
        <v>10993.606091798447</v>
      </c>
      <c r="J68" s="497">
        <v>8280.1948051948038</v>
      </c>
      <c r="K68" s="494">
        <f t="shared" ref="K68:K108" si="4">+I68+J68</f>
        <v>19273.800896993249</v>
      </c>
      <c r="L68" s="558" t="str">
        <f>+IF(K68&gt;=PARÁMETROS!$L$5,"SI","NO")</f>
        <v>SI</v>
      </c>
      <c r="M68" s="396" t="str">
        <f t="shared" si="3"/>
        <v>CUMPLE</v>
      </c>
      <c r="N68" s="647"/>
    </row>
    <row r="69" spans="1:14" s="495" customFormat="1" ht="12" customHeight="1" thickBot="1" x14ac:dyDescent="0.25">
      <c r="A69" s="620"/>
      <c r="B69" s="616"/>
      <c r="C69" s="509" t="s">
        <v>328</v>
      </c>
      <c r="D69" s="510" t="s">
        <v>114</v>
      </c>
      <c r="E69" s="542">
        <v>0.24</v>
      </c>
      <c r="F69" s="514"/>
      <c r="G69" s="512" t="s">
        <v>6</v>
      </c>
      <c r="H69" s="638"/>
      <c r="I69" s="575">
        <v>10447.276392835998</v>
      </c>
      <c r="J69" s="538">
        <v>10447.276392835998</v>
      </c>
      <c r="K69" s="524">
        <f t="shared" si="4"/>
        <v>20894.552785671996</v>
      </c>
      <c r="L69" s="559" t="str">
        <f>+IF(K69&gt;=PARÁMETROS!$L$5,"SI","NO")</f>
        <v>SI</v>
      </c>
      <c r="M69" s="566" t="str">
        <f t="shared" si="3"/>
        <v/>
      </c>
      <c r="N69" s="648"/>
    </row>
    <row r="70" spans="1:14" s="495" customFormat="1" ht="23.25" customHeight="1" x14ac:dyDescent="0.2">
      <c r="A70" s="609" t="s">
        <v>262</v>
      </c>
      <c r="B70" s="615" t="s">
        <v>90</v>
      </c>
      <c r="C70" s="505" t="s">
        <v>329</v>
      </c>
      <c r="D70" s="506" t="s">
        <v>115</v>
      </c>
      <c r="E70" s="540">
        <v>0.7</v>
      </c>
      <c r="F70" s="513"/>
      <c r="G70" s="508" t="s">
        <v>871</v>
      </c>
      <c r="H70" s="638"/>
      <c r="I70" s="574">
        <v>31415.949100693928</v>
      </c>
      <c r="J70" s="541">
        <v>18513.776184137492</v>
      </c>
      <c r="K70" s="523">
        <f t="shared" si="4"/>
        <v>49929.725284831424</v>
      </c>
      <c r="L70" s="557" t="str">
        <f>+IF(K70&gt;=PARÁMETROS!$L$5,"SI","NO")</f>
        <v>SI</v>
      </c>
      <c r="M70" s="563" t="str">
        <f t="shared" si="3"/>
        <v>CUMPLE</v>
      </c>
      <c r="N70" s="640" t="s">
        <v>872</v>
      </c>
    </row>
    <row r="71" spans="1:14" s="495" customFormat="1" ht="21.75" customHeight="1" thickBot="1" x14ac:dyDescent="0.25">
      <c r="A71" s="611"/>
      <c r="B71" s="616"/>
      <c r="C71" s="509" t="s">
        <v>330</v>
      </c>
      <c r="D71" s="510" t="s">
        <v>116</v>
      </c>
      <c r="E71" s="542">
        <v>0.3</v>
      </c>
      <c r="F71" s="514"/>
      <c r="G71" s="512" t="s">
        <v>6</v>
      </c>
      <c r="H71" s="638"/>
      <c r="I71" s="568">
        <f>+SUM('[4]EXP GEN. 25-32'!U44:U45)</f>
        <v>6782.8029558746348</v>
      </c>
      <c r="J71" s="527">
        <f>+SUM('[4]EXP ESPEC. 25-32'!W33:W34)</f>
        <v>6782.8029558746348</v>
      </c>
      <c r="K71" s="524">
        <f t="shared" si="4"/>
        <v>13565.60591174927</v>
      </c>
      <c r="L71" s="559" t="str">
        <f>+IF(K71&gt;=PARÁMETROS!$L$5,"SI","NO")</f>
        <v>SI</v>
      </c>
      <c r="M71" s="566" t="str">
        <f t="shared" si="3"/>
        <v/>
      </c>
      <c r="N71" s="641"/>
    </row>
    <row r="72" spans="1:14" s="495" customFormat="1" ht="12" customHeight="1" x14ac:dyDescent="0.2">
      <c r="A72" s="609" t="s">
        <v>263</v>
      </c>
      <c r="B72" s="615" t="s">
        <v>91</v>
      </c>
      <c r="C72" s="505" t="s">
        <v>331</v>
      </c>
      <c r="D72" s="506" t="s">
        <v>117</v>
      </c>
      <c r="E72" s="540">
        <v>0.51</v>
      </c>
      <c r="F72" s="513"/>
      <c r="G72" s="508" t="s">
        <v>871</v>
      </c>
      <c r="H72" s="638"/>
      <c r="I72" s="567">
        <f>+SUM('[4]EXP GEN. 33-40'!U3:U6)</f>
        <v>15338.619678335035</v>
      </c>
      <c r="J72" s="526">
        <f>+SUM('[4]EXP ESPEC. 33-40'!W3:W4)</f>
        <v>9488.778973581997</v>
      </c>
      <c r="K72" s="523">
        <f t="shared" si="4"/>
        <v>24827.398651917032</v>
      </c>
      <c r="L72" s="557" t="str">
        <f>+IF(K72&gt;=PARÁMETROS!$L$5,"SI","NO")</f>
        <v>SI</v>
      </c>
      <c r="M72" s="563" t="str">
        <f t="shared" si="3"/>
        <v>CUMPLE</v>
      </c>
      <c r="N72" s="640" t="s">
        <v>872</v>
      </c>
    </row>
    <row r="73" spans="1:14" s="495" customFormat="1" ht="12" customHeight="1" thickBot="1" x14ac:dyDescent="0.25">
      <c r="A73" s="611"/>
      <c r="B73" s="616"/>
      <c r="C73" s="509" t="s">
        <v>332</v>
      </c>
      <c r="D73" s="510" t="s">
        <v>118</v>
      </c>
      <c r="E73" s="542">
        <v>0.49</v>
      </c>
      <c r="F73" s="514"/>
      <c r="G73" s="512" t="s">
        <v>6</v>
      </c>
      <c r="H73" s="638"/>
      <c r="I73" s="568">
        <f>+SUM('[4]EXP GEN. 33-40'!U7:U8)</f>
        <v>12433.296540435391</v>
      </c>
      <c r="J73" s="527">
        <f>+SUM('[4]EXP ESPEC. 33-40'!W5:W6)</f>
        <v>12433.296540435391</v>
      </c>
      <c r="K73" s="524">
        <f t="shared" si="4"/>
        <v>24866.593080870782</v>
      </c>
      <c r="L73" s="559" t="str">
        <f>+IF(K73&gt;=PARÁMETROS!$L$5,"SI","NO")</f>
        <v>SI</v>
      </c>
      <c r="M73" s="566" t="str">
        <f t="shared" si="3"/>
        <v/>
      </c>
      <c r="N73" s="641"/>
    </row>
    <row r="74" spans="1:14" s="495" customFormat="1" ht="12" customHeight="1" x14ac:dyDescent="0.2">
      <c r="A74" s="609" t="s">
        <v>264</v>
      </c>
      <c r="B74" s="615" t="s">
        <v>92</v>
      </c>
      <c r="C74" s="505" t="s">
        <v>333</v>
      </c>
      <c r="D74" s="506" t="s">
        <v>119</v>
      </c>
      <c r="E74" s="540">
        <v>0.6</v>
      </c>
      <c r="F74" s="513"/>
      <c r="G74" s="508" t="s">
        <v>871</v>
      </c>
      <c r="H74" s="638"/>
      <c r="I74" s="577">
        <f>+SUM('[4]EXP GEN. 33-40'!U9)</f>
        <v>35157.048106361326</v>
      </c>
      <c r="J74" s="545">
        <f>+SUM('[4]EXP ESPEC. 33-40'!W7:W9)</f>
        <v>63535.146698212346</v>
      </c>
      <c r="K74" s="523">
        <f t="shared" si="4"/>
        <v>98692.194804573664</v>
      </c>
      <c r="L74" s="557" t="str">
        <f>+IF(K74&gt;=PARÁMETROS!$L$5,"SI","NO")</f>
        <v>SI</v>
      </c>
      <c r="M74" s="563" t="str">
        <f t="shared" si="3"/>
        <v>CUMPLE</v>
      </c>
      <c r="N74" s="640" t="s">
        <v>872</v>
      </c>
    </row>
    <row r="75" spans="1:14" s="495" customFormat="1" ht="12" customHeight="1" thickBot="1" x14ac:dyDescent="0.25">
      <c r="A75" s="611"/>
      <c r="B75" s="616"/>
      <c r="C75" s="509" t="s">
        <v>334</v>
      </c>
      <c r="D75" s="510" t="s">
        <v>120</v>
      </c>
      <c r="E75" s="542">
        <v>0.4</v>
      </c>
      <c r="F75" s="514"/>
      <c r="G75" s="512" t="s">
        <v>6</v>
      </c>
      <c r="H75" s="638"/>
      <c r="I75" s="578">
        <f>+SUM('[4]EXP GEN. 33-40'!U10:U11)</f>
        <v>6314.9608991529913</v>
      </c>
      <c r="J75" s="546">
        <f>+SUM('[4]EXP ESPEC. 33-40'!W10)</f>
        <v>3144.8201228163048</v>
      </c>
      <c r="K75" s="524">
        <f t="shared" si="4"/>
        <v>9459.7810219692965</v>
      </c>
      <c r="L75" s="559" t="str">
        <f>+IF(K75&gt;=PARÁMETROS!$L$5,"SI","NO")</f>
        <v>SI</v>
      </c>
      <c r="M75" s="566" t="str">
        <f t="shared" si="3"/>
        <v/>
      </c>
      <c r="N75" s="641"/>
    </row>
    <row r="76" spans="1:14" s="495" customFormat="1" ht="12" customHeight="1" x14ac:dyDescent="0.2">
      <c r="A76" s="609" t="s">
        <v>265</v>
      </c>
      <c r="B76" s="615" t="s">
        <v>93</v>
      </c>
      <c r="C76" s="505" t="s">
        <v>335</v>
      </c>
      <c r="D76" s="506" t="s">
        <v>121</v>
      </c>
      <c r="E76" s="540">
        <v>0.51</v>
      </c>
      <c r="F76" s="513"/>
      <c r="G76" s="508" t="s">
        <v>871</v>
      </c>
      <c r="H76" s="638"/>
      <c r="I76" s="567">
        <f>+SUM('[4]EXP GEN. 33-40'!U12:U14)</f>
        <v>27514.599706654117</v>
      </c>
      <c r="J76" s="526">
        <f>+SUM('[4]EXP ESPEC. 33-40'!W11:W14)</f>
        <v>30792.097731690064</v>
      </c>
      <c r="K76" s="523">
        <f t="shared" si="4"/>
        <v>58306.697438344185</v>
      </c>
      <c r="L76" s="557" t="str">
        <f>+IF(K76&gt;=PARÁMETROS!$L$5,"SI","NO")</f>
        <v>SI</v>
      </c>
      <c r="M76" s="563" t="str">
        <f t="shared" si="3"/>
        <v>CUMPLE</v>
      </c>
      <c r="N76" s="642" t="s">
        <v>575</v>
      </c>
    </row>
    <row r="77" spans="1:14" s="495" customFormat="1" ht="12" customHeight="1" x14ac:dyDescent="0.2">
      <c r="A77" s="610"/>
      <c r="B77" s="617"/>
      <c r="C77" s="490" t="s">
        <v>336</v>
      </c>
      <c r="D77" s="36" t="s">
        <v>122</v>
      </c>
      <c r="E77" s="46" t="s">
        <v>127</v>
      </c>
      <c r="F77" s="491"/>
      <c r="G77" s="483" t="s">
        <v>6</v>
      </c>
      <c r="H77" s="638"/>
      <c r="I77" s="571">
        <f>+SUM('[4]EXP GEN. 33-40'!U15:U16)</f>
        <v>5419.7985172483995</v>
      </c>
      <c r="J77" s="491">
        <v>0</v>
      </c>
      <c r="K77" s="494">
        <f t="shared" si="4"/>
        <v>5419.7985172483995</v>
      </c>
      <c r="L77" s="558" t="str">
        <f>+IF(K77&gt;=PARÁMETROS!$L$5,"SI","NO")</f>
        <v>NO</v>
      </c>
      <c r="M77" s="396" t="str">
        <f t="shared" si="3"/>
        <v/>
      </c>
      <c r="N77" s="643"/>
    </row>
    <row r="78" spans="1:14" s="495" customFormat="1" ht="12" customHeight="1" thickBot="1" x14ac:dyDescent="0.25">
      <c r="A78" s="611"/>
      <c r="B78" s="616"/>
      <c r="C78" s="509" t="s">
        <v>337</v>
      </c>
      <c r="D78" s="510" t="s">
        <v>123</v>
      </c>
      <c r="E78" s="542" t="s">
        <v>127</v>
      </c>
      <c r="F78" s="514"/>
      <c r="G78" s="512" t="s">
        <v>6</v>
      </c>
      <c r="H78" s="638"/>
      <c r="I78" s="568">
        <f>+SUM('[4]EXP GEN. 33-40'!U17)</f>
        <v>6729.2366691560865</v>
      </c>
      <c r="J78" s="514">
        <v>0</v>
      </c>
      <c r="K78" s="524">
        <f t="shared" si="4"/>
        <v>6729.2366691560865</v>
      </c>
      <c r="L78" s="559" t="str">
        <f>+IF(K78&gt;=PARÁMETROS!$L$5,"SI","NO")</f>
        <v>NO</v>
      </c>
      <c r="M78" s="566" t="str">
        <f t="shared" si="3"/>
        <v/>
      </c>
      <c r="N78" s="644"/>
    </row>
    <row r="79" spans="1:14" ht="12" customHeight="1" x14ac:dyDescent="0.2">
      <c r="A79" s="609" t="s">
        <v>266</v>
      </c>
      <c r="B79" s="615" t="s">
        <v>94</v>
      </c>
      <c r="C79" s="505" t="s">
        <v>338</v>
      </c>
      <c r="D79" s="547" t="s">
        <v>124</v>
      </c>
      <c r="E79" s="548">
        <v>0.51</v>
      </c>
      <c r="F79" s="513"/>
      <c r="G79" s="508" t="s">
        <v>871</v>
      </c>
      <c r="H79" s="638"/>
      <c r="I79" s="567">
        <f>+SUM('[4]EXP GEN. 33-40'!U18:U19)</f>
        <v>11778.101951195258</v>
      </c>
      <c r="J79" s="526">
        <f>+SUM('[4]EXP ESPEC. 33-40'!W15:W16)</f>
        <v>11778.101951195258</v>
      </c>
      <c r="K79" s="523">
        <f t="shared" si="4"/>
        <v>23556.203902390516</v>
      </c>
      <c r="L79" s="557" t="str">
        <f>+IF(K79&gt;=PARÁMETROS!$L$5,"SI","NO")</f>
        <v>SI</v>
      </c>
      <c r="M79" s="563" t="str">
        <f t="shared" si="3"/>
        <v>CUMPLE</v>
      </c>
      <c r="N79" s="640" t="s">
        <v>872</v>
      </c>
    </row>
    <row r="80" spans="1:14" ht="12" customHeight="1" x14ac:dyDescent="0.2">
      <c r="A80" s="610"/>
      <c r="B80" s="617"/>
      <c r="C80" s="490" t="s">
        <v>339</v>
      </c>
      <c r="D80" s="49" t="s">
        <v>125</v>
      </c>
      <c r="E80" s="50">
        <v>0.25</v>
      </c>
      <c r="F80" s="491"/>
      <c r="G80" s="483" t="s">
        <v>6</v>
      </c>
      <c r="H80" s="638"/>
      <c r="I80" s="571">
        <f>+SUM('[4]EXP GEN. 33-40'!U20:U21)</f>
        <v>13931.555523572442</v>
      </c>
      <c r="J80" s="496">
        <f>+SUM('[4]EXP ESPEC. 33-40'!W17)</f>
        <v>4856.5604767719424</v>
      </c>
      <c r="K80" s="494">
        <f t="shared" si="4"/>
        <v>18788.116000344384</v>
      </c>
      <c r="L80" s="558" t="str">
        <f>+IF(K80&gt;=PARÁMETROS!$L$5,"SI","NO")</f>
        <v>SI</v>
      </c>
      <c r="M80" s="396" t="str">
        <f t="shared" si="3"/>
        <v/>
      </c>
      <c r="N80" s="645"/>
    </row>
    <row r="81" spans="1:14" ht="12" customHeight="1" thickBot="1" x14ac:dyDescent="0.25">
      <c r="A81" s="611"/>
      <c r="B81" s="616"/>
      <c r="C81" s="509" t="s">
        <v>340</v>
      </c>
      <c r="D81" s="549" t="s">
        <v>126</v>
      </c>
      <c r="E81" s="550">
        <v>0.24</v>
      </c>
      <c r="F81" s="514"/>
      <c r="G81" s="512" t="s">
        <v>871</v>
      </c>
      <c r="H81" s="638"/>
      <c r="I81" s="568">
        <f>+SUM('[4]EXP GEN. 33-40'!U22)</f>
        <v>2617.831014200357</v>
      </c>
      <c r="J81" s="527">
        <f>+SUM('[4]EXP ESPEC. 33-40'!W18)</f>
        <v>2617.831014200357</v>
      </c>
      <c r="K81" s="524">
        <f t="shared" si="4"/>
        <v>5235.662028400714</v>
      </c>
      <c r="L81" s="559" t="str">
        <f>+IF(K81&gt;=PARÁMETROS!$L$5,"SI","NO")</f>
        <v>NO</v>
      </c>
      <c r="M81" s="566" t="str">
        <f t="shared" si="3"/>
        <v>NO CUMPLE</v>
      </c>
      <c r="N81" s="641"/>
    </row>
    <row r="82" spans="1:14" ht="12" customHeight="1" x14ac:dyDescent="0.2">
      <c r="A82" s="609" t="s">
        <v>267</v>
      </c>
      <c r="B82" s="612" t="s">
        <v>95</v>
      </c>
      <c r="C82" s="505" t="s">
        <v>341</v>
      </c>
      <c r="D82" s="547" t="s">
        <v>128</v>
      </c>
      <c r="E82" s="548">
        <v>0.51</v>
      </c>
      <c r="F82" s="513"/>
      <c r="G82" s="508" t="s">
        <v>871</v>
      </c>
      <c r="H82" s="638"/>
      <c r="I82" s="567">
        <f>+SUM('[4]EXP GEN. 33-40'!U23:U26)</f>
        <v>21710.84538250661</v>
      </c>
      <c r="J82" s="526">
        <f>+SUM('[4]EXP ESPEC. 33-40'!W20:W21)</f>
        <v>8254.8262549967621</v>
      </c>
      <c r="K82" s="523">
        <f t="shared" si="4"/>
        <v>29965.671637503372</v>
      </c>
      <c r="L82" s="557" t="str">
        <f>+IF(K82&gt;=PARÁMETROS!$L$5,"SI","NO")</f>
        <v>SI</v>
      </c>
      <c r="M82" s="563" t="str">
        <f t="shared" si="3"/>
        <v>CUMPLE</v>
      </c>
      <c r="N82" s="642" t="s">
        <v>575</v>
      </c>
    </row>
    <row r="83" spans="1:14" ht="12" customHeight="1" thickBot="1" x14ac:dyDescent="0.25">
      <c r="A83" s="611"/>
      <c r="B83" s="614"/>
      <c r="C83" s="509" t="s">
        <v>342</v>
      </c>
      <c r="D83" s="549" t="s">
        <v>129</v>
      </c>
      <c r="E83" s="550">
        <v>0.49</v>
      </c>
      <c r="F83" s="514"/>
      <c r="G83" s="512" t="s">
        <v>858</v>
      </c>
      <c r="H83" s="638"/>
      <c r="I83" s="568">
        <f>+SUM('[4]EXP GEN. 33-40'!U27:U28)</f>
        <v>9643.7477380715172</v>
      </c>
      <c r="J83" s="527">
        <f>+'[4]EXP ESPEC. 33-40'!V19+'[4]EXP ESPEC. 33-40'!W22</f>
        <v>8987.5168282399027</v>
      </c>
      <c r="K83" s="524">
        <f t="shared" si="4"/>
        <v>18631.26456631142</v>
      </c>
      <c r="L83" s="559" t="str">
        <f>+IF(K83&gt;=PARÁMETROS!$L$5,"SI","NO")</f>
        <v>SI</v>
      </c>
      <c r="M83" s="566" t="str">
        <f t="shared" si="3"/>
        <v/>
      </c>
      <c r="N83" s="644"/>
    </row>
    <row r="84" spans="1:14" ht="12" customHeight="1" x14ac:dyDescent="0.2">
      <c r="A84" s="609" t="s">
        <v>268</v>
      </c>
      <c r="B84" s="612" t="s">
        <v>97</v>
      </c>
      <c r="C84" s="505" t="s">
        <v>343</v>
      </c>
      <c r="D84" s="547" t="s">
        <v>130</v>
      </c>
      <c r="E84" s="548">
        <v>0.49</v>
      </c>
      <c r="F84" s="513"/>
      <c r="G84" s="508" t="s">
        <v>871</v>
      </c>
      <c r="H84" s="637"/>
      <c r="I84" s="498">
        <f>+SUM('[4]EXP GEN. 33-40'!U31:U32)</f>
        <v>12045.183383015006</v>
      </c>
      <c r="J84" s="525">
        <f>+SUM('[4]EXP ESPEC. 33-40'!W23)</f>
        <v>7142.8434245293283</v>
      </c>
      <c r="K84" s="521">
        <f t="shared" si="4"/>
        <v>19188.026807544335</v>
      </c>
      <c r="L84" s="561" t="str">
        <f>+IF(K84&gt;=PARÁMETROS!$L$5,"SI","NO")</f>
        <v>SI</v>
      </c>
      <c r="M84" s="522" t="str">
        <f t="shared" si="3"/>
        <v>CUMPLE</v>
      </c>
      <c r="N84" s="606" t="s">
        <v>872</v>
      </c>
    </row>
    <row r="85" spans="1:14" ht="12" customHeight="1" thickBot="1" x14ac:dyDescent="0.25">
      <c r="A85" s="611"/>
      <c r="B85" s="614"/>
      <c r="C85" s="509" t="s">
        <v>345</v>
      </c>
      <c r="D85" s="549" t="s">
        <v>131</v>
      </c>
      <c r="E85" s="550">
        <v>0.51</v>
      </c>
      <c r="F85" s="514"/>
      <c r="G85" s="512" t="s">
        <v>6</v>
      </c>
      <c r="H85" s="637"/>
      <c r="I85" s="579">
        <f>+SUM('[4]EXP GEN. 33-40'!U29:U30)</f>
        <v>13730.05224707635</v>
      </c>
      <c r="J85" s="579">
        <f>+SUM('[4]EXP ESPEC. 33-40'!W24:W26)</f>
        <v>10649.628297955645</v>
      </c>
      <c r="K85" s="580">
        <f t="shared" si="4"/>
        <v>24379.680545031995</v>
      </c>
      <c r="L85" s="581" t="str">
        <f>+IF(K85&gt;=PARÁMETROS!$L$5,"SI","NO")</f>
        <v>SI</v>
      </c>
      <c r="M85" s="582" t="str">
        <f t="shared" si="3"/>
        <v/>
      </c>
      <c r="N85" s="605"/>
    </row>
    <row r="86" spans="1:14" ht="12" customHeight="1" x14ac:dyDescent="0.2">
      <c r="A86" s="609" t="s">
        <v>269</v>
      </c>
      <c r="B86" s="612" t="s">
        <v>98</v>
      </c>
      <c r="C86" s="505" t="s">
        <v>344</v>
      </c>
      <c r="D86" s="547" t="s">
        <v>132</v>
      </c>
      <c r="E86" s="548">
        <v>0.51</v>
      </c>
      <c r="F86" s="513"/>
      <c r="G86" s="508" t="s">
        <v>6</v>
      </c>
      <c r="H86" s="638"/>
      <c r="I86" s="567">
        <f>+SUM('[4]EXP GEN. 33-40'!U33)</f>
        <v>10698.705660665786</v>
      </c>
      <c r="J86" s="526">
        <f>+SUM('[4]EXP ESPEC. 33-40'!W30)</f>
        <v>10698.705660665786</v>
      </c>
      <c r="K86" s="523">
        <f t="shared" si="4"/>
        <v>21397.411321331572</v>
      </c>
      <c r="L86" s="557" t="str">
        <f>+IF(K86&gt;=PARÁMETROS!$L$5,"SI","NO")</f>
        <v>SI</v>
      </c>
      <c r="M86" s="563" t="str">
        <f t="shared" si="3"/>
        <v/>
      </c>
      <c r="N86" s="642" t="s">
        <v>575</v>
      </c>
    </row>
    <row r="87" spans="1:14" ht="12" customHeight="1" thickBot="1" x14ac:dyDescent="0.25">
      <c r="A87" s="611"/>
      <c r="B87" s="614"/>
      <c r="C87" s="509" t="s">
        <v>346</v>
      </c>
      <c r="D87" s="549" t="s">
        <v>133</v>
      </c>
      <c r="E87" s="550">
        <v>0.49</v>
      </c>
      <c r="F87" s="514"/>
      <c r="G87" s="512" t="s">
        <v>871</v>
      </c>
      <c r="H87" s="638"/>
      <c r="I87" s="568">
        <f>+SUM('[4]EXP GEN. 33-40'!U34:U37)</f>
        <v>21211.045146571712</v>
      </c>
      <c r="J87" s="527">
        <f>+SUM('[4]EXP ESPEC. 33-40'!W27:W29)</f>
        <v>16625.179977699292</v>
      </c>
      <c r="K87" s="524">
        <f t="shared" si="4"/>
        <v>37836.225124271004</v>
      </c>
      <c r="L87" s="559" t="str">
        <f>+IF(K87&gt;=PARÁMETROS!$L$5,"SI","NO")</f>
        <v>SI</v>
      </c>
      <c r="M87" s="566" t="str">
        <f t="shared" si="3"/>
        <v>CUMPLE</v>
      </c>
      <c r="N87" s="644"/>
    </row>
    <row r="88" spans="1:14" ht="12" customHeight="1" x14ac:dyDescent="0.2">
      <c r="A88" s="609" t="s">
        <v>270</v>
      </c>
      <c r="B88" s="612" t="s">
        <v>99</v>
      </c>
      <c r="C88" s="505" t="s">
        <v>347</v>
      </c>
      <c r="D88" s="547" t="s">
        <v>134</v>
      </c>
      <c r="E88" s="548">
        <v>0.8</v>
      </c>
      <c r="F88" s="513"/>
      <c r="G88" s="508" t="s">
        <v>871</v>
      </c>
      <c r="H88" s="638"/>
      <c r="I88" s="567">
        <f>+SUM('[4]EXP GEN. 33-40'!U38:U41)</f>
        <v>17930.101762615992</v>
      </c>
      <c r="J88" s="526">
        <f>+SUM('[4]EXP ESPEC. 33-40'!W31:W33)</f>
        <v>15302.680876013859</v>
      </c>
      <c r="K88" s="523">
        <f t="shared" si="4"/>
        <v>33232.782638629855</v>
      </c>
      <c r="L88" s="557" t="str">
        <f>+IF(K88&gt;=PARÁMETROS!$L$5,"SI","NO")</f>
        <v>SI</v>
      </c>
      <c r="M88" s="563" t="str">
        <f t="shared" si="3"/>
        <v>CUMPLE</v>
      </c>
      <c r="N88" s="640" t="s">
        <v>872</v>
      </c>
    </row>
    <row r="89" spans="1:14" ht="12" customHeight="1" thickBot="1" x14ac:dyDescent="0.25">
      <c r="A89" s="611"/>
      <c r="B89" s="614"/>
      <c r="C89" s="509" t="s">
        <v>349</v>
      </c>
      <c r="D89" s="549" t="s">
        <v>135</v>
      </c>
      <c r="E89" s="550">
        <v>0.2</v>
      </c>
      <c r="F89" s="514"/>
      <c r="G89" s="512" t="s">
        <v>6</v>
      </c>
      <c r="H89" s="638"/>
      <c r="I89" s="568">
        <f>+SUM('[4]EXP GEN. 33-40'!U42:U43)</f>
        <v>15342.861195564194</v>
      </c>
      <c r="J89" s="527">
        <f>+SUM('[4]EXP ESPEC. 33-40'!W34)</f>
        <v>4367.7459244318179</v>
      </c>
      <c r="K89" s="524">
        <f t="shared" si="4"/>
        <v>19710.607119996013</v>
      </c>
      <c r="L89" s="559" t="str">
        <f>+IF(K89&gt;=PARÁMETROS!$L$5,"SI","NO")</f>
        <v>SI</v>
      </c>
      <c r="M89" s="566" t="str">
        <f t="shared" si="3"/>
        <v/>
      </c>
      <c r="N89" s="641"/>
    </row>
    <row r="90" spans="1:14" ht="12" customHeight="1" x14ac:dyDescent="0.2">
      <c r="A90" s="609" t="s">
        <v>271</v>
      </c>
      <c r="B90" s="612" t="s">
        <v>95</v>
      </c>
      <c r="C90" s="505" t="s">
        <v>348</v>
      </c>
      <c r="D90" s="547" t="s">
        <v>136</v>
      </c>
      <c r="E90" s="548">
        <v>0.49</v>
      </c>
      <c r="F90" s="513"/>
      <c r="G90" s="508" t="s">
        <v>6</v>
      </c>
      <c r="H90" s="638"/>
      <c r="I90" s="567">
        <f>+SUM('[4]EXP GEN. 41-50'!U7:U8)</f>
        <v>8384.070640873997</v>
      </c>
      <c r="J90" s="526">
        <f>+SUM('[4]EXP ESPEC. 41-50'!W5:W6)</f>
        <v>6985.1907850565613</v>
      </c>
      <c r="K90" s="523">
        <f t="shared" si="4"/>
        <v>15369.261425930559</v>
      </c>
      <c r="L90" s="557" t="str">
        <f>+IF(K90&gt;=PARÁMETROS!$L$5,"SI","NO")</f>
        <v>SI</v>
      </c>
      <c r="M90" s="563" t="str">
        <f t="shared" si="3"/>
        <v/>
      </c>
      <c r="N90" s="640" t="s">
        <v>872</v>
      </c>
    </row>
    <row r="91" spans="1:14" ht="12" customHeight="1" thickBot="1" x14ac:dyDescent="0.25">
      <c r="A91" s="611"/>
      <c r="B91" s="614"/>
      <c r="C91" s="509" t="s">
        <v>350</v>
      </c>
      <c r="D91" s="549" t="s">
        <v>137</v>
      </c>
      <c r="E91" s="550">
        <v>0.51</v>
      </c>
      <c r="F91" s="514"/>
      <c r="G91" s="512" t="s">
        <v>871</v>
      </c>
      <c r="H91" s="638"/>
      <c r="I91" s="568">
        <f>+SUM('[4]EXP GEN. 41-50'!U3:U6)</f>
        <v>13441.665830460561</v>
      </c>
      <c r="J91" s="527">
        <f>+SUM('[4]EXP ESPEC. 41-50'!W3:W4)</f>
        <v>8149.1594776098682</v>
      </c>
      <c r="K91" s="524">
        <f t="shared" si="4"/>
        <v>21590.825308070431</v>
      </c>
      <c r="L91" s="559" t="str">
        <f>+IF(K91&gt;=PARÁMETROS!$L$5,"SI","NO")</f>
        <v>SI</v>
      </c>
      <c r="M91" s="566" t="str">
        <f t="shared" si="3"/>
        <v>CUMPLE</v>
      </c>
      <c r="N91" s="641"/>
    </row>
    <row r="92" spans="1:14" ht="12" customHeight="1" thickBot="1" x14ac:dyDescent="0.25">
      <c r="A92" s="551" t="s">
        <v>272</v>
      </c>
      <c r="B92" s="552" t="s">
        <v>100</v>
      </c>
      <c r="C92" s="516" t="s">
        <v>351</v>
      </c>
      <c r="D92" s="553" t="s">
        <v>100</v>
      </c>
      <c r="E92" s="554">
        <v>1</v>
      </c>
      <c r="F92" s="519"/>
      <c r="G92" s="520" t="s">
        <v>871</v>
      </c>
      <c r="H92" s="638"/>
      <c r="I92" s="569">
        <f>+'[5]EXP GEN. 41-50'!U9+'[5]EXP GEN. 41-50'!U10+'[5]EXP GEN. 41-50'!U11+'[5]EXP GEN. 41-50'!U12</f>
        <v>28761.053473213411</v>
      </c>
      <c r="J92" s="535">
        <f>+'[5]EXP GEN. 41-50'!U9+'[5]EXP GEN. 41-50'!U10+'[5]EXP GEN. 41-50'!U11+'[5]EXP GEN. 41-50'!U12</f>
        <v>28761.053473213411</v>
      </c>
      <c r="K92" s="536">
        <f t="shared" si="4"/>
        <v>57522.106946426822</v>
      </c>
      <c r="L92" s="560" t="str">
        <f>+IF(K92&gt;=PARÁMETROS!$L$5,"SI","NO")</f>
        <v>SI</v>
      </c>
      <c r="M92" s="552" t="str">
        <f t="shared" si="3"/>
        <v>CUMPLE</v>
      </c>
      <c r="N92" s="570" t="s">
        <v>872</v>
      </c>
    </row>
    <row r="93" spans="1:14" ht="12" customHeight="1" x14ac:dyDescent="0.2">
      <c r="A93" s="609" t="s">
        <v>273</v>
      </c>
      <c r="B93" s="612" t="s">
        <v>101</v>
      </c>
      <c r="C93" s="505" t="s">
        <v>352</v>
      </c>
      <c r="D93" s="547" t="s">
        <v>138</v>
      </c>
      <c r="E93" s="548">
        <v>0.4</v>
      </c>
      <c r="F93" s="513"/>
      <c r="G93" s="508" t="s">
        <v>871</v>
      </c>
      <c r="H93" s="638"/>
      <c r="I93" s="567">
        <f>+'[5]EXP GEN. 41-50'!U16</f>
        <v>9749.4763562340977</v>
      </c>
      <c r="J93" s="526">
        <v>0</v>
      </c>
      <c r="K93" s="523">
        <f t="shared" si="4"/>
        <v>9749.4763562340977</v>
      </c>
      <c r="L93" s="557" t="str">
        <f>+IF(K93&gt;=PARÁMETROS!$L$5,"SI","NO")</f>
        <v>SI</v>
      </c>
      <c r="M93" s="563" t="str">
        <f t="shared" si="3"/>
        <v>CUMPLE</v>
      </c>
      <c r="N93" s="640" t="s">
        <v>872</v>
      </c>
    </row>
    <row r="94" spans="1:14" ht="12" customHeight="1" thickBot="1" x14ac:dyDescent="0.25">
      <c r="A94" s="611"/>
      <c r="B94" s="614"/>
      <c r="C94" s="509" t="s">
        <v>353</v>
      </c>
      <c r="D94" s="549" t="s">
        <v>139</v>
      </c>
      <c r="E94" s="550">
        <v>0.6</v>
      </c>
      <c r="F94" s="514"/>
      <c r="G94" s="512" t="s">
        <v>6</v>
      </c>
      <c r="H94" s="638"/>
      <c r="I94" s="568">
        <f>+'[5]EXP GEN. 41-50'!U13+'[5]EXP GEN. 41-50'!U14+'[5]EXP GEN. 41-50'!U15</f>
        <v>40336.890115287599</v>
      </c>
      <c r="J94" s="527">
        <f>+'[5]EXP ESPEC. 41-50'!W11+'[5]EXP ESPEC. 41-50'!W12+'[5]EXP ESPEC. 41-50'!W13+'[5]EXP ESPEC. 41-50'!W14</f>
        <v>46461.832401057043</v>
      </c>
      <c r="K94" s="524">
        <f t="shared" si="4"/>
        <v>86798.722516344642</v>
      </c>
      <c r="L94" s="559" t="str">
        <f>+IF(K94&gt;=PARÁMETROS!$L$5,"SI","NO")</f>
        <v>SI</v>
      </c>
      <c r="M94" s="566" t="str">
        <f t="shared" si="3"/>
        <v/>
      </c>
      <c r="N94" s="641"/>
    </row>
    <row r="95" spans="1:14" ht="12" customHeight="1" x14ac:dyDescent="0.2">
      <c r="A95" s="609" t="s">
        <v>274</v>
      </c>
      <c r="B95" s="612" t="s">
        <v>102</v>
      </c>
      <c r="C95" s="505" t="s">
        <v>354</v>
      </c>
      <c r="D95" s="547" t="s">
        <v>140</v>
      </c>
      <c r="E95" s="548">
        <v>0.51</v>
      </c>
      <c r="F95" s="513"/>
      <c r="G95" s="508" t="s">
        <v>871</v>
      </c>
      <c r="H95" s="638"/>
      <c r="I95" s="567">
        <f>+'[5]EXP GEN. 41-50'!U17+'[5]EXP GEN. 41-50'!U18+'[5]EXP GEN. 41-50'!U19+'[5]EXP GEN. 41-50'!U20+'[5]EXP GEN. 41-50'!U21</f>
        <v>29546.898443119389</v>
      </c>
      <c r="J95" s="526">
        <f>+'[5]EXP ESPEC. 41-50'!W15+'[5]EXP ESPEC. 41-50'!W16+'[5]EXP ESPEC. 41-50'!W17+'[5]EXP ESPEC. 41-50'!W18</f>
        <v>24754.201867471544</v>
      </c>
      <c r="K95" s="523">
        <f t="shared" si="4"/>
        <v>54301.100310590933</v>
      </c>
      <c r="L95" s="557" t="str">
        <f>+IF(K95&gt;=PARÁMETROS!$L$5,"SI","NO")</f>
        <v>SI</v>
      </c>
      <c r="M95" s="563" t="str">
        <f t="shared" si="3"/>
        <v>CUMPLE</v>
      </c>
      <c r="N95" s="640" t="s">
        <v>872</v>
      </c>
    </row>
    <row r="96" spans="1:14" ht="12" customHeight="1" thickBot="1" x14ac:dyDescent="0.25">
      <c r="A96" s="611"/>
      <c r="B96" s="614"/>
      <c r="C96" s="509" t="s">
        <v>355</v>
      </c>
      <c r="D96" s="549" t="s">
        <v>141</v>
      </c>
      <c r="E96" s="550">
        <v>0.49</v>
      </c>
      <c r="F96" s="514"/>
      <c r="G96" s="512" t="s">
        <v>6</v>
      </c>
      <c r="H96" s="638"/>
      <c r="I96" s="568">
        <f>+'[5]EXP GEN. 41-50'!U22</f>
        <v>3278.7639369907661</v>
      </c>
      <c r="J96" s="514">
        <v>0</v>
      </c>
      <c r="K96" s="524">
        <f t="shared" si="4"/>
        <v>3278.7639369907661</v>
      </c>
      <c r="L96" s="559" t="str">
        <f>+IF(K96&gt;=PARÁMETROS!$L$5,"SI","NO")</f>
        <v>NO</v>
      </c>
      <c r="M96" s="566" t="str">
        <f t="shared" si="3"/>
        <v/>
      </c>
      <c r="N96" s="641"/>
    </row>
    <row r="97" spans="1:14" ht="26.25" customHeight="1" thickBot="1" x14ac:dyDescent="0.25">
      <c r="A97" s="551" t="s">
        <v>275</v>
      </c>
      <c r="B97" s="552" t="s">
        <v>103</v>
      </c>
      <c r="C97" s="516" t="s">
        <v>356</v>
      </c>
      <c r="D97" s="553" t="s">
        <v>103</v>
      </c>
      <c r="E97" s="554">
        <v>1</v>
      </c>
      <c r="F97" s="519"/>
      <c r="G97" s="520" t="s">
        <v>860</v>
      </c>
      <c r="H97" s="638"/>
      <c r="I97" s="569">
        <f>+'[5]EXP GEN. 41-50'!U23+'[5]EXP GEN. 41-50'!U24+'[5]EXP GEN. 41-50'!U25+'[5]EXP GEN. 41-50'!U26+'[5]EXP GEN. 41-50'!U27</f>
        <v>31820.508684179695</v>
      </c>
      <c r="J97" s="535">
        <f>+'[5]EXP ESPEC. 41-50'!W19+'[5]EXP ESPEC. 41-50'!W20+'[5]EXP ESPEC. 41-50'!W21+'[5]EXP ESPEC. 41-50'!W22</f>
        <v>27238.402042552152</v>
      </c>
      <c r="K97" s="536">
        <f t="shared" si="4"/>
        <v>59058.910726731847</v>
      </c>
      <c r="L97" s="560" t="str">
        <f>+IF(K97&gt;=PARÁMETROS!$L$5,"SI","NO")</f>
        <v>SI</v>
      </c>
      <c r="M97" s="552" t="str">
        <f t="shared" si="3"/>
        <v/>
      </c>
      <c r="N97" s="583" t="s">
        <v>860</v>
      </c>
    </row>
    <row r="98" spans="1:14" ht="12" customHeight="1" x14ac:dyDescent="0.2">
      <c r="A98" s="609" t="s">
        <v>276</v>
      </c>
      <c r="B98" s="612" t="s">
        <v>104</v>
      </c>
      <c r="C98" s="505" t="s">
        <v>357</v>
      </c>
      <c r="D98" s="547" t="s">
        <v>142</v>
      </c>
      <c r="E98" s="548">
        <v>0.75</v>
      </c>
      <c r="F98" s="513"/>
      <c r="G98" s="508" t="s">
        <v>6</v>
      </c>
      <c r="H98" s="638"/>
      <c r="I98" s="567">
        <f>+'[5]EXP GEN. 41-50'!U28+'[5]EXP GEN. 41-50'!U29+'[5]EXP GEN. 41-50'!U30</f>
        <v>18777.695538969412</v>
      </c>
      <c r="J98" s="526">
        <f>+'[5]EXP ESPEC. 41-50'!W23+'[5]EXP ESPEC. 41-50'!W24+'[5]EXP ESPEC. 41-50'!W25</f>
        <v>18777.695538969416</v>
      </c>
      <c r="K98" s="523">
        <f t="shared" si="4"/>
        <v>37555.391077938824</v>
      </c>
      <c r="L98" s="557" t="str">
        <f>+IF(K98&gt;=PARÁMETROS!$L$5,"SI","NO")</f>
        <v>SI</v>
      </c>
      <c r="M98" s="563" t="str">
        <f t="shared" si="3"/>
        <v/>
      </c>
      <c r="N98" s="640" t="s">
        <v>872</v>
      </c>
    </row>
    <row r="99" spans="1:14" ht="12" customHeight="1" thickBot="1" x14ac:dyDescent="0.25">
      <c r="A99" s="611"/>
      <c r="B99" s="614"/>
      <c r="C99" s="509" t="s">
        <v>358</v>
      </c>
      <c r="D99" s="549" t="s">
        <v>143</v>
      </c>
      <c r="E99" s="550">
        <v>0.25</v>
      </c>
      <c r="F99" s="514"/>
      <c r="G99" s="512" t="s">
        <v>871</v>
      </c>
      <c r="H99" s="638"/>
      <c r="I99" s="568">
        <f>+'[5]EXP GEN. 41-50'!U31+'[5]EXP GEN. 41-50'!U32+'[5]EXP GEN. 41-50'!U33</f>
        <v>7021.1597757102818</v>
      </c>
      <c r="J99" s="527">
        <f>+'[5]EXP ESPEC. 41-50'!W26</f>
        <v>2766.646374864572</v>
      </c>
      <c r="K99" s="524">
        <f t="shared" si="4"/>
        <v>9787.8061505748537</v>
      </c>
      <c r="L99" s="559" t="str">
        <f>+IF(K99&gt;=PARÁMETROS!$L$5,"SI","NO")</f>
        <v>SI</v>
      </c>
      <c r="M99" s="566" t="str">
        <f t="shared" ref="M99:M108" si="5">+IF(G99="ACREDITA",IF(L99="SI","CUMPLE","NO CUMPLE"),"")</f>
        <v>CUMPLE</v>
      </c>
      <c r="N99" s="641"/>
    </row>
    <row r="100" spans="1:14" ht="12" customHeight="1" x14ac:dyDescent="0.2">
      <c r="A100" s="609" t="s">
        <v>277</v>
      </c>
      <c r="B100" s="612" t="s">
        <v>105</v>
      </c>
      <c r="C100" s="505" t="s">
        <v>359</v>
      </c>
      <c r="D100" s="547" t="s">
        <v>4</v>
      </c>
      <c r="E100" s="548">
        <v>0.49</v>
      </c>
      <c r="F100" s="513"/>
      <c r="G100" s="508" t="s">
        <v>871</v>
      </c>
      <c r="H100" s="638"/>
      <c r="I100" s="567">
        <f>+'[5]EXP GEN. 41-50'!U36+'[5]EXP GEN. 41-50'!U37</f>
        <v>10809.467739272135</v>
      </c>
      <c r="J100" s="526">
        <f>+'[5]EXP ESPEC. 41-50'!W30</f>
        <v>4658.514793823233</v>
      </c>
      <c r="K100" s="523">
        <f t="shared" si="4"/>
        <v>15467.982533095368</v>
      </c>
      <c r="L100" s="557" t="str">
        <f>+IF(K100&gt;=PARÁMETROS!$L$5,"SI","NO")</f>
        <v>SI</v>
      </c>
      <c r="M100" s="563" t="str">
        <f t="shared" si="5"/>
        <v>CUMPLE</v>
      </c>
      <c r="N100" s="640" t="s">
        <v>872</v>
      </c>
    </row>
    <row r="101" spans="1:14" ht="12" customHeight="1" thickBot="1" x14ac:dyDescent="0.25">
      <c r="A101" s="611"/>
      <c r="B101" s="614"/>
      <c r="C101" s="509" t="s">
        <v>360</v>
      </c>
      <c r="D101" s="549" t="s">
        <v>144</v>
      </c>
      <c r="E101" s="550">
        <v>0.51</v>
      </c>
      <c r="F101" s="514"/>
      <c r="G101" s="512" t="s">
        <v>6</v>
      </c>
      <c r="H101" s="638"/>
      <c r="I101" s="568">
        <f>+'[5]EXP GEN. 41-50'!U34+'[5]EXP GEN. 41-50'!U35</f>
        <v>16597.786448036357</v>
      </c>
      <c r="J101" s="527">
        <f>+'[5]EXP ESPEC. 41-50'!W27+'[5]EXP ESPEC. 41-50'!W28+'[5]EXP ESPEC. 41-50'!W29</f>
        <v>22003.886084179503</v>
      </c>
      <c r="K101" s="524">
        <f t="shared" si="4"/>
        <v>38601.67253221586</v>
      </c>
      <c r="L101" s="559" t="str">
        <f>+IF(K101&gt;=PARÁMETROS!$L$5,"SI","NO")</f>
        <v>SI</v>
      </c>
      <c r="M101" s="566" t="str">
        <f t="shared" si="5"/>
        <v/>
      </c>
      <c r="N101" s="641"/>
    </row>
    <row r="102" spans="1:14" ht="12" customHeight="1" thickBot="1" x14ac:dyDescent="0.25">
      <c r="A102" s="551" t="s">
        <v>278</v>
      </c>
      <c r="B102" s="552" t="s">
        <v>106</v>
      </c>
      <c r="C102" s="516" t="s">
        <v>361</v>
      </c>
      <c r="D102" s="553" t="s">
        <v>106</v>
      </c>
      <c r="E102" s="555">
        <v>1</v>
      </c>
      <c r="F102" s="519"/>
      <c r="G102" s="520" t="s">
        <v>871</v>
      </c>
      <c r="H102" s="638"/>
      <c r="I102" s="569">
        <f>+'[5]EXP GEN. 41-50'!U38+'[5]EXP GEN. 41-50'!U39+'[5]EXP GEN. 41-50'!U40+'[5]EXP GEN. 41-50'!U41+'[5]EXP GEN. 41-50'!U42+'[5]EXP GEN. 41-50'!U43</f>
        <v>43166.085277225095</v>
      </c>
      <c r="J102" s="535">
        <f>+'[5]EXP ESPEC. 41-50'!W31+'[5]EXP ESPEC. 41-50'!W32+'[5]EXP ESPEC. 41-50'!W33+'[5]EXP ESPEC. 41-50'!W34</f>
        <v>36347.405194486812</v>
      </c>
      <c r="K102" s="536">
        <f t="shared" si="4"/>
        <v>79513.490471711906</v>
      </c>
      <c r="L102" s="560" t="str">
        <f>+IF(K102&gt;=PARÁMETROS!$L$5,"SI","NO")</f>
        <v>SI</v>
      </c>
      <c r="M102" s="552" t="str">
        <f t="shared" si="5"/>
        <v>CUMPLE</v>
      </c>
      <c r="N102" s="583" t="s">
        <v>880</v>
      </c>
    </row>
    <row r="103" spans="1:14" ht="12" customHeight="1" x14ac:dyDescent="0.2">
      <c r="A103" s="609" t="s">
        <v>279</v>
      </c>
      <c r="B103" s="612" t="s">
        <v>107</v>
      </c>
      <c r="C103" s="505" t="s">
        <v>362</v>
      </c>
      <c r="D103" s="547" t="s">
        <v>145</v>
      </c>
      <c r="E103" s="548">
        <v>0.51</v>
      </c>
      <c r="F103" s="513"/>
      <c r="G103" s="508" t="s">
        <v>6</v>
      </c>
      <c r="H103" s="638"/>
      <c r="I103" s="567">
        <f>+SUM('[4]EXP GEN. 41-50'!U44:U45)</f>
        <v>15083.586340646525</v>
      </c>
      <c r="J103" s="526">
        <f>+SUM('[4]EXP ESPEC. 41-50'!W36)</f>
        <v>9442.0550194174757</v>
      </c>
      <c r="K103" s="523">
        <f t="shared" si="4"/>
        <v>24525.641360064001</v>
      </c>
      <c r="L103" s="557" t="str">
        <f>+IF(K103&gt;=PARÁMETROS!$L$5,"SI","NO")</f>
        <v>SI</v>
      </c>
      <c r="M103" s="563" t="str">
        <f t="shared" si="5"/>
        <v/>
      </c>
      <c r="N103" s="642" t="s">
        <v>575</v>
      </c>
    </row>
    <row r="104" spans="1:14" ht="12" customHeight="1" x14ac:dyDescent="0.2">
      <c r="A104" s="610"/>
      <c r="B104" s="613"/>
      <c r="C104" s="490" t="s">
        <v>364</v>
      </c>
      <c r="D104" s="49" t="s">
        <v>146</v>
      </c>
      <c r="E104" s="50">
        <v>0.25</v>
      </c>
      <c r="F104" s="491"/>
      <c r="G104" s="483" t="s">
        <v>871</v>
      </c>
      <c r="H104" s="638"/>
      <c r="I104" s="571">
        <f>+SUM('[4]EXP GEN. 41-50'!U46:U48)</f>
        <v>5379.0869038038072</v>
      </c>
      <c r="J104" s="496">
        <f>+SUM('[4]EXP ESPEC. 41-50'!W35)</f>
        <v>2606.1447975974024</v>
      </c>
      <c r="K104" s="494">
        <f t="shared" si="4"/>
        <v>7985.2317014012096</v>
      </c>
      <c r="L104" s="558" t="str">
        <f>+IF(K104&gt;=PARÁMETROS!$L$5,"SI","NO")</f>
        <v>SI</v>
      </c>
      <c r="M104" s="396" t="str">
        <f t="shared" si="5"/>
        <v>CUMPLE</v>
      </c>
      <c r="N104" s="643"/>
    </row>
    <row r="105" spans="1:14" ht="12" customHeight="1" thickBot="1" x14ac:dyDescent="0.25">
      <c r="A105" s="611"/>
      <c r="B105" s="614"/>
      <c r="C105" s="509" t="s">
        <v>365</v>
      </c>
      <c r="D105" s="549" t="s">
        <v>147</v>
      </c>
      <c r="E105" s="550">
        <v>0.24</v>
      </c>
      <c r="F105" s="514"/>
      <c r="G105" s="512" t="s">
        <v>6</v>
      </c>
      <c r="H105" s="638"/>
      <c r="I105" s="568">
        <f>+SUM('[4]EXP GEN. 41-50'!U49)</f>
        <v>3420.9379849397592</v>
      </c>
      <c r="J105" s="527">
        <f>+SUM('[4]EXP ESPEC. 41-50'!W37:W38)</f>
        <v>6020.1674979267718</v>
      </c>
      <c r="K105" s="524">
        <f t="shared" si="4"/>
        <v>9441.105482866531</v>
      </c>
      <c r="L105" s="559" t="str">
        <f>+IF(K105&gt;=PARÁMETROS!$L$5,"SI","NO")</f>
        <v>SI</v>
      </c>
      <c r="M105" s="566" t="str">
        <f t="shared" si="5"/>
        <v/>
      </c>
      <c r="N105" s="644"/>
    </row>
    <row r="106" spans="1:14" ht="12" customHeight="1" x14ac:dyDescent="0.2">
      <c r="A106" s="609" t="s">
        <v>280</v>
      </c>
      <c r="B106" s="612" t="s">
        <v>108</v>
      </c>
      <c r="C106" s="505" t="s">
        <v>363</v>
      </c>
      <c r="D106" s="547" t="s">
        <v>148</v>
      </c>
      <c r="E106" s="548">
        <v>0.51</v>
      </c>
      <c r="F106" s="513"/>
      <c r="G106" s="508" t="s">
        <v>6</v>
      </c>
      <c r="H106" s="638"/>
      <c r="I106" s="567">
        <f>+SUM('[4]EXP GEN. 41-50'!U50:U51)</f>
        <v>14839.296703738071</v>
      </c>
      <c r="J106" s="526">
        <f>+SUM('[4]EXP ESPEC. 41-50'!W39:W40)</f>
        <v>14839.296703738071</v>
      </c>
      <c r="K106" s="523">
        <f t="shared" si="4"/>
        <v>29678.593407476143</v>
      </c>
      <c r="L106" s="557" t="str">
        <f>+IF(K106&gt;=PARÁMETROS!$L$5,"SI","NO")</f>
        <v>SI</v>
      </c>
      <c r="M106" s="563" t="str">
        <f t="shared" si="5"/>
        <v/>
      </c>
      <c r="N106" s="642" t="s">
        <v>575</v>
      </c>
    </row>
    <row r="107" spans="1:14" ht="12" customHeight="1" x14ac:dyDescent="0.2">
      <c r="A107" s="610"/>
      <c r="B107" s="613"/>
      <c r="C107" s="490" t="s">
        <v>366</v>
      </c>
      <c r="D107" s="49" t="s">
        <v>149</v>
      </c>
      <c r="E107" s="50">
        <v>0.25</v>
      </c>
      <c r="F107" s="491"/>
      <c r="G107" s="483" t="s">
        <v>871</v>
      </c>
      <c r="H107" s="638"/>
      <c r="I107" s="571">
        <f>+SUM('[4]EXP GEN. 41-50'!U53)</f>
        <v>8099.1150410754299</v>
      </c>
      <c r="J107" s="496">
        <f>+SUM('[4]EXP ESPEC. 41-50'!W42)</f>
        <v>8099.1150410754299</v>
      </c>
      <c r="K107" s="494">
        <f t="shared" si="4"/>
        <v>16198.23008215086</v>
      </c>
      <c r="L107" s="558" t="str">
        <f>+IF(K107&gt;=PARÁMETROS!$L$5,"SI","NO")</f>
        <v>SI</v>
      </c>
      <c r="M107" s="396" t="str">
        <f t="shared" si="5"/>
        <v>CUMPLE</v>
      </c>
      <c r="N107" s="643"/>
    </row>
    <row r="108" spans="1:14" ht="12" customHeight="1" thickBot="1" x14ac:dyDescent="0.25">
      <c r="A108" s="611"/>
      <c r="B108" s="614"/>
      <c r="C108" s="509" t="s">
        <v>367</v>
      </c>
      <c r="D108" s="549" t="s">
        <v>150</v>
      </c>
      <c r="E108" s="550">
        <v>0.24</v>
      </c>
      <c r="F108" s="514"/>
      <c r="G108" s="512" t="s">
        <v>858</v>
      </c>
      <c r="H108" s="639"/>
      <c r="I108" s="568">
        <f>+SUM('[4]EXP GEN. 41-50'!U52)</f>
        <v>6189.3038595109683</v>
      </c>
      <c r="J108" s="527">
        <f>+SUM('[4]EXP ESPEC. 41-50'!W41)</f>
        <v>6189.3038595109683</v>
      </c>
      <c r="K108" s="524">
        <f t="shared" si="4"/>
        <v>12378.607719021937</v>
      </c>
      <c r="L108" s="559" t="str">
        <f>+IF(K108&gt;=PARÁMETROS!$L$5,"SI","NO")</f>
        <v>SI</v>
      </c>
      <c r="M108" s="566" t="str">
        <f t="shared" si="5"/>
        <v/>
      </c>
      <c r="N108" s="644"/>
    </row>
    <row r="109" spans="1:14" x14ac:dyDescent="0.2">
      <c r="M109" s="489"/>
    </row>
  </sheetData>
  <mergeCells count="149">
    <mergeCell ref="N79:N81"/>
    <mergeCell ref="N82:N83"/>
    <mergeCell ref="N84:N85"/>
    <mergeCell ref="N62:N63"/>
    <mergeCell ref="N64:N66"/>
    <mergeCell ref="N67:N69"/>
    <mergeCell ref="N70:N71"/>
    <mergeCell ref="N72:N73"/>
    <mergeCell ref="N50:N51"/>
    <mergeCell ref="N52:N53"/>
    <mergeCell ref="N55:N56"/>
    <mergeCell ref="N57:N59"/>
    <mergeCell ref="N60:N61"/>
    <mergeCell ref="N38:N40"/>
    <mergeCell ref="N41:N42"/>
    <mergeCell ref="N43:N45"/>
    <mergeCell ref="N46:N47"/>
    <mergeCell ref="N48:N49"/>
    <mergeCell ref="N26:N27"/>
    <mergeCell ref="N28:N29"/>
    <mergeCell ref="N30:N31"/>
    <mergeCell ref="N32:N33"/>
    <mergeCell ref="N35:N37"/>
    <mergeCell ref="N16:N17"/>
    <mergeCell ref="N18:N19"/>
    <mergeCell ref="N20:N21"/>
    <mergeCell ref="N22:N23"/>
    <mergeCell ref="N24:N25"/>
    <mergeCell ref="N6:N7"/>
    <mergeCell ref="N8:N9"/>
    <mergeCell ref="N10:N11"/>
    <mergeCell ref="N12:N13"/>
    <mergeCell ref="N14:N15"/>
    <mergeCell ref="I1:I2"/>
    <mergeCell ref="J1:J2"/>
    <mergeCell ref="K1:K2"/>
    <mergeCell ref="M1:M2"/>
    <mergeCell ref="N3:N5"/>
    <mergeCell ref="G1:G2"/>
    <mergeCell ref="A3:A5"/>
    <mergeCell ref="B3:B5"/>
    <mergeCell ref="A6:A7"/>
    <mergeCell ref="B6:B7"/>
    <mergeCell ref="H1:H108"/>
    <mergeCell ref="L1:L2"/>
    <mergeCell ref="N98:N99"/>
    <mergeCell ref="N100:N101"/>
    <mergeCell ref="N103:N105"/>
    <mergeCell ref="N106:N108"/>
    <mergeCell ref="N1:N2"/>
    <mergeCell ref="N86:N87"/>
    <mergeCell ref="N88:N89"/>
    <mergeCell ref="N90:N91"/>
    <mergeCell ref="N93:N94"/>
    <mergeCell ref="N95:N96"/>
    <mergeCell ref="N74:N75"/>
    <mergeCell ref="N76:N78"/>
    <mergeCell ref="A8:A9"/>
    <mergeCell ref="B8:B9"/>
    <mergeCell ref="A1:A2"/>
    <mergeCell ref="B1:B2"/>
    <mergeCell ref="C1:C2"/>
    <mergeCell ref="D1:D2"/>
    <mergeCell ref="E1:E2"/>
    <mergeCell ref="F1:F2"/>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5:A37"/>
    <mergeCell ref="B35:B37"/>
    <mergeCell ref="A38:A40"/>
    <mergeCell ref="B38:B40"/>
    <mergeCell ref="A41:A42"/>
    <mergeCell ref="B41:B42"/>
    <mergeCell ref="A43:A45"/>
    <mergeCell ref="B43:B45"/>
    <mergeCell ref="A46:A47"/>
    <mergeCell ref="B46:B47"/>
    <mergeCell ref="A48:A49"/>
    <mergeCell ref="B48:B49"/>
    <mergeCell ref="A50:A51"/>
    <mergeCell ref="B50:B51"/>
    <mergeCell ref="A52:A53"/>
    <mergeCell ref="B52:B53"/>
    <mergeCell ref="A55:A56"/>
    <mergeCell ref="B55:B56"/>
    <mergeCell ref="A57:A59"/>
    <mergeCell ref="B57:B59"/>
    <mergeCell ref="A60:A61"/>
    <mergeCell ref="B60:B61"/>
    <mergeCell ref="A62:A63"/>
    <mergeCell ref="B62:B63"/>
    <mergeCell ref="A64:A66"/>
    <mergeCell ref="B64:B66"/>
    <mergeCell ref="A67:A69"/>
    <mergeCell ref="B67:B69"/>
    <mergeCell ref="A70:A71"/>
    <mergeCell ref="B70:B71"/>
    <mergeCell ref="A72:A73"/>
    <mergeCell ref="B72:B73"/>
    <mergeCell ref="A74:A75"/>
    <mergeCell ref="B74:B75"/>
    <mergeCell ref="A76:A78"/>
    <mergeCell ref="B76:B78"/>
    <mergeCell ref="A79:A81"/>
    <mergeCell ref="B79:B81"/>
    <mergeCell ref="A82:A83"/>
    <mergeCell ref="B82:B83"/>
    <mergeCell ref="A84:A85"/>
    <mergeCell ref="B84:B85"/>
    <mergeCell ref="A86:A87"/>
    <mergeCell ref="B86:B87"/>
    <mergeCell ref="A88:A89"/>
    <mergeCell ref="B88:B89"/>
    <mergeCell ref="A90:A91"/>
    <mergeCell ref="B90:B91"/>
    <mergeCell ref="A106:A108"/>
    <mergeCell ref="B106:B108"/>
    <mergeCell ref="A93:A94"/>
    <mergeCell ref="B93:B94"/>
    <mergeCell ref="A95:A96"/>
    <mergeCell ref="B95:B96"/>
    <mergeCell ref="A98:A99"/>
    <mergeCell ref="B98:B99"/>
    <mergeCell ref="A100:A101"/>
    <mergeCell ref="B100:B101"/>
    <mergeCell ref="A103:A105"/>
    <mergeCell ref="B103:B105"/>
  </mergeCells>
  <conditionalFormatting sqref="N3:N1048576">
    <cfRule type="containsText" dxfId="67" priority="1" operator="containsText" text="NO CUMPLE">
      <formula>NOT(ISERROR(SEARCH("NO CUMPLE",N3)))</formula>
    </cfRule>
  </conditionalFormatting>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133"/>
  <sheetViews>
    <sheetView topLeftCell="M1" zoomScale="55" zoomScaleNormal="55" zoomScalePageLayoutView="75" workbookViewId="0">
      <pane ySplit="2" topLeftCell="A27" activePane="bottomLeft" state="frozen"/>
      <selection pane="bottomLeft" activeCell="Z17" sqref="Z17:AB17"/>
    </sheetView>
  </sheetViews>
  <sheetFormatPr baseColWidth="10" defaultColWidth="10.875" defaultRowHeight="15.75" x14ac:dyDescent="0.25"/>
  <cols>
    <col min="1" max="1" width="14.5" style="94"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12.5" style="104" customWidth="1"/>
    <col min="9" max="9" width="13.625" style="105" customWidth="1"/>
    <col min="10" max="10" width="10.625" style="106" customWidth="1"/>
    <col min="11" max="11" width="11" style="107" customWidth="1"/>
    <col min="12" max="12" width="11" style="108" customWidth="1"/>
    <col min="13" max="13" width="11" style="74" customWidth="1"/>
    <col min="14" max="14" width="18.5" style="109" customWidth="1"/>
    <col min="15" max="15" width="8.75" style="109" customWidth="1"/>
    <col min="16" max="16" width="9.5" style="74" bestFit="1" customWidth="1"/>
    <col min="17" max="17" width="12.5" style="74" customWidth="1"/>
    <col min="18" max="18" width="9.625" style="74" bestFit="1" customWidth="1"/>
    <col min="19" max="20" width="15.5" style="74" customWidth="1"/>
    <col min="21" max="21" width="18.375" style="87" customWidth="1"/>
    <col min="22" max="22" width="16.5" style="87" customWidth="1"/>
    <col min="23" max="23" width="11.625" style="94" customWidth="1"/>
    <col min="24" max="24" width="7.875" style="110" customWidth="1"/>
    <col min="25" max="25" width="8.875" style="110" customWidth="1"/>
    <col min="26" max="26" width="11" style="94" customWidth="1"/>
    <col min="27" max="27" width="7.875" style="110" customWidth="1"/>
    <col min="28" max="28" width="8.875" style="110" customWidth="1"/>
    <col min="29" max="29" width="11.125" style="110" customWidth="1"/>
    <col min="30" max="30" width="7.375" style="110" bestFit="1" customWidth="1"/>
    <col min="31" max="31" width="6.375" style="110" customWidth="1"/>
    <col min="32" max="35" width="19.5" style="63" customWidth="1"/>
    <col min="36" max="36" width="59.125" style="96" customWidth="1"/>
    <col min="37" max="39" width="10.875" style="111"/>
    <col min="40" max="41" width="15.125" style="111" bestFit="1" customWidth="1"/>
    <col min="42" max="16384" width="10.875" style="111"/>
  </cols>
  <sheetData>
    <row r="1" spans="1:39" s="61" customFormat="1" ht="15" customHeight="1" x14ac:dyDescent="0.25">
      <c r="A1" s="661" t="s">
        <v>2</v>
      </c>
      <c r="B1" s="661" t="s">
        <v>1</v>
      </c>
      <c r="C1" s="676" t="s">
        <v>369</v>
      </c>
      <c r="D1" s="661" t="s">
        <v>7</v>
      </c>
      <c r="E1" s="661" t="s">
        <v>8</v>
      </c>
      <c r="F1" s="661" t="s">
        <v>9</v>
      </c>
      <c r="G1" s="662" t="s">
        <v>57</v>
      </c>
      <c r="H1" s="662" t="s">
        <v>383</v>
      </c>
      <c r="I1" s="670" t="s">
        <v>56</v>
      </c>
      <c r="J1" s="672" t="s">
        <v>10</v>
      </c>
      <c r="K1" s="672" t="s">
        <v>443</v>
      </c>
      <c r="L1" s="674" t="s">
        <v>65</v>
      </c>
      <c r="M1" s="661" t="s">
        <v>64</v>
      </c>
      <c r="N1" s="661" t="s">
        <v>11</v>
      </c>
      <c r="O1" s="661" t="s">
        <v>12</v>
      </c>
      <c r="P1" s="662" t="s">
        <v>13</v>
      </c>
      <c r="Q1" s="662" t="s">
        <v>14</v>
      </c>
      <c r="R1" s="662" t="s">
        <v>15</v>
      </c>
      <c r="S1" s="662" t="s">
        <v>16</v>
      </c>
      <c r="T1" s="661" t="s">
        <v>17</v>
      </c>
      <c r="U1" s="662" t="s">
        <v>386</v>
      </c>
      <c r="V1" s="668" t="s">
        <v>55</v>
      </c>
      <c r="W1" s="661" t="s">
        <v>27</v>
      </c>
      <c r="X1" s="661"/>
      <c r="Y1" s="661"/>
      <c r="Z1" s="661" t="s">
        <v>28</v>
      </c>
      <c r="AA1" s="661"/>
      <c r="AB1" s="661"/>
      <c r="AC1" s="661" t="s">
        <v>29</v>
      </c>
      <c r="AD1" s="661"/>
      <c r="AE1" s="661"/>
      <c r="AF1" s="662" t="s">
        <v>30</v>
      </c>
      <c r="AG1" s="664" t="s">
        <v>374</v>
      </c>
      <c r="AH1" s="665" t="s">
        <v>618</v>
      </c>
      <c r="AI1" s="664" t="s">
        <v>619</v>
      </c>
      <c r="AJ1" s="659" t="s">
        <v>0</v>
      </c>
      <c r="AL1" s="62" t="s">
        <v>5</v>
      </c>
      <c r="AM1" s="62" t="s">
        <v>6</v>
      </c>
    </row>
    <row r="2" spans="1:39" s="234" customFormat="1" ht="62.25" customHeight="1" thickBot="1" x14ac:dyDescent="0.3">
      <c r="A2" s="667"/>
      <c r="B2" s="667"/>
      <c r="C2" s="677"/>
      <c r="D2" s="667"/>
      <c r="E2" s="667"/>
      <c r="F2" s="667"/>
      <c r="G2" s="663"/>
      <c r="H2" s="663"/>
      <c r="I2" s="671"/>
      <c r="J2" s="673"/>
      <c r="K2" s="673"/>
      <c r="L2" s="675"/>
      <c r="M2" s="667"/>
      <c r="N2" s="667"/>
      <c r="O2" s="667"/>
      <c r="P2" s="663"/>
      <c r="Q2" s="663"/>
      <c r="R2" s="663"/>
      <c r="S2" s="663"/>
      <c r="T2" s="667"/>
      <c r="U2" s="663"/>
      <c r="V2" s="669"/>
      <c r="W2" s="206" t="s">
        <v>31</v>
      </c>
      <c r="X2" s="206" t="s">
        <v>32</v>
      </c>
      <c r="Y2" s="206" t="s">
        <v>33</v>
      </c>
      <c r="Z2" s="206" t="s">
        <v>34</v>
      </c>
      <c r="AA2" s="206" t="s">
        <v>32</v>
      </c>
      <c r="AB2" s="206" t="s">
        <v>35</v>
      </c>
      <c r="AC2" s="206" t="s">
        <v>34</v>
      </c>
      <c r="AD2" s="206" t="s">
        <v>32</v>
      </c>
      <c r="AE2" s="206" t="s">
        <v>36</v>
      </c>
      <c r="AF2" s="663"/>
      <c r="AG2" s="665"/>
      <c r="AH2" s="666"/>
      <c r="AI2" s="665"/>
      <c r="AJ2" s="660"/>
    </row>
    <row r="3" spans="1:39" s="237" customFormat="1" ht="99.75" x14ac:dyDescent="0.25">
      <c r="A3" s="652" t="s">
        <v>455</v>
      </c>
      <c r="B3" s="125" t="s">
        <v>239</v>
      </c>
      <c r="C3" s="126">
        <v>218</v>
      </c>
      <c r="D3" s="127" t="str">
        <f>+IFERROR(INDEX([6]CONSOLIDADO!$D$4:$D$108,MATCH('EXP GEN. 1-8.'!B3,[6]CONSOLIDADO!$C$4:$C$108,0)),"")</f>
        <v>LKS COLOMBIA S.A.S.</v>
      </c>
      <c r="E3" s="128" t="s">
        <v>456</v>
      </c>
      <c r="F3" s="129" t="s">
        <v>457</v>
      </c>
      <c r="G3" s="207" t="s">
        <v>5</v>
      </c>
      <c r="H3" s="207" t="s">
        <v>5</v>
      </c>
      <c r="I3" s="131">
        <v>0.5</v>
      </c>
      <c r="J3" s="132">
        <v>39173</v>
      </c>
      <c r="K3" s="132">
        <v>40574</v>
      </c>
      <c r="L3" s="133">
        <f>IF(K3="","",YEAR(K3))</f>
        <v>2011</v>
      </c>
      <c r="M3" s="134">
        <f>+IFERROR(INDEX([6]PARÁMETROS!$B$11:$B$37,MATCH(L3,[6]PARÁMETROS!$A$11:$A$37,0)),"")</f>
        <v>535600</v>
      </c>
      <c r="N3" s="135">
        <v>2664656.9300000002</v>
      </c>
      <c r="O3" s="235" t="s">
        <v>24</v>
      </c>
      <c r="P3" s="125">
        <v>1.3603400000000001</v>
      </c>
      <c r="Q3" s="236">
        <f>+P3*N3</f>
        <v>3624839.4081562003</v>
      </c>
      <c r="R3" s="138">
        <v>1857.98</v>
      </c>
      <c r="S3" s="134">
        <f>+R3*Q3</f>
        <v>6734879123.5660572</v>
      </c>
      <c r="T3" s="139">
        <f>+IFERROR(S3/M3,"")</f>
        <v>12574.456914798464</v>
      </c>
      <c r="U3" s="139">
        <f>IFERROR(T3*I3,"")</f>
        <v>6287.228457399232</v>
      </c>
      <c r="V3" s="140">
        <v>67</v>
      </c>
      <c r="W3" s="649" t="s">
        <v>5</v>
      </c>
      <c r="X3" s="649"/>
      <c r="Y3" s="649"/>
      <c r="Z3" s="649" t="s">
        <v>5</v>
      </c>
      <c r="AA3" s="649"/>
      <c r="AB3" s="649"/>
      <c r="AC3" s="649" t="s">
        <v>5</v>
      </c>
      <c r="AD3" s="649"/>
      <c r="AE3" s="649"/>
      <c r="AF3" s="207" t="s">
        <v>5</v>
      </c>
      <c r="AG3" s="649" t="str">
        <f>IF(U3="","",IF(SUM(U3:U7)&gt;=[6]PARÁMETROS!$H$5,"CUMPLE","NO CUMPLE"))</f>
        <v>CUMPLE</v>
      </c>
      <c r="AH3" s="649" t="str">
        <f>IF(U3="","",IF((U3+U4)&gt;=[6]PARÁMETROS!$F$5,"CUMPLE","NO CUMPLE"))</f>
        <v>CUMPLE</v>
      </c>
      <c r="AI3" s="207" t="str">
        <f>+IF(U3="","",IF(U3&gt;=[6]PARÁMETROS!$D$5,"CUMPLE","NO CUMPLE"))</f>
        <v>CUMPLE</v>
      </c>
      <c r="AJ3" s="128"/>
    </row>
    <row r="4" spans="1:39" s="79" customFormat="1" ht="71.25" x14ac:dyDescent="0.25">
      <c r="A4" s="653"/>
      <c r="B4" s="63" t="s">
        <v>239</v>
      </c>
      <c r="C4" s="64">
        <v>221</v>
      </c>
      <c r="D4" s="65" t="str">
        <f>+IFERROR(INDEX([6]CONSOLIDADO!$D$4:$D$108,MATCH('EXP GEN. 1-8.'!B4,[6]CONSOLIDADO!$C$4:$C$108,0)),"")</f>
        <v>LKS COLOMBIA S.A.S.</v>
      </c>
      <c r="E4" s="66" t="s">
        <v>459</v>
      </c>
      <c r="F4" s="66" t="s">
        <v>460</v>
      </c>
      <c r="G4" s="205" t="s">
        <v>5</v>
      </c>
      <c r="H4" s="205" t="s">
        <v>5</v>
      </c>
      <c r="I4" s="80">
        <v>1</v>
      </c>
      <c r="J4" s="70">
        <v>37288</v>
      </c>
      <c r="K4" s="70">
        <v>38904</v>
      </c>
      <c r="L4" s="71">
        <f t="shared" ref="L4:L43" si="0">IF(K4="","",YEAR(K4))</f>
        <v>2006</v>
      </c>
      <c r="M4" s="72">
        <f>+IFERROR(INDEX([6]PARÁMETROS!$B$11:$B$37,MATCH(L4,[6]PARÁMETROS!$A$11:$A$37,0)),"")</f>
        <v>408000</v>
      </c>
      <c r="N4" s="81">
        <v>2069370.4</v>
      </c>
      <c r="O4" s="238" t="s">
        <v>24</v>
      </c>
      <c r="P4" s="63">
        <v>1.2766299999999999</v>
      </c>
      <c r="Q4" s="75">
        <f>+N4*P4</f>
        <v>2641820.3337519998</v>
      </c>
      <c r="R4" s="76">
        <v>2574.7399999999998</v>
      </c>
      <c r="S4" s="72">
        <f>+Q4*R4</f>
        <v>6802000486.1246233</v>
      </c>
      <c r="T4" s="60">
        <f t="shared" ref="T4:T43" si="1">+IFERROR(S4/M4,"")</f>
        <v>16671.569818932901</v>
      </c>
      <c r="U4" s="60">
        <f t="shared" ref="U4:U43" si="2">IFERROR(T4*I4,"")</f>
        <v>16671.569818932901</v>
      </c>
      <c r="V4" s="77">
        <v>58</v>
      </c>
      <c r="W4" s="650" t="s">
        <v>5</v>
      </c>
      <c r="X4" s="650"/>
      <c r="Y4" s="650"/>
      <c r="Z4" s="650" t="s">
        <v>5</v>
      </c>
      <c r="AA4" s="650"/>
      <c r="AB4" s="650"/>
      <c r="AC4" s="650" t="s">
        <v>5</v>
      </c>
      <c r="AD4" s="650"/>
      <c r="AE4" s="650"/>
      <c r="AF4" s="205" t="s">
        <v>5</v>
      </c>
      <c r="AG4" s="650"/>
      <c r="AH4" s="650"/>
      <c r="AI4" s="205" t="str">
        <f>+IF(U4="","",IF(U4&gt;=[6]PARÁMETROS!$D$5,"CUMPLE","NO CUMPLE"))</f>
        <v>CUMPLE</v>
      </c>
      <c r="AJ4" s="66"/>
    </row>
    <row r="5" spans="1:39" s="79" customFormat="1" ht="42.75" x14ac:dyDescent="0.25">
      <c r="A5" s="653"/>
      <c r="B5" s="63" t="s">
        <v>241</v>
      </c>
      <c r="C5" s="64">
        <v>225</v>
      </c>
      <c r="D5" s="65" t="str">
        <f>+IFERROR(INDEX([6]CONSOLIDADO!$D$4:$D$108,MATCH('EXP GEN. 1-8.'!B5,[6]CONSOLIDADO!$C$4:$C$108,0)),"")</f>
        <v>CGR S.A.S.</v>
      </c>
      <c r="E5" s="66" t="s">
        <v>21</v>
      </c>
      <c r="F5" s="67" t="s">
        <v>461</v>
      </c>
      <c r="G5" s="205" t="s">
        <v>5</v>
      </c>
      <c r="H5" s="205" t="s">
        <v>5</v>
      </c>
      <c r="I5" s="69">
        <v>0.28000000000000003</v>
      </c>
      <c r="J5" s="70">
        <v>40077</v>
      </c>
      <c r="K5" s="70">
        <v>41977</v>
      </c>
      <c r="L5" s="71">
        <f t="shared" si="0"/>
        <v>2014</v>
      </c>
      <c r="M5" s="72">
        <f>+IFERROR(INDEX([6]PARÁMETROS!$B$11:$B$37,MATCH(L5,[6]PARÁMETROS!$A$11:$A$37,0)),"")</f>
        <v>616000</v>
      </c>
      <c r="N5" s="73">
        <v>8396906456</v>
      </c>
      <c r="O5" s="74" t="s">
        <v>20</v>
      </c>
      <c r="P5" s="63" t="s">
        <v>54</v>
      </c>
      <c r="Q5" s="75" t="s">
        <v>54</v>
      </c>
      <c r="R5" s="76">
        <v>1</v>
      </c>
      <c r="S5" s="72">
        <f t="shared" ref="S5:S43" si="3">IF(R5&lt;&gt;"",N5*R5,"")</f>
        <v>8396906456</v>
      </c>
      <c r="T5" s="60">
        <f>+IFERROR(S5/M5,"")</f>
        <v>13631.34164935065</v>
      </c>
      <c r="U5" s="60">
        <f>IFERROR(T5*I5,"")</f>
        <v>3816.7756618181825</v>
      </c>
      <c r="V5" s="77">
        <v>63</v>
      </c>
      <c r="W5" s="650" t="s">
        <v>5</v>
      </c>
      <c r="X5" s="650"/>
      <c r="Y5" s="650"/>
      <c r="Z5" s="650" t="s">
        <v>5</v>
      </c>
      <c r="AA5" s="650"/>
      <c r="AB5" s="650"/>
      <c r="AC5" s="650" t="s">
        <v>5</v>
      </c>
      <c r="AD5" s="650"/>
      <c r="AE5" s="650"/>
      <c r="AF5" s="205" t="s">
        <v>5</v>
      </c>
      <c r="AG5" s="650"/>
      <c r="AH5" s="650"/>
      <c r="AI5" s="205" t="str">
        <f>+IF(U5="","",IF(U5&gt;=[6]PARÁMETROS!$D$5,"CUMPLE","NO CUMPLE"))</f>
        <v>CUMPLE</v>
      </c>
      <c r="AJ5" s="239"/>
    </row>
    <row r="6" spans="1:39" s="79" customFormat="1" ht="71.25" x14ac:dyDescent="0.25">
      <c r="A6" s="653"/>
      <c r="B6" s="63" t="s">
        <v>240</v>
      </c>
      <c r="C6" s="64">
        <v>335</v>
      </c>
      <c r="D6" s="65" t="str">
        <f>+IFERROR(INDEX([6]CONSOLIDADO!$D$4:$D$108,MATCH('EXP GEN. 1-8.'!B6,[6]CONSOLIDADO!$C$4:$C$108,0)),"")</f>
        <v>NOGALL S.A.</v>
      </c>
      <c r="E6" s="66" t="s">
        <v>446</v>
      </c>
      <c r="F6" s="67" t="s">
        <v>462</v>
      </c>
      <c r="G6" s="205" t="s">
        <v>5</v>
      </c>
      <c r="H6" s="205" t="s">
        <v>5</v>
      </c>
      <c r="I6" s="69">
        <v>0.75</v>
      </c>
      <c r="J6" s="70">
        <v>38718</v>
      </c>
      <c r="K6" s="70"/>
      <c r="L6" s="71">
        <v>2014</v>
      </c>
      <c r="M6" s="72">
        <f>+IFERROR(INDEX([6]PARÁMETROS!$B$11:$B$37,MATCH(L6,[6]PARÁMETROS!$A$11:$A$37,0)),"")</f>
        <v>616000</v>
      </c>
      <c r="N6" s="73">
        <v>8567960679</v>
      </c>
      <c r="O6" s="74" t="s">
        <v>20</v>
      </c>
      <c r="P6" s="63" t="s">
        <v>54</v>
      </c>
      <c r="Q6" s="75" t="s">
        <v>54</v>
      </c>
      <c r="R6" s="76">
        <v>1</v>
      </c>
      <c r="S6" s="72">
        <f t="shared" si="3"/>
        <v>8567960679</v>
      </c>
      <c r="T6" s="60">
        <f>+IFERROR(S6/M6,"")</f>
        <v>13909.027076298702</v>
      </c>
      <c r="U6" s="60">
        <f>IFERROR(T6*I6,"")</f>
        <v>10431.770307224026</v>
      </c>
      <c r="V6" s="77" t="s">
        <v>397</v>
      </c>
      <c r="W6" s="650"/>
      <c r="X6" s="650"/>
      <c r="Y6" s="650"/>
      <c r="Z6" s="650"/>
      <c r="AA6" s="650"/>
      <c r="AB6" s="650"/>
      <c r="AC6" s="650"/>
      <c r="AD6" s="650"/>
      <c r="AE6" s="650"/>
      <c r="AF6" s="205"/>
      <c r="AG6" s="650"/>
      <c r="AH6" s="650"/>
      <c r="AI6" s="205" t="str">
        <f>+IF(U6="","",IF(U6&gt;=[6]PARÁMETROS!$D$5,"CUMPLE","NO CUMPLE"))</f>
        <v>CUMPLE</v>
      </c>
      <c r="AJ6" s="239"/>
    </row>
    <row r="7" spans="1:39" s="243" customFormat="1" ht="72" thickBot="1" x14ac:dyDescent="0.3">
      <c r="A7" s="654"/>
      <c r="B7" s="210" t="s">
        <v>240</v>
      </c>
      <c r="C7" s="240">
        <v>340</v>
      </c>
      <c r="D7" s="211" t="str">
        <f>+IFERROR(INDEX([6]CONSOLIDADO!$D$4:$D$108,MATCH('EXP GEN. 1-8.'!B7,[6]CONSOLIDADO!$C$4:$C$108,0)),"")</f>
        <v>NOGALL S.A.</v>
      </c>
      <c r="E7" s="212" t="s">
        <v>463</v>
      </c>
      <c r="F7" s="213" t="s">
        <v>464</v>
      </c>
      <c r="G7" s="214" t="s">
        <v>5</v>
      </c>
      <c r="H7" s="214" t="s">
        <v>5</v>
      </c>
      <c r="I7" s="215">
        <v>1</v>
      </c>
      <c r="J7" s="216">
        <v>41379</v>
      </c>
      <c r="K7" s="216">
        <v>42232</v>
      </c>
      <c r="L7" s="217">
        <f t="shared" si="0"/>
        <v>2015</v>
      </c>
      <c r="M7" s="202">
        <f>+IFERROR(INDEX([6]PARÁMETROS!$B$11:$B$37,MATCH(L7,[6]PARÁMETROS!$A$11:$A$37,0)),"")</f>
        <v>644350</v>
      </c>
      <c r="N7" s="218"/>
      <c r="O7" s="203" t="s">
        <v>20</v>
      </c>
      <c r="P7" s="210" t="s">
        <v>54</v>
      </c>
      <c r="Q7" s="219" t="s">
        <v>54</v>
      </c>
      <c r="R7" s="220"/>
      <c r="S7" s="202"/>
      <c r="T7" s="204"/>
      <c r="U7" s="241"/>
      <c r="V7" s="242"/>
      <c r="W7" s="655"/>
      <c r="X7" s="655"/>
      <c r="Y7" s="655"/>
      <c r="Z7" s="655"/>
      <c r="AA7" s="655"/>
      <c r="AB7" s="655"/>
      <c r="AC7" s="655"/>
      <c r="AD7" s="655"/>
      <c r="AE7" s="655"/>
      <c r="AF7" s="214"/>
      <c r="AG7" s="651"/>
      <c r="AH7" s="651"/>
      <c r="AI7" s="214" t="str">
        <f>+IF(U7="","",IF(U7&gt;=[6]PARÁMETROS!$D$5,"CUMPLE","NO CUMPLE"))</f>
        <v/>
      </c>
      <c r="AJ7" s="247" t="s">
        <v>856</v>
      </c>
    </row>
    <row r="8" spans="1:39" s="237" customFormat="1" ht="99.75" x14ac:dyDescent="0.25">
      <c r="A8" s="652" t="s">
        <v>465</v>
      </c>
      <c r="B8" s="125" t="s">
        <v>242</v>
      </c>
      <c r="C8" s="408">
        <v>125</v>
      </c>
      <c r="D8" s="127" t="str">
        <f>+IFERROR(INDEX([6]CONSOLIDADO!$D$4:$D$108,MATCH('EXP GEN. 1-8.'!B8,[6]CONSOLIDADO!$C$4:$C$108,0)),"")</f>
        <v xml:space="preserve">AFA CONSULTORES Y CONSTRUCTORES S.A  E.S.P. </v>
      </c>
      <c r="E8" s="128" t="s">
        <v>466</v>
      </c>
      <c r="F8" s="129" t="s">
        <v>467</v>
      </c>
      <c r="G8" s="207" t="s">
        <v>5</v>
      </c>
      <c r="H8" s="207" t="s">
        <v>5</v>
      </c>
      <c r="I8" s="131">
        <v>0.45</v>
      </c>
      <c r="J8" s="132">
        <v>34338</v>
      </c>
      <c r="K8" s="132">
        <v>36305</v>
      </c>
      <c r="L8" s="133">
        <f t="shared" si="0"/>
        <v>1999</v>
      </c>
      <c r="M8" s="134">
        <f>+IFERROR(INDEX([6]PARÁMETROS!$B$11:$B$37,MATCH(L8,[6]PARÁMETROS!$A$11:$A$37,0)),"")</f>
        <v>236460</v>
      </c>
      <c r="N8" s="135">
        <v>4491569047</v>
      </c>
      <c r="O8" s="136" t="s">
        <v>20</v>
      </c>
      <c r="P8" s="125" t="s">
        <v>54</v>
      </c>
      <c r="Q8" s="137" t="s">
        <v>54</v>
      </c>
      <c r="R8" s="138">
        <v>1</v>
      </c>
      <c r="S8" s="134">
        <f t="shared" si="3"/>
        <v>4491569047</v>
      </c>
      <c r="T8" s="139">
        <f t="shared" si="1"/>
        <v>18995.04798697454</v>
      </c>
      <c r="U8" s="139">
        <f t="shared" si="2"/>
        <v>8547.7715941385432</v>
      </c>
      <c r="V8" s="139">
        <v>10</v>
      </c>
      <c r="W8" s="649"/>
      <c r="X8" s="649"/>
      <c r="Y8" s="649"/>
      <c r="Z8" s="649" t="s">
        <v>5</v>
      </c>
      <c r="AA8" s="649"/>
      <c r="AB8" s="649"/>
      <c r="AC8" s="649" t="s">
        <v>5</v>
      </c>
      <c r="AD8" s="649"/>
      <c r="AE8" s="649"/>
      <c r="AF8" s="207" t="s">
        <v>5</v>
      </c>
      <c r="AG8" s="649" t="str">
        <f>IF(U8="","",IF(SUM(U8:U10)&gt;=[6]PARÁMETROS!$H$5,"CUMPLE","NO CUMPLE"))</f>
        <v>CUMPLE</v>
      </c>
      <c r="AH8" s="649" t="str">
        <f>IF(U8="","",IF((U8+U9+U10)&gt;=[6]PARÁMETROS!$F$5,"CUMPLE","NO CUMPLE"))</f>
        <v>CUMPLE</v>
      </c>
      <c r="AI8" s="207" t="str">
        <f>+IF(U8="","",IF(U8&gt;=[6]PARÁMETROS!$D$5,"CUMPLE","NO CUMPLE"))</f>
        <v>CUMPLE</v>
      </c>
      <c r="AJ8" s="128" t="s">
        <v>468</v>
      </c>
    </row>
    <row r="9" spans="1:39" s="79" customFormat="1" ht="63" x14ac:dyDescent="0.25">
      <c r="A9" s="653"/>
      <c r="B9" s="63" t="s">
        <v>242</v>
      </c>
      <c r="C9" s="409">
        <v>128</v>
      </c>
      <c r="D9" s="65" t="str">
        <f>+IFERROR(INDEX([6]CONSOLIDADO!$D$4:$D$108,MATCH('EXP GEN. 1-8.'!B9,[6]CONSOLIDADO!$C$4:$C$108,0)),"")</f>
        <v xml:space="preserve">AFA CONSULTORES Y CONSTRUCTORES S.A  E.S.P. </v>
      </c>
      <c r="E9" s="66" t="s">
        <v>469</v>
      </c>
      <c r="F9" s="67" t="s">
        <v>470</v>
      </c>
      <c r="G9" s="205" t="s">
        <v>5</v>
      </c>
      <c r="H9" s="205" t="s">
        <v>5</v>
      </c>
      <c r="I9" s="69">
        <v>1</v>
      </c>
      <c r="J9" s="70">
        <v>39142</v>
      </c>
      <c r="K9" s="70">
        <v>40920</v>
      </c>
      <c r="L9" s="71">
        <f t="shared" si="0"/>
        <v>2012</v>
      </c>
      <c r="M9" s="72">
        <f>+IFERROR(INDEX([6]PARÁMETROS!$B$11:$B$37,MATCH(L9,[6]PARÁMETROS!$A$11:$A$37,0)),"")</f>
        <v>566700</v>
      </c>
      <c r="N9" s="73">
        <v>3161732843</v>
      </c>
      <c r="O9" s="74" t="s">
        <v>20</v>
      </c>
      <c r="P9" s="63" t="s">
        <v>54</v>
      </c>
      <c r="Q9" s="75" t="s">
        <v>54</v>
      </c>
      <c r="R9" s="76">
        <v>1</v>
      </c>
      <c r="S9" s="72">
        <f t="shared" si="3"/>
        <v>3161732843</v>
      </c>
      <c r="T9" s="60">
        <f t="shared" si="1"/>
        <v>5579.2003582142224</v>
      </c>
      <c r="U9" s="60">
        <f t="shared" si="2"/>
        <v>5579.2003582142224</v>
      </c>
      <c r="V9" s="60">
        <v>5</v>
      </c>
      <c r="W9" s="650" t="s">
        <v>6</v>
      </c>
      <c r="X9" s="650"/>
      <c r="Y9" s="650"/>
      <c r="Z9" s="650" t="s">
        <v>6</v>
      </c>
      <c r="AA9" s="650"/>
      <c r="AB9" s="650"/>
      <c r="AC9" s="650" t="s">
        <v>5</v>
      </c>
      <c r="AD9" s="650"/>
      <c r="AE9" s="650"/>
      <c r="AF9" s="205" t="s">
        <v>5</v>
      </c>
      <c r="AG9" s="650"/>
      <c r="AH9" s="650"/>
      <c r="AI9" s="205" t="str">
        <f>+IF(U9="","",IF(U9&gt;=[6]PARÁMETROS!$D$5,"CUMPLE","NO CUMPLE"))</f>
        <v>CUMPLE</v>
      </c>
      <c r="AJ9" s="66"/>
    </row>
    <row r="10" spans="1:39" s="79" customFormat="1" ht="256.5" x14ac:dyDescent="0.25">
      <c r="A10" s="653"/>
      <c r="B10" s="63" t="s">
        <v>242</v>
      </c>
      <c r="C10" s="409">
        <v>141</v>
      </c>
      <c r="D10" s="65" t="str">
        <f>+IFERROR(INDEX([6]CONSOLIDADO!$D$4:$D$108,MATCH('EXP GEN. 1-8.'!B10,[6]CONSOLIDADO!$C$4:$C$108,0)),"")</f>
        <v xml:space="preserve">AFA CONSULTORES Y CONSTRUCTORES S.A  E.S.P. </v>
      </c>
      <c r="E10" s="66" t="s">
        <v>471</v>
      </c>
      <c r="F10" s="67" t="s">
        <v>472</v>
      </c>
      <c r="G10" s="205" t="s">
        <v>5</v>
      </c>
      <c r="H10" s="205" t="s">
        <v>5</v>
      </c>
      <c r="I10" s="69">
        <v>0.5</v>
      </c>
      <c r="J10" s="70">
        <v>39125</v>
      </c>
      <c r="K10" s="70">
        <v>42012</v>
      </c>
      <c r="L10" s="71">
        <v>2015</v>
      </c>
      <c r="M10" s="72">
        <f>+IFERROR(INDEX([6]PARÁMETROS!$B$11:$B$37,MATCH(L10,[6]PARÁMETROS!$A$11:$A$37,0)),"")</f>
        <v>644350</v>
      </c>
      <c r="N10" s="73">
        <v>15319357761</v>
      </c>
      <c r="O10" s="74" t="s">
        <v>20</v>
      </c>
      <c r="P10" s="63" t="s">
        <v>54</v>
      </c>
      <c r="Q10" s="75" t="s">
        <v>54</v>
      </c>
      <c r="R10" s="76">
        <v>1</v>
      </c>
      <c r="S10" s="72">
        <f t="shared" si="3"/>
        <v>15319357761</v>
      </c>
      <c r="T10" s="60">
        <f t="shared" si="1"/>
        <v>23774.901468146192</v>
      </c>
      <c r="U10" s="60">
        <f t="shared" si="2"/>
        <v>11887.450734073096</v>
      </c>
      <c r="V10" s="60" t="s">
        <v>397</v>
      </c>
      <c r="W10" s="650"/>
      <c r="X10" s="650"/>
      <c r="Y10" s="650"/>
      <c r="Z10" s="650"/>
      <c r="AA10" s="650"/>
      <c r="AB10" s="650"/>
      <c r="AC10" s="650"/>
      <c r="AD10" s="650"/>
      <c r="AE10" s="650"/>
      <c r="AF10" s="205"/>
      <c r="AG10" s="650"/>
      <c r="AH10" s="650"/>
      <c r="AI10" s="205" t="str">
        <f>+IF(U10="","",IF(U10&gt;=[6]PARÁMETROS!$D$5,"CUMPLE","NO CUMPLE"))</f>
        <v>CUMPLE</v>
      </c>
      <c r="AJ10" s="66"/>
    </row>
    <row r="11" spans="1:39" s="79" customFormat="1" ht="114" x14ac:dyDescent="0.25">
      <c r="A11" s="653"/>
      <c r="B11" s="63" t="s">
        <v>247</v>
      </c>
      <c r="C11" s="409">
        <v>167</v>
      </c>
      <c r="D11" s="65" t="str">
        <f>+IFERROR(INDEX([6]CONSOLIDADO!$D$4:$D$108,MATCH('EXP GEN. 1-8.'!B11,[6]CONSOLIDADO!$C$4:$C$108,0)),"")</f>
        <v xml:space="preserve">INCGROUP S.A.S </v>
      </c>
      <c r="E11" s="66" t="s">
        <v>473</v>
      </c>
      <c r="F11" s="67" t="s">
        <v>474</v>
      </c>
      <c r="G11" s="205" t="s">
        <v>5</v>
      </c>
      <c r="H11" s="205" t="s">
        <v>5</v>
      </c>
      <c r="I11" s="69">
        <v>0.65</v>
      </c>
      <c r="J11" s="70">
        <v>39615</v>
      </c>
      <c r="K11" s="70">
        <v>41152</v>
      </c>
      <c r="L11" s="71">
        <f t="shared" si="0"/>
        <v>2012</v>
      </c>
      <c r="M11" s="72">
        <f>+IFERROR(INDEX([6]PARÁMETROS!$B$11:$B$37,MATCH(L11,[6]PARÁMETROS!$A$11:$A$37,0)),"")</f>
        <v>566700</v>
      </c>
      <c r="N11" s="73">
        <v>19146251489</v>
      </c>
      <c r="O11" s="74" t="s">
        <v>20</v>
      </c>
      <c r="P11" s="63" t="s">
        <v>54</v>
      </c>
      <c r="Q11" s="75" t="s">
        <v>54</v>
      </c>
      <c r="R11" s="76">
        <v>1</v>
      </c>
      <c r="S11" s="72">
        <f t="shared" si="3"/>
        <v>19146251489</v>
      </c>
      <c r="T11" s="60">
        <f t="shared" si="1"/>
        <v>33785.515244397386</v>
      </c>
      <c r="U11" s="60">
        <f t="shared" si="2"/>
        <v>21960.584908858302</v>
      </c>
      <c r="V11" s="60" t="s">
        <v>397</v>
      </c>
      <c r="W11" s="650"/>
      <c r="X11" s="650"/>
      <c r="Y11" s="650"/>
      <c r="Z11" s="650"/>
      <c r="AA11" s="650"/>
      <c r="AB11" s="650"/>
      <c r="AC11" s="650"/>
      <c r="AD11" s="650"/>
      <c r="AE11" s="650"/>
      <c r="AF11" s="492"/>
      <c r="AG11" s="650"/>
      <c r="AH11" s="650"/>
      <c r="AI11" s="205" t="str">
        <f>+IF(U11="","",IF(U11&gt;=[6]PARÁMETROS!$D$5,"CUMPLE","NO CUMPLE"))</f>
        <v>CUMPLE</v>
      </c>
      <c r="AJ11" s="244"/>
    </row>
    <row r="12" spans="1:39" s="243" customFormat="1" ht="72" thickBot="1" x14ac:dyDescent="0.3">
      <c r="A12" s="654"/>
      <c r="B12" s="210" t="s">
        <v>247</v>
      </c>
      <c r="C12" s="410">
        <v>196</v>
      </c>
      <c r="D12" s="211" t="str">
        <f>+IFERROR(INDEX([6]CONSOLIDADO!$D$4:$D$108,MATCH('EXP GEN. 1-8.'!B12,[6]CONSOLIDADO!$C$4:$C$108,0)),"")</f>
        <v xml:space="preserve">INCGROUP S.A.S </v>
      </c>
      <c r="E12" s="212" t="s">
        <v>475</v>
      </c>
      <c r="F12" s="213" t="s">
        <v>476</v>
      </c>
      <c r="G12" s="214" t="s">
        <v>5</v>
      </c>
      <c r="H12" s="214" t="s">
        <v>5</v>
      </c>
      <c r="I12" s="215">
        <v>1</v>
      </c>
      <c r="J12" s="216">
        <v>39434</v>
      </c>
      <c r="K12" s="216">
        <v>40895</v>
      </c>
      <c r="L12" s="217">
        <f t="shared" si="0"/>
        <v>2011</v>
      </c>
      <c r="M12" s="202">
        <f>+IFERROR(INDEX([6]PARÁMETROS!$B$11:$B$37,MATCH(L12,[6]PARÁMETROS!$A$11:$A$37,0)),"")</f>
        <v>535600</v>
      </c>
      <c r="N12" s="218">
        <f>10377.67+498128.39+505492.28+248827.03+249301.3+480386.84+100018.21</f>
        <v>2092531.7200000002</v>
      </c>
      <c r="O12" s="245" t="s">
        <v>24</v>
      </c>
      <c r="P12" s="210">
        <v>1.30382</v>
      </c>
      <c r="Q12" s="219">
        <f>+N12*P12</f>
        <v>2728284.7071704003</v>
      </c>
      <c r="R12" s="220">
        <v>1935.64</v>
      </c>
      <c r="S12" s="202">
        <f>+Q12*R12</f>
        <v>5280977010.5873137</v>
      </c>
      <c r="T12" s="204">
        <f t="shared" si="1"/>
        <v>9859.9272042332213</v>
      </c>
      <c r="U12" s="204">
        <f t="shared" si="2"/>
        <v>9859.9272042332213</v>
      </c>
      <c r="V12" s="60" t="s">
        <v>397</v>
      </c>
      <c r="W12" s="655"/>
      <c r="X12" s="655"/>
      <c r="Y12" s="655"/>
      <c r="Z12" s="655"/>
      <c r="AA12" s="655"/>
      <c r="AB12" s="655"/>
      <c r="AC12" s="655"/>
      <c r="AD12" s="655"/>
      <c r="AE12" s="655"/>
      <c r="AF12" s="493"/>
      <c r="AG12" s="651"/>
      <c r="AH12" s="651"/>
      <c r="AI12" s="214" t="str">
        <f>+IF(U12="","",IF(U12&gt;=[6]PARÁMETROS!$D$5,"CUMPLE","NO CUMPLE"))</f>
        <v>CUMPLE</v>
      </c>
      <c r="AJ12" s="246"/>
    </row>
    <row r="13" spans="1:39" s="237" customFormat="1" ht="63" x14ac:dyDescent="0.25">
      <c r="A13" s="652" t="s">
        <v>477</v>
      </c>
      <c r="B13" s="125" t="s">
        <v>243</v>
      </c>
      <c r="C13" s="408">
        <v>258</v>
      </c>
      <c r="D13" s="127" t="str">
        <f>+IFERROR(INDEX([6]CONSOLIDADO!$D$4:$D$108,MATCH('EXP GEN. 1-8.'!B13,[6]CONSOLIDADO!$C$4:$C$108,0)),"")</f>
        <v>INGENIEROS CIVILES ESPECIALISTAS LTDA</v>
      </c>
      <c r="E13" s="128" t="s">
        <v>478</v>
      </c>
      <c r="F13" s="129" t="s">
        <v>479</v>
      </c>
      <c r="G13" s="207" t="s">
        <v>5</v>
      </c>
      <c r="H13" s="207" t="s">
        <v>5</v>
      </c>
      <c r="I13" s="131">
        <v>0.5</v>
      </c>
      <c r="J13" s="132">
        <v>37288</v>
      </c>
      <c r="K13" s="132">
        <v>41041</v>
      </c>
      <c r="L13" s="133">
        <f t="shared" si="0"/>
        <v>2012</v>
      </c>
      <c r="M13" s="134">
        <f>+IFERROR(INDEX([6]PARÁMETROS!$B$11:$B$37,MATCH(L13,[6]PARÁMETROS!$A$11:$A$37,0)),"")</f>
        <v>566700</v>
      </c>
      <c r="N13" s="503"/>
      <c r="O13" s="136" t="s">
        <v>20</v>
      </c>
      <c r="P13" s="125" t="s">
        <v>54</v>
      </c>
      <c r="Q13" s="137" t="s">
        <v>54</v>
      </c>
      <c r="R13" s="138">
        <v>1</v>
      </c>
      <c r="S13" s="134">
        <f t="shared" si="3"/>
        <v>0</v>
      </c>
      <c r="T13" s="139">
        <f t="shared" si="1"/>
        <v>0</v>
      </c>
      <c r="U13" s="139">
        <f t="shared" si="2"/>
        <v>0</v>
      </c>
      <c r="V13" s="139" t="s">
        <v>397</v>
      </c>
      <c r="W13" s="649"/>
      <c r="X13" s="649"/>
      <c r="Y13" s="649"/>
      <c r="Z13" s="649"/>
      <c r="AA13" s="649"/>
      <c r="AB13" s="649"/>
      <c r="AC13" s="649"/>
      <c r="AD13" s="649"/>
      <c r="AE13" s="649"/>
      <c r="AF13" s="207"/>
      <c r="AG13" s="656" t="s">
        <v>885</v>
      </c>
      <c r="AH13" s="656" t="s">
        <v>885</v>
      </c>
      <c r="AI13" s="593" t="s">
        <v>885</v>
      </c>
      <c r="AJ13" s="128" t="s">
        <v>867</v>
      </c>
    </row>
    <row r="14" spans="1:39" s="79" customFormat="1" ht="63" x14ac:dyDescent="0.25">
      <c r="A14" s="653"/>
      <c r="B14" s="63" t="s">
        <v>243</v>
      </c>
      <c r="C14" s="409">
        <v>288</v>
      </c>
      <c r="D14" s="65" t="str">
        <f>+IFERROR(INDEX([6]CONSOLIDADO!$D$4:$D$108,MATCH('EXP GEN. 1-8.'!B14,[6]CONSOLIDADO!$C$4:$C$108,0)),"")</f>
        <v>INGENIEROS CIVILES ESPECIALISTAS LTDA</v>
      </c>
      <c r="E14" s="66" t="s">
        <v>480</v>
      </c>
      <c r="F14" s="66" t="s">
        <v>481</v>
      </c>
      <c r="G14" s="205" t="s">
        <v>5</v>
      </c>
      <c r="H14" s="205" t="s">
        <v>5</v>
      </c>
      <c r="I14" s="80">
        <v>1</v>
      </c>
      <c r="J14" s="70">
        <v>40778</v>
      </c>
      <c r="K14" s="70">
        <v>41225</v>
      </c>
      <c r="L14" s="71">
        <f t="shared" si="0"/>
        <v>2012</v>
      </c>
      <c r="M14" s="72">
        <f>+IFERROR(INDEX([6]PARÁMETROS!$B$11:$B$37,MATCH(L14,[6]PARÁMETROS!$A$11:$A$37,0)),"")</f>
        <v>566700</v>
      </c>
      <c r="N14" s="81">
        <v>1568703830</v>
      </c>
      <c r="O14" s="72" t="s">
        <v>20</v>
      </c>
      <c r="P14" s="63" t="s">
        <v>54</v>
      </c>
      <c r="Q14" s="75" t="s">
        <v>54</v>
      </c>
      <c r="R14" s="76">
        <v>1</v>
      </c>
      <c r="S14" s="72">
        <f t="shared" si="3"/>
        <v>1568703830</v>
      </c>
      <c r="T14" s="60">
        <f t="shared" si="1"/>
        <v>2768.1380448208929</v>
      </c>
      <c r="U14" s="60">
        <f t="shared" si="2"/>
        <v>2768.1380448208929</v>
      </c>
      <c r="V14" s="60">
        <v>3</v>
      </c>
      <c r="W14" s="650" t="s">
        <v>5</v>
      </c>
      <c r="X14" s="650"/>
      <c r="Y14" s="650"/>
      <c r="Z14" s="650" t="s">
        <v>5</v>
      </c>
      <c r="AA14" s="650"/>
      <c r="AB14" s="650"/>
      <c r="AC14" s="650" t="s">
        <v>5</v>
      </c>
      <c r="AD14" s="650"/>
      <c r="AE14" s="650"/>
      <c r="AF14" s="205" t="s">
        <v>5</v>
      </c>
      <c r="AG14" s="657"/>
      <c r="AH14" s="657"/>
      <c r="AI14" s="205" t="str">
        <f>+IF(U14="","",IF(U14&gt;=[6]PARÁMETROS!$D$5,"CUMPLE","NO CUMPLE"))</f>
        <v>CUMPLE</v>
      </c>
      <c r="AJ14" s="66"/>
    </row>
    <row r="15" spans="1:39" s="79" customFormat="1" ht="71.25" x14ac:dyDescent="0.25">
      <c r="A15" s="653"/>
      <c r="B15" s="63" t="s">
        <v>248</v>
      </c>
      <c r="C15" s="409">
        <v>310</v>
      </c>
      <c r="D15" s="65" t="str">
        <f>+IFERROR(INDEX([6]CONSOLIDADO!$D$4:$D$108,MATCH('EXP GEN. 1-8.'!B15,[6]CONSOLIDADO!$C$4:$C$108,0)),"")</f>
        <v>INGENIERIA DE PROYECTOS S.A.S.</v>
      </c>
      <c r="E15" s="66" t="s">
        <v>482</v>
      </c>
      <c r="F15" s="67" t="s">
        <v>483</v>
      </c>
      <c r="G15" s="205" t="s">
        <v>5</v>
      </c>
      <c r="H15" s="205" t="s">
        <v>5</v>
      </c>
      <c r="I15" s="69">
        <v>0.5</v>
      </c>
      <c r="J15" s="70">
        <v>38338</v>
      </c>
      <c r="K15" s="70">
        <v>40296</v>
      </c>
      <c r="L15" s="71">
        <f t="shared" si="0"/>
        <v>2010</v>
      </c>
      <c r="M15" s="72">
        <f>+IFERROR(INDEX([6]PARÁMETROS!$B$11:$B$37,MATCH(L15,[6]PARÁMETROS!$A$11:$A$37,0)),"")</f>
        <v>515000</v>
      </c>
      <c r="N15" s="73">
        <v>5611007439</v>
      </c>
      <c r="O15" s="74" t="s">
        <v>20</v>
      </c>
      <c r="P15" s="63" t="s">
        <v>54</v>
      </c>
      <c r="Q15" s="75" t="s">
        <v>54</v>
      </c>
      <c r="R15" s="76">
        <v>1</v>
      </c>
      <c r="S15" s="72">
        <f t="shared" si="3"/>
        <v>5611007439</v>
      </c>
      <c r="T15" s="60">
        <f t="shared" si="1"/>
        <v>10895.160075728156</v>
      </c>
      <c r="U15" s="60">
        <f t="shared" si="2"/>
        <v>5447.5800378640779</v>
      </c>
      <c r="V15" s="60">
        <v>109</v>
      </c>
      <c r="W15" s="650" t="s">
        <v>5</v>
      </c>
      <c r="X15" s="650"/>
      <c r="Y15" s="650"/>
      <c r="Z15" s="650" t="s">
        <v>5</v>
      </c>
      <c r="AA15" s="650"/>
      <c r="AB15" s="650"/>
      <c r="AC15" s="650" t="s">
        <v>5</v>
      </c>
      <c r="AD15" s="650"/>
      <c r="AE15" s="650"/>
      <c r="AF15" s="205" t="s">
        <v>5</v>
      </c>
      <c r="AG15" s="657"/>
      <c r="AH15" s="657"/>
      <c r="AI15" s="205" t="str">
        <f>+IF(U15="","",IF(U15&gt;=[6]PARÁMETROS!$D$5,"CUMPLE","NO CUMPLE"))</f>
        <v>CUMPLE</v>
      </c>
      <c r="AJ15" s="66"/>
    </row>
    <row r="16" spans="1:39" s="79" customFormat="1" ht="78.75" x14ac:dyDescent="0.25">
      <c r="A16" s="653"/>
      <c r="B16" s="63" t="s">
        <v>248</v>
      </c>
      <c r="C16" s="409">
        <v>338</v>
      </c>
      <c r="D16" s="65" t="str">
        <f>+IFERROR(INDEX([6]CONSOLIDADO!$D$4:$D$108,MATCH('EXP GEN. 1-8.'!B16,[6]CONSOLIDADO!$C$4:$C$108,0)),"")</f>
        <v>INGENIERIA DE PROYECTOS S.A.S.</v>
      </c>
      <c r="E16" s="66" t="s">
        <v>473</v>
      </c>
      <c r="F16" s="82" t="s">
        <v>484</v>
      </c>
      <c r="G16" s="205" t="s">
        <v>5</v>
      </c>
      <c r="H16" s="205" t="s">
        <v>5</v>
      </c>
      <c r="I16" s="69">
        <v>1</v>
      </c>
      <c r="J16" s="70">
        <v>39181</v>
      </c>
      <c r="K16" s="70">
        <v>39950</v>
      </c>
      <c r="L16" s="71">
        <f t="shared" si="0"/>
        <v>2009</v>
      </c>
      <c r="M16" s="72">
        <f>+IFERROR(INDEX([6]PARÁMETROS!$B$11:$B$37,MATCH(L16,[6]PARÁMETROS!$A$11:$A$37,0)),"")</f>
        <v>496900</v>
      </c>
      <c r="N16" s="73">
        <v>1219868640</v>
      </c>
      <c r="O16" s="74" t="s">
        <v>20</v>
      </c>
      <c r="P16" s="63" t="s">
        <v>54</v>
      </c>
      <c r="Q16" s="75" t="s">
        <v>54</v>
      </c>
      <c r="R16" s="76">
        <v>1</v>
      </c>
      <c r="S16" s="72">
        <f t="shared" si="3"/>
        <v>1219868640</v>
      </c>
      <c r="T16" s="60">
        <f t="shared" si="1"/>
        <v>2454.9580197222781</v>
      </c>
      <c r="U16" s="60">
        <f t="shared" si="2"/>
        <v>2454.9580197222781</v>
      </c>
      <c r="V16" s="60">
        <v>180</v>
      </c>
      <c r="W16" s="650" t="s">
        <v>5</v>
      </c>
      <c r="X16" s="650"/>
      <c r="Y16" s="650"/>
      <c r="Z16" s="650" t="s">
        <v>5</v>
      </c>
      <c r="AA16" s="650"/>
      <c r="AB16" s="650"/>
      <c r="AC16" s="650" t="s">
        <v>5</v>
      </c>
      <c r="AD16" s="650"/>
      <c r="AE16" s="650"/>
      <c r="AF16" s="205" t="s">
        <v>5</v>
      </c>
      <c r="AG16" s="657"/>
      <c r="AH16" s="657"/>
      <c r="AI16" s="205" t="str">
        <f>+IF(U16="","",IF(U16&gt;=[6]PARÁMETROS!$D$5,"CUMPLE","NO CUMPLE"))</f>
        <v>CUMPLE</v>
      </c>
      <c r="AJ16" s="66"/>
    </row>
    <row r="17" spans="1:36" s="243" customFormat="1" ht="86.25" thickBot="1" x14ac:dyDescent="0.3">
      <c r="A17" s="654"/>
      <c r="B17" s="210" t="s">
        <v>248</v>
      </c>
      <c r="C17" s="410">
        <v>376</v>
      </c>
      <c r="D17" s="211" t="str">
        <f>+IFERROR(INDEX([6]CONSOLIDADO!$D$4:$D$108,MATCH('EXP GEN. 1-8.'!B17,[6]CONSOLIDADO!$C$4:$C$108,0)),"")</f>
        <v>INGENIERIA DE PROYECTOS S.A.S.</v>
      </c>
      <c r="E17" s="212" t="s">
        <v>485</v>
      </c>
      <c r="F17" s="213" t="s">
        <v>486</v>
      </c>
      <c r="G17" s="214" t="s">
        <v>5</v>
      </c>
      <c r="H17" s="214" t="s">
        <v>5</v>
      </c>
      <c r="I17" s="215">
        <v>1</v>
      </c>
      <c r="J17" s="216">
        <v>40609</v>
      </c>
      <c r="K17" s="216">
        <v>41441</v>
      </c>
      <c r="L17" s="217">
        <f t="shared" si="0"/>
        <v>2013</v>
      </c>
      <c r="M17" s="202">
        <f>+IFERROR(INDEX([6]PARÁMETROS!$B$11:$B$37,MATCH(L17,[6]PARÁMETROS!$A$11:$A$37,0)),"")</f>
        <v>589500</v>
      </c>
      <c r="N17" s="218">
        <v>1749995913</v>
      </c>
      <c r="O17" s="203" t="s">
        <v>20</v>
      </c>
      <c r="P17" s="210" t="s">
        <v>54</v>
      </c>
      <c r="Q17" s="219" t="s">
        <v>54</v>
      </c>
      <c r="R17" s="220">
        <v>1</v>
      </c>
      <c r="S17" s="202">
        <f t="shared" si="3"/>
        <v>1749995913</v>
      </c>
      <c r="T17" s="204">
        <f t="shared" si="1"/>
        <v>2968.6105394402034</v>
      </c>
      <c r="U17" s="204">
        <f t="shared" si="2"/>
        <v>2968.6105394402034</v>
      </c>
      <c r="V17" s="204">
        <v>38</v>
      </c>
      <c r="W17" s="655" t="s">
        <v>5</v>
      </c>
      <c r="X17" s="655"/>
      <c r="Y17" s="655"/>
      <c r="Z17" s="655" t="s">
        <v>5</v>
      </c>
      <c r="AA17" s="655"/>
      <c r="AB17" s="655"/>
      <c r="AC17" s="655" t="s">
        <v>5</v>
      </c>
      <c r="AD17" s="655"/>
      <c r="AE17" s="655"/>
      <c r="AF17" s="214" t="s">
        <v>5</v>
      </c>
      <c r="AG17" s="658"/>
      <c r="AH17" s="658"/>
      <c r="AI17" s="214" t="str">
        <f>+IF(U17="","",IF(U17&gt;=[6]PARÁMETROS!$D$5,"CUMPLE","NO CUMPLE"))</f>
        <v>CUMPLE</v>
      </c>
      <c r="AJ17" s="212"/>
    </row>
    <row r="18" spans="1:36" s="237" customFormat="1" ht="47.25" x14ac:dyDescent="0.25">
      <c r="A18" s="652" t="s">
        <v>487</v>
      </c>
      <c r="B18" s="125" t="s">
        <v>244</v>
      </c>
      <c r="C18" s="408">
        <v>141</v>
      </c>
      <c r="D18" s="127" t="str">
        <f>+IFERROR(INDEX([6]CONSOLIDADO!$D$4:$D$108,MATCH('EXP GEN. 1-8.'!B18,[6]CONSOLIDADO!$C$4:$C$108,0)),"")</f>
        <v>GOMEZ CAJIAO Y ASOCIADOS S.A.</v>
      </c>
      <c r="E18" s="128" t="s">
        <v>488</v>
      </c>
      <c r="F18" s="129" t="s">
        <v>489</v>
      </c>
      <c r="G18" s="207" t="s">
        <v>5</v>
      </c>
      <c r="H18" s="207" t="s">
        <v>5</v>
      </c>
      <c r="I18" s="131">
        <v>0.33</v>
      </c>
      <c r="J18" s="132">
        <v>39792</v>
      </c>
      <c r="K18" s="132">
        <v>40977</v>
      </c>
      <c r="L18" s="133">
        <f t="shared" si="0"/>
        <v>2012</v>
      </c>
      <c r="M18" s="134">
        <f>+IFERROR(INDEX([6]PARÁMETROS!$B$11:$B$37,MATCH(L18,[6]PARÁMETROS!$A$11:$A$37,0)),"")</f>
        <v>566700</v>
      </c>
      <c r="N18" s="135">
        <v>4939884563</v>
      </c>
      <c r="O18" s="136" t="s">
        <v>20</v>
      </c>
      <c r="P18" s="125" t="s">
        <v>54</v>
      </c>
      <c r="Q18" s="137" t="s">
        <v>54</v>
      </c>
      <c r="R18" s="138">
        <v>1</v>
      </c>
      <c r="S18" s="134">
        <f t="shared" si="3"/>
        <v>4939884563</v>
      </c>
      <c r="T18" s="139">
        <f t="shared" si="1"/>
        <v>8716.9305858478911</v>
      </c>
      <c r="U18" s="139">
        <f t="shared" si="2"/>
        <v>2876.5870933298042</v>
      </c>
      <c r="V18" s="139">
        <v>170</v>
      </c>
      <c r="W18" s="649" t="s">
        <v>5</v>
      </c>
      <c r="X18" s="649"/>
      <c r="Y18" s="649"/>
      <c r="Z18" s="649" t="s">
        <v>5</v>
      </c>
      <c r="AA18" s="649"/>
      <c r="AB18" s="649"/>
      <c r="AC18" s="649" t="s">
        <v>5</v>
      </c>
      <c r="AD18" s="649"/>
      <c r="AE18" s="649"/>
      <c r="AF18" s="207" t="s">
        <v>5</v>
      </c>
      <c r="AG18" s="649" t="str">
        <f>IF(U18="","",IF(SUM(U18:U23)&gt;=[6]PARÁMETROS!$H$5,"CUMPLE","NO CUMPLE"))</f>
        <v>CUMPLE</v>
      </c>
      <c r="AH18" s="649" t="str">
        <f>IF(U18="","",IF((U18+U19+U20+U21)&gt;=[6]PARÁMETROS!$F$5,"CUMPLE","NO CUMPLE"))</f>
        <v>CUMPLE</v>
      </c>
      <c r="AI18" s="207" t="str">
        <f>+IF(U18="","",IF(U18&gt;=[6]PARÁMETROS!$D$5,"CUMPLE","NO CUMPLE"))</f>
        <v>CUMPLE</v>
      </c>
      <c r="AJ18" s="128"/>
    </row>
    <row r="19" spans="1:36" s="79" customFormat="1" ht="47.25" x14ac:dyDescent="0.25">
      <c r="A19" s="653"/>
      <c r="B19" s="63" t="s">
        <v>244</v>
      </c>
      <c r="C19" s="409">
        <v>151</v>
      </c>
      <c r="D19" s="65" t="str">
        <f>+IFERROR(INDEX([6]CONSOLIDADO!$D$4:$D$108,MATCH('EXP GEN. 1-8.'!B19,[6]CONSOLIDADO!$C$4:$C$108,0)),"")</f>
        <v>GOMEZ CAJIAO Y ASOCIADOS S.A.</v>
      </c>
      <c r="E19" s="66" t="s">
        <v>482</v>
      </c>
      <c r="F19" s="67" t="s">
        <v>490</v>
      </c>
      <c r="G19" s="205" t="s">
        <v>5</v>
      </c>
      <c r="H19" s="205" t="s">
        <v>5</v>
      </c>
      <c r="I19" s="69">
        <v>1</v>
      </c>
      <c r="J19" s="70">
        <v>38366</v>
      </c>
      <c r="K19" s="70">
        <v>39071</v>
      </c>
      <c r="L19" s="71">
        <f t="shared" si="0"/>
        <v>2006</v>
      </c>
      <c r="M19" s="72">
        <f>+IFERROR(INDEX([6]PARÁMETROS!$B$11:$B$37,MATCH(L19,[6]PARÁMETROS!$A$11:$A$37,0)),"")</f>
        <v>408000</v>
      </c>
      <c r="N19" s="73">
        <v>1534302721</v>
      </c>
      <c r="O19" s="74" t="s">
        <v>20</v>
      </c>
      <c r="P19" s="63" t="s">
        <v>54</v>
      </c>
      <c r="Q19" s="75" t="s">
        <v>54</v>
      </c>
      <c r="R19" s="76">
        <v>1</v>
      </c>
      <c r="S19" s="72">
        <f t="shared" si="3"/>
        <v>1534302721</v>
      </c>
      <c r="T19" s="60">
        <f t="shared" si="1"/>
        <v>3760.5458848039216</v>
      </c>
      <c r="U19" s="60">
        <f t="shared" si="2"/>
        <v>3760.5458848039216</v>
      </c>
      <c r="V19" s="60">
        <v>10</v>
      </c>
      <c r="W19" s="650" t="s">
        <v>6</v>
      </c>
      <c r="X19" s="650"/>
      <c r="Y19" s="650"/>
      <c r="Z19" s="650" t="s">
        <v>6</v>
      </c>
      <c r="AA19" s="650"/>
      <c r="AB19" s="650"/>
      <c r="AC19" s="650" t="s">
        <v>5</v>
      </c>
      <c r="AD19" s="650"/>
      <c r="AE19" s="650"/>
      <c r="AF19" s="205" t="s">
        <v>5</v>
      </c>
      <c r="AG19" s="650"/>
      <c r="AH19" s="650"/>
      <c r="AI19" s="205" t="str">
        <f>+IF(U19="","",IF(U19&gt;=[6]PARÁMETROS!$D$5,"CUMPLE","NO CUMPLE"))</f>
        <v>CUMPLE</v>
      </c>
      <c r="AJ19" s="66"/>
    </row>
    <row r="20" spans="1:36" s="79" customFormat="1" ht="47.25" x14ac:dyDescent="0.25">
      <c r="A20" s="653"/>
      <c r="B20" s="63" t="s">
        <v>244</v>
      </c>
      <c r="C20" s="409">
        <v>156</v>
      </c>
      <c r="D20" s="65" t="str">
        <f>+IFERROR(INDEX([6]CONSOLIDADO!$D$4:$D$108,MATCH('EXP GEN. 1-8.'!B20,[6]CONSOLIDADO!$C$4:$C$108,0)),"")</f>
        <v>GOMEZ CAJIAO Y ASOCIADOS S.A.</v>
      </c>
      <c r="E20" s="66" t="s">
        <v>482</v>
      </c>
      <c r="F20" s="67" t="s">
        <v>491</v>
      </c>
      <c r="G20" s="205" t="s">
        <v>5</v>
      </c>
      <c r="H20" s="205" t="s">
        <v>5</v>
      </c>
      <c r="I20" s="69">
        <v>1</v>
      </c>
      <c r="J20" s="70">
        <v>35409</v>
      </c>
      <c r="K20" s="70">
        <v>35864</v>
      </c>
      <c r="L20" s="71">
        <f t="shared" si="0"/>
        <v>1998</v>
      </c>
      <c r="M20" s="72">
        <f>+IFERROR(INDEX([6]PARÁMETROS!$B$11:$B$37,MATCH(L20,[6]PARÁMETROS!$A$11:$A$37,0)),"")</f>
        <v>203826</v>
      </c>
      <c r="N20" s="73">
        <v>749999988</v>
      </c>
      <c r="O20" s="74" t="s">
        <v>20</v>
      </c>
      <c r="P20" s="63" t="s">
        <v>54</v>
      </c>
      <c r="Q20" s="75" t="s">
        <v>54</v>
      </c>
      <c r="R20" s="76">
        <v>1</v>
      </c>
      <c r="S20" s="72">
        <f t="shared" si="3"/>
        <v>749999988</v>
      </c>
      <c r="T20" s="60">
        <f t="shared" si="1"/>
        <v>3679.6090194577728</v>
      </c>
      <c r="U20" s="60">
        <f t="shared" si="2"/>
        <v>3679.6090194577728</v>
      </c>
      <c r="V20" s="60">
        <v>96</v>
      </c>
      <c r="W20" s="650" t="s">
        <v>5</v>
      </c>
      <c r="X20" s="650"/>
      <c r="Y20" s="650"/>
      <c r="Z20" s="650" t="s">
        <v>5</v>
      </c>
      <c r="AA20" s="650"/>
      <c r="AB20" s="650"/>
      <c r="AC20" s="650" t="s">
        <v>5</v>
      </c>
      <c r="AD20" s="650"/>
      <c r="AE20" s="650"/>
      <c r="AF20" s="205" t="s">
        <v>5</v>
      </c>
      <c r="AG20" s="650"/>
      <c r="AH20" s="650"/>
      <c r="AI20" s="205" t="str">
        <f>+IF(U20="","",IF(U20&gt;=[6]PARÁMETROS!$D$5,"CUMPLE","NO CUMPLE"))</f>
        <v>CUMPLE</v>
      </c>
      <c r="AJ20" s="66"/>
    </row>
    <row r="21" spans="1:36" s="79" customFormat="1" ht="99.75" x14ac:dyDescent="0.25">
      <c r="A21" s="653"/>
      <c r="B21" s="63" t="s">
        <v>244</v>
      </c>
      <c r="C21" s="409">
        <v>162</v>
      </c>
      <c r="D21" s="65" t="str">
        <f>+IFERROR(INDEX([6]CONSOLIDADO!$D$4:$D$108,MATCH('EXP GEN. 1-8.'!B21,[6]CONSOLIDADO!$C$4:$C$108,0)),"")</f>
        <v>GOMEZ CAJIAO Y ASOCIADOS S.A.</v>
      </c>
      <c r="E21" s="66" t="s">
        <v>473</v>
      </c>
      <c r="F21" s="67" t="s">
        <v>492</v>
      </c>
      <c r="G21" s="205" t="s">
        <v>5</v>
      </c>
      <c r="H21" s="205" t="s">
        <v>5</v>
      </c>
      <c r="I21" s="69">
        <v>0.5</v>
      </c>
      <c r="J21" s="70">
        <v>38034</v>
      </c>
      <c r="K21" s="70">
        <v>40770</v>
      </c>
      <c r="L21" s="71">
        <f t="shared" si="0"/>
        <v>2011</v>
      </c>
      <c r="M21" s="72">
        <f>+IFERROR(INDEX([6]PARÁMETROS!$B$11:$B$37,MATCH(L21,[6]PARÁMETROS!$A$11:$A$37,0)),"")</f>
        <v>535600</v>
      </c>
      <c r="N21" s="73">
        <v>9131630030</v>
      </c>
      <c r="O21" s="74" t="s">
        <v>20</v>
      </c>
      <c r="P21" s="63" t="s">
        <v>54</v>
      </c>
      <c r="Q21" s="75" t="s">
        <v>54</v>
      </c>
      <c r="R21" s="76">
        <v>1</v>
      </c>
      <c r="S21" s="72">
        <f t="shared" si="3"/>
        <v>9131630030</v>
      </c>
      <c r="T21" s="60">
        <f t="shared" si="1"/>
        <v>17049.346583271097</v>
      </c>
      <c r="U21" s="60">
        <f t="shared" si="2"/>
        <v>8524.6732916355486</v>
      </c>
      <c r="V21" s="60">
        <v>21</v>
      </c>
      <c r="W21" s="650" t="s">
        <v>5</v>
      </c>
      <c r="X21" s="650"/>
      <c r="Y21" s="650"/>
      <c r="Z21" s="650" t="s">
        <v>5</v>
      </c>
      <c r="AA21" s="650"/>
      <c r="AB21" s="650"/>
      <c r="AC21" s="650" t="s">
        <v>5</v>
      </c>
      <c r="AD21" s="650"/>
      <c r="AE21" s="650"/>
      <c r="AF21" s="205" t="s">
        <v>5</v>
      </c>
      <c r="AG21" s="650"/>
      <c r="AH21" s="650"/>
      <c r="AI21" s="205" t="str">
        <f>+IF(U21="","",IF(U21&gt;=[6]PARÁMETROS!$D$5,"CUMPLE","NO CUMPLE"))</f>
        <v>CUMPLE</v>
      </c>
      <c r="AJ21" s="66"/>
    </row>
    <row r="22" spans="1:36" s="79" customFormat="1" ht="78.75" x14ac:dyDescent="0.25">
      <c r="A22" s="653"/>
      <c r="B22" s="63" t="s">
        <v>249</v>
      </c>
      <c r="C22" s="409">
        <v>177</v>
      </c>
      <c r="D22" s="65" t="str">
        <f>+IFERROR(INDEX([6]CONSOLIDADO!$D$4:$D$108,MATCH('EXP GEN. 1-8.'!B22,[6]CONSOLIDADO!$C$4:$C$108,0)),"")</f>
        <v>CONSULTORIA INTOK DE COLOMBIA Y ASOCIADOS S.A.S.</v>
      </c>
      <c r="E22" s="66" t="s">
        <v>493</v>
      </c>
      <c r="F22" s="67" t="s">
        <v>494</v>
      </c>
      <c r="G22" s="205" t="s">
        <v>5</v>
      </c>
      <c r="H22" s="205" t="s">
        <v>5</v>
      </c>
      <c r="I22" s="69">
        <v>1</v>
      </c>
      <c r="J22" s="70">
        <v>38562</v>
      </c>
      <c r="K22" s="70">
        <v>39521</v>
      </c>
      <c r="L22" s="71">
        <f t="shared" si="0"/>
        <v>2008</v>
      </c>
      <c r="M22" s="72">
        <f>+IFERROR(INDEX([6]PARÁMETROS!$B$11:$B$37,MATCH(L22,[6]PARÁMETROS!$A$11:$A$37,0)),"")</f>
        <v>461500</v>
      </c>
      <c r="N22" s="73">
        <f>441844+1494126.4+841754+51741.8+8763.8</f>
        <v>2838229.9999999995</v>
      </c>
      <c r="O22" s="74" t="s">
        <v>24</v>
      </c>
      <c r="P22" s="63">
        <v>1.5567</v>
      </c>
      <c r="Q22" s="75">
        <f>+N22*P22</f>
        <v>4418272.6409999989</v>
      </c>
      <c r="R22" s="76">
        <v>1856.01</v>
      </c>
      <c r="S22" s="72">
        <f>+R22*Q22</f>
        <v>8200358204.4224081</v>
      </c>
      <c r="T22" s="60">
        <f t="shared" si="1"/>
        <v>17768.923519875207</v>
      </c>
      <c r="U22" s="60">
        <f t="shared" si="2"/>
        <v>17768.923519875207</v>
      </c>
      <c r="V22" s="60">
        <v>28</v>
      </c>
      <c r="W22" s="650" t="s">
        <v>5</v>
      </c>
      <c r="X22" s="650"/>
      <c r="Y22" s="650"/>
      <c r="Z22" s="650" t="s">
        <v>5</v>
      </c>
      <c r="AA22" s="650"/>
      <c r="AB22" s="650"/>
      <c r="AC22" s="650" t="s">
        <v>6</v>
      </c>
      <c r="AD22" s="650"/>
      <c r="AE22" s="650"/>
      <c r="AF22" s="205" t="s">
        <v>5</v>
      </c>
      <c r="AG22" s="650"/>
      <c r="AH22" s="650"/>
      <c r="AI22" s="205" t="str">
        <f>+IF(U22="","",IF(U22&gt;=[6]PARÁMETROS!$D$5,"CUMPLE","NO CUMPLE"))</f>
        <v>CUMPLE</v>
      </c>
      <c r="AJ22" s="66"/>
    </row>
    <row r="23" spans="1:36" s="243" customFormat="1" ht="79.5" thickBot="1" x14ac:dyDescent="0.3">
      <c r="A23" s="654"/>
      <c r="B23" s="210" t="s">
        <v>249</v>
      </c>
      <c r="C23" s="410">
        <v>186</v>
      </c>
      <c r="D23" s="211" t="str">
        <f>+IFERROR(INDEX([6]CONSOLIDADO!$D$4:$D$108,MATCH('EXP GEN. 1-8.'!B23,[6]CONSOLIDADO!$C$4:$C$108,0)),"")</f>
        <v>CONSULTORIA INTOK DE COLOMBIA Y ASOCIADOS S.A.S.</v>
      </c>
      <c r="E23" s="212" t="s">
        <v>495</v>
      </c>
      <c r="F23" s="213" t="s">
        <v>496</v>
      </c>
      <c r="G23" s="214" t="s">
        <v>5</v>
      </c>
      <c r="H23" s="214" t="s">
        <v>5</v>
      </c>
      <c r="I23" s="215">
        <v>1</v>
      </c>
      <c r="J23" s="216">
        <v>38701</v>
      </c>
      <c r="K23" s="216">
        <v>40085</v>
      </c>
      <c r="L23" s="217">
        <f t="shared" si="0"/>
        <v>2009</v>
      </c>
      <c r="M23" s="202">
        <f>+IFERROR(INDEX([6]PARÁMETROS!$B$11:$B$37,MATCH(L23,[6]PARÁMETROS!$A$11:$A$37,0)),"")</f>
        <v>496900</v>
      </c>
      <c r="N23" s="218">
        <v>1020058.28</v>
      </c>
      <c r="O23" s="203" t="s">
        <v>24</v>
      </c>
      <c r="P23" s="210">
        <v>1.46326</v>
      </c>
      <c r="Q23" s="219">
        <f>+N23*P23</f>
        <v>1492610.4787928001</v>
      </c>
      <c r="R23" s="220">
        <v>1921.64</v>
      </c>
      <c r="S23" s="202">
        <f>+R23*Q23</f>
        <v>2868260000.4673967</v>
      </c>
      <c r="T23" s="204">
        <f t="shared" si="1"/>
        <v>5772.3083124721206</v>
      </c>
      <c r="U23" s="204">
        <f t="shared" si="2"/>
        <v>5772.3083124721206</v>
      </c>
      <c r="V23" s="204">
        <v>60</v>
      </c>
      <c r="W23" s="655" t="s">
        <v>5</v>
      </c>
      <c r="X23" s="655"/>
      <c r="Y23" s="655"/>
      <c r="Z23" s="655" t="s">
        <v>5</v>
      </c>
      <c r="AA23" s="655"/>
      <c r="AB23" s="655"/>
      <c r="AC23" s="655" t="s">
        <v>5</v>
      </c>
      <c r="AD23" s="655"/>
      <c r="AE23" s="655"/>
      <c r="AF23" s="214" t="s">
        <v>5</v>
      </c>
      <c r="AG23" s="651"/>
      <c r="AH23" s="651"/>
      <c r="AI23" s="214" t="str">
        <f>+IF(U23="","",IF(U23&gt;=[6]PARÁMETROS!$D$5,"CUMPLE","NO CUMPLE"))</f>
        <v>CUMPLE</v>
      </c>
      <c r="AJ23" s="212"/>
    </row>
    <row r="24" spans="1:36" s="237" customFormat="1" ht="47.25" x14ac:dyDescent="0.25">
      <c r="A24" s="652" t="s">
        <v>497</v>
      </c>
      <c r="B24" s="125" t="s">
        <v>250</v>
      </c>
      <c r="C24" s="408">
        <v>238</v>
      </c>
      <c r="D24" s="127" t="str">
        <f>+IFERROR(INDEX([6]CONSOLIDADO!$D$4:$D$108,MATCH('EXP GEN. 1-8.'!B24,[6]CONSOLIDADO!$C$4:$C$108,0)),"")</f>
        <v>GEOTECNIA Y CIMIENTOS INGEOCIM S.A.S.</v>
      </c>
      <c r="E24" s="128" t="s">
        <v>498</v>
      </c>
      <c r="F24" s="129" t="s">
        <v>499</v>
      </c>
      <c r="G24" s="207" t="s">
        <v>5</v>
      </c>
      <c r="H24" s="207" t="s">
        <v>5</v>
      </c>
      <c r="I24" s="131">
        <v>0.9</v>
      </c>
      <c r="J24" s="132">
        <v>35730</v>
      </c>
      <c r="K24" s="132">
        <v>36459</v>
      </c>
      <c r="L24" s="133">
        <f t="shared" si="0"/>
        <v>1999</v>
      </c>
      <c r="M24" s="134">
        <f>+IFERROR(INDEX([6]PARÁMETROS!$B$11:$B$37,MATCH(L24,[6]PARÁMETROS!$A$11:$A$37,0)),"")</f>
        <v>236460</v>
      </c>
      <c r="N24" s="135">
        <f>1343799332.5</f>
        <v>1343799332.5</v>
      </c>
      <c r="O24" s="136" t="s">
        <v>20</v>
      </c>
      <c r="P24" s="125" t="s">
        <v>54</v>
      </c>
      <c r="Q24" s="137" t="s">
        <v>54</v>
      </c>
      <c r="R24" s="138">
        <v>1</v>
      </c>
      <c r="S24" s="134">
        <f t="shared" si="3"/>
        <v>1343799332.5</v>
      </c>
      <c r="T24" s="139">
        <f t="shared" si="1"/>
        <v>5682.9879577941301</v>
      </c>
      <c r="U24" s="139">
        <f t="shared" si="2"/>
        <v>5114.6891620147171</v>
      </c>
      <c r="V24" s="139">
        <v>51</v>
      </c>
      <c r="W24" s="649" t="s">
        <v>5</v>
      </c>
      <c r="X24" s="649"/>
      <c r="Y24" s="649"/>
      <c r="Z24" s="649" t="s">
        <v>5</v>
      </c>
      <c r="AA24" s="649"/>
      <c r="AB24" s="649"/>
      <c r="AC24" s="649" t="s">
        <v>5</v>
      </c>
      <c r="AD24" s="649"/>
      <c r="AE24" s="649"/>
      <c r="AF24" s="207" t="s">
        <v>5</v>
      </c>
      <c r="AG24" s="649" t="str">
        <f>IF(U24="","",IF(SUM(U24:U28)&gt;=[6]PARÁMETROS!$H$5,"CUMPLE","NO CUMPLE"))</f>
        <v>CUMPLE</v>
      </c>
      <c r="AH24" s="649" t="str">
        <f>IF(U24="","",IF((U24+U25+U26)&gt;=[6]PARÁMETROS!$F$5,"CUMPLE","NO CUMPLE"))</f>
        <v>CUMPLE</v>
      </c>
      <c r="AI24" s="207" t="str">
        <f>+IF(U24="","",IF(U24&gt;=[6]PARÁMETROS!$D$5,"CUMPLE","NO CUMPLE"))</f>
        <v>CUMPLE</v>
      </c>
      <c r="AJ24" s="128"/>
    </row>
    <row r="25" spans="1:36" s="79" customFormat="1" ht="185.25" x14ac:dyDescent="0.25">
      <c r="A25" s="653"/>
      <c r="B25" s="63" t="s">
        <v>250</v>
      </c>
      <c r="C25" s="409">
        <v>254</v>
      </c>
      <c r="D25" s="65" t="str">
        <f>+IFERROR(INDEX([6]CONSOLIDADO!$D$4:$D$108,MATCH('EXP GEN. 1-8.'!B25,[6]CONSOLIDADO!$C$4:$C$108,0)),"")</f>
        <v>GEOTECNIA Y CIMIENTOS INGEOCIM S.A.S.</v>
      </c>
      <c r="E25" s="66" t="s">
        <v>26</v>
      </c>
      <c r="F25" s="67" t="s">
        <v>500</v>
      </c>
      <c r="G25" s="205" t="s">
        <v>5</v>
      </c>
      <c r="H25" s="205" t="s">
        <v>5</v>
      </c>
      <c r="I25" s="69">
        <v>0.5</v>
      </c>
      <c r="J25" s="70">
        <v>38772</v>
      </c>
      <c r="K25" s="70">
        <v>40656</v>
      </c>
      <c r="L25" s="71">
        <f t="shared" si="0"/>
        <v>2011</v>
      </c>
      <c r="M25" s="72">
        <f>+IFERROR(INDEX([6]PARÁMETROS!$B$11:$B$37,MATCH(L25,[6]PARÁMETROS!$A$11:$A$37,0)),"")</f>
        <v>535600</v>
      </c>
      <c r="N25" s="73">
        <f>4960831409</f>
        <v>4960831409</v>
      </c>
      <c r="O25" s="74" t="s">
        <v>20</v>
      </c>
      <c r="P25" s="63" t="s">
        <v>54</v>
      </c>
      <c r="Q25" s="75" t="s">
        <v>54</v>
      </c>
      <c r="R25" s="76">
        <v>1</v>
      </c>
      <c r="S25" s="72">
        <f t="shared" si="3"/>
        <v>4960831409</v>
      </c>
      <c r="T25" s="60">
        <f t="shared" si="1"/>
        <v>9262.1945649738609</v>
      </c>
      <c r="U25" s="60">
        <f t="shared" si="2"/>
        <v>4631.0972824869305</v>
      </c>
      <c r="V25" s="60">
        <v>26</v>
      </c>
      <c r="W25" s="650" t="s">
        <v>5</v>
      </c>
      <c r="X25" s="650"/>
      <c r="Y25" s="650"/>
      <c r="Z25" s="650" t="s">
        <v>5</v>
      </c>
      <c r="AA25" s="650"/>
      <c r="AB25" s="650"/>
      <c r="AC25" s="650" t="s">
        <v>5</v>
      </c>
      <c r="AD25" s="650"/>
      <c r="AE25" s="650"/>
      <c r="AF25" s="205" t="s">
        <v>5</v>
      </c>
      <c r="AG25" s="650"/>
      <c r="AH25" s="650"/>
      <c r="AI25" s="205" t="str">
        <f>+IF(U25="","",IF(U25&gt;=[6]PARÁMETROS!$D$5,"CUMPLE","NO CUMPLE"))</f>
        <v>CUMPLE</v>
      </c>
      <c r="AJ25" s="66"/>
    </row>
    <row r="26" spans="1:36" s="79" customFormat="1" ht="71.25" x14ac:dyDescent="0.25">
      <c r="A26" s="653"/>
      <c r="B26" s="63" t="s">
        <v>250</v>
      </c>
      <c r="C26" s="409">
        <v>260</v>
      </c>
      <c r="D26" s="65" t="str">
        <f>+IFERROR(INDEX([6]CONSOLIDADO!$D$4:$D$108,MATCH('EXP GEN. 1-8.'!B26,[6]CONSOLIDADO!$C$4:$C$108,0)),"")</f>
        <v>GEOTECNIA Y CIMIENTOS INGEOCIM S.A.S.</v>
      </c>
      <c r="E26" s="82" t="s">
        <v>501</v>
      </c>
      <c r="F26" s="67" t="s">
        <v>502</v>
      </c>
      <c r="G26" s="205" t="s">
        <v>5</v>
      </c>
      <c r="H26" s="205" t="s">
        <v>5</v>
      </c>
      <c r="I26" s="83">
        <v>0.6</v>
      </c>
      <c r="J26" s="70">
        <v>41568</v>
      </c>
      <c r="K26" s="70">
        <v>42312</v>
      </c>
      <c r="L26" s="71">
        <f t="shared" si="0"/>
        <v>2015</v>
      </c>
      <c r="M26" s="72">
        <f>+IFERROR(INDEX([6]PARÁMETROS!$B$11:$B$37,MATCH(L26,[6]PARÁMETROS!$A$11:$A$37,0)),"")</f>
        <v>644350</v>
      </c>
      <c r="N26" s="73">
        <f>2992430016</f>
        <v>2992430016</v>
      </c>
      <c r="O26" s="74" t="s">
        <v>20</v>
      </c>
      <c r="P26" s="63" t="s">
        <v>54</v>
      </c>
      <c r="Q26" s="75" t="s">
        <v>54</v>
      </c>
      <c r="R26" s="76">
        <v>1</v>
      </c>
      <c r="S26" s="72">
        <f t="shared" si="3"/>
        <v>2992430016</v>
      </c>
      <c r="T26" s="60">
        <f t="shared" si="1"/>
        <v>4644.1064887095527</v>
      </c>
      <c r="U26" s="60">
        <f t="shared" si="2"/>
        <v>2786.4638932257317</v>
      </c>
      <c r="V26" s="60" t="s">
        <v>397</v>
      </c>
      <c r="W26" s="650"/>
      <c r="X26" s="650"/>
      <c r="Y26" s="650"/>
      <c r="Z26" s="650"/>
      <c r="AA26" s="650"/>
      <c r="AB26" s="650"/>
      <c r="AC26" s="650"/>
      <c r="AD26" s="650"/>
      <c r="AE26" s="650"/>
      <c r="AF26" s="205"/>
      <c r="AG26" s="650"/>
      <c r="AH26" s="650"/>
      <c r="AI26" s="205" t="str">
        <f>+IF(U26="","",IF(U26&gt;=[6]PARÁMETROS!$D$5,"CUMPLE","NO CUMPLE"))</f>
        <v>CUMPLE</v>
      </c>
      <c r="AJ26" s="248"/>
    </row>
    <row r="27" spans="1:36" s="88" customFormat="1" ht="71.25" x14ac:dyDescent="0.25">
      <c r="A27" s="653"/>
      <c r="B27" s="63" t="s">
        <v>245</v>
      </c>
      <c r="C27" s="409">
        <v>265</v>
      </c>
      <c r="D27" s="65" t="str">
        <f>+IFERROR(INDEX([6]CONSOLIDADO!$D$4:$D$108,MATCH('EXP GEN. 1-8.'!B27,[6]CONSOLIDADO!$C$4:$C$108,0)),"")</f>
        <v>ICEACSA CONSULTORES SUCURSAL COLOMBIA</v>
      </c>
      <c r="E27" s="66" t="s">
        <v>503</v>
      </c>
      <c r="F27" s="67" t="s">
        <v>504</v>
      </c>
      <c r="G27" s="205" t="s">
        <v>5</v>
      </c>
      <c r="H27" s="205" t="s">
        <v>5</v>
      </c>
      <c r="I27" s="84">
        <v>1</v>
      </c>
      <c r="J27" s="85">
        <v>37839</v>
      </c>
      <c r="K27" s="86">
        <v>38869</v>
      </c>
      <c r="L27" s="71">
        <f t="shared" si="0"/>
        <v>2006</v>
      </c>
      <c r="M27" s="72">
        <f>+IFERROR(INDEX([6]PARÁMETROS!$B$11:$B$37,MATCH(L27,[6]PARÁMETROS!$A$11:$A$37,0)),"")</f>
        <v>408000</v>
      </c>
      <c r="N27" s="74">
        <v>1115922.3700000001</v>
      </c>
      <c r="O27" s="74" t="s">
        <v>24</v>
      </c>
      <c r="P27" s="63">
        <v>1.2858799999999999</v>
      </c>
      <c r="Q27" s="75">
        <f>+N27*P27</f>
        <v>1434942.2571356001</v>
      </c>
      <c r="R27" s="76">
        <v>2486.0700000000002</v>
      </c>
      <c r="S27" s="72">
        <f>+R27*Q27</f>
        <v>3567366897.1971016</v>
      </c>
      <c r="T27" s="60">
        <f t="shared" si="1"/>
        <v>8743.5463166595619</v>
      </c>
      <c r="U27" s="60">
        <f t="shared" si="2"/>
        <v>8743.5463166595619</v>
      </c>
      <c r="V27" s="87">
        <v>11</v>
      </c>
      <c r="W27" s="650" t="s">
        <v>6</v>
      </c>
      <c r="X27" s="650"/>
      <c r="Y27" s="650"/>
      <c r="Z27" s="650" t="s">
        <v>5</v>
      </c>
      <c r="AA27" s="650"/>
      <c r="AB27" s="650"/>
      <c r="AC27" s="650" t="s">
        <v>5</v>
      </c>
      <c r="AD27" s="650"/>
      <c r="AE27" s="650"/>
      <c r="AF27" s="205" t="s">
        <v>5</v>
      </c>
      <c r="AG27" s="650"/>
      <c r="AH27" s="650"/>
      <c r="AI27" s="205" t="str">
        <f>+IF(U27="","",IF(U27&gt;=[6]PARÁMETROS!$D$5,"CUMPLE","NO CUMPLE"))</f>
        <v>CUMPLE</v>
      </c>
      <c r="AJ27" s="66"/>
    </row>
    <row r="28" spans="1:36" s="243" customFormat="1" ht="114.75" thickBot="1" x14ac:dyDescent="0.3">
      <c r="A28" s="654"/>
      <c r="B28" s="210" t="s">
        <v>245</v>
      </c>
      <c r="C28" s="410">
        <v>269</v>
      </c>
      <c r="D28" s="211" t="str">
        <f>+IFERROR(INDEX([6]CONSOLIDADO!$D$4:$D$108,MATCH('EXP GEN. 1-8.'!B28,[6]CONSOLIDADO!$C$4:$C$108,0)),"")</f>
        <v>ICEACSA CONSULTORES SUCURSAL COLOMBIA</v>
      </c>
      <c r="E28" s="212" t="s">
        <v>505</v>
      </c>
      <c r="F28" s="213" t="s">
        <v>506</v>
      </c>
      <c r="G28" s="214" t="s">
        <v>5</v>
      </c>
      <c r="H28" s="214" t="s">
        <v>5</v>
      </c>
      <c r="I28" s="215">
        <v>0.5</v>
      </c>
      <c r="J28" s="216">
        <v>39400</v>
      </c>
      <c r="K28" s="216">
        <v>40968</v>
      </c>
      <c r="L28" s="217">
        <f t="shared" si="0"/>
        <v>2012</v>
      </c>
      <c r="M28" s="202">
        <f>+IFERROR(INDEX([6]PARÁMETROS!$B$11:$B$37,MATCH(L28,[6]PARÁMETROS!$A$11:$A$37,0)),"")</f>
        <v>566700</v>
      </c>
      <c r="N28" s="218">
        <v>2033765.63</v>
      </c>
      <c r="O28" s="203" t="s">
        <v>24</v>
      </c>
      <c r="P28" s="210">
        <v>1.3430899999999999</v>
      </c>
      <c r="Q28" s="219">
        <f>+N28*P28</f>
        <v>2731530.2799966997</v>
      </c>
      <c r="R28" s="220">
        <v>1767.83</v>
      </c>
      <c r="S28" s="202">
        <f>+R28*Q28</f>
        <v>4828881174.8865652</v>
      </c>
      <c r="T28" s="204">
        <f t="shared" si="1"/>
        <v>8521.0537760482894</v>
      </c>
      <c r="U28" s="204">
        <f t="shared" si="2"/>
        <v>4260.5268880241447</v>
      </c>
      <c r="V28" s="204">
        <v>15</v>
      </c>
      <c r="W28" s="655" t="s">
        <v>6</v>
      </c>
      <c r="X28" s="655"/>
      <c r="Y28" s="655"/>
      <c r="Z28" s="655" t="s">
        <v>5</v>
      </c>
      <c r="AA28" s="655"/>
      <c r="AB28" s="655"/>
      <c r="AC28" s="655" t="s">
        <v>5</v>
      </c>
      <c r="AD28" s="655"/>
      <c r="AE28" s="655"/>
      <c r="AF28" s="214" t="s">
        <v>5</v>
      </c>
      <c r="AG28" s="651"/>
      <c r="AH28" s="651"/>
      <c r="AI28" s="214" t="str">
        <f>+IF(U28="","",IF(U28&gt;=[6]PARÁMETROS!$D$5,"CUMPLE","NO CUMPLE"))</f>
        <v>CUMPLE</v>
      </c>
      <c r="AJ28" s="212"/>
    </row>
    <row r="29" spans="1:36" s="237" customFormat="1" ht="57" x14ac:dyDescent="0.25">
      <c r="A29" s="652" t="s">
        <v>507</v>
      </c>
      <c r="B29" s="125" t="s">
        <v>246</v>
      </c>
      <c r="C29" s="408">
        <v>93</v>
      </c>
      <c r="D29" s="127" t="str">
        <f>+IFERROR(INDEX([6]CONSOLIDADO!$D$4:$D$108,MATCH('EXP GEN. 1-8.'!B29,[6]CONSOLIDADO!$C$4:$C$108,0)),"")</f>
        <v>VELNEC S.A.</v>
      </c>
      <c r="E29" s="128" t="s">
        <v>473</v>
      </c>
      <c r="F29" s="129" t="s">
        <v>508</v>
      </c>
      <c r="G29" s="207" t="s">
        <v>5</v>
      </c>
      <c r="H29" s="207" t="s">
        <v>5</v>
      </c>
      <c r="I29" s="131">
        <v>1</v>
      </c>
      <c r="J29" s="132">
        <v>39062</v>
      </c>
      <c r="K29" s="132">
        <v>40476</v>
      </c>
      <c r="L29" s="133">
        <f t="shared" si="0"/>
        <v>2010</v>
      </c>
      <c r="M29" s="134">
        <f>+IFERROR(INDEX([6]PARÁMETROS!$B$11:$B$37,MATCH(L29,[6]PARÁMETROS!$A$11:$A$37,0)),"")</f>
        <v>515000</v>
      </c>
      <c r="N29" s="135">
        <v>2398644428</v>
      </c>
      <c r="O29" s="136" t="s">
        <v>20</v>
      </c>
      <c r="P29" s="125" t="s">
        <v>54</v>
      </c>
      <c r="Q29" s="137" t="s">
        <v>54</v>
      </c>
      <c r="R29" s="138">
        <v>1</v>
      </c>
      <c r="S29" s="134">
        <f t="shared" si="3"/>
        <v>2398644428</v>
      </c>
      <c r="T29" s="139">
        <f t="shared" si="1"/>
        <v>4657.5619961165048</v>
      </c>
      <c r="U29" s="139">
        <f t="shared" si="2"/>
        <v>4657.5619961165048</v>
      </c>
      <c r="V29" s="139">
        <v>1</v>
      </c>
      <c r="W29" s="649" t="s">
        <v>5</v>
      </c>
      <c r="X29" s="649"/>
      <c r="Y29" s="649"/>
      <c r="Z29" s="649" t="s">
        <v>5</v>
      </c>
      <c r="AA29" s="649"/>
      <c r="AB29" s="649"/>
      <c r="AC29" s="649" t="s">
        <v>6</v>
      </c>
      <c r="AD29" s="649"/>
      <c r="AE29" s="649"/>
      <c r="AF29" s="207" t="s">
        <v>5</v>
      </c>
      <c r="AG29" s="649" t="str">
        <f>IF(U29="","",IF(SUM(U29:U32)&gt;=[6]PARÁMETROS!$H$5,"CUMPLE","NO CUMPLE"))</f>
        <v>CUMPLE</v>
      </c>
      <c r="AH29" s="649" t="str">
        <f>IF(U29="","",IF((U29+U30)&gt;=[6]PARÁMETROS!$F$5,"CUMPLE","NO CUMPLE"))</f>
        <v>CUMPLE</v>
      </c>
      <c r="AI29" s="207" t="str">
        <f>+IF(U29="","",IF(U29&gt;=[6]PARÁMETROS!$D$5,"CUMPLE","NO CUMPLE"))</f>
        <v>CUMPLE</v>
      </c>
      <c r="AJ29" s="128"/>
    </row>
    <row r="30" spans="1:36" s="79" customFormat="1" ht="114" x14ac:dyDescent="0.25">
      <c r="A30" s="653"/>
      <c r="B30" s="63" t="s">
        <v>246</v>
      </c>
      <c r="C30" s="409">
        <v>107</v>
      </c>
      <c r="D30" s="65" t="str">
        <f>+IFERROR(INDEX([6]CONSOLIDADO!$D$4:$D$108,MATCH('EXP GEN. 1-8.'!B30,[6]CONSOLIDADO!$C$4:$C$108,0)),"")</f>
        <v>VELNEC S.A.</v>
      </c>
      <c r="E30" s="66" t="s">
        <v>22</v>
      </c>
      <c r="F30" s="67" t="s">
        <v>509</v>
      </c>
      <c r="G30" s="205" t="s">
        <v>5</v>
      </c>
      <c r="H30" s="205" t="s">
        <v>5</v>
      </c>
      <c r="I30" s="69">
        <v>0.2</v>
      </c>
      <c r="J30" s="70">
        <v>40567</v>
      </c>
      <c r="K30" s="70">
        <v>42226</v>
      </c>
      <c r="L30" s="71">
        <f t="shared" si="0"/>
        <v>2015</v>
      </c>
      <c r="M30" s="72">
        <f>+IFERROR(INDEX([6]PARÁMETROS!$B$11:$B$37,MATCH(L30,[6]PARÁMETROS!$A$11:$A$37,0)),"")</f>
        <v>644350</v>
      </c>
      <c r="N30" s="73">
        <v>34817301515</v>
      </c>
      <c r="O30" s="74" t="s">
        <v>20</v>
      </c>
      <c r="P30" s="63" t="s">
        <v>54</v>
      </c>
      <c r="Q30" s="75" t="s">
        <v>54</v>
      </c>
      <c r="R30" s="76">
        <v>1</v>
      </c>
      <c r="S30" s="72">
        <f t="shared" si="3"/>
        <v>34817301515</v>
      </c>
      <c r="T30" s="60">
        <f t="shared" si="1"/>
        <v>54034.766066578726</v>
      </c>
      <c r="U30" s="60">
        <f t="shared" si="2"/>
        <v>10806.953213315746</v>
      </c>
      <c r="V30" s="60" t="s">
        <v>397</v>
      </c>
      <c r="W30" s="650"/>
      <c r="X30" s="650"/>
      <c r="Y30" s="650"/>
      <c r="Z30" s="650"/>
      <c r="AA30" s="650"/>
      <c r="AB30" s="650"/>
      <c r="AC30" s="650"/>
      <c r="AD30" s="650"/>
      <c r="AE30" s="650"/>
      <c r="AF30" s="205"/>
      <c r="AG30" s="650"/>
      <c r="AH30" s="650"/>
      <c r="AI30" s="205" t="str">
        <f>+IF(U30="","",IF(U30&gt;=[6]PARÁMETROS!$D$5,"CUMPLE","NO CUMPLE"))</f>
        <v>CUMPLE</v>
      </c>
      <c r="AJ30" s="66"/>
    </row>
    <row r="31" spans="1:36" s="79" customFormat="1" ht="78.75" x14ac:dyDescent="0.25">
      <c r="A31" s="653"/>
      <c r="B31" s="63" t="s">
        <v>251</v>
      </c>
      <c r="C31" s="409">
        <v>121</v>
      </c>
      <c r="D31" s="65" t="str">
        <f>+IFERROR(INDEX([6]CONSOLIDADO!$D$4:$D$108,MATCH('EXP GEN. 1-8.'!B31,[6]CONSOLIDADO!$C$4:$C$108,0)),"")</f>
        <v>CONSULTORES INTERVENTORES COLOMBIANOS S.A.S.  - CONCIC S.A.S.</v>
      </c>
      <c r="E31" s="66" t="s">
        <v>482</v>
      </c>
      <c r="F31" s="67" t="s">
        <v>510</v>
      </c>
      <c r="G31" s="205" t="s">
        <v>5</v>
      </c>
      <c r="H31" s="205" t="s">
        <v>5</v>
      </c>
      <c r="I31" s="69">
        <v>0.6</v>
      </c>
      <c r="J31" s="70">
        <v>41121</v>
      </c>
      <c r="K31" s="70">
        <v>41882</v>
      </c>
      <c r="L31" s="71">
        <f t="shared" si="0"/>
        <v>2014</v>
      </c>
      <c r="M31" s="72">
        <f>+IFERROR(INDEX([6]PARÁMETROS!$B$11:$B$37,MATCH(L31,[6]PARÁMETROS!$A$11:$A$37,0)),"")</f>
        <v>616000</v>
      </c>
      <c r="N31" s="73">
        <v>3121715915</v>
      </c>
      <c r="O31" s="74" t="s">
        <v>20</v>
      </c>
      <c r="P31" s="63" t="s">
        <v>54</v>
      </c>
      <c r="Q31" s="75" t="s">
        <v>54</v>
      </c>
      <c r="R31" s="76">
        <v>1</v>
      </c>
      <c r="S31" s="72">
        <f t="shared" si="3"/>
        <v>3121715915</v>
      </c>
      <c r="T31" s="60">
        <f t="shared" si="1"/>
        <v>5067.7206412337664</v>
      </c>
      <c r="U31" s="60">
        <f t="shared" si="2"/>
        <v>3040.6323847402596</v>
      </c>
      <c r="V31" s="60">
        <v>14</v>
      </c>
      <c r="W31" s="650" t="s">
        <v>5</v>
      </c>
      <c r="X31" s="650"/>
      <c r="Y31" s="650"/>
      <c r="Z31" s="650" t="s">
        <v>6</v>
      </c>
      <c r="AA31" s="650"/>
      <c r="AB31" s="650"/>
      <c r="AC31" s="650" t="s">
        <v>5</v>
      </c>
      <c r="AD31" s="650"/>
      <c r="AE31" s="650"/>
      <c r="AF31" s="205" t="s">
        <v>5</v>
      </c>
      <c r="AG31" s="650"/>
      <c r="AH31" s="650"/>
      <c r="AI31" s="205" t="str">
        <f>+IF(U31="","",IF(U31&gt;=[6]PARÁMETROS!$D$5,"CUMPLE","NO CUMPLE"))</f>
        <v>CUMPLE</v>
      </c>
      <c r="AJ31" s="66"/>
    </row>
    <row r="32" spans="1:36" s="243" customFormat="1" ht="79.5" thickBot="1" x14ac:dyDescent="0.3">
      <c r="A32" s="654"/>
      <c r="B32" s="210" t="s">
        <v>251</v>
      </c>
      <c r="C32" s="410">
        <v>130</v>
      </c>
      <c r="D32" s="211" t="str">
        <f>+IFERROR(INDEX([6]CONSOLIDADO!$D$4:$D$108,MATCH('EXP GEN. 1-8.'!B32,[6]CONSOLIDADO!$C$4:$C$108,0)),"")</f>
        <v>CONSULTORES INTERVENTORES COLOMBIANOS S.A.S.  - CONCIC S.A.S.</v>
      </c>
      <c r="E32" s="212" t="s">
        <v>482</v>
      </c>
      <c r="F32" s="213" t="s">
        <v>511</v>
      </c>
      <c r="G32" s="214" t="s">
        <v>5</v>
      </c>
      <c r="H32" s="214" t="s">
        <v>5</v>
      </c>
      <c r="I32" s="215">
        <v>0.6</v>
      </c>
      <c r="J32" s="216">
        <v>41123</v>
      </c>
      <c r="K32" s="216">
        <v>42139</v>
      </c>
      <c r="L32" s="217">
        <f t="shared" si="0"/>
        <v>2015</v>
      </c>
      <c r="M32" s="202">
        <f>+IFERROR(INDEX([6]PARÁMETROS!$B$11:$B$37,MATCH(L32,[6]PARÁMETROS!$A$11:$A$37,0)),"")</f>
        <v>644350</v>
      </c>
      <c r="N32" s="218">
        <v>5897603327</v>
      </c>
      <c r="O32" s="203" t="s">
        <v>20</v>
      </c>
      <c r="P32" s="210" t="s">
        <v>54</v>
      </c>
      <c r="Q32" s="219" t="s">
        <v>54</v>
      </c>
      <c r="R32" s="220">
        <v>1</v>
      </c>
      <c r="S32" s="202">
        <f t="shared" si="3"/>
        <v>5897603327</v>
      </c>
      <c r="T32" s="204">
        <f t="shared" si="1"/>
        <v>9152.7947963063561</v>
      </c>
      <c r="U32" s="204">
        <f t="shared" si="2"/>
        <v>5491.6768777838133</v>
      </c>
      <c r="V32" s="204" t="s">
        <v>397</v>
      </c>
      <c r="W32" s="655"/>
      <c r="X32" s="655"/>
      <c r="Y32" s="655"/>
      <c r="Z32" s="655"/>
      <c r="AA32" s="655"/>
      <c r="AB32" s="655"/>
      <c r="AC32" s="655"/>
      <c r="AD32" s="655"/>
      <c r="AE32" s="655"/>
      <c r="AF32" s="214"/>
      <c r="AG32" s="651"/>
      <c r="AH32" s="651"/>
      <c r="AI32" s="214" t="str">
        <f>+IF(U32="","",IF(U32&gt;=[6]PARÁMETROS!$D$5,"CUMPLE","NO CUMPLE"))</f>
        <v>CUMPLE</v>
      </c>
      <c r="AJ32" s="212"/>
    </row>
    <row r="33" spans="1:36" s="237" customFormat="1" ht="94.5" x14ac:dyDescent="0.25">
      <c r="A33" s="652" t="s">
        <v>512</v>
      </c>
      <c r="B33" s="125" t="s">
        <v>253</v>
      </c>
      <c r="C33" s="408">
        <v>128</v>
      </c>
      <c r="D33" s="127" t="str">
        <f>+IFERROR(INDEX([6]CONSOLIDADO!$D$4:$D$108,MATCH('EXP GEN. 1-8.'!B33,[6]CONSOLIDADO!$C$4:$C$108,0)),"")</f>
        <v>CPS INGENIEROS OBRA CIVIL Y MEDIO AMBIENTE SUCURSAL COLOMBIA SL</v>
      </c>
      <c r="E33" s="128" t="s">
        <v>513</v>
      </c>
      <c r="F33" s="129" t="s">
        <v>514</v>
      </c>
      <c r="G33" s="207" t="s">
        <v>5</v>
      </c>
      <c r="H33" s="207" t="s">
        <v>5</v>
      </c>
      <c r="I33" s="131">
        <v>1</v>
      </c>
      <c r="J33" s="132">
        <v>37120</v>
      </c>
      <c r="K33" s="132">
        <v>37946</v>
      </c>
      <c r="L33" s="133">
        <f t="shared" si="0"/>
        <v>2003</v>
      </c>
      <c r="M33" s="134">
        <f>+IFERROR(INDEX([6]PARÁMETROS!$B$11:$B$37,MATCH(L33,[6]PARÁMETROS!$A$11:$A$37,0)),"")</f>
        <v>332000</v>
      </c>
      <c r="N33" s="249">
        <v>327671.8</v>
      </c>
      <c r="O33" s="136" t="s">
        <v>24</v>
      </c>
      <c r="P33" s="125">
        <v>1.1911</v>
      </c>
      <c r="Q33" s="137">
        <f>+N33*P33</f>
        <v>390289.88098000002</v>
      </c>
      <c r="R33" s="138">
        <v>2831.1</v>
      </c>
      <c r="S33" s="134">
        <f>+R33*Q33</f>
        <v>1104949682.0424781</v>
      </c>
      <c r="T33" s="139">
        <f t="shared" si="1"/>
        <v>3328.1616928990302</v>
      </c>
      <c r="U33" s="139">
        <f t="shared" si="2"/>
        <v>3328.1616928990302</v>
      </c>
      <c r="V33" s="139">
        <v>13</v>
      </c>
      <c r="W33" s="649" t="s">
        <v>5</v>
      </c>
      <c r="X33" s="649"/>
      <c r="Y33" s="649"/>
      <c r="Z33" s="649" t="s">
        <v>5</v>
      </c>
      <c r="AA33" s="649"/>
      <c r="AB33" s="649"/>
      <c r="AC33" s="649" t="s">
        <v>5</v>
      </c>
      <c r="AD33" s="649"/>
      <c r="AE33" s="649"/>
      <c r="AF33" s="207" t="s">
        <v>5</v>
      </c>
      <c r="AG33" s="649" t="str">
        <f>IF(U33="","",IF(SUM(U33:U38)&gt;=[6]PARÁMETROS!$H$5,"CUMPLE","NO CUMPLE"))</f>
        <v>CUMPLE</v>
      </c>
      <c r="AH33" s="649" t="str">
        <f>IF(U33="","",IF((U33+U34+U35+U36)&gt;=[6]PARÁMETROS!$F$5,"CUMPLE","NO CUMPLE"))</f>
        <v>CUMPLE</v>
      </c>
      <c r="AI33" s="207" t="str">
        <f>+IF(U33="","",IF(U33&gt;=[6]PARÁMETROS!$D$5,"CUMPLE","NO CUMPLE"))</f>
        <v>CUMPLE</v>
      </c>
      <c r="AJ33" s="128"/>
    </row>
    <row r="34" spans="1:36" s="79" customFormat="1" ht="94.5" x14ac:dyDescent="0.25">
      <c r="A34" s="653"/>
      <c r="B34" s="63" t="s">
        <v>253</v>
      </c>
      <c r="C34" s="409">
        <v>135</v>
      </c>
      <c r="D34" s="65" t="str">
        <f>+IFERROR(INDEX([6]CONSOLIDADO!$D$4:$D$108,MATCH('EXP GEN. 1-8.'!B34,[6]CONSOLIDADO!$C$4:$C$108,0)),"")</f>
        <v>CPS INGENIEROS OBRA CIVIL Y MEDIO AMBIENTE SUCURSAL COLOMBIA SL</v>
      </c>
      <c r="E34" s="66" t="s">
        <v>475</v>
      </c>
      <c r="F34" s="67" t="s">
        <v>515</v>
      </c>
      <c r="G34" s="205" t="s">
        <v>5</v>
      </c>
      <c r="H34" s="205" t="s">
        <v>5</v>
      </c>
      <c r="I34" s="69">
        <v>1</v>
      </c>
      <c r="J34" s="70">
        <v>39070</v>
      </c>
      <c r="K34" s="70">
        <v>40359</v>
      </c>
      <c r="L34" s="71">
        <f t="shared" si="0"/>
        <v>2010</v>
      </c>
      <c r="M34" s="72">
        <f>+IFERROR(INDEX([6]PARÁMETROS!$B$11:$B$37,MATCH(L34,[6]PARÁMETROS!$A$11:$A$37,0)),"")</f>
        <v>515000</v>
      </c>
      <c r="N34" s="250">
        <v>977604.33</v>
      </c>
      <c r="O34" s="74" t="s">
        <v>24</v>
      </c>
      <c r="P34" s="63">
        <v>1.22055</v>
      </c>
      <c r="Q34" s="75">
        <f>+N34*P34</f>
        <v>1193214.9649815001</v>
      </c>
      <c r="R34" s="76">
        <v>1916.46</v>
      </c>
      <c r="S34" s="72">
        <f>+R34*Q34</f>
        <v>2286748751.7884455</v>
      </c>
      <c r="T34" s="60">
        <f t="shared" si="1"/>
        <v>4440.288838424166</v>
      </c>
      <c r="U34" s="60">
        <f t="shared" si="2"/>
        <v>4440.288838424166</v>
      </c>
      <c r="V34" s="60">
        <v>2</v>
      </c>
      <c r="W34" s="650" t="s">
        <v>6</v>
      </c>
      <c r="X34" s="650"/>
      <c r="Y34" s="650"/>
      <c r="Z34" s="650" t="s">
        <v>5</v>
      </c>
      <c r="AA34" s="650"/>
      <c r="AB34" s="650"/>
      <c r="AC34" s="650" t="s">
        <v>5</v>
      </c>
      <c r="AD34" s="650"/>
      <c r="AE34" s="650"/>
      <c r="AF34" s="205" t="s">
        <v>5</v>
      </c>
      <c r="AG34" s="650"/>
      <c r="AH34" s="650"/>
      <c r="AI34" s="205" t="str">
        <f>+IF(U34="","",IF(U34&gt;=[6]PARÁMETROS!$D$5,"CUMPLE","NO CUMPLE"))</f>
        <v>CUMPLE</v>
      </c>
      <c r="AJ34" s="66"/>
    </row>
    <row r="35" spans="1:36" s="79" customFormat="1" ht="94.5" x14ac:dyDescent="0.25">
      <c r="A35" s="653"/>
      <c r="B35" s="63" t="s">
        <v>253</v>
      </c>
      <c r="C35" s="409">
        <v>141</v>
      </c>
      <c r="D35" s="65" t="str">
        <f>+IFERROR(INDEX([6]CONSOLIDADO!$D$4:$D$108,MATCH('EXP GEN. 1-8.'!B35,[6]CONSOLIDADO!$C$4:$C$108,0)),"")</f>
        <v>CPS INGENIEROS OBRA CIVIL Y MEDIO AMBIENTE SUCURSAL COLOMBIA SL</v>
      </c>
      <c r="E35" s="66" t="s">
        <v>513</v>
      </c>
      <c r="F35" s="67" t="s">
        <v>516</v>
      </c>
      <c r="G35" s="205" t="s">
        <v>5</v>
      </c>
      <c r="H35" s="205" t="s">
        <v>5</v>
      </c>
      <c r="I35" s="69">
        <v>1</v>
      </c>
      <c r="J35" s="70">
        <v>39024</v>
      </c>
      <c r="K35" s="70">
        <v>40189</v>
      </c>
      <c r="L35" s="71">
        <f t="shared" si="0"/>
        <v>2010</v>
      </c>
      <c r="M35" s="72">
        <f>+IFERROR(INDEX([6]PARÁMETROS!$B$11:$B$37,MATCH(L35,[6]PARÁMETROS!$A$11:$A$37,0)),"")</f>
        <v>515000</v>
      </c>
      <c r="N35" s="73">
        <v>741925.82</v>
      </c>
      <c r="O35" s="74" t="s">
        <v>24</v>
      </c>
      <c r="P35" s="63">
        <v>1.44072</v>
      </c>
      <c r="Q35" s="75">
        <f>+N35*P35</f>
        <v>1068907.3673904</v>
      </c>
      <c r="R35" s="76">
        <v>1968.24</v>
      </c>
      <c r="S35" s="72">
        <f>+R35*Q35</f>
        <v>2103866236.7924809</v>
      </c>
      <c r="T35" s="60">
        <f t="shared" si="1"/>
        <v>4085.1771588203515</v>
      </c>
      <c r="U35" s="60">
        <f t="shared" si="2"/>
        <v>4085.1771588203515</v>
      </c>
      <c r="V35" s="60">
        <v>25</v>
      </c>
      <c r="W35" s="650" t="s">
        <v>5</v>
      </c>
      <c r="X35" s="650"/>
      <c r="Y35" s="650"/>
      <c r="Z35" s="650" t="s">
        <v>5</v>
      </c>
      <c r="AA35" s="650"/>
      <c r="AB35" s="650"/>
      <c r="AC35" s="650" t="s">
        <v>5</v>
      </c>
      <c r="AD35" s="650"/>
      <c r="AE35" s="650"/>
      <c r="AF35" s="205" t="s">
        <v>5</v>
      </c>
      <c r="AG35" s="650"/>
      <c r="AH35" s="650"/>
      <c r="AI35" s="205" t="str">
        <f>+IF(U35="","",IF(U35&gt;=[6]PARÁMETROS!$D$5,"CUMPLE","NO CUMPLE"))</f>
        <v>CUMPLE</v>
      </c>
      <c r="AJ35" s="66"/>
    </row>
    <row r="36" spans="1:36" s="79" customFormat="1" ht="94.5" x14ac:dyDescent="0.25">
      <c r="A36" s="653"/>
      <c r="B36" s="63" t="s">
        <v>253</v>
      </c>
      <c r="C36" s="409">
        <v>150</v>
      </c>
      <c r="D36" s="65" t="str">
        <f>+IFERROR(INDEX([6]CONSOLIDADO!$D$4:$D$108,MATCH('EXP GEN. 1-8.'!B36,[6]CONSOLIDADO!$C$4:$C$108,0)),"")</f>
        <v>CPS INGENIEROS OBRA CIVIL Y MEDIO AMBIENTE SUCURSAL COLOMBIA SL</v>
      </c>
      <c r="E36" s="89" t="s">
        <v>517</v>
      </c>
      <c r="F36" s="251" t="s">
        <v>518</v>
      </c>
      <c r="G36" s="205" t="s">
        <v>5</v>
      </c>
      <c r="H36" s="205" t="s">
        <v>5</v>
      </c>
      <c r="I36" s="90">
        <v>1</v>
      </c>
      <c r="J36" s="91">
        <v>38107</v>
      </c>
      <c r="K36" s="91">
        <v>40747</v>
      </c>
      <c r="L36" s="71">
        <f t="shared" si="0"/>
        <v>2011</v>
      </c>
      <c r="M36" s="72">
        <f>+IFERROR(INDEX([6]PARÁMETROS!$B$11:$B$37,MATCH(L36,[6]PARÁMETROS!$A$11:$A$37,0)),"")</f>
        <v>535600</v>
      </c>
      <c r="N36" s="92">
        <v>1048263.23</v>
      </c>
      <c r="O36" s="74" t="s">
        <v>24</v>
      </c>
      <c r="P36" s="63">
        <v>1.43862</v>
      </c>
      <c r="Q36" s="75">
        <f>+N36*P36</f>
        <v>1508052.4479425999</v>
      </c>
      <c r="R36" s="76">
        <v>1757.35</v>
      </c>
      <c r="S36" s="72">
        <f>+R36*Q36</f>
        <v>2650175969.3919277</v>
      </c>
      <c r="T36" s="60">
        <f t="shared" si="1"/>
        <v>4948.0507270200296</v>
      </c>
      <c r="U36" s="60">
        <f t="shared" si="2"/>
        <v>4948.0507270200296</v>
      </c>
      <c r="V36" s="60">
        <v>9</v>
      </c>
      <c r="W36" s="650" t="s">
        <v>6</v>
      </c>
      <c r="X36" s="650"/>
      <c r="Y36" s="650"/>
      <c r="Z36" s="650" t="s">
        <v>5</v>
      </c>
      <c r="AA36" s="650"/>
      <c r="AB36" s="650"/>
      <c r="AC36" s="650" t="s">
        <v>5</v>
      </c>
      <c r="AD36" s="650"/>
      <c r="AE36" s="650"/>
      <c r="AF36" s="205" t="s">
        <v>5</v>
      </c>
      <c r="AG36" s="650"/>
      <c r="AH36" s="650"/>
      <c r="AI36" s="205" t="str">
        <f>+IF(U36="","",IF(U36&gt;=[6]PARÁMETROS!$D$5,"CUMPLE","NO CUMPLE"))</f>
        <v>CUMPLE</v>
      </c>
      <c r="AJ36" s="239"/>
    </row>
    <row r="37" spans="1:36" s="79" customFormat="1" ht="213.75" x14ac:dyDescent="0.25">
      <c r="A37" s="653"/>
      <c r="B37" s="63" t="s">
        <v>252</v>
      </c>
      <c r="C37" s="409">
        <v>157</v>
      </c>
      <c r="D37" s="65" t="str">
        <f>+IFERROR(INDEX([6]CONSOLIDADO!$D$4:$D$108,MATCH('EXP GEN. 1-8.'!B37,[6]CONSOLIDADO!$C$4:$C$108,0)),"")</f>
        <v>SERTIC S.A.S.</v>
      </c>
      <c r="E37" s="66" t="s">
        <v>22</v>
      </c>
      <c r="F37" s="67" t="s">
        <v>519</v>
      </c>
      <c r="G37" s="205" t="s">
        <v>5</v>
      </c>
      <c r="H37" s="205" t="s">
        <v>5</v>
      </c>
      <c r="I37" s="69">
        <v>0.25</v>
      </c>
      <c r="J37" s="70">
        <v>40954</v>
      </c>
      <c r="K37" s="70">
        <v>42219</v>
      </c>
      <c r="L37" s="71">
        <f t="shared" si="0"/>
        <v>2015</v>
      </c>
      <c r="M37" s="72">
        <f>+IFERROR(INDEX([6]PARÁMETROS!$B$11:$B$37,MATCH(L37,[6]PARÁMETROS!$A$11:$A$37,0)),"")</f>
        <v>644350</v>
      </c>
      <c r="N37" s="73">
        <v>6977164103</v>
      </c>
      <c r="O37" s="74" t="s">
        <v>20</v>
      </c>
      <c r="P37" s="63" t="s">
        <v>54</v>
      </c>
      <c r="Q37" s="75" t="s">
        <v>54</v>
      </c>
      <c r="R37" s="76">
        <v>1</v>
      </c>
      <c r="S37" s="72">
        <f t="shared" si="3"/>
        <v>6977164103</v>
      </c>
      <c r="T37" s="60">
        <f t="shared" si="1"/>
        <v>10828.220847365563</v>
      </c>
      <c r="U37" s="60">
        <f t="shared" si="2"/>
        <v>2707.0552118413907</v>
      </c>
      <c r="V37" s="60" t="s">
        <v>397</v>
      </c>
      <c r="W37" s="650"/>
      <c r="X37" s="650"/>
      <c r="Y37" s="650"/>
      <c r="Z37" s="650"/>
      <c r="AA37" s="650"/>
      <c r="AB37" s="650"/>
      <c r="AC37" s="650"/>
      <c r="AD37" s="650"/>
      <c r="AE37" s="650"/>
      <c r="AF37" s="205"/>
      <c r="AG37" s="650"/>
      <c r="AH37" s="650"/>
      <c r="AI37" s="205" t="str">
        <f>+IF(U37="","",IF(U37&gt;=[6]PARÁMETROS!$D$5,"CUMPLE","NO CUMPLE"))</f>
        <v>CUMPLE</v>
      </c>
      <c r="AJ37" s="66" t="s">
        <v>884</v>
      </c>
    </row>
    <row r="38" spans="1:36" s="243" customFormat="1" ht="171.75" thickBot="1" x14ac:dyDescent="0.3">
      <c r="A38" s="654"/>
      <c r="B38" s="210" t="s">
        <v>252</v>
      </c>
      <c r="C38" s="410">
        <v>161</v>
      </c>
      <c r="D38" s="211" t="str">
        <f>+IFERROR(INDEX([6]CONSOLIDADO!$D$4:$D$108,MATCH('EXP GEN. 1-8.'!B38,[6]CONSOLIDADO!$C$4:$C$108,0)),"")</f>
        <v>SERTIC S.A.S.</v>
      </c>
      <c r="E38" s="212" t="s">
        <v>22</v>
      </c>
      <c r="F38" s="213" t="s">
        <v>520</v>
      </c>
      <c r="G38" s="214" t="s">
        <v>5</v>
      </c>
      <c r="H38" s="214" t="s">
        <v>5</v>
      </c>
      <c r="I38" s="215">
        <v>0.2</v>
      </c>
      <c r="J38" s="216">
        <v>41068</v>
      </c>
      <c r="K38" s="216">
        <v>42158</v>
      </c>
      <c r="L38" s="217">
        <f t="shared" si="0"/>
        <v>2015</v>
      </c>
      <c r="M38" s="202">
        <f>+IFERROR(INDEX([6]PARÁMETROS!$B$11:$B$37,MATCH(L38,[6]PARÁMETROS!$A$11:$A$37,0)),"")</f>
        <v>644350</v>
      </c>
      <c r="N38" s="218">
        <v>6337347818</v>
      </c>
      <c r="O38" s="203" t="s">
        <v>20</v>
      </c>
      <c r="P38" s="210" t="s">
        <v>54</v>
      </c>
      <c r="Q38" s="219" t="s">
        <v>54</v>
      </c>
      <c r="R38" s="220">
        <v>1</v>
      </c>
      <c r="S38" s="202">
        <f t="shared" si="3"/>
        <v>6337347818</v>
      </c>
      <c r="T38" s="204">
        <f t="shared" si="1"/>
        <v>9835.2569535190505</v>
      </c>
      <c r="U38" s="204">
        <f t="shared" si="2"/>
        <v>1967.0513907038103</v>
      </c>
      <c r="V38" s="204" t="s">
        <v>397</v>
      </c>
      <c r="W38" s="655"/>
      <c r="X38" s="655"/>
      <c r="Y38" s="655"/>
      <c r="Z38" s="655"/>
      <c r="AA38" s="655"/>
      <c r="AB38" s="655"/>
      <c r="AC38" s="655"/>
      <c r="AD38" s="655"/>
      <c r="AE38" s="655"/>
      <c r="AF38" s="214"/>
      <c r="AG38" s="651"/>
      <c r="AH38" s="651"/>
      <c r="AI38" s="214" t="str">
        <f>+IF(U38="","",IF(U38&gt;=[6]PARÁMETROS!$D$5,"CUMPLE","NO CUMPLE"))</f>
        <v>CUMPLE</v>
      </c>
      <c r="AJ38" s="212"/>
    </row>
    <row r="39" spans="1:36" s="237" customFormat="1" ht="71.25" x14ac:dyDescent="0.25">
      <c r="A39" s="652" t="s">
        <v>521</v>
      </c>
      <c r="B39" s="125" t="s">
        <v>255</v>
      </c>
      <c r="C39" s="408">
        <v>100</v>
      </c>
      <c r="D39" s="127" t="str">
        <f>+IFERROR(INDEX([6]CONSOLIDADO!$D$4:$D$108,MATCH('EXP GEN. 1-8.'!B39,[6]CONSOLIDADO!$C$4:$C$108,0)),"")</f>
        <v>JOSE MANUEL GUARDO POLO</v>
      </c>
      <c r="E39" s="128" t="s">
        <v>522</v>
      </c>
      <c r="F39" s="129" t="s">
        <v>523</v>
      </c>
      <c r="G39" s="207" t="s">
        <v>5</v>
      </c>
      <c r="H39" s="207" t="s">
        <v>5</v>
      </c>
      <c r="I39" s="131">
        <v>1</v>
      </c>
      <c r="J39" s="132">
        <v>34085</v>
      </c>
      <c r="K39" s="132">
        <v>34352</v>
      </c>
      <c r="L39" s="133">
        <f t="shared" si="0"/>
        <v>1994</v>
      </c>
      <c r="M39" s="134">
        <f>+IFERROR(INDEX([6]PARÁMETROS!$B$11:$B$37,MATCH(L39,[6]PARÁMETROS!$A$11:$A$37,0)),"")</f>
        <v>98700</v>
      </c>
      <c r="N39" s="135">
        <v>265817625</v>
      </c>
      <c r="O39" s="136" t="s">
        <v>20</v>
      </c>
      <c r="P39" s="125" t="s">
        <v>54</v>
      </c>
      <c r="Q39" s="137" t="s">
        <v>54</v>
      </c>
      <c r="R39" s="138">
        <v>1</v>
      </c>
      <c r="S39" s="134">
        <f t="shared" si="3"/>
        <v>265817625</v>
      </c>
      <c r="T39" s="139">
        <f t="shared" si="1"/>
        <v>2693.1876899696049</v>
      </c>
      <c r="U39" s="139">
        <f t="shared" si="2"/>
        <v>2693.1876899696049</v>
      </c>
      <c r="V39" s="139">
        <v>4</v>
      </c>
      <c r="W39" s="649" t="s">
        <v>5</v>
      </c>
      <c r="X39" s="649"/>
      <c r="Y39" s="649"/>
      <c r="Z39" s="649" t="s">
        <v>6</v>
      </c>
      <c r="AA39" s="649"/>
      <c r="AB39" s="649"/>
      <c r="AC39" s="649" t="s">
        <v>5</v>
      </c>
      <c r="AD39" s="649"/>
      <c r="AE39" s="649"/>
      <c r="AF39" s="207" t="s">
        <v>5</v>
      </c>
      <c r="AG39" s="649" t="str">
        <f>IF(U39="","",IF(SUM(U39:U43)&gt;=[6]PARÁMETROS!$H$5,"CUMPLE","NO CUMPLE"))</f>
        <v>CUMPLE</v>
      </c>
      <c r="AH39" s="649" t="str">
        <f>IF(U39="","",IF((U39+U40+U41+U42)&gt;=[6]PARÁMETROS!$F$5,"CUMPLE","NO CUMPLE"))</f>
        <v>CUMPLE</v>
      </c>
      <c r="AI39" s="207" t="str">
        <f>+IF(U39="","",IF(U39&gt;=[6]PARÁMETROS!$D$5,"CUMPLE","NO CUMPLE"))</f>
        <v>CUMPLE</v>
      </c>
      <c r="AJ39" s="128"/>
    </row>
    <row r="40" spans="1:36" s="79" customFormat="1" ht="57" x14ac:dyDescent="0.25">
      <c r="A40" s="653"/>
      <c r="B40" s="63" t="s">
        <v>255</v>
      </c>
      <c r="C40" s="409">
        <v>108</v>
      </c>
      <c r="D40" s="65" t="str">
        <f>+IFERROR(INDEX([6]CONSOLIDADO!$D$4:$D$108,MATCH('EXP GEN. 1-8.'!B40,[6]CONSOLIDADO!$C$4:$C$108,0)),"")</f>
        <v>JOSE MANUEL GUARDO POLO</v>
      </c>
      <c r="E40" s="66" t="s">
        <v>524</v>
      </c>
      <c r="F40" s="67" t="s">
        <v>525</v>
      </c>
      <c r="G40" s="205" t="s">
        <v>5</v>
      </c>
      <c r="H40" s="205" t="s">
        <v>5</v>
      </c>
      <c r="I40" s="69">
        <v>1</v>
      </c>
      <c r="J40" s="70">
        <v>34355</v>
      </c>
      <c r="K40" s="70">
        <v>34610</v>
      </c>
      <c r="L40" s="71">
        <f t="shared" si="0"/>
        <v>1994</v>
      </c>
      <c r="M40" s="72">
        <f>+IFERROR(INDEX([6]PARÁMETROS!$B$11:$B$37,MATCH(L40,[6]PARÁMETROS!$A$11:$A$37,0)),"")</f>
        <v>98700</v>
      </c>
      <c r="N40" s="73">
        <v>320063303</v>
      </c>
      <c r="O40" s="74" t="s">
        <v>20</v>
      </c>
      <c r="P40" s="63" t="s">
        <v>54</v>
      </c>
      <c r="Q40" s="75" t="s">
        <v>54</v>
      </c>
      <c r="R40" s="76">
        <v>1</v>
      </c>
      <c r="S40" s="72">
        <f t="shared" si="3"/>
        <v>320063303</v>
      </c>
      <c r="T40" s="60">
        <f t="shared" si="1"/>
        <v>3242.789290780142</v>
      </c>
      <c r="U40" s="60">
        <f t="shared" si="2"/>
        <v>3242.789290780142</v>
      </c>
      <c r="V40" s="60">
        <v>2</v>
      </c>
      <c r="W40" s="650" t="s">
        <v>5</v>
      </c>
      <c r="X40" s="650"/>
      <c r="Y40" s="650"/>
      <c r="Z40" s="650" t="s">
        <v>6</v>
      </c>
      <c r="AA40" s="650"/>
      <c r="AB40" s="650"/>
      <c r="AC40" s="650" t="s">
        <v>5</v>
      </c>
      <c r="AD40" s="650"/>
      <c r="AE40" s="650"/>
      <c r="AF40" s="205" t="s">
        <v>5</v>
      </c>
      <c r="AG40" s="650"/>
      <c r="AH40" s="650"/>
      <c r="AI40" s="205" t="str">
        <f>+IF(U40="","",IF(U40&gt;=[6]PARÁMETROS!$D$5,"CUMPLE","NO CUMPLE"))</f>
        <v>CUMPLE</v>
      </c>
      <c r="AJ40" s="66"/>
    </row>
    <row r="41" spans="1:36" s="79" customFormat="1" ht="71.25" x14ac:dyDescent="0.25">
      <c r="A41" s="653"/>
      <c r="B41" s="63" t="s">
        <v>255</v>
      </c>
      <c r="C41" s="409">
        <v>114</v>
      </c>
      <c r="D41" s="65" t="str">
        <f>+IFERROR(INDEX([6]CONSOLIDADO!$D$4:$D$108,MATCH('EXP GEN. 1-8.'!B41,[6]CONSOLIDADO!$C$4:$C$108,0)),"")</f>
        <v>JOSE MANUEL GUARDO POLO</v>
      </c>
      <c r="E41" s="66" t="s">
        <v>524</v>
      </c>
      <c r="F41" s="67" t="s">
        <v>526</v>
      </c>
      <c r="G41" s="205" t="s">
        <v>5</v>
      </c>
      <c r="H41" s="205" t="s">
        <v>5</v>
      </c>
      <c r="I41" s="69">
        <v>1</v>
      </c>
      <c r="J41" s="70">
        <v>34743</v>
      </c>
      <c r="K41" s="70">
        <v>35291</v>
      </c>
      <c r="L41" s="71">
        <f t="shared" si="0"/>
        <v>1996</v>
      </c>
      <c r="M41" s="72">
        <f>+IFERROR(INDEX([6]PARÁMETROS!$B$11:$B$37,MATCH(L41,[6]PARÁMETROS!$A$11:$A$37,0)),"")</f>
        <v>142125</v>
      </c>
      <c r="N41" s="73">
        <v>602820317.29999995</v>
      </c>
      <c r="O41" s="74" t="s">
        <v>20</v>
      </c>
      <c r="P41" s="63" t="s">
        <v>54</v>
      </c>
      <c r="Q41" s="75" t="s">
        <v>54</v>
      </c>
      <c r="R41" s="76">
        <v>1</v>
      </c>
      <c r="S41" s="72">
        <f t="shared" si="3"/>
        <v>602820317.29999995</v>
      </c>
      <c r="T41" s="60">
        <f t="shared" si="1"/>
        <v>4241.479805101143</v>
      </c>
      <c r="U41" s="60">
        <f t="shared" si="2"/>
        <v>4241.479805101143</v>
      </c>
      <c r="V41" s="60">
        <v>1</v>
      </c>
      <c r="W41" s="650" t="s">
        <v>5</v>
      </c>
      <c r="X41" s="650"/>
      <c r="Y41" s="650"/>
      <c r="Z41" s="650" t="s">
        <v>6</v>
      </c>
      <c r="AA41" s="650"/>
      <c r="AB41" s="650"/>
      <c r="AC41" s="650" t="s">
        <v>5</v>
      </c>
      <c r="AD41" s="650"/>
      <c r="AE41" s="650"/>
      <c r="AF41" s="205" t="s">
        <v>5</v>
      </c>
      <c r="AG41" s="650"/>
      <c r="AH41" s="650"/>
      <c r="AI41" s="205" t="str">
        <f>+IF(U41="","",IF(U41&gt;=[6]PARÁMETROS!$D$5,"CUMPLE","NO CUMPLE"))</f>
        <v>CUMPLE</v>
      </c>
      <c r="AJ41" s="66"/>
    </row>
    <row r="42" spans="1:36" s="79" customFormat="1" ht="71.25" x14ac:dyDescent="0.25">
      <c r="A42" s="653"/>
      <c r="B42" s="63" t="s">
        <v>255</v>
      </c>
      <c r="C42" s="409">
        <v>121</v>
      </c>
      <c r="D42" s="65" t="str">
        <f>+IFERROR(INDEX([6]CONSOLIDADO!$D$4:$D$108,MATCH('EXP GEN. 1-8.'!B42,[6]CONSOLIDADO!$C$4:$C$108,0)),"")</f>
        <v>JOSE MANUEL GUARDO POLO</v>
      </c>
      <c r="E42" s="66" t="s">
        <v>482</v>
      </c>
      <c r="F42" s="67" t="s">
        <v>527</v>
      </c>
      <c r="G42" s="205" t="s">
        <v>5</v>
      </c>
      <c r="H42" s="205" t="s">
        <v>5</v>
      </c>
      <c r="I42" s="69">
        <v>0.5</v>
      </c>
      <c r="J42" s="70">
        <v>38338</v>
      </c>
      <c r="K42" s="70">
        <v>40296</v>
      </c>
      <c r="L42" s="71">
        <f t="shared" si="0"/>
        <v>2010</v>
      </c>
      <c r="M42" s="72">
        <f>+IFERROR(INDEX([6]PARÁMETROS!$B$11:$B$37,MATCH(L42,[6]PARÁMETROS!$A$11:$A$37,0)),"")</f>
        <v>515000</v>
      </c>
      <c r="N42" s="73">
        <v>5611007439</v>
      </c>
      <c r="O42" s="74" t="s">
        <v>20</v>
      </c>
      <c r="P42" s="63" t="s">
        <v>54</v>
      </c>
      <c r="Q42" s="75" t="s">
        <v>54</v>
      </c>
      <c r="R42" s="76">
        <v>1</v>
      </c>
      <c r="S42" s="72">
        <f t="shared" si="3"/>
        <v>5611007439</v>
      </c>
      <c r="T42" s="60">
        <f t="shared" si="1"/>
        <v>10895.160075728156</v>
      </c>
      <c r="U42" s="60">
        <f t="shared" si="2"/>
        <v>5447.5800378640779</v>
      </c>
      <c r="V42" s="60">
        <v>11</v>
      </c>
      <c r="W42" s="650" t="s">
        <v>5</v>
      </c>
      <c r="X42" s="650"/>
      <c r="Y42" s="650"/>
      <c r="Z42" s="650" t="s">
        <v>6</v>
      </c>
      <c r="AA42" s="650"/>
      <c r="AB42" s="650"/>
      <c r="AC42" s="650" t="s">
        <v>5</v>
      </c>
      <c r="AD42" s="650"/>
      <c r="AE42" s="650"/>
      <c r="AF42" s="205" t="s">
        <v>5</v>
      </c>
      <c r="AG42" s="650"/>
      <c r="AH42" s="650"/>
      <c r="AI42" s="205" t="str">
        <f>+IF(U42="","",IF(U42&gt;=[6]PARÁMETROS!$D$5,"CUMPLE","NO CUMPLE"))</f>
        <v>CUMPLE</v>
      </c>
      <c r="AJ42" s="66"/>
    </row>
    <row r="43" spans="1:36" s="252" customFormat="1" ht="111" thickBot="1" x14ac:dyDescent="0.3">
      <c r="A43" s="654"/>
      <c r="B43" s="145" t="s">
        <v>254</v>
      </c>
      <c r="C43" s="411">
        <v>130</v>
      </c>
      <c r="D43" s="146" t="str">
        <f>+IFERROR(INDEX([6]CONSOLIDADO!$D$4:$D$108,MATCH('EXP GEN. 1-8.'!B43,[6]CONSOLIDADO!$C$4:$C$108,0)),"")</f>
        <v>INGENOBRAS CONSTRUCCIONES Y CONSULTORIA S.A.S. - INGENOBRAS S.A.S.</v>
      </c>
      <c r="E43" s="147" t="s">
        <v>528</v>
      </c>
      <c r="F43" s="147" t="s">
        <v>529</v>
      </c>
      <c r="G43" s="208" t="s">
        <v>5</v>
      </c>
      <c r="H43" s="208" t="s">
        <v>5</v>
      </c>
      <c r="I43" s="172">
        <v>0.45</v>
      </c>
      <c r="J43" s="151">
        <v>40805</v>
      </c>
      <c r="K43" s="151">
        <v>41730</v>
      </c>
      <c r="L43" s="152">
        <f t="shared" si="0"/>
        <v>2014</v>
      </c>
      <c r="M43" s="153">
        <f>+IFERROR(INDEX([6]PARÁMETROS!$B$11:$B$37,MATCH(L43,[6]PARÁMETROS!$A$11:$A$37,0)),"")</f>
        <v>616000</v>
      </c>
      <c r="N43" s="173">
        <v>5922134662</v>
      </c>
      <c r="O43" s="155" t="s">
        <v>20</v>
      </c>
      <c r="P43" s="145" t="s">
        <v>54</v>
      </c>
      <c r="Q43" s="156" t="s">
        <v>54</v>
      </c>
      <c r="R43" s="157">
        <v>1</v>
      </c>
      <c r="S43" s="153">
        <f t="shared" si="3"/>
        <v>5922134662</v>
      </c>
      <c r="T43" s="158">
        <f t="shared" si="1"/>
        <v>9613.8549707792208</v>
      </c>
      <c r="U43" s="158">
        <f t="shared" si="2"/>
        <v>4326.2347368506498</v>
      </c>
      <c r="V43" s="158">
        <v>20</v>
      </c>
      <c r="W43" s="651" t="s">
        <v>5</v>
      </c>
      <c r="X43" s="651"/>
      <c r="Y43" s="651"/>
      <c r="Z43" s="651" t="s">
        <v>5</v>
      </c>
      <c r="AA43" s="651"/>
      <c r="AB43" s="651"/>
      <c r="AC43" s="651" t="s">
        <v>5</v>
      </c>
      <c r="AD43" s="651"/>
      <c r="AE43" s="651"/>
      <c r="AF43" s="208" t="s">
        <v>5</v>
      </c>
      <c r="AG43" s="651"/>
      <c r="AH43" s="651"/>
      <c r="AI43" s="208" t="str">
        <f>+IF(U43="","",IF(U43&gt;=[6]PARÁMETROS!$D$5,"CUMPLE","NO CUMPLE"))</f>
        <v>CUMPLE</v>
      </c>
      <c r="AJ43" s="147"/>
    </row>
    <row r="44" spans="1:36" s="237" customFormat="1" x14ac:dyDescent="0.25">
      <c r="A44" s="652"/>
      <c r="B44" s="125"/>
      <c r="C44" s="408"/>
      <c r="D44" s="127"/>
      <c r="E44" s="128"/>
      <c r="F44" s="129"/>
      <c r="G44" s="207"/>
      <c r="H44" s="207"/>
      <c r="I44" s="131"/>
      <c r="J44" s="132"/>
      <c r="K44" s="132"/>
      <c r="L44" s="133"/>
      <c r="M44" s="134"/>
      <c r="N44" s="135"/>
      <c r="O44" s="136"/>
      <c r="P44" s="125"/>
      <c r="Q44" s="137"/>
      <c r="R44" s="138"/>
      <c r="S44" s="134"/>
      <c r="T44" s="139"/>
      <c r="U44" s="139"/>
      <c r="V44" s="139"/>
      <c r="W44" s="649"/>
      <c r="X44" s="649"/>
      <c r="Y44" s="649"/>
      <c r="Z44" s="649"/>
      <c r="AA44" s="649"/>
      <c r="AB44" s="649"/>
      <c r="AC44" s="649"/>
      <c r="AD44" s="649"/>
      <c r="AE44" s="649"/>
      <c r="AF44" s="207"/>
      <c r="AG44" s="649"/>
      <c r="AH44" s="649"/>
      <c r="AI44" s="207"/>
      <c r="AJ44" s="128"/>
    </row>
    <row r="45" spans="1:36" s="79" customFormat="1" x14ac:dyDescent="0.25">
      <c r="A45" s="653"/>
      <c r="B45" s="63"/>
      <c r="C45" s="409"/>
      <c r="D45" s="65"/>
      <c r="E45" s="66"/>
      <c r="F45" s="67"/>
      <c r="G45" s="205"/>
      <c r="H45" s="205"/>
      <c r="I45" s="69"/>
      <c r="J45" s="70"/>
      <c r="K45" s="70"/>
      <c r="L45" s="71"/>
      <c r="M45" s="72"/>
      <c r="N45" s="73"/>
      <c r="O45" s="74"/>
      <c r="P45" s="63"/>
      <c r="Q45" s="75"/>
      <c r="R45" s="76"/>
      <c r="S45" s="72"/>
      <c r="T45" s="60"/>
      <c r="U45" s="60"/>
      <c r="V45" s="60"/>
      <c r="W45" s="650"/>
      <c r="X45" s="650"/>
      <c r="Y45" s="650"/>
      <c r="Z45" s="650"/>
      <c r="AA45" s="650"/>
      <c r="AB45" s="650"/>
      <c r="AC45" s="650"/>
      <c r="AD45" s="650"/>
      <c r="AE45" s="650"/>
      <c r="AF45" s="205"/>
      <c r="AG45" s="650"/>
      <c r="AH45" s="650"/>
      <c r="AI45" s="205"/>
      <c r="AJ45" s="66"/>
    </row>
    <row r="46" spans="1:36" s="79" customFormat="1" x14ac:dyDescent="0.25">
      <c r="A46" s="653"/>
      <c r="B46" s="63"/>
      <c r="C46" s="409"/>
      <c r="D46" s="65"/>
      <c r="E46" s="66"/>
      <c r="F46" s="67"/>
      <c r="G46" s="205"/>
      <c r="H46" s="205"/>
      <c r="I46" s="69"/>
      <c r="J46" s="70"/>
      <c r="K46" s="70"/>
      <c r="L46" s="71"/>
      <c r="M46" s="72"/>
      <c r="N46" s="73"/>
      <c r="O46" s="74"/>
      <c r="P46" s="63"/>
      <c r="Q46" s="75"/>
      <c r="R46" s="76"/>
      <c r="S46" s="72"/>
      <c r="T46" s="60"/>
      <c r="U46" s="60"/>
      <c r="V46" s="60"/>
      <c r="W46" s="650"/>
      <c r="X46" s="650"/>
      <c r="Y46" s="650"/>
      <c r="Z46" s="650"/>
      <c r="AA46" s="650"/>
      <c r="AB46" s="650"/>
      <c r="AC46" s="650"/>
      <c r="AD46" s="650"/>
      <c r="AE46" s="650"/>
      <c r="AF46" s="205"/>
      <c r="AG46" s="650"/>
      <c r="AH46" s="650"/>
      <c r="AI46" s="205"/>
      <c r="AJ46" s="66"/>
    </row>
    <row r="47" spans="1:36" s="252" customFormat="1" ht="16.5" thickBot="1" x14ac:dyDescent="0.3">
      <c r="A47" s="654"/>
      <c r="B47" s="145"/>
      <c r="C47" s="411"/>
      <c r="D47" s="146"/>
      <c r="E47" s="147"/>
      <c r="F47" s="148"/>
      <c r="G47" s="208"/>
      <c r="H47" s="208"/>
      <c r="I47" s="150"/>
      <c r="J47" s="151"/>
      <c r="K47" s="151"/>
      <c r="L47" s="152"/>
      <c r="M47" s="153"/>
      <c r="N47" s="154"/>
      <c r="O47" s="155"/>
      <c r="P47" s="145"/>
      <c r="Q47" s="156"/>
      <c r="R47" s="157"/>
      <c r="S47" s="153"/>
      <c r="T47" s="158"/>
      <c r="U47" s="158"/>
      <c r="V47" s="158"/>
      <c r="W47" s="651"/>
      <c r="X47" s="651"/>
      <c r="Y47" s="651"/>
      <c r="Z47" s="651"/>
      <c r="AA47" s="651"/>
      <c r="AB47" s="651"/>
      <c r="AC47" s="651"/>
      <c r="AD47" s="651"/>
      <c r="AE47" s="651"/>
      <c r="AF47" s="208"/>
      <c r="AG47" s="651"/>
      <c r="AH47" s="651"/>
      <c r="AI47" s="208"/>
      <c r="AJ47" s="147"/>
    </row>
    <row r="48" spans="1:36" s="262" customFormat="1" x14ac:dyDescent="0.25">
      <c r="A48" s="253"/>
      <c r="B48" s="253"/>
      <c r="C48" s="412"/>
      <c r="D48" s="254"/>
      <c r="E48" s="255"/>
      <c r="F48" s="255"/>
      <c r="G48" s="255"/>
      <c r="H48" s="255"/>
      <c r="I48" s="256"/>
      <c r="J48" s="257"/>
      <c r="K48" s="257"/>
      <c r="L48" s="258"/>
      <c r="M48" s="119"/>
      <c r="N48" s="259"/>
      <c r="O48" s="260"/>
      <c r="P48" s="113"/>
      <c r="Q48" s="121"/>
      <c r="R48" s="122"/>
      <c r="S48" s="119"/>
      <c r="T48" s="123"/>
      <c r="U48" s="123"/>
      <c r="V48" s="123"/>
      <c r="W48" s="261"/>
      <c r="X48" s="261"/>
      <c r="Y48" s="261"/>
      <c r="Z48" s="261"/>
      <c r="AA48" s="261"/>
      <c r="AB48" s="261"/>
      <c r="AC48" s="261"/>
      <c r="AD48" s="261"/>
      <c r="AE48" s="261"/>
      <c r="AF48" s="124"/>
      <c r="AG48" s="124"/>
      <c r="AH48" s="124"/>
      <c r="AI48" s="124"/>
      <c r="AJ48" s="255"/>
    </row>
    <row r="49" spans="1:36" s="103" customFormat="1" x14ac:dyDescent="0.25">
      <c r="A49" s="94"/>
      <c r="B49" s="94"/>
      <c r="C49" s="413"/>
      <c r="D49" s="95"/>
      <c r="E49" s="96"/>
      <c r="F49" s="96"/>
      <c r="G49" s="96"/>
      <c r="H49" s="96"/>
      <c r="I49" s="97"/>
      <c r="J49" s="98"/>
      <c r="K49" s="98"/>
      <c r="L49" s="99"/>
      <c r="M49" s="72"/>
      <c r="N49" s="100"/>
      <c r="O49" s="101"/>
      <c r="P49" s="63"/>
      <c r="Q49" s="75"/>
      <c r="R49" s="76"/>
      <c r="S49" s="72"/>
      <c r="T49" s="60"/>
      <c r="U49" s="60"/>
      <c r="V49" s="60"/>
      <c r="W49" s="102"/>
      <c r="X49" s="102"/>
      <c r="Y49" s="102"/>
      <c r="Z49" s="102"/>
      <c r="AA49" s="102"/>
      <c r="AB49" s="102"/>
      <c r="AC49" s="102"/>
      <c r="AD49" s="102"/>
      <c r="AE49" s="102"/>
      <c r="AF49" s="205"/>
      <c r="AG49" s="205"/>
      <c r="AH49" s="205"/>
      <c r="AI49" s="205"/>
      <c r="AJ49" s="96"/>
    </row>
    <row r="50" spans="1:36" s="103" customFormat="1" x14ac:dyDescent="0.25">
      <c r="A50" s="94"/>
      <c r="B50" s="94"/>
      <c r="C50" s="413"/>
      <c r="D50" s="95"/>
      <c r="E50" s="96"/>
      <c r="F50" s="96"/>
      <c r="G50" s="96"/>
      <c r="H50" s="96"/>
      <c r="I50" s="97"/>
      <c r="J50" s="98"/>
      <c r="K50" s="98"/>
      <c r="L50" s="99"/>
      <c r="M50" s="72"/>
      <c r="N50" s="100"/>
      <c r="O50" s="101"/>
      <c r="P50" s="63"/>
      <c r="Q50" s="75"/>
      <c r="R50" s="76"/>
      <c r="S50" s="72"/>
      <c r="T50" s="60"/>
      <c r="U50" s="60"/>
      <c r="V50" s="60"/>
      <c r="W50" s="102"/>
      <c r="X50" s="102"/>
      <c r="Y50" s="102"/>
      <c r="Z50" s="102"/>
      <c r="AA50" s="102"/>
      <c r="AB50" s="102"/>
      <c r="AC50" s="102"/>
      <c r="AD50" s="102"/>
      <c r="AE50" s="102"/>
      <c r="AF50" s="205"/>
      <c r="AG50" s="205"/>
      <c r="AH50" s="205"/>
      <c r="AI50" s="205"/>
      <c r="AJ50" s="96"/>
    </row>
    <row r="51" spans="1:36" s="103" customFormat="1" x14ac:dyDescent="0.25">
      <c r="A51" s="94"/>
      <c r="B51" s="94"/>
      <c r="C51" s="413"/>
      <c r="D51" s="95"/>
      <c r="E51" s="96"/>
      <c r="F51" s="96"/>
      <c r="G51" s="96"/>
      <c r="H51" s="96"/>
      <c r="I51" s="97"/>
      <c r="J51" s="98"/>
      <c r="K51" s="98"/>
      <c r="L51" s="99"/>
      <c r="M51" s="72"/>
      <c r="N51" s="100"/>
      <c r="O51" s="101"/>
      <c r="P51" s="63"/>
      <c r="Q51" s="75"/>
      <c r="R51" s="76"/>
      <c r="S51" s="72"/>
      <c r="T51" s="60"/>
      <c r="U51" s="60"/>
      <c r="V51" s="60"/>
      <c r="W51" s="102"/>
      <c r="X51" s="102"/>
      <c r="Y51" s="102"/>
      <c r="Z51" s="102"/>
      <c r="AA51" s="102"/>
      <c r="AB51" s="102"/>
      <c r="AC51" s="102"/>
      <c r="AD51" s="102"/>
      <c r="AE51" s="102"/>
      <c r="AF51" s="205"/>
      <c r="AG51" s="205"/>
      <c r="AH51" s="205"/>
      <c r="AI51" s="205"/>
      <c r="AJ51" s="96"/>
    </row>
    <row r="52" spans="1:36" s="103" customFormat="1" x14ac:dyDescent="0.25">
      <c r="A52" s="94"/>
      <c r="B52" s="94"/>
      <c r="C52" s="413"/>
      <c r="D52" s="95"/>
      <c r="E52" s="96"/>
      <c r="F52" s="96"/>
      <c r="G52" s="96"/>
      <c r="H52" s="96"/>
      <c r="I52" s="97"/>
      <c r="J52" s="98"/>
      <c r="K52" s="98"/>
      <c r="L52" s="99"/>
      <c r="M52" s="72"/>
      <c r="N52" s="100"/>
      <c r="O52" s="101"/>
      <c r="P52" s="63"/>
      <c r="Q52" s="75"/>
      <c r="R52" s="76"/>
      <c r="S52" s="72"/>
      <c r="T52" s="60"/>
      <c r="U52" s="60"/>
      <c r="V52" s="60"/>
      <c r="W52" s="102"/>
      <c r="X52" s="102"/>
      <c r="Y52" s="102"/>
      <c r="Z52" s="102"/>
      <c r="AA52" s="102"/>
      <c r="AB52" s="102"/>
      <c r="AC52" s="102"/>
      <c r="AD52" s="102"/>
      <c r="AE52" s="102"/>
      <c r="AF52" s="205"/>
      <c r="AG52" s="205"/>
      <c r="AH52" s="205"/>
      <c r="AI52" s="205"/>
      <c r="AJ52" s="96"/>
    </row>
    <row r="53" spans="1:36" s="103" customFormat="1" x14ac:dyDescent="0.25">
      <c r="A53" s="94"/>
      <c r="B53" s="94"/>
      <c r="C53" s="413"/>
      <c r="D53" s="95"/>
      <c r="E53" s="96"/>
      <c r="F53" s="96"/>
      <c r="G53" s="96"/>
      <c r="H53" s="96"/>
      <c r="I53" s="97"/>
      <c r="J53" s="98"/>
      <c r="K53" s="98"/>
      <c r="L53" s="99"/>
      <c r="M53" s="72"/>
      <c r="N53" s="100"/>
      <c r="O53" s="101"/>
      <c r="P53" s="63"/>
      <c r="Q53" s="75"/>
      <c r="R53" s="76"/>
      <c r="S53" s="72"/>
      <c r="T53" s="60"/>
      <c r="U53" s="60"/>
      <c r="V53" s="60"/>
      <c r="W53" s="102"/>
      <c r="X53" s="102"/>
      <c r="Y53" s="102"/>
      <c r="Z53" s="102"/>
      <c r="AA53" s="102"/>
      <c r="AB53" s="102"/>
      <c r="AC53" s="102"/>
      <c r="AD53" s="102"/>
      <c r="AE53" s="102"/>
      <c r="AF53" s="205"/>
      <c r="AG53" s="205"/>
      <c r="AH53" s="205"/>
      <c r="AI53" s="205"/>
      <c r="AJ53" s="96"/>
    </row>
    <row r="54" spans="1:36" s="103" customFormat="1" x14ac:dyDescent="0.25">
      <c r="A54" s="94"/>
      <c r="B54" s="94"/>
      <c r="C54" s="413"/>
      <c r="D54" s="95"/>
      <c r="E54" s="96"/>
      <c r="F54" s="96"/>
      <c r="G54" s="96"/>
      <c r="H54" s="96"/>
      <c r="I54" s="97"/>
      <c r="J54" s="98"/>
      <c r="K54" s="98"/>
      <c r="L54" s="99"/>
      <c r="M54" s="72"/>
      <c r="N54" s="100"/>
      <c r="O54" s="101"/>
      <c r="P54" s="63"/>
      <c r="Q54" s="75"/>
      <c r="R54" s="76"/>
      <c r="S54" s="72"/>
      <c r="T54" s="60"/>
      <c r="U54" s="60"/>
      <c r="V54" s="60"/>
      <c r="W54" s="102"/>
      <c r="X54" s="102"/>
      <c r="Y54" s="102"/>
      <c r="Z54" s="102"/>
      <c r="AA54" s="102"/>
      <c r="AB54" s="102"/>
      <c r="AC54" s="102"/>
      <c r="AD54" s="102"/>
      <c r="AE54" s="102"/>
      <c r="AF54" s="205"/>
      <c r="AG54" s="205"/>
      <c r="AH54" s="205"/>
      <c r="AI54" s="205"/>
      <c r="AJ54" s="96"/>
    </row>
    <row r="55" spans="1:36" s="103" customFormat="1" x14ac:dyDescent="0.25">
      <c r="A55" s="94"/>
      <c r="B55" s="94"/>
      <c r="C55" s="413"/>
      <c r="D55" s="95"/>
      <c r="E55" s="96"/>
      <c r="F55" s="96"/>
      <c r="G55" s="96"/>
      <c r="H55" s="96"/>
      <c r="I55" s="97"/>
      <c r="J55" s="98"/>
      <c r="K55" s="98"/>
      <c r="L55" s="99"/>
      <c r="M55" s="72"/>
      <c r="N55" s="100"/>
      <c r="O55" s="101"/>
      <c r="P55" s="63"/>
      <c r="Q55" s="75"/>
      <c r="R55" s="76"/>
      <c r="S55" s="72"/>
      <c r="T55" s="60"/>
      <c r="U55" s="60"/>
      <c r="V55" s="60"/>
      <c r="W55" s="102"/>
      <c r="X55" s="102"/>
      <c r="Y55" s="102"/>
      <c r="Z55" s="102"/>
      <c r="AA55" s="102"/>
      <c r="AB55" s="102"/>
      <c r="AC55" s="102"/>
      <c r="AD55" s="102"/>
      <c r="AE55" s="102"/>
      <c r="AF55" s="205"/>
      <c r="AG55" s="205"/>
      <c r="AH55" s="205"/>
      <c r="AI55" s="205"/>
      <c r="AJ55" s="96"/>
    </row>
    <row r="56" spans="1:36" s="103" customFormat="1" ht="65.099999999999994" customHeight="1" x14ac:dyDescent="0.25">
      <c r="A56" s="94"/>
      <c r="B56" s="94"/>
      <c r="C56" s="413"/>
      <c r="D56" s="95"/>
      <c r="E56" s="96"/>
      <c r="F56" s="96"/>
      <c r="G56" s="96"/>
      <c r="H56" s="96"/>
      <c r="I56" s="97"/>
      <c r="J56" s="98"/>
      <c r="K56" s="98"/>
      <c r="L56" s="99"/>
      <c r="M56" s="72"/>
      <c r="N56" s="100"/>
      <c r="O56" s="101"/>
      <c r="P56" s="63"/>
      <c r="Q56" s="75"/>
      <c r="R56" s="76"/>
      <c r="S56" s="72"/>
      <c r="T56" s="60"/>
      <c r="U56" s="60"/>
      <c r="V56" s="60"/>
      <c r="W56" s="102"/>
      <c r="X56" s="102"/>
      <c r="Y56" s="102"/>
      <c r="Z56" s="102"/>
      <c r="AA56" s="102"/>
      <c r="AB56" s="102"/>
      <c r="AC56" s="102"/>
      <c r="AD56" s="102"/>
      <c r="AE56" s="102"/>
      <c r="AF56" s="205"/>
      <c r="AG56" s="205"/>
      <c r="AH56" s="205"/>
      <c r="AI56" s="205"/>
      <c r="AJ56" s="96"/>
    </row>
    <row r="57" spans="1:36" s="103" customFormat="1" ht="65.099999999999994" customHeight="1" x14ac:dyDescent="0.25">
      <c r="A57" s="94"/>
      <c r="B57" s="94"/>
      <c r="C57" s="413"/>
      <c r="D57" s="95"/>
      <c r="E57" s="96"/>
      <c r="F57" s="96"/>
      <c r="G57" s="96"/>
      <c r="H57" s="96"/>
      <c r="I57" s="97"/>
      <c r="J57" s="98"/>
      <c r="K57" s="98"/>
      <c r="L57" s="99"/>
      <c r="M57" s="72"/>
      <c r="N57" s="100"/>
      <c r="O57" s="101"/>
      <c r="P57" s="63"/>
      <c r="Q57" s="75"/>
      <c r="R57" s="76"/>
      <c r="S57" s="72"/>
      <c r="T57" s="60"/>
      <c r="U57" s="60"/>
      <c r="V57" s="60"/>
      <c r="W57" s="102"/>
      <c r="X57" s="102"/>
      <c r="Y57" s="102"/>
      <c r="Z57" s="102"/>
      <c r="AA57" s="102"/>
      <c r="AB57" s="102"/>
      <c r="AC57" s="102"/>
      <c r="AD57" s="102"/>
      <c r="AE57" s="102"/>
      <c r="AF57" s="205"/>
      <c r="AG57" s="205"/>
      <c r="AH57" s="205"/>
      <c r="AI57" s="205"/>
      <c r="AJ57" s="96"/>
    </row>
    <row r="58" spans="1:36" s="103" customFormat="1" ht="65.099999999999994" customHeight="1" x14ac:dyDescent="0.25">
      <c r="A58" s="94"/>
      <c r="B58" s="94"/>
      <c r="C58" s="413"/>
      <c r="D58" s="95"/>
      <c r="E58" s="96"/>
      <c r="F58" s="96"/>
      <c r="G58" s="96"/>
      <c r="H58" s="96"/>
      <c r="I58" s="97"/>
      <c r="J58" s="98"/>
      <c r="K58" s="98"/>
      <c r="L58" s="99"/>
      <c r="M58" s="72"/>
      <c r="N58" s="100"/>
      <c r="O58" s="101"/>
      <c r="P58" s="63"/>
      <c r="Q58" s="75"/>
      <c r="R58" s="76"/>
      <c r="S58" s="72"/>
      <c r="T58" s="60"/>
      <c r="U58" s="60"/>
      <c r="V58" s="60"/>
      <c r="W58" s="102"/>
      <c r="X58" s="102"/>
      <c r="Y58" s="102"/>
      <c r="Z58" s="102"/>
      <c r="AA58" s="102"/>
      <c r="AB58" s="102"/>
      <c r="AC58" s="102"/>
      <c r="AD58" s="102"/>
      <c r="AE58" s="102"/>
      <c r="AF58" s="205"/>
      <c r="AG58" s="205"/>
      <c r="AH58" s="205"/>
      <c r="AI58" s="205"/>
      <c r="AJ58" s="96"/>
    </row>
    <row r="59" spans="1:36" s="103" customFormat="1" ht="65.099999999999994" customHeight="1" x14ac:dyDescent="0.25">
      <c r="A59" s="94"/>
      <c r="B59" s="94"/>
      <c r="C59" s="413"/>
      <c r="D59" s="95"/>
      <c r="E59" s="96"/>
      <c r="F59" s="96"/>
      <c r="G59" s="96"/>
      <c r="H59" s="96"/>
      <c r="I59" s="97"/>
      <c r="J59" s="98"/>
      <c r="K59" s="98"/>
      <c r="L59" s="99"/>
      <c r="M59" s="72"/>
      <c r="N59" s="100"/>
      <c r="O59" s="101"/>
      <c r="P59" s="63"/>
      <c r="Q59" s="75"/>
      <c r="R59" s="76"/>
      <c r="S59" s="72"/>
      <c r="T59" s="60"/>
      <c r="U59" s="60"/>
      <c r="V59" s="60"/>
      <c r="W59" s="102"/>
      <c r="X59" s="102"/>
      <c r="Y59" s="102"/>
      <c r="Z59" s="102"/>
      <c r="AA59" s="102"/>
      <c r="AB59" s="102"/>
      <c r="AC59" s="102"/>
      <c r="AD59" s="102"/>
      <c r="AE59" s="102"/>
      <c r="AF59" s="205"/>
      <c r="AG59" s="205"/>
      <c r="AH59" s="205"/>
      <c r="AI59" s="205"/>
      <c r="AJ59" s="96"/>
    </row>
    <row r="60" spans="1:36" s="103" customFormat="1" ht="65.099999999999994" customHeight="1" x14ac:dyDescent="0.25">
      <c r="A60" s="94"/>
      <c r="B60" s="94"/>
      <c r="C60" s="413"/>
      <c r="D60" s="95"/>
      <c r="E60" s="96"/>
      <c r="F60" s="96"/>
      <c r="G60" s="96"/>
      <c r="H60" s="96"/>
      <c r="I60" s="97"/>
      <c r="J60" s="98"/>
      <c r="K60" s="98"/>
      <c r="L60" s="99"/>
      <c r="M60" s="72"/>
      <c r="N60" s="100"/>
      <c r="O60" s="101"/>
      <c r="P60" s="63"/>
      <c r="Q60" s="75"/>
      <c r="R60" s="76"/>
      <c r="S60" s="72"/>
      <c r="T60" s="60"/>
      <c r="U60" s="60"/>
      <c r="V60" s="60"/>
      <c r="W60" s="102"/>
      <c r="X60" s="102"/>
      <c r="Y60" s="102"/>
      <c r="Z60" s="102"/>
      <c r="AA60" s="102"/>
      <c r="AB60" s="102"/>
      <c r="AC60" s="102"/>
      <c r="AD60" s="102"/>
      <c r="AE60" s="102"/>
      <c r="AF60" s="205"/>
      <c r="AG60" s="205"/>
      <c r="AH60" s="205"/>
      <c r="AI60" s="205"/>
      <c r="AJ60" s="96"/>
    </row>
    <row r="61" spans="1:36" s="103" customFormat="1" ht="65.099999999999994" customHeight="1" x14ac:dyDescent="0.25">
      <c r="A61" s="94"/>
      <c r="B61" s="94"/>
      <c r="C61" s="413"/>
      <c r="D61" s="95"/>
      <c r="E61" s="96"/>
      <c r="F61" s="96"/>
      <c r="G61" s="96"/>
      <c r="H61" s="96"/>
      <c r="I61" s="97"/>
      <c r="J61" s="98"/>
      <c r="K61" s="98"/>
      <c r="L61" s="99"/>
      <c r="M61" s="72"/>
      <c r="N61" s="100"/>
      <c r="O61" s="101"/>
      <c r="P61" s="63"/>
      <c r="Q61" s="75"/>
      <c r="R61" s="76"/>
      <c r="S61" s="72"/>
      <c r="T61" s="60"/>
      <c r="U61" s="60"/>
      <c r="V61" s="60"/>
      <c r="W61" s="102"/>
      <c r="X61" s="102"/>
      <c r="Y61" s="102"/>
      <c r="Z61" s="102"/>
      <c r="AA61" s="102"/>
      <c r="AB61" s="102"/>
      <c r="AC61" s="102"/>
      <c r="AD61" s="102"/>
      <c r="AE61" s="102"/>
      <c r="AF61" s="205"/>
      <c r="AG61" s="205"/>
      <c r="AH61" s="205"/>
      <c r="AI61" s="205"/>
      <c r="AJ61" s="96"/>
    </row>
    <row r="62" spans="1:36" s="103" customFormat="1" ht="65.099999999999994" customHeight="1" x14ac:dyDescent="0.25">
      <c r="A62" s="94"/>
      <c r="B62" s="94"/>
      <c r="C62" s="413"/>
      <c r="D62" s="95"/>
      <c r="E62" s="96"/>
      <c r="F62" s="96"/>
      <c r="G62" s="96"/>
      <c r="H62" s="96"/>
      <c r="I62" s="97"/>
      <c r="J62" s="98"/>
      <c r="K62" s="98"/>
      <c r="L62" s="99"/>
      <c r="M62" s="72"/>
      <c r="N62" s="100"/>
      <c r="O62" s="101"/>
      <c r="P62" s="63"/>
      <c r="Q62" s="75"/>
      <c r="R62" s="76"/>
      <c r="S62" s="72"/>
      <c r="T62" s="60"/>
      <c r="U62" s="60"/>
      <c r="V62" s="60"/>
      <c r="W62" s="102"/>
      <c r="X62" s="102"/>
      <c r="Y62" s="102"/>
      <c r="Z62" s="102"/>
      <c r="AA62" s="102"/>
      <c r="AB62" s="102"/>
      <c r="AC62" s="102"/>
      <c r="AD62" s="102"/>
      <c r="AE62" s="102"/>
      <c r="AF62" s="205"/>
      <c r="AG62" s="205"/>
      <c r="AH62" s="205"/>
      <c r="AI62" s="205"/>
      <c r="AJ62" s="96"/>
    </row>
    <row r="63" spans="1:36" s="103" customFormat="1" ht="65.099999999999994" customHeight="1" x14ac:dyDescent="0.25">
      <c r="A63" s="94"/>
      <c r="B63" s="94"/>
      <c r="C63" s="413"/>
      <c r="D63" s="95"/>
      <c r="E63" s="96"/>
      <c r="F63" s="96"/>
      <c r="G63" s="96"/>
      <c r="H63" s="96"/>
      <c r="I63" s="97"/>
      <c r="J63" s="98"/>
      <c r="K63" s="98"/>
      <c r="L63" s="99"/>
      <c r="M63" s="72"/>
      <c r="N63" s="100"/>
      <c r="O63" s="101"/>
      <c r="P63" s="63"/>
      <c r="Q63" s="75"/>
      <c r="R63" s="76"/>
      <c r="S63" s="72"/>
      <c r="T63" s="60"/>
      <c r="U63" s="60"/>
      <c r="V63" s="60"/>
      <c r="W63" s="102"/>
      <c r="X63" s="102"/>
      <c r="Y63" s="102"/>
      <c r="Z63" s="102"/>
      <c r="AA63" s="102"/>
      <c r="AB63" s="102"/>
      <c r="AC63" s="102"/>
      <c r="AD63" s="102"/>
      <c r="AE63" s="102"/>
      <c r="AF63" s="205"/>
      <c r="AG63" s="205"/>
      <c r="AH63" s="205"/>
      <c r="AI63" s="205"/>
      <c r="AJ63" s="96"/>
    </row>
    <row r="64" spans="1:36" s="103" customFormat="1" ht="65.099999999999994" customHeight="1" x14ac:dyDescent="0.25">
      <c r="A64" s="94"/>
      <c r="B64" s="94"/>
      <c r="C64" s="413"/>
      <c r="D64" s="95"/>
      <c r="E64" s="96"/>
      <c r="F64" s="96"/>
      <c r="G64" s="96"/>
      <c r="H64" s="96"/>
      <c r="I64" s="97"/>
      <c r="J64" s="98"/>
      <c r="K64" s="98"/>
      <c r="L64" s="99"/>
      <c r="M64" s="72"/>
      <c r="N64" s="100"/>
      <c r="O64" s="101"/>
      <c r="P64" s="63"/>
      <c r="Q64" s="75"/>
      <c r="R64" s="76"/>
      <c r="S64" s="72"/>
      <c r="T64" s="60"/>
      <c r="U64" s="60"/>
      <c r="V64" s="60"/>
      <c r="W64" s="102"/>
      <c r="X64" s="102"/>
      <c r="Y64" s="102"/>
      <c r="Z64" s="102"/>
      <c r="AA64" s="102"/>
      <c r="AB64" s="102"/>
      <c r="AC64" s="102"/>
      <c r="AD64" s="102"/>
      <c r="AE64" s="102"/>
      <c r="AF64" s="205"/>
      <c r="AG64" s="205"/>
      <c r="AH64" s="205"/>
      <c r="AI64" s="205"/>
      <c r="AJ64" s="96"/>
    </row>
    <row r="65" spans="1:36" s="103" customFormat="1" ht="65.099999999999994" customHeight="1" x14ac:dyDescent="0.25">
      <c r="A65" s="94"/>
      <c r="B65" s="94"/>
      <c r="C65" s="413"/>
      <c r="D65" s="95"/>
      <c r="E65" s="96"/>
      <c r="F65" s="96"/>
      <c r="G65" s="96"/>
      <c r="H65" s="96"/>
      <c r="I65" s="97"/>
      <c r="J65" s="98"/>
      <c r="K65" s="98"/>
      <c r="L65" s="99"/>
      <c r="M65" s="72"/>
      <c r="N65" s="100"/>
      <c r="O65" s="101"/>
      <c r="P65" s="63"/>
      <c r="Q65" s="75"/>
      <c r="R65" s="76"/>
      <c r="S65" s="72"/>
      <c r="T65" s="60"/>
      <c r="U65" s="60"/>
      <c r="V65" s="60"/>
      <c r="W65" s="102"/>
      <c r="X65" s="102"/>
      <c r="Y65" s="102"/>
      <c r="Z65" s="102"/>
      <c r="AA65" s="102"/>
      <c r="AB65" s="102"/>
      <c r="AC65" s="102"/>
      <c r="AD65" s="102"/>
      <c r="AE65" s="102"/>
      <c r="AF65" s="205"/>
      <c r="AG65" s="205"/>
      <c r="AH65" s="205"/>
      <c r="AI65" s="205"/>
      <c r="AJ65" s="96"/>
    </row>
    <row r="66" spans="1:36" s="103" customFormat="1" ht="65.099999999999994" customHeight="1" x14ac:dyDescent="0.25">
      <c r="A66" s="94"/>
      <c r="B66" s="94"/>
      <c r="C66" s="413"/>
      <c r="D66" s="95"/>
      <c r="E66" s="96"/>
      <c r="F66" s="96"/>
      <c r="G66" s="96"/>
      <c r="H66" s="96"/>
      <c r="I66" s="97"/>
      <c r="J66" s="98"/>
      <c r="K66" s="98"/>
      <c r="L66" s="99"/>
      <c r="M66" s="72"/>
      <c r="N66" s="100"/>
      <c r="O66" s="101"/>
      <c r="P66" s="63"/>
      <c r="Q66" s="75"/>
      <c r="R66" s="76"/>
      <c r="S66" s="72"/>
      <c r="T66" s="60"/>
      <c r="U66" s="60"/>
      <c r="V66" s="60"/>
      <c r="W66" s="102"/>
      <c r="X66" s="102"/>
      <c r="Y66" s="102"/>
      <c r="Z66" s="102"/>
      <c r="AA66" s="102"/>
      <c r="AB66" s="102"/>
      <c r="AC66" s="102"/>
      <c r="AD66" s="102"/>
      <c r="AE66" s="102"/>
      <c r="AF66" s="205"/>
      <c r="AG66" s="205"/>
      <c r="AH66" s="205"/>
      <c r="AI66" s="205"/>
      <c r="AJ66" s="96"/>
    </row>
    <row r="67" spans="1:36" s="103" customFormat="1" ht="65.099999999999994" customHeight="1" x14ac:dyDescent="0.25">
      <c r="A67" s="94"/>
      <c r="B67" s="94"/>
      <c r="C67" s="413"/>
      <c r="D67" s="95"/>
      <c r="E67" s="96"/>
      <c r="F67" s="96"/>
      <c r="G67" s="96"/>
      <c r="H67" s="96"/>
      <c r="I67" s="97"/>
      <c r="J67" s="98"/>
      <c r="K67" s="98"/>
      <c r="L67" s="99"/>
      <c r="M67" s="72"/>
      <c r="N67" s="100"/>
      <c r="O67" s="101"/>
      <c r="P67" s="63"/>
      <c r="Q67" s="75"/>
      <c r="R67" s="76"/>
      <c r="S67" s="72"/>
      <c r="T67" s="60"/>
      <c r="U67" s="60"/>
      <c r="V67" s="60"/>
      <c r="W67" s="102"/>
      <c r="X67" s="102"/>
      <c r="Y67" s="102"/>
      <c r="Z67" s="102"/>
      <c r="AA67" s="102"/>
      <c r="AB67" s="102"/>
      <c r="AC67" s="102"/>
      <c r="AD67" s="102"/>
      <c r="AE67" s="102"/>
      <c r="AF67" s="205"/>
      <c r="AG67" s="205"/>
      <c r="AH67" s="205"/>
      <c r="AI67" s="205"/>
      <c r="AJ67" s="96"/>
    </row>
    <row r="68" spans="1:36" s="103" customFormat="1" ht="65.099999999999994" customHeight="1" x14ac:dyDescent="0.25">
      <c r="A68" s="94"/>
      <c r="B68" s="94"/>
      <c r="C68" s="413"/>
      <c r="D68" s="95"/>
      <c r="E68" s="96"/>
      <c r="F68" s="96"/>
      <c r="G68" s="96"/>
      <c r="H68" s="96"/>
      <c r="I68" s="97"/>
      <c r="J68" s="98"/>
      <c r="K68" s="98"/>
      <c r="L68" s="99"/>
      <c r="M68" s="72"/>
      <c r="N68" s="100"/>
      <c r="O68" s="101"/>
      <c r="P68" s="63"/>
      <c r="Q68" s="75"/>
      <c r="R68" s="76"/>
      <c r="S68" s="72"/>
      <c r="T68" s="60"/>
      <c r="U68" s="60"/>
      <c r="V68" s="60"/>
      <c r="W68" s="102"/>
      <c r="X68" s="102"/>
      <c r="Y68" s="102"/>
      <c r="Z68" s="102"/>
      <c r="AA68" s="102"/>
      <c r="AB68" s="102"/>
      <c r="AC68" s="102"/>
      <c r="AD68" s="102"/>
      <c r="AE68" s="102"/>
      <c r="AF68" s="205"/>
      <c r="AG68" s="205"/>
      <c r="AH68" s="205"/>
      <c r="AI68" s="205"/>
      <c r="AJ68" s="96"/>
    </row>
    <row r="69" spans="1:36" s="103" customFormat="1" ht="65.099999999999994" customHeight="1" x14ac:dyDescent="0.25">
      <c r="A69" s="94"/>
      <c r="B69" s="94"/>
      <c r="C69" s="413"/>
      <c r="D69" s="95"/>
      <c r="E69" s="96"/>
      <c r="F69" s="96"/>
      <c r="G69" s="96"/>
      <c r="H69" s="96"/>
      <c r="I69" s="97"/>
      <c r="J69" s="98"/>
      <c r="K69" s="98"/>
      <c r="L69" s="99"/>
      <c r="M69" s="72"/>
      <c r="N69" s="100"/>
      <c r="O69" s="101"/>
      <c r="P69" s="63"/>
      <c r="Q69" s="75"/>
      <c r="R69" s="76"/>
      <c r="S69" s="72"/>
      <c r="T69" s="60"/>
      <c r="U69" s="60"/>
      <c r="V69" s="60"/>
      <c r="W69" s="102"/>
      <c r="X69" s="102"/>
      <c r="Y69" s="102"/>
      <c r="Z69" s="102"/>
      <c r="AA69" s="102"/>
      <c r="AB69" s="102"/>
      <c r="AC69" s="102"/>
      <c r="AD69" s="102"/>
      <c r="AE69" s="102"/>
      <c r="AF69" s="205"/>
      <c r="AG69" s="205"/>
      <c r="AH69" s="205"/>
      <c r="AI69" s="205"/>
      <c r="AJ69" s="96"/>
    </row>
    <row r="70" spans="1:36" s="103" customFormat="1" ht="65.099999999999994" customHeight="1" x14ac:dyDescent="0.25">
      <c r="A70" s="94"/>
      <c r="B70" s="94"/>
      <c r="C70" s="413"/>
      <c r="D70" s="95"/>
      <c r="E70" s="96"/>
      <c r="F70" s="96"/>
      <c r="G70" s="96"/>
      <c r="H70" s="96"/>
      <c r="I70" s="97"/>
      <c r="J70" s="98"/>
      <c r="K70" s="98"/>
      <c r="L70" s="99"/>
      <c r="M70" s="72"/>
      <c r="N70" s="100"/>
      <c r="O70" s="101"/>
      <c r="P70" s="63"/>
      <c r="Q70" s="75"/>
      <c r="R70" s="76"/>
      <c r="S70" s="72"/>
      <c r="T70" s="60"/>
      <c r="U70" s="60"/>
      <c r="V70" s="60"/>
      <c r="W70" s="102"/>
      <c r="X70" s="102"/>
      <c r="Y70" s="102"/>
      <c r="Z70" s="102"/>
      <c r="AA70" s="102"/>
      <c r="AB70" s="102"/>
      <c r="AC70" s="102"/>
      <c r="AD70" s="102"/>
      <c r="AE70" s="102"/>
      <c r="AF70" s="205"/>
      <c r="AG70" s="205"/>
      <c r="AH70" s="205"/>
      <c r="AI70" s="205"/>
      <c r="AJ70" s="96"/>
    </row>
    <row r="71" spans="1:36" s="103" customFormat="1" ht="65.099999999999994" customHeight="1" x14ac:dyDescent="0.25">
      <c r="A71" s="94"/>
      <c r="B71" s="94"/>
      <c r="C71" s="413"/>
      <c r="D71" s="95"/>
      <c r="E71" s="96"/>
      <c r="F71" s="96"/>
      <c r="G71" s="96"/>
      <c r="H71" s="96"/>
      <c r="I71" s="97"/>
      <c r="J71" s="98"/>
      <c r="K71" s="98"/>
      <c r="L71" s="99"/>
      <c r="M71" s="72"/>
      <c r="N71" s="100"/>
      <c r="O71" s="101"/>
      <c r="P71" s="63"/>
      <c r="Q71" s="75"/>
      <c r="R71" s="76"/>
      <c r="S71" s="72"/>
      <c r="T71" s="60"/>
      <c r="U71" s="60"/>
      <c r="V71" s="60"/>
      <c r="W71" s="102"/>
      <c r="X71" s="102"/>
      <c r="Y71" s="102"/>
      <c r="Z71" s="102"/>
      <c r="AA71" s="102"/>
      <c r="AB71" s="102"/>
      <c r="AC71" s="102"/>
      <c r="AD71" s="102"/>
      <c r="AE71" s="102"/>
      <c r="AF71" s="205"/>
      <c r="AG71" s="205"/>
      <c r="AH71" s="205"/>
      <c r="AI71" s="205"/>
      <c r="AJ71" s="96"/>
    </row>
    <row r="72" spans="1:36" s="103" customFormat="1" ht="65.099999999999994" customHeight="1" x14ac:dyDescent="0.25">
      <c r="A72" s="94"/>
      <c r="B72" s="94"/>
      <c r="C72" s="413"/>
      <c r="D72" s="95"/>
      <c r="E72" s="96"/>
      <c r="F72" s="96"/>
      <c r="G72" s="96"/>
      <c r="H72" s="96"/>
      <c r="I72" s="97"/>
      <c r="J72" s="98"/>
      <c r="K72" s="98"/>
      <c r="L72" s="99"/>
      <c r="M72" s="72"/>
      <c r="N72" s="100"/>
      <c r="O72" s="101"/>
      <c r="P72" s="63"/>
      <c r="Q72" s="75"/>
      <c r="R72" s="76"/>
      <c r="S72" s="72"/>
      <c r="T72" s="60"/>
      <c r="U72" s="60"/>
      <c r="V72" s="60"/>
      <c r="W72" s="102"/>
      <c r="X72" s="102"/>
      <c r="Y72" s="102"/>
      <c r="Z72" s="102"/>
      <c r="AA72" s="102"/>
      <c r="AB72" s="102"/>
      <c r="AC72" s="102"/>
      <c r="AD72" s="102"/>
      <c r="AE72" s="102"/>
      <c r="AF72" s="205"/>
      <c r="AG72" s="205"/>
      <c r="AH72" s="205"/>
      <c r="AI72" s="205"/>
      <c r="AJ72" s="96"/>
    </row>
    <row r="73" spans="1:36" s="103" customFormat="1" ht="65.099999999999994" customHeight="1" x14ac:dyDescent="0.25">
      <c r="A73" s="94"/>
      <c r="B73" s="94"/>
      <c r="C73" s="413"/>
      <c r="D73" s="95"/>
      <c r="E73" s="96"/>
      <c r="F73" s="96"/>
      <c r="G73" s="96"/>
      <c r="H73" s="96"/>
      <c r="I73" s="97"/>
      <c r="J73" s="98"/>
      <c r="K73" s="98"/>
      <c r="L73" s="99"/>
      <c r="M73" s="72"/>
      <c r="N73" s="100"/>
      <c r="O73" s="101"/>
      <c r="P73" s="63"/>
      <c r="Q73" s="75"/>
      <c r="R73" s="76"/>
      <c r="S73" s="72"/>
      <c r="T73" s="60"/>
      <c r="U73" s="60"/>
      <c r="V73" s="60"/>
      <c r="W73" s="102"/>
      <c r="X73" s="102"/>
      <c r="Y73" s="102"/>
      <c r="Z73" s="102"/>
      <c r="AA73" s="102"/>
      <c r="AB73" s="102"/>
      <c r="AC73" s="102"/>
      <c r="AD73" s="102"/>
      <c r="AE73" s="102"/>
      <c r="AF73" s="205"/>
      <c r="AG73" s="205"/>
      <c r="AH73" s="205"/>
      <c r="AI73" s="205"/>
      <c r="AJ73" s="96"/>
    </row>
    <row r="74" spans="1:36" s="103" customFormat="1" ht="65.099999999999994" customHeight="1" x14ac:dyDescent="0.25">
      <c r="A74" s="94"/>
      <c r="B74" s="94"/>
      <c r="C74" s="413"/>
      <c r="D74" s="95"/>
      <c r="E74" s="96"/>
      <c r="F74" s="96"/>
      <c r="G74" s="96"/>
      <c r="H74" s="96"/>
      <c r="I74" s="97"/>
      <c r="J74" s="98"/>
      <c r="K74" s="98"/>
      <c r="L74" s="99"/>
      <c r="M74" s="72"/>
      <c r="N74" s="100"/>
      <c r="O74" s="101"/>
      <c r="P74" s="63"/>
      <c r="Q74" s="75"/>
      <c r="R74" s="76"/>
      <c r="S74" s="72"/>
      <c r="T74" s="60"/>
      <c r="U74" s="60"/>
      <c r="V74" s="60"/>
      <c r="W74" s="102"/>
      <c r="X74" s="102"/>
      <c r="Y74" s="102"/>
      <c r="Z74" s="102"/>
      <c r="AA74" s="102"/>
      <c r="AB74" s="102"/>
      <c r="AC74" s="102"/>
      <c r="AD74" s="102"/>
      <c r="AE74" s="102"/>
      <c r="AF74" s="205"/>
      <c r="AG74" s="205"/>
      <c r="AH74" s="205"/>
      <c r="AI74" s="205"/>
      <c r="AJ74" s="96"/>
    </row>
    <row r="75" spans="1:36" s="103" customFormat="1" ht="65.099999999999994" customHeight="1" x14ac:dyDescent="0.25">
      <c r="A75" s="94"/>
      <c r="B75" s="94"/>
      <c r="C75" s="413"/>
      <c r="D75" s="95"/>
      <c r="E75" s="96"/>
      <c r="F75" s="96"/>
      <c r="G75" s="96"/>
      <c r="H75" s="96"/>
      <c r="I75" s="97"/>
      <c r="J75" s="98"/>
      <c r="K75" s="98"/>
      <c r="L75" s="99"/>
      <c r="M75" s="72"/>
      <c r="N75" s="100"/>
      <c r="O75" s="101"/>
      <c r="P75" s="63"/>
      <c r="Q75" s="75"/>
      <c r="R75" s="76"/>
      <c r="S75" s="72"/>
      <c r="T75" s="60"/>
      <c r="U75" s="60"/>
      <c r="V75" s="60"/>
      <c r="W75" s="102"/>
      <c r="X75" s="102"/>
      <c r="Y75" s="102"/>
      <c r="Z75" s="102"/>
      <c r="AA75" s="102"/>
      <c r="AB75" s="102"/>
      <c r="AC75" s="102"/>
      <c r="AD75" s="102"/>
      <c r="AE75" s="102"/>
      <c r="AF75" s="205"/>
      <c r="AG75" s="205"/>
      <c r="AH75" s="205"/>
      <c r="AI75" s="205"/>
      <c r="AJ75" s="96"/>
    </row>
    <row r="76" spans="1:36" s="103" customFormat="1" ht="65.099999999999994" customHeight="1" x14ac:dyDescent="0.25">
      <c r="A76" s="94"/>
      <c r="B76" s="94"/>
      <c r="C76" s="413"/>
      <c r="D76" s="95"/>
      <c r="E76" s="96"/>
      <c r="F76" s="96"/>
      <c r="G76" s="96"/>
      <c r="H76" s="96"/>
      <c r="I76" s="97"/>
      <c r="J76" s="98"/>
      <c r="K76" s="98"/>
      <c r="L76" s="99"/>
      <c r="M76" s="72"/>
      <c r="N76" s="100"/>
      <c r="O76" s="101"/>
      <c r="P76" s="63"/>
      <c r="Q76" s="75"/>
      <c r="R76" s="76"/>
      <c r="S76" s="72"/>
      <c r="T76" s="60"/>
      <c r="U76" s="60"/>
      <c r="V76" s="60"/>
      <c r="W76" s="102"/>
      <c r="X76" s="102"/>
      <c r="Y76" s="102"/>
      <c r="Z76" s="102"/>
      <c r="AA76" s="102"/>
      <c r="AB76" s="102"/>
      <c r="AC76" s="102"/>
      <c r="AD76" s="102"/>
      <c r="AE76" s="102"/>
      <c r="AF76" s="205"/>
      <c r="AG76" s="205"/>
      <c r="AH76" s="205"/>
      <c r="AI76" s="205"/>
      <c r="AJ76" s="96"/>
    </row>
    <row r="77" spans="1:36" s="103" customFormat="1" ht="65.099999999999994" customHeight="1" x14ac:dyDescent="0.25">
      <c r="A77" s="94"/>
      <c r="B77" s="94"/>
      <c r="C77" s="413"/>
      <c r="D77" s="95"/>
      <c r="E77" s="96"/>
      <c r="F77" s="96"/>
      <c r="G77" s="96"/>
      <c r="H77" s="96"/>
      <c r="I77" s="97"/>
      <c r="J77" s="98"/>
      <c r="K77" s="98"/>
      <c r="L77" s="99"/>
      <c r="M77" s="72"/>
      <c r="N77" s="100"/>
      <c r="O77" s="101"/>
      <c r="P77" s="63"/>
      <c r="Q77" s="75"/>
      <c r="R77" s="76"/>
      <c r="S77" s="72"/>
      <c r="T77" s="60"/>
      <c r="U77" s="60"/>
      <c r="V77" s="60"/>
      <c r="W77" s="102"/>
      <c r="X77" s="102"/>
      <c r="Y77" s="102"/>
      <c r="Z77" s="102"/>
      <c r="AA77" s="102"/>
      <c r="AB77" s="102"/>
      <c r="AC77" s="102"/>
      <c r="AD77" s="102"/>
      <c r="AE77" s="102"/>
      <c r="AF77" s="205"/>
      <c r="AG77" s="205"/>
      <c r="AH77" s="205"/>
      <c r="AI77" s="205"/>
      <c r="AJ77" s="96"/>
    </row>
    <row r="78" spans="1:36" s="103" customFormat="1" ht="65.099999999999994" customHeight="1" x14ac:dyDescent="0.25">
      <c r="A78" s="94"/>
      <c r="B78" s="94"/>
      <c r="C78" s="413"/>
      <c r="D78" s="95"/>
      <c r="E78" s="96"/>
      <c r="F78" s="96"/>
      <c r="G78" s="96"/>
      <c r="H78" s="96"/>
      <c r="I78" s="97"/>
      <c r="J78" s="98"/>
      <c r="K78" s="98"/>
      <c r="L78" s="99"/>
      <c r="M78" s="72"/>
      <c r="N78" s="100"/>
      <c r="O78" s="101"/>
      <c r="P78" s="63"/>
      <c r="Q78" s="75"/>
      <c r="R78" s="76"/>
      <c r="S78" s="72"/>
      <c r="T78" s="60"/>
      <c r="U78" s="60"/>
      <c r="V78" s="60"/>
      <c r="W78" s="102"/>
      <c r="X78" s="102"/>
      <c r="Y78" s="102"/>
      <c r="Z78" s="102"/>
      <c r="AA78" s="102"/>
      <c r="AB78" s="102"/>
      <c r="AC78" s="102"/>
      <c r="AD78" s="102"/>
      <c r="AE78" s="102"/>
      <c r="AF78" s="205"/>
      <c r="AG78" s="205"/>
      <c r="AH78" s="205"/>
      <c r="AI78" s="205"/>
      <c r="AJ78" s="96"/>
    </row>
    <row r="79" spans="1:36" s="103" customFormat="1" ht="65.099999999999994" customHeight="1" x14ac:dyDescent="0.25">
      <c r="A79" s="94"/>
      <c r="B79" s="94"/>
      <c r="C79" s="413"/>
      <c r="D79" s="95"/>
      <c r="E79" s="96"/>
      <c r="F79" s="96"/>
      <c r="G79" s="96"/>
      <c r="H79" s="96"/>
      <c r="I79" s="97"/>
      <c r="J79" s="98"/>
      <c r="K79" s="98"/>
      <c r="L79" s="99"/>
      <c r="M79" s="72"/>
      <c r="N79" s="100"/>
      <c r="O79" s="101"/>
      <c r="P79" s="63"/>
      <c r="Q79" s="75"/>
      <c r="R79" s="76"/>
      <c r="S79" s="72"/>
      <c r="T79" s="60"/>
      <c r="U79" s="60"/>
      <c r="V79" s="60"/>
      <c r="W79" s="102"/>
      <c r="X79" s="102"/>
      <c r="Y79" s="102"/>
      <c r="Z79" s="102"/>
      <c r="AA79" s="102"/>
      <c r="AB79" s="102"/>
      <c r="AC79" s="102"/>
      <c r="AD79" s="102"/>
      <c r="AE79" s="102"/>
      <c r="AF79" s="205"/>
      <c r="AG79" s="205"/>
      <c r="AH79" s="205"/>
      <c r="AI79" s="205"/>
      <c r="AJ79" s="96"/>
    </row>
    <row r="80" spans="1:36" s="103" customFormat="1" ht="65.099999999999994" customHeight="1" x14ac:dyDescent="0.25">
      <c r="A80" s="94"/>
      <c r="B80" s="94"/>
      <c r="C80" s="413"/>
      <c r="D80" s="95"/>
      <c r="E80" s="96"/>
      <c r="F80" s="96"/>
      <c r="G80" s="96"/>
      <c r="H80" s="96"/>
      <c r="I80" s="97"/>
      <c r="J80" s="98"/>
      <c r="K80" s="98"/>
      <c r="L80" s="99"/>
      <c r="M80" s="72"/>
      <c r="N80" s="100"/>
      <c r="O80" s="101"/>
      <c r="P80" s="63"/>
      <c r="Q80" s="75"/>
      <c r="R80" s="76"/>
      <c r="S80" s="72"/>
      <c r="T80" s="60"/>
      <c r="U80" s="60"/>
      <c r="V80" s="60"/>
      <c r="W80" s="102"/>
      <c r="X80" s="102"/>
      <c r="Y80" s="102"/>
      <c r="Z80" s="102"/>
      <c r="AA80" s="102"/>
      <c r="AB80" s="102"/>
      <c r="AC80" s="102"/>
      <c r="AD80" s="102"/>
      <c r="AE80" s="102"/>
      <c r="AF80" s="205"/>
      <c r="AG80" s="205"/>
      <c r="AH80" s="205"/>
      <c r="AI80" s="205"/>
      <c r="AJ80" s="96"/>
    </row>
    <row r="81" spans="1:36" s="103" customFormat="1" ht="65.099999999999994" customHeight="1" x14ac:dyDescent="0.25">
      <c r="A81" s="94"/>
      <c r="B81" s="94"/>
      <c r="C81" s="413"/>
      <c r="D81" s="95"/>
      <c r="E81" s="96"/>
      <c r="F81" s="96"/>
      <c r="G81" s="96"/>
      <c r="H81" s="96"/>
      <c r="I81" s="97"/>
      <c r="J81" s="98"/>
      <c r="K81" s="98"/>
      <c r="L81" s="99"/>
      <c r="M81" s="72"/>
      <c r="N81" s="100"/>
      <c r="O81" s="101"/>
      <c r="P81" s="63"/>
      <c r="Q81" s="75"/>
      <c r="R81" s="76"/>
      <c r="S81" s="72"/>
      <c r="T81" s="60"/>
      <c r="U81" s="60"/>
      <c r="V81" s="60"/>
      <c r="W81" s="102"/>
      <c r="X81" s="102"/>
      <c r="Y81" s="102"/>
      <c r="Z81" s="102"/>
      <c r="AA81" s="102"/>
      <c r="AB81" s="102"/>
      <c r="AC81" s="102"/>
      <c r="AD81" s="102"/>
      <c r="AE81" s="102"/>
      <c r="AF81" s="205"/>
      <c r="AG81" s="205"/>
      <c r="AH81" s="205"/>
      <c r="AI81" s="205"/>
      <c r="AJ81" s="96"/>
    </row>
    <row r="82" spans="1:36" s="103" customFormat="1" ht="65.099999999999994" customHeight="1" x14ac:dyDescent="0.25">
      <c r="A82" s="94"/>
      <c r="B82" s="94"/>
      <c r="C82" s="413"/>
      <c r="D82" s="95"/>
      <c r="E82" s="96"/>
      <c r="F82" s="96"/>
      <c r="G82" s="96"/>
      <c r="H82" s="96"/>
      <c r="I82" s="97"/>
      <c r="J82" s="98"/>
      <c r="K82" s="98"/>
      <c r="L82" s="99"/>
      <c r="M82" s="72"/>
      <c r="N82" s="100"/>
      <c r="O82" s="101"/>
      <c r="P82" s="63"/>
      <c r="Q82" s="75"/>
      <c r="R82" s="76"/>
      <c r="S82" s="72"/>
      <c r="T82" s="60"/>
      <c r="U82" s="60"/>
      <c r="V82" s="60"/>
      <c r="W82" s="102"/>
      <c r="X82" s="102"/>
      <c r="Y82" s="102"/>
      <c r="Z82" s="102"/>
      <c r="AA82" s="102"/>
      <c r="AB82" s="102"/>
      <c r="AC82" s="102"/>
      <c r="AD82" s="102"/>
      <c r="AE82" s="102"/>
      <c r="AF82" s="205"/>
      <c r="AG82" s="205"/>
      <c r="AH82" s="205"/>
      <c r="AI82" s="205"/>
      <c r="AJ82" s="96"/>
    </row>
    <row r="83" spans="1:36" s="103" customFormat="1" ht="65.099999999999994" customHeight="1" x14ac:dyDescent="0.25">
      <c r="A83" s="94"/>
      <c r="B83" s="94"/>
      <c r="C83" s="413"/>
      <c r="D83" s="95"/>
      <c r="E83" s="96"/>
      <c r="F83" s="96"/>
      <c r="G83" s="96"/>
      <c r="H83" s="96"/>
      <c r="I83" s="97"/>
      <c r="J83" s="98"/>
      <c r="K83" s="98"/>
      <c r="L83" s="99"/>
      <c r="M83" s="72"/>
      <c r="N83" s="100"/>
      <c r="O83" s="101"/>
      <c r="P83" s="63"/>
      <c r="Q83" s="75"/>
      <c r="R83" s="76"/>
      <c r="S83" s="72"/>
      <c r="T83" s="60"/>
      <c r="U83" s="60"/>
      <c r="V83" s="60"/>
      <c r="W83" s="102"/>
      <c r="X83" s="102"/>
      <c r="Y83" s="102"/>
      <c r="Z83" s="102"/>
      <c r="AA83" s="102"/>
      <c r="AB83" s="102"/>
      <c r="AC83" s="102"/>
      <c r="AD83" s="102"/>
      <c r="AE83" s="102"/>
      <c r="AF83" s="205"/>
      <c r="AG83" s="205"/>
      <c r="AH83" s="205"/>
      <c r="AI83" s="205"/>
      <c r="AJ83" s="96"/>
    </row>
    <row r="84" spans="1:36" s="103" customFormat="1" ht="65.099999999999994" customHeight="1" x14ac:dyDescent="0.25">
      <c r="A84" s="94"/>
      <c r="B84" s="94"/>
      <c r="C84" s="413"/>
      <c r="D84" s="95"/>
      <c r="E84" s="96"/>
      <c r="F84" s="96"/>
      <c r="G84" s="96"/>
      <c r="H84" s="96"/>
      <c r="I84" s="97"/>
      <c r="J84" s="98"/>
      <c r="K84" s="98"/>
      <c r="L84" s="99"/>
      <c r="M84" s="72"/>
      <c r="N84" s="100"/>
      <c r="O84" s="101"/>
      <c r="P84" s="63"/>
      <c r="Q84" s="75"/>
      <c r="R84" s="76"/>
      <c r="S84" s="72"/>
      <c r="T84" s="60"/>
      <c r="U84" s="60"/>
      <c r="V84" s="60"/>
      <c r="W84" s="102"/>
      <c r="X84" s="102"/>
      <c r="Y84" s="102"/>
      <c r="Z84" s="102"/>
      <c r="AA84" s="102"/>
      <c r="AB84" s="102"/>
      <c r="AC84" s="102"/>
      <c r="AD84" s="102"/>
      <c r="AE84" s="102"/>
      <c r="AF84" s="205"/>
      <c r="AG84" s="205"/>
      <c r="AH84" s="205"/>
      <c r="AI84" s="205"/>
      <c r="AJ84" s="96"/>
    </row>
    <row r="85" spans="1:36" s="103" customFormat="1" ht="65.099999999999994" customHeight="1" x14ac:dyDescent="0.25">
      <c r="A85" s="94"/>
      <c r="B85" s="94"/>
      <c r="C85" s="413"/>
      <c r="D85" s="95"/>
      <c r="E85" s="96"/>
      <c r="F85" s="96"/>
      <c r="G85" s="96"/>
      <c r="H85" s="96"/>
      <c r="I85" s="97"/>
      <c r="J85" s="98"/>
      <c r="K85" s="98"/>
      <c r="L85" s="99"/>
      <c r="M85" s="72"/>
      <c r="N85" s="100"/>
      <c r="O85" s="101"/>
      <c r="P85" s="63"/>
      <c r="Q85" s="75"/>
      <c r="R85" s="76"/>
      <c r="S85" s="72"/>
      <c r="T85" s="60"/>
      <c r="U85" s="60"/>
      <c r="V85" s="60"/>
      <c r="W85" s="102"/>
      <c r="X85" s="102"/>
      <c r="Y85" s="102"/>
      <c r="Z85" s="102"/>
      <c r="AA85" s="102"/>
      <c r="AB85" s="102"/>
      <c r="AC85" s="102"/>
      <c r="AD85" s="102"/>
      <c r="AE85" s="102"/>
      <c r="AF85" s="205"/>
      <c r="AG85" s="205"/>
      <c r="AH85" s="205"/>
      <c r="AI85" s="205"/>
      <c r="AJ85" s="96"/>
    </row>
    <row r="86" spans="1:36" s="103" customFormat="1" ht="65.099999999999994" customHeight="1" x14ac:dyDescent="0.25">
      <c r="A86" s="94"/>
      <c r="B86" s="94"/>
      <c r="C86" s="413"/>
      <c r="D86" s="95"/>
      <c r="E86" s="96"/>
      <c r="F86" s="96"/>
      <c r="G86" s="96"/>
      <c r="H86" s="96"/>
      <c r="I86" s="97"/>
      <c r="J86" s="98"/>
      <c r="K86" s="98"/>
      <c r="L86" s="99"/>
      <c r="M86" s="72"/>
      <c r="N86" s="100"/>
      <c r="O86" s="101"/>
      <c r="P86" s="63"/>
      <c r="Q86" s="75"/>
      <c r="R86" s="76"/>
      <c r="S86" s="72"/>
      <c r="T86" s="60"/>
      <c r="U86" s="60"/>
      <c r="V86" s="60"/>
      <c r="W86" s="102"/>
      <c r="X86" s="102"/>
      <c r="Y86" s="102"/>
      <c r="Z86" s="102"/>
      <c r="AA86" s="102"/>
      <c r="AB86" s="102"/>
      <c r="AC86" s="102"/>
      <c r="AD86" s="102"/>
      <c r="AE86" s="102"/>
      <c r="AF86" s="205"/>
      <c r="AG86" s="205"/>
      <c r="AH86" s="205"/>
      <c r="AI86" s="205"/>
      <c r="AJ86" s="96"/>
    </row>
    <row r="87" spans="1:36" s="103" customFormat="1" ht="65.099999999999994" customHeight="1" x14ac:dyDescent="0.25">
      <c r="A87" s="94"/>
      <c r="B87" s="94"/>
      <c r="C87" s="413"/>
      <c r="D87" s="95"/>
      <c r="E87" s="96"/>
      <c r="F87" s="96"/>
      <c r="G87" s="96"/>
      <c r="H87" s="96"/>
      <c r="I87" s="97"/>
      <c r="J87" s="98"/>
      <c r="K87" s="98"/>
      <c r="L87" s="99"/>
      <c r="M87" s="72"/>
      <c r="N87" s="100"/>
      <c r="O87" s="101"/>
      <c r="P87" s="63"/>
      <c r="Q87" s="75"/>
      <c r="R87" s="76"/>
      <c r="S87" s="72"/>
      <c r="T87" s="60"/>
      <c r="U87" s="60"/>
      <c r="V87" s="60"/>
      <c r="W87" s="102"/>
      <c r="X87" s="102"/>
      <c r="Y87" s="102"/>
      <c r="Z87" s="102"/>
      <c r="AA87" s="102"/>
      <c r="AB87" s="102"/>
      <c r="AC87" s="102"/>
      <c r="AD87" s="102"/>
      <c r="AE87" s="102"/>
      <c r="AF87" s="205"/>
      <c r="AG87" s="205"/>
      <c r="AH87" s="205"/>
      <c r="AI87" s="205"/>
      <c r="AJ87" s="96"/>
    </row>
    <row r="88" spans="1:36" s="103" customFormat="1" ht="65.099999999999994" customHeight="1" x14ac:dyDescent="0.25">
      <c r="A88" s="94"/>
      <c r="B88" s="94"/>
      <c r="C88" s="413"/>
      <c r="D88" s="95"/>
      <c r="E88" s="96"/>
      <c r="F88" s="96"/>
      <c r="G88" s="96"/>
      <c r="H88" s="96"/>
      <c r="I88" s="97"/>
      <c r="J88" s="98"/>
      <c r="K88" s="98"/>
      <c r="L88" s="99"/>
      <c r="M88" s="72"/>
      <c r="N88" s="100"/>
      <c r="O88" s="101"/>
      <c r="P88" s="63"/>
      <c r="Q88" s="75"/>
      <c r="R88" s="76"/>
      <c r="S88" s="72"/>
      <c r="T88" s="60"/>
      <c r="U88" s="60"/>
      <c r="V88" s="60"/>
      <c r="W88" s="102"/>
      <c r="X88" s="102"/>
      <c r="Y88" s="102"/>
      <c r="Z88" s="102"/>
      <c r="AA88" s="102"/>
      <c r="AB88" s="102"/>
      <c r="AC88" s="102"/>
      <c r="AD88" s="102"/>
      <c r="AE88" s="102"/>
      <c r="AF88" s="205"/>
      <c r="AG88" s="205"/>
      <c r="AH88" s="205"/>
      <c r="AI88" s="205"/>
      <c r="AJ88" s="96"/>
    </row>
    <row r="89" spans="1:36" s="103" customFormat="1" ht="65.099999999999994" customHeight="1" x14ac:dyDescent="0.25">
      <c r="A89" s="94"/>
      <c r="B89" s="94"/>
      <c r="C89" s="413"/>
      <c r="D89" s="95"/>
      <c r="E89" s="96"/>
      <c r="F89" s="96"/>
      <c r="G89" s="96"/>
      <c r="H89" s="96"/>
      <c r="I89" s="97"/>
      <c r="J89" s="98"/>
      <c r="K89" s="98"/>
      <c r="L89" s="99"/>
      <c r="M89" s="72"/>
      <c r="N89" s="100"/>
      <c r="O89" s="101"/>
      <c r="P89" s="63"/>
      <c r="Q89" s="75"/>
      <c r="R89" s="76"/>
      <c r="S89" s="72"/>
      <c r="T89" s="60"/>
      <c r="U89" s="60"/>
      <c r="V89" s="60"/>
      <c r="W89" s="102"/>
      <c r="X89" s="102"/>
      <c r="Y89" s="102"/>
      <c r="Z89" s="102"/>
      <c r="AA89" s="102"/>
      <c r="AB89" s="102"/>
      <c r="AC89" s="102"/>
      <c r="AD89" s="102"/>
      <c r="AE89" s="102"/>
      <c r="AF89" s="205"/>
      <c r="AG89" s="205"/>
      <c r="AH89" s="205"/>
      <c r="AI89" s="205"/>
      <c r="AJ89" s="96"/>
    </row>
    <row r="90" spans="1:36" s="103" customFormat="1" ht="65.099999999999994" customHeight="1" x14ac:dyDescent="0.25">
      <c r="A90" s="94"/>
      <c r="B90" s="94"/>
      <c r="C90" s="413"/>
      <c r="D90" s="95"/>
      <c r="E90" s="96"/>
      <c r="F90" s="96"/>
      <c r="G90" s="96"/>
      <c r="H90" s="96"/>
      <c r="I90" s="97"/>
      <c r="J90" s="98"/>
      <c r="K90" s="98"/>
      <c r="L90" s="99"/>
      <c r="M90" s="72"/>
      <c r="N90" s="100"/>
      <c r="O90" s="101"/>
      <c r="P90" s="63"/>
      <c r="Q90" s="75"/>
      <c r="R90" s="76"/>
      <c r="S90" s="72"/>
      <c r="T90" s="60"/>
      <c r="U90" s="60"/>
      <c r="V90" s="60"/>
      <c r="W90" s="102"/>
      <c r="X90" s="102"/>
      <c r="Y90" s="102"/>
      <c r="Z90" s="102"/>
      <c r="AA90" s="102"/>
      <c r="AB90" s="102"/>
      <c r="AC90" s="102"/>
      <c r="AD90" s="102"/>
      <c r="AE90" s="102"/>
      <c r="AF90" s="205"/>
      <c r="AG90" s="205"/>
      <c r="AH90" s="205"/>
      <c r="AI90" s="205"/>
      <c r="AJ90" s="96"/>
    </row>
    <row r="91" spans="1:36" s="103" customFormat="1" ht="65.099999999999994" customHeight="1" x14ac:dyDescent="0.25">
      <c r="A91" s="94"/>
      <c r="B91" s="94"/>
      <c r="C91" s="413"/>
      <c r="D91" s="95"/>
      <c r="E91" s="96"/>
      <c r="F91" s="96"/>
      <c r="G91" s="96"/>
      <c r="H91" s="96"/>
      <c r="I91" s="97"/>
      <c r="J91" s="98"/>
      <c r="K91" s="98"/>
      <c r="L91" s="99"/>
      <c r="M91" s="72"/>
      <c r="N91" s="100"/>
      <c r="O91" s="101"/>
      <c r="P91" s="63"/>
      <c r="Q91" s="75"/>
      <c r="R91" s="76"/>
      <c r="S91" s="72"/>
      <c r="T91" s="60"/>
      <c r="U91" s="60"/>
      <c r="V91" s="60"/>
      <c r="W91" s="102"/>
      <c r="X91" s="102"/>
      <c r="Y91" s="102"/>
      <c r="Z91" s="102"/>
      <c r="AA91" s="102"/>
      <c r="AB91" s="102"/>
      <c r="AC91" s="102"/>
      <c r="AD91" s="102"/>
      <c r="AE91" s="102"/>
      <c r="AF91" s="205"/>
      <c r="AG91" s="205"/>
      <c r="AH91" s="205"/>
      <c r="AI91" s="205"/>
      <c r="AJ91" s="96"/>
    </row>
    <row r="92" spans="1:36" s="103" customFormat="1" ht="65.099999999999994" customHeight="1" x14ac:dyDescent="0.25">
      <c r="A92" s="94"/>
      <c r="B92" s="94"/>
      <c r="C92" s="413"/>
      <c r="D92" s="95"/>
      <c r="E92" s="96"/>
      <c r="F92" s="96"/>
      <c r="G92" s="96"/>
      <c r="H92" s="96"/>
      <c r="I92" s="97"/>
      <c r="J92" s="98"/>
      <c r="K92" s="98"/>
      <c r="L92" s="99"/>
      <c r="M92" s="72"/>
      <c r="N92" s="100"/>
      <c r="O92" s="101"/>
      <c r="P92" s="63"/>
      <c r="Q92" s="75"/>
      <c r="R92" s="76"/>
      <c r="S92" s="72"/>
      <c r="T92" s="60"/>
      <c r="U92" s="60"/>
      <c r="V92" s="60"/>
      <c r="W92" s="102"/>
      <c r="X92" s="102"/>
      <c r="Y92" s="102"/>
      <c r="Z92" s="102"/>
      <c r="AA92" s="102"/>
      <c r="AB92" s="102"/>
      <c r="AC92" s="102"/>
      <c r="AD92" s="102"/>
      <c r="AE92" s="102"/>
      <c r="AF92" s="205"/>
      <c r="AG92" s="205"/>
      <c r="AH92" s="205"/>
      <c r="AI92" s="205"/>
      <c r="AJ92" s="96"/>
    </row>
    <row r="93" spans="1:36" s="103" customFormat="1" ht="65.099999999999994" customHeight="1" x14ac:dyDescent="0.25">
      <c r="A93" s="94"/>
      <c r="B93" s="94"/>
      <c r="C93" s="413"/>
      <c r="D93" s="95"/>
      <c r="E93" s="96"/>
      <c r="F93" s="96"/>
      <c r="G93" s="96"/>
      <c r="H93" s="96"/>
      <c r="I93" s="97"/>
      <c r="J93" s="98"/>
      <c r="K93" s="98"/>
      <c r="L93" s="99"/>
      <c r="M93" s="72"/>
      <c r="N93" s="100"/>
      <c r="O93" s="101"/>
      <c r="P93" s="63"/>
      <c r="Q93" s="75"/>
      <c r="R93" s="76"/>
      <c r="S93" s="72"/>
      <c r="T93" s="60"/>
      <c r="U93" s="60"/>
      <c r="V93" s="60"/>
      <c r="W93" s="102"/>
      <c r="X93" s="102"/>
      <c r="Y93" s="102"/>
      <c r="Z93" s="102"/>
      <c r="AA93" s="102"/>
      <c r="AB93" s="102"/>
      <c r="AC93" s="102"/>
      <c r="AD93" s="102"/>
      <c r="AE93" s="102"/>
      <c r="AF93" s="205"/>
      <c r="AG93" s="205"/>
      <c r="AH93" s="205"/>
      <c r="AI93" s="205"/>
      <c r="AJ93" s="96"/>
    </row>
    <row r="94" spans="1:36" s="103" customFormat="1" ht="65.099999999999994" customHeight="1" x14ac:dyDescent="0.25">
      <c r="A94" s="94"/>
      <c r="B94" s="94"/>
      <c r="C94" s="413"/>
      <c r="D94" s="95"/>
      <c r="E94" s="96"/>
      <c r="F94" s="96"/>
      <c r="G94" s="96"/>
      <c r="H94" s="96"/>
      <c r="I94" s="97"/>
      <c r="J94" s="98"/>
      <c r="K94" s="98"/>
      <c r="L94" s="99"/>
      <c r="M94" s="72"/>
      <c r="N94" s="100"/>
      <c r="O94" s="101"/>
      <c r="P94" s="63"/>
      <c r="Q94" s="75"/>
      <c r="R94" s="76"/>
      <c r="S94" s="72"/>
      <c r="T94" s="60"/>
      <c r="U94" s="60"/>
      <c r="V94" s="60"/>
      <c r="W94" s="102"/>
      <c r="X94" s="102"/>
      <c r="Y94" s="102"/>
      <c r="Z94" s="102"/>
      <c r="AA94" s="102"/>
      <c r="AB94" s="102"/>
      <c r="AC94" s="102"/>
      <c r="AD94" s="102"/>
      <c r="AE94" s="102"/>
      <c r="AF94" s="205"/>
      <c r="AG94" s="205"/>
      <c r="AH94" s="205"/>
      <c r="AI94" s="205"/>
      <c r="AJ94" s="96"/>
    </row>
    <row r="95" spans="1:36" s="103" customFormat="1" ht="65.099999999999994" customHeight="1" x14ac:dyDescent="0.25">
      <c r="A95" s="94"/>
      <c r="B95" s="94"/>
      <c r="C95" s="413"/>
      <c r="D95" s="95"/>
      <c r="E95" s="96"/>
      <c r="F95" s="96"/>
      <c r="G95" s="96"/>
      <c r="H95" s="96"/>
      <c r="I95" s="97"/>
      <c r="J95" s="98"/>
      <c r="K95" s="98"/>
      <c r="L95" s="99"/>
      <c r="M95" s="72"/>
      <c r="N95" s="100"/>
      <c r="O95" s="101"/>
      <c r="P95" s="63"/>
      <c r="Q95" s="75"/>
      <c r="R95" s="76"/>
      <c r="S95" s="72"/>
      <c r="T95" s="60"/>
      <c r="U95" s="60"/>
      <c r="V95" s="60"/>
      <c r="W95" s="102"/>
      <c r="X95" s="102"/>
      <c r="Y95" s="102"/>
      <c r="Z95" s="102"/>
      <c r="AA95" s="102"/>
      <c r="AB95" s="102"/>
      <c r="AC95" s="102"/>
      <c r="AD95" s="102"/>
      <c r="AE95" s="102"/>
      <c r="AF95" s="205"/>
      <c r="AG95" s="205"/>
      <c r="AH95" s="205"/>
      <c r="AI95" s="205"/>
      <c r="AJ95" s="96"/>
    </row>
    <row r="96" spans="1:36" s="103" customFormat="1" ht="65.099999999999994" customHeight="1" x14ac:dyDescent="0.25">
      <c r="A96" s="94"/>
      <c r="B96" s="94"/>
      <c r="C96" s="413"/>
      <c r="D96" s="95"/>
      <c r="E96" s="96"/>
      <c r="F96" s="96"/>
      <c r="G96" s="96"/>
      <c r="H96" s="96"/>
      <c r="I96" s="97"/>
      <c r="J96" s="98"/>
      <c r="K96" s="98"/>
      <c r="L96" s="99"/>
      <c r="M96" s="72"/>
      <c r="N96" s="100"/>
      <c r="O96" s="101"/>
      <c r="P96" s="63"/>
      <c r="Q96" s="75"/>
      <c r="R96" s="76"/>
      <c r="S96" s="72"/>
      <c r="T96" s="60"/>
      <c r="U96" s="60"/>
      <c r="V96" s="60"/>
      <c r="W96" s="102"/>
      <c r="X96" s="102"/>
      <c r="Y96" s="102"/>
      <c r="Z96" s="102"/>
      <c r="AA96" s="102"/>
      <c r="AB96" s="102"/>
      <c r="AC96" s="102"/>
      <c r="AD96" s="102"/>
      <c r="AE96" s="102"/>
      <c r="AF96" s="205"/>
      <c r="AG96" s="205"/>
      <c r="AH96" s="205"/>
      <c r="AI96" s="205"/>
      <c r="AJ96" s="96"/>
    </row>
    <row r="97" spans="1:36" s="103" customFormat="1" ht="65.099999999999994" customHeight="1" x14ac:dyDescent="0.25">
      <c r="A97" s="94"/>
      <c r="B97" s="94"/>
      <c r="C97" s="413"/>
      <c r="D97" s="95"/>
      <c r="E97" s="96"/>
      <c r="F97" s="96"/>
      <c r="G97" s="96"/>
      <c r="H97" s="96"/>
      <c r="I97" s="97"/>
      <c r="J97" s="98"/>
      <c r="K97" s="98"/>
      <c r="L97" s="99"/>
      <c r="M97" s="72"/>
      <c r="N97" s="100"/>
      <c r="O97" s="101"/>
      <c r="P97" s="63"/>
      <c r="Q97" s="75"/>
      <c r="R97" s="76"/>
      <c r="S97" s="72"/>
      <c r="T97" s="60"/>
      <c r="U97" s="60"/>
      <c r="V97" s="60"/>
      <c r="W97" s="102"/>
      <c r="X97" s="102"/>
      <c r="Y97" s="102"/>
      <c r="Z97" s="102"/>
      <c r="AA97" s="102"/>
      <c r="AB97" s="102"/>
      <c r="AC97" s="102"/>
      <c r="AD97" s="102"/>
      <c r="AE97" s="102"/>
      <c r="AF97" s="205"/>
      <c r="AG97" s="205"/>
      <c r="AH97" s="205"/>
      <c r="AI97" s="205"/>
      <c r="AJ97" s="96"/>
    </row>
    <row r="98" spans="1:36" s="103" customFormat="1" ht="65.099999999999994" customHeight="1" x14ac:dyDescent="0.25">
      <c r="A98" s="94"/>
      <c r="B98" s="94"/>
      <c r="C98" s="413"/>
      <c r="D98" s="95"/>
      <c r="E98" s="96"/>
      <c r="F98" s="96"/>
      <c r="G98" s="96"/>
      <c r="H98" s="96"/>
      <c r="I98" s="97"/>
      <c r="J98" s="98"/>
      <c r="K98" s="98"/>
      <c r="L98" s="99"/>
      <c r="M98" s="72"/>
      <c r="N98" s="100"/>
      <c r="O98" s="101"/>
      <c r="P98" s="63"/>
      <c r="Q98" s="75"/>
      <c r="R98" s="76"/>
      <c r="S98" s="72"/>
      <c r="T98" s="60"/>
      <c r="U98" s="60"/>
      <c r="V98" s="60"/>
      <c r="W98" s="102"/>
      <c r="X98" s="102"/>
      <c r="Y98" s="102"/>
      <c r="Z98" s="102"/>
      <c r="AA98" s="102"/>
      <c r="AB98" s="102"/>
      <c r="AC98" s="102"/>
      <c r="AD98" s="102"/>
      <c r="AE98" s="102"/>
      <c r="AF98" s="205"/>
      <c r="AG98" s="205"/>
      <c r="AH98" s="205"/>
      <c r="AI98" s="205"/>
      <c r="AJ98" s="96"/>
    </row>
    <row r="99" spans="1:36" s="103" customFormat="1" ht="65.099999999999994" customHeight="1" x14ac:dyDescent="0.25">
      <c r="A99" s="94"/>
      <c r="B99" s="94"/>
      <c r="C99" s="413"/>
      <c r="D99" s="95"/>
      <c r="E99" s="96"/>
      <c r="F99" s="96"/>
      <c r="G99" s="96"/>
      <c r="H99" s="96"/>
      <c r="I99" s="97"/>
      <c r="J99" s="98"/>
      <c r="K99" s="98"/>
      <c r="L99" s="99"/>
      <c r="M99" s="72"/>
      <c r="N99" s="100"/>
      <c r="O99" s="101"/>
      <c r="P99" s="63"/>
      <c r="Q99" s="75"/>
      <c r="R99" s="76"/>
      <c r="S99" s="72"/>
      <c r="T99" s="60"/>
      <c r="U99" s="60"/>
      <c r="V99" s="60"/>
      <c r="W99" s="102"/>
      <c r="X99" s="102"/>
      <c r="Y99" s="102"/>
      <c r="Z99" s="102"/>
      <c r="AA99" s="102"/>
      <c r="AB99" s="102"/>
      <c r="AC99" s="102"/>
      <c r="AD99" s="102"/>
      <c r="AE99" s="102"/>
      <c r="AF99" s="205"/>
      <c r="AG99" s="205"/>
      <c r="AH99" s="205"/>
      <c r="AI99" s="205"/>
      <c r="AJ99" s="96"/>
    </row>
    <row r="100" spans="1:36" s="103" customFormat="1" ht="65.099999999999994" customHeight="1" x14ac:dyDescent="0.25">
      <c r="A100" s="94"/>
      <c r="B100" s="94"/>
      <c r="C100" s="413"/>
      <c r="D100" s="95"/>
      <c r="E100" s="96"/>
      <c r="F100" s="96"/>
      <c r="G100" s="96"/>
      <c r="H100" s="96"/>
      <c r="I100" s="97"/>
      <c r="J100" s="98"/>
      <c r="K100" s="98"/>
      <c r="L100" s="99"/>
      <c r="M100" s="72"/>
      <c r="N100" s="100"/>
      <c r="O100" s="101"/>
      <c r="P100" s="63"/>
      <c r="Q100" s="75"/>
      <c r="R100" s="76"/>
      <c r="S100" s="72"/>
      <c r="T100" s="60"/>
      <c r="U100" s="60"/>
      <c r="V100" s="60"/>
      <c r="W100" s="102"/>
      <c r="X100" s="102"/>
      <c r="Y100" s="102"/>
      <c r="Z100" s="102"/>
      <c r="AA100" s="102"/>
      <c r="AB100" s="102"/>
      <c r="AC100" s="102"/>
      <c r="AD100" s="102"/>
      <c r="AE100" s="102"/>
      <c r="AF100" s="205"/>
      <c r="AG100" s="205"/>
      <c r="AH100" s="205"/>
      <c r="AI100" s="205"/>
      <c r="AJ100" s="96"/>
    </row>
    <row r="101" spans="1:36" s="103" customFormat="1" ht="65.099999999999994" customHeight="1" x14ac:dyDescent="0.25">
      <c r="A101" s="94"/>
      <c r="B101" s="94"/>
      <c r="C101" s="413"/>
      <c r="D101" s="95"/>
      <c r="E101" s="96"/>
      <c r="F101" s="96"/>
      <c r="G101" s="96"/>
      <c r="H101" s="96"/>
      <c r="I101" s="97"/>
      <c r="J101" s="98"/>
      <c r="K101" s="98"/>
      <c r="L101" s="99"/>
      <c r="M101" s="72"/>
      <c r="N101" s="100"/>
      <c r="O101" s="101"/>
      <c r="P101" s="63"/>
      <c r="Q101" s="75"/>
      <c r="R101" s="76"/>
      <c r="S101" s="72"/>
      <c r="T101" s="60"/>
      <c r="U101" s="60"/>
      <c r="V101" s="60"/>
      <c r="W101" s="102"/>
      <c r="X101" s="102"/>
      <c r="Y101" s="102"/>
      <c r="Z101" s="102"/>
      <c r="AA101" s="102"/>
      <c r="AB101" s="102"/>
      <c r="AC101" s="102"/>
      <c r="AD101" s="102"/>
      <c r="AE101" s="102"/>
      <c r="AF101" s="205"/>
      <c r="AG101" s="205"/>
      <c r="AH101" s="205"/>
      <c r="AI101" s="205"/>
      <c r="AJ101" s="96"/>
    </row>
    <row r="102" spans="1:36" s="103" customFormat="1" ht="65.099999999999994" customHeight="1" x14ac:dyDescent="0.25">
      <c r="A102" s="94"/>
      <c r="B102" s="94"/>
      <c r="C102" s="413"/>
      <c r="D102" s="95"/>
      <c r="E102" s="96"/>
      <c r="F102" s="96"/>
      <c r="G102" s="96"/>
      <c r="H102" s="96"/>
      <c r="I102" s="97"/>
      <c r="J102" s="98"/>
      <c r="K102" s="98"/>
      <c r="L102" s="99"/>
      <c r="M102" s="72"/>
      <c r="N102" s="100"/>
      <c r="O102" s="101"/>
      <c r="P102" s="63"/>
      <c r="Q102" s="75"/>
      <c r="R102" s="76"/>
      <c r="S102" s="72"/>
      <c r="T102" s="60"/>
      <c r="U102" s="60"/>
      <c r="V102" s="60"/>
      <c r="W102" s="102"/>
      <c r="X102" s="102"/>
      <c r="Y102" s="102"/>
      <c r="Z102" s="102"/>
      <c r="AA102" s="102"/>
      <c r="AB102" s="102"/>
      <c r="AC102" s="102"/>
      <c r="AD102" s="102"/>
      <c r="AE102" s="102"/>
      <c r="AF102" s="205"/>
      <c r="AG102" s="205"/>
      <c r="AH102" s="205"/>
      <c r="AI102" s="205"/>
      <c r="AJ102" s="96"/>
    </row>
    <row r="103" spans="1:36" s="103" customFormat="1" ht="65.099999999999994" customHeight="1" x14ac:dyDescent="0.25">
      <c r="A103" s="94"/>
      <c r="B103" s="94"/>
      <c r="C103" s="413"/>
      <c r="D103" s="95"/>
      <c r="E103" s="96"/>
      <c r="F103" s="96"/>
      <c r="G103" s="96"/>
      <c r="H103" s="96"/>
      <c r="I103" s="97"/>
      <c r="J103" s="98"/>
      <c r="K103" s="98"/>
      <c r="L103" s="99"/>
      <c r="M103" s="72"/>
      <c r="N103" s="100"/>
      <c r="O103" s="101"/>
      <c r="P103" s="63"/>
      <c r="Q103" s="75"/>
      <c r="R103" s="76"/>
      <c r="S103" s="72"/>
      <c r="T103" s="60"/>
      <c r="U103" s="60"/>
      <c r="V103" s="60"/>
      <c r="W103" s="102"/>
      <c r="X103" s="102"/>
      <c r="Y103" s="102"/>
      <c r="Z103" s="102"/>
      <c r="AA103" s="102"/>
      <c r="AB103" s="102"/>
      <c r="AC103" s="102"/>
      <c r="AD103" s="102"/>
      <c r="AE103" s="102"/>
      <c r="AF103" s="205"/>
      <c r="AG103" s="205"/>
      <c r="AH103" s="205"/>
      <c r="AI103" s="205"/>
      <c r="AJ103" s="96"/>
    </row>
    <row r="104" spans="1:36" s="103" customFormat="1" ht="65.099999999999994" customHeight="1" x14ac:dyDescent="0.25">
      <c r="A104" s="94"/>
      <c r="B104" s="94"/>
      <c r="C104" s="413"/>
      <c r="D104" s="95"/>
      <c r="E104" s="96"/>
      <c r="F104" s="96"/>
      <c r="G104" s="96"/>
      <c r="H104" s="96"/>
      <c r="I104" s="97"/>
      <c r="J104" s="98"/>
      <c r="K104" s="98"/>
      <c r="L104" s="99"/>
      <c r="M104" s="72"/>
      <c r="N104" s="100"/>
      <c r="O104" s="101"/>
      <c r="P104" s="63"/>
      <c r="Q104" s="75"/>
      <c r="R104" s="76"/>
      <c r="S104" s="72"/>
      <c r="T104" s="60"/>
      <c r="U104" s="60"/>
      <c r="V104" s="60"/>
      <c r="W104" s="102"/>
      <c r="X104" s="102"/>
      <c r="Y104" s="102"/>
      <c r="Z104" s="102"/>
      <c r="AA104" s="102"/>
      <c r="AB104" s="102"/>
      <c r="AC104" s="102"/>
      <c r="AD104" s="102"/>
      <c r="AE104" s="102"/>
      <c r="AF104" s="205"/>
      <c r="AG104" s="205"/>
      <c r="AH104" s="205"/>
      <c r="AI104" s="205"/>
      <c r="AJ104" s="96"/>
    </row>
    <row r="105" spans="1:36" s="103" customFormat="1" ht="65.099999999999994" customHeight="1" x14ac:dyDescent="0.25">
      <c r="A105" s="94"/>
      <c r="B105" s="94"/>
      <c r="C105" s="413"/>
      <c r="D105" s="95"/>
      <c r="E105" s="96"/>
      <c r="F105" s="96"/>
      <c r="G105" s="96"/>
      <c r="H105" s="96"/>
      <c r="I105" s="97"/>
      <c r="J105" s="98"/>
      <c r="K105" s="98"/>
      <c r="L105" s="99"/>
      <c r="M105" s="72"/>
      <c r="N105" s="100"/>
      <c r="O105" s="101"/>
      <c r="P105" s="63"/>
      <c r="Q105" s="75"/>
      <c r="R105" s="76"/>
      <c r="S105" s="72"/>
      <c r="T105" s="60"/>
      <c r="U105" s="60"/>
      <c r="V105" s="60"/>
      <c r="W105" s="102"/>
      <c r="X105" s="102"/>
      <c r="Y105" s="102"/>
      <c r="Z105" s="102"/>
      <c r="AA105" s="102"/>
      <c r="AB105" s="102"/>
      <c r="AC105" s="102"/>
      <c r="AD105" s="102"/>
      <c r="AE105" s="102"/>
      <c r="AF105" s="205"/>
      <c r="AG105" s="205"/>
      <c r="AH105" s="205"/>
      <c r="AI105" s="205"/>
      <c r="AJ105" s="96"/>
    </row>
    <row r="106" spans="1:36" s="103" customFormat="1" ht="65.099999999999994" customHeight="1" x14ac:dyDescent="0.25">
      <c r="A106" s="94"/>
      <c r="B106" s="94"/>
      <c r="C106" s="413"/>
      <c r="D106" s="95"/>
      <c r="E106" s="96"/>
      <c r="F106" s="96"/>
      <c r="G106" s="96"/>
      <c r="H106" s="96"/>
      <c r="I106" s="97"/>
      <c r="J106" s="98"/>
      <c r="K106" s="98"/>
      <c r="L106" s="99"/>
      <c r="M106" s="72"/>
      <c r="N106" s="100"/>
      <c r="O106" s="101"/>
      <c r="P106" s="63"/>
      <c r="Q106" s="75"/>
      <c r="R106" s="76"/>
      <c r="S106" s="72"/>
      <c r="T106" s="60"/>
      <c r="U106" s="60"/>
      <c r="V106" s="60"/>
      <c r="W106" s="102"/>
      <c r="X106" s="102"/>
      <c r="Y106" s="102"/>
      <c r="Z106" s="102"/>
      <c r="AA106" s="102"/>
      <c r="AB106" s="102"/>
      <c r="AC106" s="102"/>
      <c r="AD106" s="102"/>
      <c r="AE106" s="102"/>
      <c r="AF106" s="205"/>
      <c r="AG106" s="205"/>
      <c r="AH106" s="205"/>
      <c r="AI106" s="205"/>
      <c r="AJ106" s="96"/>
    </row>
    <row r="107" spans="1:36" s="103" customFormat="1" ht="65.099999999999994" customHeight="1" x14ac:dyDescent="0.25">
      <c r="A107" s="94"/>
      <c r="B107" s="94"/>
      <c r="C107" s="413"/>
      <c r="D107" s="95"/>
      <c r="E107" s="96"/>
      <c r="F107" s="96"/>
      <c r="G107" s="96"/>
      <c r="H107" s="96"/>
      <c r="I107" s="97"/>
      <c r="J107" s="98"/>
      <c r="K107" s="98"/>
      <c r="L107" s="99"/>
      <c r="M107" s="72"/>
      <c r="N107" s="100"/>
      <c r="O107" s="101"/>
      <c r="P107" s="63"/>
      <c r="Q107" s="75"/>
      <c r="R107" s="76"/>
      <c r="S107" s="72"/>
      <c r="T107" s="60"/>
      <c r="U107" s="60"/>
      <c r="V107" s="60"/>
      <c r="W107" s="102"/>
      <c r="X107" s="102"/>
      <c r="Y107" s="102"/>
      <c r="Z107" s="102"/>
      <c r="AA107" s="102"/>
      <c r="AB107" s="102"/>
      <c r="AC107" s="102"/>
      <c r="AD107" s="102"/>
      <c r="AE107" s="102"/>
      <c r="AF107" s="205"/>
      <c r="AG107" s="205"/>
      <c r="AH107" s="205"/>
      <c r="AI107" s="205"/>
      <c r="AJ107" s="96"/>
    </row>
    <row r="108" spans="1:36" s="103" customFormat="1" ht="65.099999999999994" customHeight="1" x14ac:dyDescent="0.25">
      <c r="A108" s="94"/>
      <c r="B108" s="94"/>
      <c r="C108" s="413"/>
      <c r="D108" s="95"/>
      <c r="E108" s="96"/>
      <c r="F108" s="96"/>
      <c r="G108" s="96"/>
      <c r="H108" s="96"/>
      <c r="I108" s="97"/>
      <c r="J108" s="98"/>
      <c r="K108" s="98"/>
      <c r="L108" s="99"/>
      <c r="M108" s="72"/>
      <c r="N108" s="100"/>
      <c r="O108" s="101"/>
      <c r="P108" s="63"/>
      <c r="Q108" s="75"/>
      <c r="R108" s="76"/>
      <c r="S108" s="72"/>
      <c r="T108" s="60"/>
      <c r="U108" s="60"/>
      <c r="V108" s="60"/>
      <c r="W108" s="102"/>
      <c r="X108" s="102"/>
      <c r="Y108" s="102"/>
      <c r="Z108" s="102"/>
      <c r="AA108" s="102"/>
      <c r="AB108" s="102"/>
      <c r="AC108" s="102"/>
      <c r="AD108" s="102"/>
      <c r="AE108" s="102"/>
      <c r="AF108" s="205"/>
      <c r="AG108" s="205"/>
      <c r="AH108" s="205"/>
      <c r="AI108" s="205"/>
      <c r="AJ108" s="96"/>
    </row>
    <row r="109" spans="1:36" s="103" customFormat="1" ht="65.099999999999994" customHeight="1" x14ac:dyDescent="0.25">
      <c r="A109" s="94"/>
      <c r="B109" s="94"/>
      <c r="C109" s="413"/>
      <c r="D109" s="95"/>
      <c r="E109" s="96"/>
      <c r="F109" s="96"/>
      <c r="G109" s="96"/>
      <c r="H109" s="96"/>
      <c r="I109" s="97"/>
      <c r="J109" s="98"/>
      <c r="K109" s="98"/>
      <c r="L109" s="99"/>
      <c r="M109" s="72"/>
      <c r="N109" s="100"/>
      <c r="O109" s="101"/>
      <c r="P109" s="63"/>
      <c r="Q109" s="75"/>
      <c r="R109" s="76"/>
      <c r="S109" s="72"/>
      <c r="T109" s="60"/>
      <c r="U109" s="60"/>
      <c r="V109" s="60"/>
      <c r="W109" s="102"/>
      <c r="X109" s="102"/>
      <c r="Y109" s="102"/>
      <c r="Z109" s="102"/>
      <c r="AA109" s="102"/>
      <c r="AB109" s="102"/>
      <c r="AC109" s="102"/>
      <c r="AD109" s="102"/>
      <c r="AE109" s="102"/>
      <c r="AF109" s="205"/>
      <c r="AG109" s="205"/>
      <c r="AH109" s="205"/>
      <c r="AI109" s="205"/>
      <c r="AJ109" s="96"/>
    </row>
    <row r="110" spans="1:36" s="103" customFormat="1" ht="65.099999999999994" customHeight="1" x14ac:dyDescent="0.25">
      <c r="A110" s="94"/>
      <c r="B110" s="94"/>
      <c r="C110" s="413"/>
      <c r="D110" s="95"/>
      <c r="E110" s="96"/>
      <c r="F110" s="96"/>
      <c r="G110" s="96"/>
      <c r="H110" s="96"/>
      <c r="I110" s="97"/>
      <c r="J110" s="98"/>
      <c r="K110" s="98"/>
      <c r="L110" s="99"/>
      <c r="M110" s="72"/>
      <c r="N110" s="100"/>
      <c r="O110" s="101"/>
      <c r="P110" s="63"/>
      <c r="Q110" s="75"/>
      <c r="R110" s="76"/>
      <c r="S110" s="72"/>
      <c r="T110" s="60"/>
      <c r="U110" s="60"/>
      <c r="V110" s="60"/>
      <c r="W110" s="102"/>
      <c r="X110" s="102"/>
      <c r="Y110" s="102"/>
      <c r="Z110" s="102"/>
      <c r="AA110" s="102"/>
      <c r="AB110" s="102"/>
      <c r="AC110" s="102"/>
      <c r="AD110" s="102"/>
      <c r="AE110" s="102"/>
      <c r="AF110" s="205"/>
      <c r="AG110" s="205"/>
      <c r="AH110" s="205"/>
      <c r="AI110" s="205"/>
      <c r="AJ110" s="96"/>
    </row>
    <row r="111" spans="1:36" s="103" customFormat="1" ht="65.099999999999994" customHeight="1" x14ac:dyDescent="0.25">
      <c r="A111" s="94"/>
      <c r="B111" s="94"/>
      <c r="C111" s="413"/>
      <c r="D111" s="95"/>
      <c r="E111" s="96"/>
      <c r="F111" s="96"/>
      <c r="G111" s="96"/>
      <c r="H111" s="96"/>
      <c r="I111" s="97"/>
      <c r="J111" s="98"/>
      <c r="K111" s="98"/>
      <c r="L111" s="99"/>
      <c r="M111" s="72"/>
      <c r="N111" s="100"/>
      <c r="O111" s="101"/>
      <c r="P111" s="63"/>
      <c r="Q111" s="75"/>
      <c r="R111" s="76"/>
      <c r="S111" s="72"/>
      <c r="T111" s="60"/>
      <c r="U111" s="60"/>
      <c r="V111" s="60"/>
      <c r="W111" s="102"/>
      <c r="X111" s="102"/>
      <c r="Y111" s="102"/>
      <c r="Z111" s="102"/>
      <c r="AA111" s="102"/>
      <c r="AB111" s="102"/>
      <c r="AC111" s="102"/>
      <c r="AD111" s="102"/>
      <c r="AE111" s="102"/>
      <c r="AF111" s="205"/>
      <c r="AG111" s="205"/>
      <c r="AH111" s="205"/>
      <c r="AI111" s="205"/>
      <c r="AJ111" s="96"/>
    </row>
    <row r="112" spans="1:36" s="103" customFormat="1" ht="65.099999999999994" customHeight="1" x14ac:dyDescent="0.25">
      <c r="A112" s="94"/>
      <c r="B112" s="94"/>
      <c r="C112" s="413"/>
      <c r="D112" s="95"/>
      <c r="E112" s="96"/>
      <c r="F112" s="96"/>
      <c r="G112" s="96"/>
      <c r="H112" s="96"/>
      <c r="I112" s="97"/>
      <c r="J112" s="98"/>
      <c r="K112" s="98"/>
      <c r="L112" s="99"/>
      <c r="M112" s="72"/>
      <c r="N112" s="100"/>
      <c r="O112" s="101"/>
      <c r="P112" s="63"/>
      <c r="Q112" s="75"/>
      <c r="R112" s="76"/>
      <c r="S112" s="72"/>
      <c r="T112" s="60"/>
      <c r="U112" s="60"/>
      <c r="V112" s="60"/>
      <c r="W112" s="102"/>
      <c r="X112" s="102"/>
      <c r="Y112" s="102"/>
      <c r="Z112" s="102"/>
      <c r="AA112" s="102"/>
      <c r="AB112" s="102"/>
      <c r="AC112" s="102"/>
      <c r="AD112" s="102"/>
      <c r="AE112" s="102"/>
      <c r="AF112" s="205"/>
      <c r="AG112" s="205"/>
      <c r="AH112" s="205"/>
      <c r="AI112" s="205"/>
      <c r="AJ112" s="96"/>
    </row>
    <row r="113" spans="1:36" s="103" customFormat="1" ht="65.099999999999994" customHeight="1" x14ac:dyDescent="0.25">
      <c r="A113" s="94"/>
      <c r="B113" s="94"/>
      <c r="C113" s="413"/>
      <c r="D113" s="95"/>
      <c r="E113" s="96"/>
      <c r="F113" s="96"/>
      <c r="G113" s="96"/>
      <c r="H113" s="96"/>
      <c r="I113" s="97"/>
      <c r="J113" s="98"/>
      <c r="K113" s="98"/>
      <c r="L113" s="99"/>
      <c r="M113" s="72"/>
      <c r="N113" s="100"/>
      <c r="O113" s="101"/>
      <c r="P113" s="63"/>
      <c r="Q113" s="75"/>
      <c r="R113" s="76"/>
      <c r="S113" s="72"/>
      <c r="T113" s="60"/>
      <c r="U113" s="60"/>
      <c r="V113" s="60"/>
      <c r="W113" s="102"/>
      <c r="X113" s="102"/>
      <c r="Y113" s="102"/>
      <c r="Z113" s="102"/>
      <c r="AA113" s="102"/>
      <c r="AB113" s="102"/>
      <c r="AC113" s="102"/>
      <c r="AD113" s="102"/>
      <c r="AE113" s="102"/>
      <c r="AF113" s="205"/>
      <c r="AG113" s="205"/>
      <c r="AH113" s="205"/>
      <c r="AI113" s="205"/>
      <c r="AJ113" s="96"/>
    </row>
    <row r="114" spans="1:36" s="103" customFormat="1" ht="65.099999999999994" customHeight="1" x14ac:dyDescent="0.25">
      <c r="A114" s="94"/>
      <c r="B114" s="94"/>
      <c r="C114" s="413"/>
      <c r="D114" s="95"/>
      <c r="E114" s="96"/>
      <c r="F114" s="96"/>
      <c r="G114" s="96"/>
      <c r="H114" s="96"/>
      <c r="I114" s="97"/>
      <c r="J114" s="98"/>
      <c r="K114" s="98"/>
      <c r="L114" s="99"/>
      <c r="M114" s="72"/>
      <c r="N114" s="100"/>
      <c r="O114" s="101"/>
      <c r="P114" s="63"/>
      <c r="Q114" s="75"/>
      <c r="R114" s="76"/>
      <c r="S114" s="72"/>
      <c r="T114" s="60"/>
      <c r="U114" s="60"/>
      <c r="V114" s="60"/>
      <c r="W114" s="102"/>
      <c r="X114" s="102"/>
      <c r="Y114" s="102"/>
      <c r="Z114" s="102"/>
      <c r="AA114" s="102"/>
      <c r="AB114" s="102"/>
      <c r="AC114" s="102"/>
      <c r="AD114" s="102"/>
      <c r="AE114" s="102"/>
      <c r="AF114" s="205"/>
      <c r="AG114" s="205"/>
      <c r="AH114" s="205"/>
      <c r="AI114" s="205"/>
      <c r="AJ114" s="96"/>
    </row>
    <row r="115" spans="1:36" s="103" customFormat="1" ht="65.099999999999994" customHeight="1" x14ac:dyDescent="0.25">
      <c r="A115" s="94"/>
      <c r="B115" s="94"/>
      <c r="C115" s="413"/>
      <c r="D115" s="95"/>
      <c r="E115" s="96"/>
      <c r="F115" s="96"/>
      <c r="G115" s="96"/>
      <c r="H115" s="96"/>
      <c r="I115" s="97"/>
      <c r="J115" s="98"/>
      <c r="K115" s="98"/>
      <c r="L115" s="99"/>
      <c r="M115" s="72"/>
      <c r="N115" s="100"/>
      <c r="O115" s="101"/>
      <c r="P115" s="63"/>
      <c r="Q115" s="75"/>
      <c r="R115" s="76"/>
      <c r="S115" s="72"/>
      <c r="T115" s="60"/>
      <c r="U115" s="60"/>
      <c r="V115" s="60"/>
      <c r="W115" s="102"/>
      <c r="X115" s="102"/>
      <c r="Y115" s="102"/>
      <c r="Z115" s="102"/>
      <c r="AA115" s="102"/>
      <c r="AB115" s="102"/>
      <c r="AC115" s="102"/>
      <c r="AD115" s="102"/>
      <c r="AE115" s="102"/>
      <c r="AF115" s="205"/>
      <c r="AG115" s="205"/>
      <c r="AH115" s="205"/>
      <c r="AI115" s="205"/>
      <c r="AJ115" s="96"/>
    </row>
    <row r="116" spans="1:36" s="103" customFormat="1" ht="65.099999999999994" customHeight="1" x14ac:dyDescent="0.25">
      <c r="A116" s="94"/>
      <c r="B116" s="94"/>
      <c r="C116" s="413"/>
      <c r="D116" s="95"/>
      <c r="E116" s="96"/>
      <c r="F116" s="96"/>
      <c r="G116" s="96"/>
      <c r="H116" s="96"/>
      <c r="I116" s="97"/>
      <c r="J116" s="98"/>
      <c r="K116" s="98"/>
      <c r="L116" s="99"/>
      <c r="M116" s="72"/>
      <c r="N116" s="100"/>
      <c r="O116" s="101"/>
      <c r="P116" s="63"/>
      <c r="Q116" s="75"/>
      <c r="R116" s="76"/>
      <c r="S116" s="72"/>
      <c r="T116" s="60"/>
      <c r="U116" s="60"/>
      <c r="V116" s="60"/>
      <c r="W116" s="102"/>
      <c r="X116" s="102"/>
      <c r="Y116" s="102"/>
      <c r="Z116" s="102"/>
      <c r="AA116" s="102"/>
      <c r="AB116" s="102"/>
      <c r="AC116" s="102"/>
      <c r="AD116" s="102"/>
      <c r="AE116" s="102"/>
      <c r="AF116" s="205"/>
      <c r="AG116" s="205"/>
      <c r="AH116" s="205"/>
      <c r="AI116" s="205"/>
      <c r="AJ116" s="96"/>
    </row>
    <row r="117" spans="1:36" s="103" customFormat="1" ht="65.099999999999994" customHeight="1" x14ac:dyDescent="0.25">
      <c r="A117" s="94"/>
      <c r="B117" s="94"/>
      <c r="C117" s="413"/>
      <c r="D117" s="95"/>
      <c r="E117" s="96"/>
      <c r="F117" s="96"/>
      <c r="G117" s="96"/>
      <c r="H117" s="96"/>
      <c r="I117" s="97"/>
      <c r="J117" s="98"/>
      <c r="K117" s="98"/>
      <c r="L117" s="99"/>
      <c r="M117" s="72"/>
      <c r="N117" s="100"/>
      <c r="O117" s="101"/>
      <c r="P117" s="63"/>
      <c r="Q117" s="75"/>
      <c r="R117" s="76"/>
      <c r="S117" s="72"/>
      <c r="T117" s="60"/>
      <c r="U117" s="60"/>
      <c r="V117" s="60"/>
      <c r="W117" s="102"/>
      <c r="X117" s="102"/>
      <c r="Y117" s="102"/>
      <c r="Z117" s="102"/>
      <c r="AA117" s="102"/>
      <c r="AB117" s="102"/>
      <c r="AC117" s="102"/>
      <c r="AD117" s="102"/>
      <c r="AE117" s="102"/>
      <c r="AF117" s="205"/>
      <c r="AG117" s="205"/>
      <c r="AH117" s="205"/>
      <c r="AI117" s="205"/>
      <c r="AJ117" s="96"/>
    </row>
    <row r="118" spans="1:36" s="103" customFormat="1" ht="65.099999999999994" customHeight="1" x14ac:dyDescent="0.25">
      <c r="A118" s="94"/>
      <c r="B118" s="94"/>
      <c r="C118" s="413"/>
      <c r="D118" s="95"/>
      <c r="E118" s="96"/>
      <c r="F118" s="96"/>
      <c r="G118" s="96"/>
      <c r="H118" s="96"/>
      <c r="I118" s="97"/>
      <c r="J118" s="98"/>
      <c r="K118" s="98"/>
      <c r="L118" s="99"/>
      <c r="M118" s="72"/>
      <c r="N118" s="100"/>
      <c r="O118" s="101"/>
      <c r="P118" s="63"/>
      <c r="Q118" s="75"/>
      <c r="R118" s="76"/>
      <c r="S118" s="72"/>
      <c r="T118" s="60"/>
      <c r="U118" s="60"/>
      <c r="V118" s="60"/>
      <c r="W118" s="102"/>
      <c r="X118" s="102"/>
      <c r="Y118" s="102"/>
      <c r="Z118" s="102"/>
      <c r="AA118" s="102"/>
      <c r="AB118" s="102"/>
      <c r="AC118" s="102"/>
      <c r="AD118" s="102"/>
      <c r="AE118" s="102"/>
      <c r="AF118" s="205"/>
      <c r="AG118" s="205"/>
      <c r="AH118" s="205"/>
      <c r="AI118" s="205"/>
      <c r="AJ118" s="96"/>
    </row>
    <row r="119" spans="1:36" s="103" customFormat="1" ht="65.099999999999994" customHeight="1" x14ac:dyDescent="0.25">
      <c r="A119" s="94"/>
      <c r="B119" s="94"/>
      <c r="C119" s="413"/>
      <c r="D119" s="95"/>
      <c r="E119" s="96"/>
      <c r="F119" s="96"/>
      <c r="G119" s="96"/>
      <c r="H119" s="96"/>
      <c r="I119" s="97"/>
      <c r="J119" s="98"/>
      <c r="K119" s="98"/>
      <c r="L119" s="99"/>
      <c r="M119" s="72"/>
      <c r="N119" s="100"/>
      <c r="O119" s="101"/>
      <c r="P119" s="63"/>
      <c r="Q119" s="75"/>
      <c r="R119" s="76"/>
      <c r="S119" s="72"/>
      <c r="T119" s="60"/>
      <c r="U119" s="60"/>
      <c r="V119" s="60"/>
      <c r="W119" s="102"/>
      <c r="X119" s="102"/>
      <c r="Y119" s="102"/>
      <c r="Z119" s="102"/>
      <c r="AA119" s="102"/>
      <c r="AB119" s="102"/>
      <c r="AC119" s="102"/>
      <c r="AD119" s="102"/>
      <c r="AE119" s="102"/>
      <c r="AF119" s="205"/>
      <c r="AG119" s="205"/>
      <c r="AH119" s="205"/>
      <c r="AI119" s="205"/>
      <c r="AJ119" s="96"/>
    </row>
    <row r="120" spans="1:36" s="103" customFormat="1" ht="65.099999999999994" customHeight="1" x14ac:dyDescent="0.25">
      <c r="A120" s="94"/>
      <c r="B120" s="94"/>
      <c r="C120" s="413"/>
      <c r="D120" s="95"/>
      <c r="E120" s="96"/>
      <c r="F120" s="96"/>
      <c r="G120" s="96"/>
      <c r="H120" s="96"/>
      <c r="I120" s="97"/>
      <c r="J120" s="98"/>
      <c r="K120" s="98"/>
      <c r="L120" s="99"/>
      <c r="M120" s="72"/>
      <c r="N120" s="100"/>
      <c r="O120" s="101"/>
      <c r="P120" s="63"/>
      <c r="Q120" s="75"/>
      <c r="R120" s="76"/>
      <c r="S120" s="72"/>
      <c r="T120" s="60"/>
      <c r="U120" s="60"/>
      <c r="V120" s="60"/>
      <c r="W120" s="102"/>
      <c r="X120" s="102"/>
      <c r="Y120" s="102"/>
      <c r="Z120" s="102"/>
      <c r="AA120" s="102"/>
      <c r="AB120" s="102"/>
      <c r="AC120" s="102"/>
      <c r="AD120" s="102"/>
      <c r="AE120" s="102"/>
      <c r="AF120" s="205"/>
      <c r="AG120" s="205"/>
      <c r="AH120" s="205"/>
      <c r="AI120" s="205"/>
      <c r="AJ120" s="96"/>
    </row>
    <row r="121" spans="1:36" s="103" customFormat="1" ht="65.099999999999994" customHeight="1" x14ac:dyDescent="0.25">
      <c r="A121" s="94"/>
      <c r="B121" s="94"/>
      <c r="C121" s="413"/>
      <c r="D121" s="95"/>
      <c r="E121" s="96"/>
      <c r="F121" s="96"/>
      <c r="G121" s="96"/>
      <c r="H121" s="96"/>
      <c r="I121" s="97"/>
      <c r="J121" s="98"/>
      <c r="K121" s="98"/>
      <c r="L121" s="99"/>
      <c r="M121" s="72"/>
      <c r="N121" s="100"/>
      <c r="O121" s="101"/>
      <c r="P121" s="63"/>
      <c r="Q121" s="75"/>
      <c r="R121" s="76"/>
      <c r="S121" s="72"/>
      <c r="T121" s="60"/>
      <c r="U121" s="60"/>
      <c r="V121" s="60"/>
      <c r="W121" s="102"/>
      <c r="X121" s="102"/>
      <c r="Y121" s="102"/>
      <c r="Z121" s="102"/>
      <c r="AA121" s="102"/>
      <c r="AB121" s="102"/>
      <c r="AC121" s="102"/>
      <c r="AD121" s="102"/>
      <c r="AE121" s="102"/>
      <c r="AF121" s="205"/>
      <c r="AG121" s="205"/>
      <c r="AH121" s="205"/>
      <c r="AI121" s="205"/>
      <c r="AJ121" s="96"/>
    </row>
    <row r="122" spans="1:36" s="103" customFormat="1" ht="65.099999999999994" customHeight="1" x14ac:dyDescent="0.25">
      <c r="A122" s="94"/>
      <c r="B122" s="94"/>
      <c r="C122" s="413"/>
      <c r="D122" s="95"/>
      <c r="E122" s="96"/>
      <c r="F122" s="96"/>
      <c r="G122" s="96"/>
      <c r="H122" s="96"/>
      <c r="I122" s="97"/>
      <c r="J122" s="98"/>
      <c r="K122" s="98"/>
      <c r="L122" s="99"/>
      <c r="M122" s="72"/>
      <c r="N122" s="100"/>
      <c r="O122" s="101"/>
      <c r="P122" s="63"/>
      <c r="Q122" s="75"/>
      <c r="R122" s="76"/>
      <c r="S122" s="72"/>
      <c r="T122" s="60"/>
      <c r="U122" s="60"/>
      <c r="V122" s="60"/>
      <c r="W122" s="102"/>
      <c r="X122" s="102"/>
      <c r="Y122" s="102"/>
      <c r="Z122" s="102"/>
      <c r="AA122" s="102"/>
      <c r="AB122" s="102"/>
      <c r="AC122" s="102"/>
      <c r="AD122" s="102"/>
      <c r="AE122" s="102"/>
      <c r="AF122" s="205"/>
      <c r="AG122" s="205"/>
      <c r="AH122" s="205"/>
      <c r="AI122" s="205"/>
      <c r="AJ122" s="96"/>
    </row>
    <row r="123" spans="1:36" s="103" customFormat="1" ht="65.099999999999994" customHeight="1" x14ac:dyDescent="0.25">
      <c r="A123" s="94"/>
      <c r="B123" s="94"/>
      <c r="C123" s="413"/>
      <c r="D123" s="95"/>
      <c r="E123" s="96"/>
      <c r="F123" s="96"/>
      <c r="G123" s="96"/>
      <c r="H123" s="96"/>
      <c r="I123" s="97"/>
      <c r="J123" s="98"/>
      <c r="K123" s="98"/>
      <c r="L123" s="99"/>
      <c r="M123" s="72"/>
      <c r="N123" s="100"/>
      <c r="O123" s="101"/>
      <c r="P123" s="63"/>
      <c r="Q123" s="75"/>
      <c r="R123" s="76"/>
      <c r="S123" s="72"/>
      <c r="T123" s="60"/>
      <c r="U123" s="60"/>
      <c r="V123" s="60"/>
      <c r="W123" s="102"/>
      <c r="X123" s="102"/>
      <c r="Y123" s="102"/>
      <c r="Z123" s="102"/>
      <c r="AA123" s="102"/>
      <c r="AB123" s="102"/>
      <c r="AC123" s="102"/>
      <c r="AD123" s="102"/>
      <c r="AE123" s="102"/>
      <c r="AF123" s="205"/>
      <c r="AG123" s="205"/>
      <c r="AH123" s="205"/>
      <c r="AI123" s="205"/>
      <c r="AJ123" s="96"/>
    </row>
    <row r="124" spans="1:36" s="103" customFormat="1" ht="65.099999999999994" customHeight="1" x14ac:dyDescent="0.25">
      <c r="A124" s="94"/>
      <c r="B124" s="94"/>
      <c r="C124" s="413"/>
      <c r="D124" s="95"/>
      <c r="E124" s="96"/>
      <c r="F124" s="96"/>
      <c r="G124" s="96"/>
      <c r="H124" s="96"/>
      <c r="I124" s="97"/>
      <c r="J124" s="98"/>
      <c r="K124" s="98"/>
      <c r="L124" s="99"/>
      <c r="M124" s="72"/>
      <c r="N124" s="100"/>
      <c r="O124" s="101"/>
      <c r="P124" s="63"/>
      <c r="Q124" s="75"/>
      <c r="R124" s="76"/>
      <c r="S124" s="72"/>
      <c r="T124" s="60"/>
      <c r="U124" s="60"/>
      <c r="V124" s="60"/>
      <c r="W124" s="102"/>
      <c r="X124" s="102"/>
      <c r="Y124" s="102"/>
      <c r="Z124" s="102"/>
      <c r="AA124" s="102"/>
      <c r="AB124" s="102"/>
      <c r="AC124" s="102"/>
      <c r="AD124" s="102"/>
      <c r="AE124" s="102"/>
      <c r="AF124" s="205"/>
      <c r="AG124" s="205"/>
      <c r="AH124" s="205"/>
      <c r="AI124" s="205"/>
      <c r="AJ124" s="96"/>
    </row>
    <row r="125" spans="1:36" s="103" customFormat="1" ht="65.099999999999994" customHeight="1" x14ac:dyDescent="0.25">
      <c r="A125" s="94"/>
      <c r="B125" s="94"/>
      <c r="C125" s="413"/>
      <c r="D125" s="95"/>
      <c r="E125" s="96"/>
      <c r="F125" s="96"/>
      <c r="G125" s="96"/>
      <c r="H125" s="96"/>
      <c r="I125" s="97"/>
      <c r="J125" s="98"/>
      <c r="K125" s="98"/>
      <c r="L125" s="99"/>
      <c r="M125" s="72"/>
      <c r="N125" s="100"/>
      <c r="O125" s="101"/>
      <c r="P125" s="63"/>
      <c r="Q125" s="75"/>
      <c r="R125" s="76"/>
      <c r="S125" s="72"/>
      <c r="T125" s="60"/>
      <c r="U125" s="60"/>
      <c r="V125" s="60"/>
      <c r="W125" s="102"/>
      <c r="X125" s="102"/>
      <c r="Y125" s="102"/>
      <c r="Z125" s="102"/>
      <c r="AA125" s="102"/>
      <c r="AB125" s="102"/>
      <c r="AC125" s="102"/>
      <c r="AD125" s="102"/>
      <c r="AE125" s="102"/>
      <c r="AF125" s="205"/>
      <c r="AG125" s="205"/>
      <c r="AH125" s="205"/>
      <c r="AI125" s="205"/>
      <c r="AJ125" s="96"/>
    </row>
    <row r="126" spans="1:36" s="103" customFormat="1" ht="65.099999999999994" customHeight="1" x14ac:dyDescent="0.25">
      <c r="A126" s="94"/>
      <c r="B126" s="94"/>
      <c r="C126" s="413"/>
      <c r="D126" s="95"/>
      <c r="E126" s="96"/>
      <c r="F126" s="96"/>
      <c r="G126" s="96"/>
      <c r="H126" s="96"/>
      <c r="I126" s="97"/>
      <c r="J126" s="98"/>
      <c r="K126" s="98"/>
      <c r="L126" s="99"/>
      <c r="M126" s="72"/>
      <c r="N126" s="100"/>
      <c r="O126" s="101"/>
      <c r="P126" s="63"/>
      <c r="Q126" s="75"/>
      <c r="R126" s="76"/>
      <c r="S126" s="72"/>
      <c r="T126" s="60"/>
      <c r="U126" s="60"/>
      <c r="V126" s="60"/>
      <c r="W126" s="102"/>
      <c r="X126" s="102"/>
      <c r="Y126" s="102"/>
      <c r="Z126" s="102"/>
      <c r="AA126" s="102"/>
      <c r="AB126" s="102"/>
      <c r="AC126" s="102"/>
      <c r="AD126" s="102"/>
      <c r="AE126" s="102"/>
      <c r="AF126" s="205"/>
      <c r="AG126" s="205"/>
      <c r="AH126" s="205"/>
      <c r="AI126" s="205"/>
      <c r="AJ126" s="96"/>
    </row>
    <row r="127" spans="1:36" s="103" customFormat="1" ht="65.099999999999994" customHeight="1" x14ac:dyDescent="0.25">
      <c r="A127" s="94"/>
      <c r="B127" s="94"/>
      <c r="C127" s="413"/>
      <c r="D127" s="95"/>
      <c r="E127" s="96"/>
      <c r="F127" s="96"/>
      <c r="G127" s="96"/>
      <c r="H127" s="96"/>
      <c r="I127" s="97"/>
      <c r="J127" s="98"/>
      <c r="K127" s="98"/>
      <c r="L127" s="99"/>
      <c r="M127" s="72"/>
      <c r="N127" s="100"/>
      <c r="O127" s="101"/>
      <c r="P127" s="63"/>
      <c r="Q127" s="75"/>
      <c r="R127" s="76"/>
      <c r="S127" s="72"/>
      <c r="T127" s="60"/>
      <c r="U127" s="60"/>
      <c r="V127" s="60"/>
      <c r="W127" s="102"/>
      <c r="X127" s="102"/>
      <c r="Y127" s="102"/>
      <c r="Z127" s="102"/>
      <c r="AA127" s="102"/>
      <c r="AB127" s="102"/>
      <c r="AC127" s="102"/>
      <c r="AD127" s="102"/>
      <c r="AE127" s="102"/>
      <c r="AF127" s="205"/>
      <c r="AG127" s="205"/>
      <c r="AH127" s="205"/>
      <c r="AI127" s="205"/>
      <c r="AJ127" s="96"/>
    </row>
    <row r="128" spans="1:36" s="103" customFormat="1" ht="65.099999999999994" customHeight="1" x14ac:dyDescent="0.25">
      <c r="A128" s="94"/>
      <c r="B128" s="94"/>
      <c r="C128" s="413"/>
      <c r="D128" s="95"/>
      <c r="E128" s="96"/>
      <c r="F128" s="96"/>
      <c r="G128" s="96"/>
      <c r="H128" s="96"/>
      <c r="I128" s="97"/>
      <c r="J128" s="98"/>
      <c r="K128" s="98"/>
      <c r="L128" s="99"/>
      <c r="M128" s="72"/>
      <c r="N128" s="100"/>
      <c r="O128" s="101"/>
      <c r="P128" s="63"/>
      <c r="Q128" s="75"/>
      <c r="R128" s="76"/>
      <c r="S128" s="72"/>
      <c r="T128" s="60"/>
      <c r="U128" s="60"/>
      <c r="V128" s="60"/>
      <c r="W128" s="102"/>
      <c r="X128" s="102"/>
      <c r="Y128" s="102"/>
      <c r="Z128" s="102"/>
      <c r="AA128" s="102"/>
      <c r="AB128" s="102"/>
      <c r="AC128" s="102"/>
      <c r="AD128" s="102"/>
      <c r="AE128" s="102"/>
      <c r="AF128" s="205"/>
      <c r="AG128" s="205"/>
      <c r="AH128" s="205"/>
      <c r="AI128" s="205"/>
      <c r="AJ128" s="96"/>
    </row>
    <row r="129" spans="1:36" s="103" customFormat="1" ht="65.099999999999994" customHeight="1" x14ac:dyDescent="0.25">
      <c r="A129" s="94"/>
      <c r="B129" s="94"/>
      <c r="C129" s="413"/>
      <c r="D129" s="95"/>
      <c r="E129" s="96"/>
      <c r="F129" s="96"/>
      <c r="G129" s="96"/>
      <c r="H129" s="96"/>
      <c r="I129" s="97"/>
      <c r="J129" s="98"/>
      <c r="K129" s="98"/>
      <c r="L129" s="99"/>
      <c r="M129" s="72"/>
      <c r="N129" s="100"/>
      <c r="O129" s="101"/>
      <c r="P129" s="63"/>
      <c r="Q129" s="75"/>
      <c r="R129" s="76"/>
      <c r="S129" s="72"/>
      <c r="T129" s="60"/>
      <c r="U129" s="60"/>
      <c r="V129" s="60"/>
      <c r="W129" s="102"/>
      <c r="X129" s="102"/>
      <c r="Y129" s="102"/>
      <c r="Z129" s="102"/>
      <c r="AA129" s="102"/>
      <c r="AB129" s="102"/>
      <c r="AC129" s="102"/>
      <c r="AD129" s="102"/>
      <c r="AE129" s="102"/>
      <c r="AF129" s="205"/>
      <c r="AG129" s="205"/>
      <c r="AH129" s="205"/>
      <c r="AI129" s="205"/>
      <c r="AJ129" s="96"/>
    </row>
    <row r="130" spans="1:36" s="103" customFormat="1" ht="65.099999999999994" customHeight="1" x14ac:dyDescent="0.25">
      <c r="A130" s="94"/>
      <c r="B130" s="94"/>
      <c r="C130" s="413"/>
      <c r="D130" s="95"/>
      <c r="E130" s="96"/>
      <c r="F130" s="96"/>
      <c r="G130" s="96"/>
      <c r="H130" s="96"/>
      <c r="I130" s="97"/>
      <c r="J130" s="98"/>
      <c r="K130" s="98"/>
      <c r="L130" s="99"/>
      <c r="M130" s="72"/>
      <c r="N130" s="100"/>
      <c r="O130" s="101"/>
      <c r="P130" s="63"/>
      <c r="Q130" s="75"/>
      <c r="R130" s="76"/>
      <c r="S130" s="72"/>
      <c r="T130" s="60"/>
      <c r="U130" s="60"/>
      <c r="V130" s="60"/>
      <c r="W130" s="102"/>
      <c r="X130" s="102"/>
      <c r="Y130" s="102"/>
      <c r="Z130" s="102"/>
      <c r="AA130" s="102"/>
      <c r="AB130" s="102"/>
      <c r="AC130" s="102"/>
      <c r="AD130" s="102"/>
      <c r="AE130" s="102"/>
      <c r="AF130" s="205"/>
      <c r="AG130" s="205"/>
      <c r="AH130" s="205"/>
      <c r="AI130" s="205"/>
      <c r="AJ130" s="96"/>
    </row>
    <row r="131" spans="1:36" s="103" customFormat="1" ht="65.099999999999994" customHeight="1" x14ac:dyDescent="0.25">
      <c r="A131" s="94"/>
      <c r="B131" s="94"/>
      <c r="C131" s="413"/>
      <c r="D131" s="95"/>
      <c r="E131" s="96"/>
      <c r="F131" s="96"/>
      <c r="G131" s="96"/>
      <c r="H131" s="96"/>
      <c r="I131" s="97"/>
      <c r="J131" s="98"/>
      <c r="K131" s="98"/>
      <c r="L131" s="99"/>
      <c r="M131" s="72"/>
      <c r="N131" s="100"/>
      <c r="O131" s="101"/>
      <c r="P131" s="63"/>
      <c r="Q131" s="75"/>
      <c r="R131" s="76"/>
      <c r="S131" s="72"/>
      <c r="T131" s="60"/>
      <c r="U131" s="60"/>
      <c r="V131" s="60"/>
      <c r="W131" s="102"/>
      <c r="X131" s="102"/>
      <c r="Y131" s="102"/>
      <c r="Z131" s="102"/>
      <c r="AA131" s="102"/>
      <c r="AB131" s="102"/>
      <c r="AC131" s="102"/>
      <c r="AD131" s="102"/>
      <c r="AE131" s="102"/>
      <c r="AF131" s="205"/>
      <c r="AG131" s="205"/>
      <c r="AH131" s="205"/>
      <c r="AI131" s="205"/>
      <c r="AJ131" s="96"/>
    </row>
    <row r="132" spans="1:36" s="103" customFormat="1" ht="65.099999999999994" customHeight="1" x14ac:dyDescent="0.25">
      <c r="A132" s="94"/>
      <c r="B132" s="94"/>
      <c r="C132" s="413"/>
      <c r="D132" s="95"/>
      <c r="E132" s="96"/>
      <c r="F132" s="96"/>
      <c r="G132" s="96"/>
      <c r="H132" s="96"/>
      <c r="I132" s="97"/>
      <c r="J132" s="98"/>
      <c r="K132" s="98"/>
      <c r="L132" s="99"/>
      <c r="M132" s="72"/>
      <c r="N132" s="100"/>
      <c r="O132" s="101"/>
      <c r="P132" s="63"/>
      <c r="Q132" s="75"/>
      <c r="R132" s="76"/>
      <c r="S132" s="72"/>
      <c r="T132" s="60"/>
      <c r="U132" s="60"/>
      <c r="V132" s="60"/>
      <c r="W132" s="102"/>
      <c r="X132" s="102"/>
      <c r="Y132" s="102"/>
      <c r="Z132" s="102"/>
      <c r="AA132" s="102"/>
      <c r="AB132" s="102"/>
      <c r="AC132" s="102"/>
      <c r="AD132" s="102"/>
      <c r="AE132" s="102"/>
      <c r="AF132" s="205"/>
      <c r="AG132" s="205"/>
      <c r="AH132" s="205"/>
      <c r="AI132" s="205"/>
      <c r="AJ132" s="96"/>
    </row>
    <row r="133" spans="1:36" s="103" customFormat="1" ht="65.099999999999994" customHeight="1" x14ac:dyDescent="0.25">
      <c r="A133" s="94"/>
      <c r="B133" s="94"/>
      <c r="C133" s="413"/>
      <c r="D133" s="95"/>
      <c r="E133" s="96"/>
      <c r="F133" s="96"/>
      <c r="G133" s="96"/>
      <c r="H133" s="96"/>
      <c r="I133" s="97"/>
      <c r="J133" s="98"/>
      <c r="K133" s="98"/>
      <c r="L133" s="99"/>
      <c r="M133" s="72"/>
      <c r="N133" s="100"/>
      <c r="O133" s="101"/>
      <c r="P133" s="63"/>
      <c r="Q133" s="75"/>
      <c r="R133" s="76"/>
      <c r="S133" s="72"/>
      <c r="T133" s="60"/>
      <c r="U133" s="60"/>
      <c r="V133" s="60"/>
      <c r="W133" s="102"/>
      <c r="X133" s="102"/>
      <c r="Y133" s="102"/>
      <c r="Z133" s="102"/>
      <c r="AA133" s="102"/>
      <c r="AB133" s="102"/>
      <c r="AC133" s="102"/>
      <c r="AD133" s="102"/>
      <c r="AE133" s="102"/>
      <c r="AF133" s="205"/>
      <c r="AG133" s="205"/>
      <c r="AH133" s="205"/>
      <c r="AI133" s="205"/>
      <c r="AJ133" s="96"/>
    </row>
  </sheetData>
  <autoFilter ref="A1:AJ20">
    <filterColumn colId="22" showButton="0"/>
    <filterColumn colId="23" showButton="0"/>
    <filterColumn colId="25" showButton="0"/>
    <filterColumn colId="26" showButton="0"/>
  </autoFilter>
  <mergeCells count="192">
    <mergeCell ref="A1:A2"/>
    <mergeCell ref="B1:B2"/>
    <mergeCell ref="C1:C2"/>
    <mergeCell ref="D1:D2"/>
    <mergeCell ref="E1:E2"/>
    <mergeCell ref="F1:F2"/>
    <mergeCell ref="M1:M2"/>
    <mergeCell ref="N1:N2"/>
    <mergeCell ref="O1:O2"/>
    <mergeCell ref="P1:P2"/>
    <mergeCell ref="Q1:Q2"/>
    <mergeCell ref="R1:R2"/>
    <mergeCell ref="G1:G2"/>
    <mergeCell ref="H1:H2"/>
    <mergeCell ref="I1:I2"/>
    <mergeCell ref="J1:J2"/>
    <mergeCell ref="K1:K2"/>
    <mergeCell ref="L1:L2"/>
    <mergeCell ref="AC4:AE4"/>
    <mergeCell ref="W5:Y5"/>
    <mergeCell ref="Z5:AB5"/>
    <mergeCell ref="AC5:AE5"/>
    <mergeCell ref="AJ1:AJ2"/>
    <mergeCell ref="A3:A7"/>
    <mergeCell ref="W3:Y3"/>
    <mergeCell ref="Z3:AB3"/>
    <mergeCell ref="AC3:AE3"/>
    <mergeCell ref="AG3:AG7"/>
    <mergeCell ref="AH3:AH7"/>
    <mergeCell ref="W4:Y4"/>
    <mergeCell ref="Z4:AB4"/>
    <mergeCell ref="AC1:AE1"/>
    <mergeCell ref="AF1:AF2"/>
    <mergeCell ref="AG1:AG2"/>
    <mergeCell ref="AH1:AH2"/>
    <mergeCell ref="AI1:AI2"/>
    <mergeCell ref="S1:S2"/>
    <mergeCell ref="T1:T2"/>
    <mergeCell ref="U1:U2"/>
    <mergeCell ref="V1:V2"/>
    <mergeCell ref="W1:Y1"/>
    <mergeCell ref="Z1:AB1"/>
    <mergeCell ref="A8:A12"/>
    <mergeCell ref="W8:Y8"/>
    <mergeCell ref="Z8:AB8"/>
    <mergeCell ref="AC8:AE8"/>
    <mergeCell ref="AG8:AG12"/>
    <mergeCell ref="Z11:AB11"/>
    <mergeCell ref="AC11:AE11"/>
    <mergeCell ref="W12:Y12"/>
    <mergeCell ref="W6:Y6"/>
    <mergeCell ref="Z6:AB6"/>
    <mergeCell ref="AC6:AE6"/>
    <mergeCell ref="W7:Y7"/>
    <mergeCell ref="Z7:AB7"/>
    <mergeCell ref="AC7:AE7"/>
    <mergeCell ref="AH13:AH17"/>
    <mergeCell ref="W14:Y14"/>
    <mergeCell ref="Z14:AB14"/>
    <mergeCell ref="AC14:AE14"/>
    <mergeCell ref="W15:Y15"/>
    <mergeCell ref="Z15:AB15"/>
    <mergeCell ref="AC15:AE15"/>
    <mergeCell ref="Z12:AB12"/>
    <mergeCell ref="AC12:AE12"/>
    <mergeCell ref="W13:Y13"/>
    <mergeCell ref="Z13:AB13"/>
    <mergeCell ref="AC13:AE13"/>
    <mergeCell ref="W16:Y16"/>
    <mergeCell ref="Z16:AB16"/>
    <mergeCell ref="AH8:AH12"/>
    <mergeCell ref="W9:Y9"/>
    <mergeCell ref="Z9:AB9"/>
    <mergeCell ref="AC9:AE9"/>
    <mergeCell ref="W10:Y10"/>
    <mergeCell ref="Z10:AB10"/>
    <mergeCell ref="AC10:AE10"/>
    <mergeCell ref="W11:Y11"/>
    <mergeCell ref="A18:A23"/>
    <mergeCell ref="W18:Y18"/>
    <mergeCell ref="Z18:AB18"/>
    <mergeCell ref="AC18:AE18"/>
    <mergeCell ref="AG18:AG23"/>
    <mergeCell ref="Z21:AB21"/>
    <mergeCell ref="AC21:AE21"/>
    <mergeCell ref="W22:Y22"/>
    <mergeCell ref="AC16:AE16"/>
    <mergeCell ref="W17:Y17"/>
    <mergeCell ref="Z17:AB17"/>
    <mergeCell ref="AC17:AE17"/>
    <mergeCell ref="AG13:AG17"/>
    <mergeCell ref="A13:A17"/>
    <mergeCell ref="Z22:AB22"/>
    <mergeCell ref="AC22:AE22"/>
    <mergeCell ref="W23:Y23"/>
    <mergeCell ref="Z23:AB23"/>
    <mergeCell ref="AC23:AE23"/>
    <mergeCell ref="AH18:AH23"/>
    <mergeCell ref="W19:Y19"/>
    <mergeCell ref="Z19:AB19"/>
    <mergeCell ref="AC19:AE19"/>
    <mergeCell ref="W20:Y20"/>
    <mergeCell ref="Z20:AB20"/>
    <mergeCell ref="AC20:AE20"/>
    <mergeCell ref="W21:Y21"/>
    <mergeCell ref="Z28:AB28"/>
    <mergeCell ref="AC28:AE28"/>
    <mergeCell ref="AH24:AH28"/>
    <mergeCell ref="W25:Y25"/>
    <mergeCell ref="Z25:AB25"/>
    <mergeCell ref="AC25:AE25"/>
    <mergeCell ref="W26:Y26"/>
    <mergeCell ref="Z26:AB26"/>
    <mergeCell ref="AC26:AE26"/>
    <mergeCell ref="W27:Y27"/>
    <mergeCell ref="A24:A28"/>
    <mergeCell ref="W24:Y24"/>
    <mergeCell ref="Z24:AB24"/>
    <mergeCell ref="AC24:AE24"/>
    <mergeCell ref="AG24:AG28"/>
    <mergeCell ref="Z27:AB27"/>
    <mergeCell ref="AC27:AE27"/>
    <mergeCell ref="W28:Y28"/>
    <mergeCell ref="Z38:AB38"/>
    <mergeCell ref="AC38:AE38"/>
    <mergeCell ref="W35:Y35"/>
    <mergeCell ref="Z35:AB35"/>
    <mergeCell ref="AC35:AE35"/>
    <mergeCell ref="A33:A38"/>
    <mergeCell ref="W33:Y33"/>
    <mergeCell ref="Z33:AB33"/>
    <mergeCell ref="AC33:AE33"/>
    <mergeCell ref="W36:Y36"/>
    <mergeCell ref="Z36:AB36"/>
    <mergeCell ref="W37:Y37"/>
    <mergeCell ref="Z37:AB37"/>
    <mergeCell ref="AC37:AE37"/>
    <mergeCell ref="W38:Y38"/>
    <mergeCell ref="AG29:AG32"/>
    <mergeCell ref="A29:A32"/>
    <mergeCell ref="W29:Y29"/>
    <mergeCell ref="Z29:AB29"/>
    <mergeCell ref="AC29:AE29"/>
    <mergeCell ref="W32:Y32"/>
    <mergeCell ref="Z32:AB32"/>
    <mergeCell ref="AC32:AE32"/>
    <mergeCell ref="Z34:AB34"/>
    <mergeCell ref="AC34:AE34"/>
    <mergeCell ref="AH29:AH32"/>
    <mergeCell ref="W30:Y30"/>
    <mergeCell ref="Z30:AB30"/>
    <mergeCell ref="AC30:AE30"/>
    <mergeCell ref="W31:Y31"/>
    <mergeCell ref="Z31:AB31"/>
    <mergeCell ref="AC31:AE31"/>
    <mergeCell ref="AC36:AE36"/>
    <mergeCell ref="AG33:AG38"/>
    <mergeCell ref="AH33:AH38"/>
    <mergeCell ref="W34:Y34"/>
    <mergeCell ref="A44:A47"/>
    <mergeCell ref="W44:Y44"/>
    <mergeCell ref="Z44:AB44"/>
    <mergeCell ref="AC44:AE44"/>
    <mergeCell ref="W47:Y47"/>
    <mergeCell ref="Z47:AB47"/>
    <mergeCell ref="AC47:AE47"/>
    <mergeCell ref="A39:A43"/>
    <mergeCell ref="W39:Y39"/>
    <mergeCell ref="Z39:AB39"/>
    <mergeCell ref="AC39:AE39"/>
    <mergeCell ref="AG44:AG47"/>
    <mergeCell ref="AH44:AH47"/>
    <mergeCell ref="W45:Y45"/>
    <mergeCell ref="Z45:AB45"/>
    <mergeCell ref="AC45:AE45"/>
    <mergeCell ref="W46:Y46"/>
    <mergeCell ref="Z46:AB46"/>
    <mergeCell ref="AC46:AE46"/>
    <mergeCell ref="AH39:AH43"/>
    <mergeCell ref="W40:Y40"/>
    <mergeCell ref="Z40:AB40"/>
    <mergeCell ref="AC40:AE40"/>
    <mergeCell ref="W41:Y41"/>
    <mergeCell ref="Z41:AB41"/>
    <mergeCell ref="AC41:AE41"/>
    <mergeCell ref="W42:Y42"/>
    <mergeCell ref="AG39:AG43"/>
    <mergeCell ref="Z42:AB42"/>
    <mergeCell ref="AC42:AE42"/>
    <mergeCell ref="W43:Y43"/>
    <mergeCell ref="Z43:AB43"/>
    <mergeCell ref="AC43:AE43"/>
  </mergeCells>
  <conditionalFormatting sqref="AG13:AH13 AG8:AH8 AF3:AH3 AG18:AH18 AG24:AH24 AG29:AH29 AG33:AH33 AF39:AH39 AF4:AF38 AF40:AF43 G3:H47 AF44:AH44 AF45:AF47">
    <cfRule type="containsText" dxfId="66" priority="1" operator="containsText" text="NO">
      <formula>NOT(ISERROR(SEARCH("NO",G3)))</formula>
    </cfRule>
  </conditionalFormatting>
  <dataValidations count="1">
    <dataValidation type="list" allowBlank="1" showInputMessage="1" showErrorMessage="1" sqref="W13:Y23 W33:Y38 W3:Y7 G3:H47 Z3:AF47">
      <formula1>$AL$1:$AM$1</formula1>
    </dataValidation>
  </dataValidations>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38"/>
  <sheetViews>
    <sheetView zoomScale="55" zoomScaleNormal="55" zoomScalePageLayoutView="75" workbookViewId="0">
      <pane xSplit="1" ySplit="2" topLeftCell="G24" activePane="bottomRight" state="frozen"/>
      <selection pane="topRight" activeCell="B1" sqref="B1"/>
      <selection pane="bottomLeft" activeCell="A3" sqref="A3"/>
      <selection pane="bottomRight" activeCell="W30" sqref="W30"/>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23.875" style="104" customWidth="1"/>
    <col min="9" max="10" width="18.875" style="104" customWidth="1"/>
    <col min="11" max="11" width="13.625" style="105" customWidth="1"/>
    <col min="12" max="12" width="10.625" style="106" customWidth="1"/>
    <col min="13" max="13" width="11" style="107" customWidth="1"/>
    <col min="14" max="14" width="11" style="108" customWidth="1"/>
    <col min="15" max="15" width="11" style="74" customWidth="1"/>
    <col min="16" max="16" width="18.5" style="109" customWidth="1"/>
    <col min="17" max="17" width="8.75" style="109" customWidth="1"/>
    <col min="18" max="18" width="9.5" style="74" bestFit="1" customWidth="1"/>
    <col min="19" max="19" width="12.5" style="74" customWidth="1"/>
    <col min="20" max="20" width="9.625" style="74" bestFit="1" customWidth="1"/>
    <col min="21" max="22" width="15.5" style="74" customWidth="1"/>
    <col min="23" max="23" width="18.375" style="87" customWidth="1"/>
    <col min="24" max="24" width="19.5" style="63" customWidth="1"/>
    <col min="25" max="25" width="59.125" style="96" customWidth="1"/>
    <col min="26" max="28" width="10.875" style="111"/>
    <col min="29" max="30" width="15.125" style="111" bestFit="1" customWidth="1"/>
    <col min="31" max="16384" width="10.875" style="111"/>
  </cols>
  <sheetData>
    <row r="1" spans="1:28" s="61" customFormat="1" ht="15" customHeight="1" x14ac:dyDescent="0.25">
      <c r="A1" s="661" t="s">
        <v>2</v>
      </c>
      <c r="B1" s="661" t="s">
        <v>1</v>
      </c>
      <c r="C1" s="676" t="s">
        <v>369</v>
      </c>
      <c r="D1" s="661" t="s">
        <v>7</v>
      </c>
      <c r="E1" s="661" t="s">
        <v>8</v>
      </c>
      <c r="F1" s="661" t="s">
        <v>9</v>
      </c>
      <c r="G1" s="662" t="s">
        <v>382</v>
      </c>
      <c r="H1" s="662" t="s">
        <v>857</v>
      </c>
      <c r="I1" s="663" t="s">
        <v>383</v>
      </c>
      <c r="J1" s="663" t="s">
        <v>18</v>
      </c>
      <c r="K1" s="670" t="s">
        <v>56</v>
      </c>
      <c r="L1" s="672" t="s">
        <v>10</v>
      </c>
      <c r="M1" s="672" t="s">
        <v>443</v>
      </c>
      <c r="N1" s="674" t="s">
        <v>65</v>
      </c>
      <c r="O1" s="661" t="s">
        <v>64</v>
      </c>
      <c r="P1" s="661" t="s">
        <v>11</v>
      </c>
      <c r="Q1" s="661" t="s">
        <v>12</v>
      </c>
      <c r="R1" s="662" t="s">
        <v>13</v>
      </c>
      <c r="S1" s="662" t="s">
        <v>14</v>
      </c>
      <c r="T1" s="662" t="s">
        <v>15</v>
      </c>
      <c r="U1" s="662" t="s">
        <v>16</v>
      </c>
      <c r="V1" s="661" t="s">
        <v>17</v>
      </c>
      <c r="W1" s="662" t="s">
        <v>386</v>
      </c>
      <c r="X1" s="664" t="s">
        <v>375</v>
      </c>
      <c r="Y1" s="659" t="s">
        <v>0</v>
      </c>
      <c r="AA1" s="62" t="s">
        <v>5</v>
      </c>
      <c r="AB1" s="62" t="s">
        <v>6</v>
      </c>
    </row>
    <row r="2" spans="1:28" s="234" customFormat="1" ht="62.25" customHeight="1" thickBot="1" x14ac:dyDescent="0.3">
      <c r="A2" s="667"/>
      <c r="B2" s="667"/>
      <c r="C2" s="677"/>
      <c r="D2" s="667"/>
      <c r="E2" s="667"/>
      <c r="F2" s="667"/>
      <c r="G2" s="663"/>
      <c r="H2" s="663"/>
      <c r="I2" s="678"/>
      <c r="J2" s="678"/>
      <c r="K2" s="671"/>
      <c r="L2" s="673"/>
      <c r="M2" s="673"/>
      <c r="N2" s="675"/>
      <c r="O2" s="667"/>
      <c r="P2" s="667"/>
      <c r="Q2" s="667"/>
      <c r="R2" s="663"/>
      <c r="S2" s="663"/>
      <c r="T2" s="663"/>
      <c r="U2" s="663"/>
      <c r="V2" s="667"/>
      <c r="W2" s="663"/>
      <c r="X2" s="665"/>
      <c r="Y2" s="660"/>
    </row>
    <row r="3" spans="1:28" s="237" customFormat="1" ht="42.75" x14ac:dyDescent="0.25">
      <c r="A3" s="652" t="s">
        <v>455</v>
      </c>
      <c r="B3" s="125" t="s">
        <v>241</v>
      </c>
      <c r="C3" s="126">
        <v>3</v>
      </c>
      <c r="D3" s="127" t="str">
        <f>+IFERROR(INDEX([6]CONSOLIDADO!$D$4:$D$108,MATCH('EXP ESPEC. 1-8.'!B3,[6]CONSOLIDADO!$C$4:$C$108,0)),"")</f>
        <v>CGR S.A.S.</v>
      </c>
      <c r="E3" s="128" t="s">
        <v>21</v>
      </c>
      <c r="F3" s="129" t="s">
        <v>461</v>
      </c>
      <c r="G3" s="207" t="s">
        <v>5</v>
      </c>
      <c r="H3" s="207" t="s">
        <v>6</v>
      </c>
      <c r="I3" s="207" t="s">
        <v>5</v>
      </c>
      <c r="J3" s="207" t="s">
        <v>6</v>
      </c>
      <c r="K3" s="131">
        <v>0.28000000000000003</v>
      </c>
      <c r="L3" s="132">
        <v>40077</v>
      </c>
      <c r="M3" s="132">
        <v>41977</v>
      </c>
      <c r="N3" s="133">
        <f>IF(M3="","",YEAR(M3))</f>
        <v>2014</v>
      </c>
      <c r="O3" s="134">
        <f>+IFERROR(INDEX([6]PARÁMETROS!$B$11:$B$37,MATCH(N3,[6]PARÁMETROS!$A$11:$A$37,0)),"")</f>
        <v>616000</v>
      </c>
      <c r="P3" s="135">
        <v>8396906456</v>
      </c>
      <c r="Q3" s="136" t="s">
        <v>20</v>
      </c>
      <c r="R3" s="125" t="s">
        <v>54</v>
      </c>
      <c r="S3" s="137" t="s">
        <v>54</v>
      </c>
      <c r="T3" s="138">
        <v>1</v>
      </c>
      <c r="U3" s="134">
        <f>IF(T3&lt;&gt;"",P3*T3,"")</f>
        <v>8396906456</v>
      </c>
      <c r="V3" s="139">
        <f>+IFERROR(U3/O3,"")</f>
        <v>13631.34164935065</v>
      </c>
      <c r="W3" s="139">
        <f>IFERROR(V3*K3,"")</f>
        <v>3816.7756618181825</v>
      </c>
      <c r="X3" s="207" t="str">
        <f>+IF(W3="","",IF(W3&gt;=[6]PARÁMETROS!$J$5,"CUMPLE","NO CUMPLE"))</f>
        <v>CUMPLE</v>
      </c>
      <c r="Y3" s="263"/>
    </row>
    <row r="4" spans="1:28" s="79" customFormat="1" ht="71.25" x14ac:dyDescent="0.25">
      <c r="A4" s="653"/>
      <c r="B4" s="63" t="s">
        <v>240</v>
      </c>
      <c r="C4" s="64">
        <v>112</v>
      </c>
      <c r="D4" s="65" t="str">
        <f>+IFERROR(INDEX([6]CONSOLIDADO!$D$4:$D$108,MATCH('EXP ESPEC. 1-8.'!B4,[6]CONSOLIDADO!$C$4:$C$108,0)),"")</f>
        <v>NOGALL S.A.</v>
      </c>
      <c r="E4" s="66" t="s">
        <v>446</v>
      </c>
      <c r="F4" s="67" t="s">
        <v>842</v>
      </c>
      <c r="G4" s="205" t="s">
        <v>5</v>
      </c>
      <c r="H4" s="205" t="s">
        <v>5</v>
      </c>
      <c r="I4" s="205" t="s">
        <v>5</v>
      </c>
      <c r="J4" s="205" t="s">
        <v>6</v>
      </c>
      <c r="K4" s="69">
        <v>0.75</v>
      </c>
      <c r="L4" s="70">
        <v>38718</v>
      </c>
      <c r="M4" s="70"/>
      <c r="N4" s="71">
        <v>2014</v>
      </c>
      <c r="O4" s="72">
        <f>+IFERROR(INDEX([6]PARÁMETROS!$B$11:$B$37,MATCH(N4,[6]PARÁMETROS!$A$11:$A$37,0)),"")</f>
        <v>616000</v>
      </c>
      <c r="P4" s="73">
        <v>8567960679</v>
      </c>
      <c r="Q4" s="74" t="s">
        <v>20</v>
      </c>
      <c r="R4" s="63" t="s">
        <v>54</v>
      </c>
      <c r="S4" s="75" t="s">
        <v>54</v>
      </c>
      <c r="T4" s="76">
        <v>1</v>
      </c>
      <c r="U4" s="72">
        <f>IF(T4&lt;&gt;"",P4*T4,"")</f>
        <v>8567960679</v>
      </c>
      <c r="V4" s="60">
        <f>+IFERROR(U4/O4,"")</f>
        <v>13909.027076298702</v>
      </c>
      <c r="W4" s="60">
        <f>IFERROR(V4*K4,"")</f>
        <v>10431.770307224026</v>
      </c>
      <c r="X4" s="205" t="str">
        <f>+IF(W4="","",IF(W4&gt;=[6]PARÁMETROS!$J$5,"CUMPLE","NO CUMPLE"))</f>
        <v>CUMPLE</v>
      </c>
      <c r="Y4" s="239"/>
    </row>
    <row r="5" spans="1:28" s="79" customFormat="1" ht="71.25" x14ac:dyDescent="0.25">
      <c r="A5" s="653"/>
      <c r="B5" s="63" t="s">
        <v>239</v>
      </c>
      <c r="C5" s="64">
        <v>117</v>
      </c>
      <c r="D5" s="65" t="str">
        <f>+IFERROR(INDEX([6]CONSOLIDADO!$D$4:$D$108,MATCH('EXP ESPEC. 1-8.'!B5,[6]CONSOLIDADO!$C$4:$C$108,0)),"")</f>
        <v>LKS COLOMBIA S.A.S.</v>
      </c>
      <c r="E5" s="66" t="s">
        <v>459</v>
      </c>
      <c r="F5" s="66" t="s">
        <v>460</v>
      </c>
      <c r="G5" s="205" t="s">
        <v>5</v>
      </c>
      <c r="H5" s="205" t="s">
        <v>6</v>
      </c>
      <c r="I5" s="205" t="s">
        <v>5</v>
      </c>
      <c r="J5" s="205" t="s">
        <v>6</v>
      </c>
      <c r="K5" s="80">
        <v>1</v>
      </c>
      <c r="L5" s="70">
        <v>37288</v>
      </c>
      <c r="M5" s="70">
        <v>38904</v>
      </c>
      <c r="N5" s="71">
        <f>IF(M5="","",YEAR(M5))</f>
        <v>2006</v>
      </c>
      <c r="O5" s="72">
        <f>+IFERROR(INDEX([6]PARÁMETROS!$B$11:$B$37,MATCH(N5,[6]PARÁMETROS!$A$11:$A$37,0)),"")</f>
        <v>408000</v>
      </c>
      <c r="P5" s="81">
        <v>2069370.4</v>
      </c>
      <c r="Q5" s="238" t="s">
        <v>458</v>
      </c>
      <c r="R5" s="63">
        <v>1.2766299999999999</v>
      </c>
      <c r="S5" s="75">
        <f>+P5*R5</f>
        <v>2641820.3337519998</v>
      </c>
      <c r="T5" s="76">
        <v>2574.7399999999998</v>
      </c>
      <c r="U5" s="72">
        <f>IF(T5&lt;&gt;"",P5*T5,"")</f>
        <v>5328090743.6959991</v>
      </c>
      <c r="V5" s="60">
        <f>+IFERROR(U5/O5,"")</f>
        <v>13059.04594043137</v>
      </c>
      <c r="W5" s="60">
        <f>IFERROR(V5*K5,"")</f>
        <v>13059.04594043137</v>
      </c>
      <c r="X5" s="205" t="str">
        <f>+IF(W5="","",IF(W5&gt;=[6]PARÁMETROS!$J$5,"CUMPLE","NO CUMPLE"))</f>
        <v>CUMPLE</v>
      </c>
      <c r="Y5" s="66"/>
    </row>
    <row r="6" spans="1:28" s="243" customFormat="1" ht="100.5" thickBot="1" x14ac:dyDescent="0.3">
      <c r="A6" s="654"/>
      <c r="B6" s="210" t="s">
        <v>239</v>
      </c>
      <c r="C6" s="240">
        <v>122</v>
      </c>
      <c r="D6" s="211" t="str">
        <f>+IFERROR(INDEX([6]CONSOLIDADO!$D$4:$D$108,MATCH('EXP ESPEC. 1-8.'!B6,[6]CONSOLIDADO!$C$4:$C$108,0)),"")</f>
        <v>LKS COLOMBIA S.A.S.</v>
      </c>
      <c r="E6" s="212" t="s">
        <v>456</v>
      </c>
      <c r="F6" s="213" t="s">
        <v>457</v>
      </c>
      <c r="G6" s="214" t="s">
        <v>5</v>
      </c>
      <c r="H6" s="214" t="s">
        <v>6</v>
      </c>
      <c r="I6" s="214" t="s">
        <v>5</v>
      </c>
      <c r="J6" s="214" t="s">
        <v>6</v>
      </c>
      <c r="K6" s="215">
        <v>0.5</v>
      </c>
      <c r="L6" s="216">
        <v>39173</v>
      </c>
      <c r="M6" s="216">
        <v>40574</v>
      </c>
      <c r="N6" s="217">
        <f>IF(M6="","",YEAR(M6))</f>
        <v>2011</v>
      </c>
      <c r="O6" s="202">
        <f>+IFERROR(INDEX([6]PARÁMETROS!$B$11:$B$37,MATCH(N6,[6]PARÁMETROS!$A$11:$A$37,0)),"")</f>
        <v>535600</v>
      </c>
      <c r="P6" s="218">
        <v>2664656.9300000002</v>
      </c>
      <c r="Q6" s="245" t="s">
        <v>458</v>
      </c>
      <c r="R6" s="210">
        <v>1.3603400000000001</v>
      </c>
      <c r="S6" s="264">
        <f>+R6*P6</f>
        <v>3624839.4081562003</v>
      </c>
      <c r="T6" s="220">
        <v>1857.98</v>
      </c>
      <c r="U6" s="202">
        <f>IF(T6&lt;&gt;"",P6*T6,"")</f>
        <v>4950879282.8014002</v>
      </c>
      <c r="V6" s="204">
        <f>+IFERROR(U6/O6,"")</f>
        <v>9243.6132987330093</v>
      </c>
      <c r="W6" s="204">
        <f>IFERROR(V6*K6,"")</f>
        <v>4621.8066493665046</v>
      </c>
      <c r="X6" s="214" t="str">
        <f>+IF(W6="","",IF(W6&gt;=[6]PARÁMETROS!$J$5,"CUMPLE","NO CUMPLE"))</f>
        <v>CUMPLE</v>
      </c>
      <c r="Y6" s="212"/>
    </row>
    <row r="7" spans="1:28" s="237" customFormat="1" ht="99.75" x14ac:dyDescent="0.25">
      <c r="A7" s="652" t="s">
        <v>536</v>
      </c>
      <c r="B7" s="125" t="s">
        <v>242</v>
      </c>
      <c r="C7" s="408">
        <v>6</v>
      </c>
      <c r="D7" s="127" t="str">
        <f>+IFERROR(INDEX([6]CONSOLIDADO!$D$4:$D$108,MATCH('EXP ESPEC. 1-8.'!B7,[6]CONSOLIDADO!$C$4:$C$108,0)),"")</f>
        <v xml:space="preserve">AFA CONSULTORES Y CONSTRUCTORES S.A  E.S.P. </v>
      </c>
      <c r="E7" s="128" t="s">
        <v>466</v>
      </c>
      <c r="F7" s="129" t="s">
        <v>467</v>
      </c>
      <c r="G7" s="207" t="s">
        <v>5</v>
      </c>
      <c r="H7" s="207" t="s">
        <v>6</v>
      </c>
      <c r="I7" s="207" t="s">
        <v>5</v>
      </c>
      <c r="J7" s="207" t="s">
        <v>6</v>
      </c>
      <c r="K7" s="131">
        <v>0.45</v>
      </c>
      <c r="L7" s="132">
        <v>34338</v>
      </c>
      <c r="M7" s="132">
        <v>36305</v>
      </c>
      <c r="N7" s="133">
        <f t="shared" ref="N7:N34" si="0">IF(M7="","",YEAR(M7))</f>
        <v>1999</v>
      </c>
      <c r="O7" s="134">
        <f>+IFERROR(INDEX([6]PARÁMETROS!$B$11:$B$37,MATCH(N7,[6]PARÁMETROS!$A$11:$A$37,0)),"")</f>
        <v>236460</v>
      </c>
      <c r="P7" s="135">
        <v>4491569047</v>
      </c>
      <c r="Q7" s="136" t="s">
        <v>20</v>
      </c>
      <c r="R7" s="125" t="s">
        <v>54</v>
      </c>
      <c r="S7" s="137" t="s">
        <v>54</v>
      </c>
      <c r="T7" s="138">
        <v>1</v>
      </c>
      <c r="U7" s="134">
        <f t="shared" ref="U7:U34" si="1">IF(T7&lt;&gt;"",P7*T7,"")</f>
        <v>4491569047</v>
      </c>
      <c r="V7" s="139">
        <f t="shared" ref="V7:V34" si="2">+IFERROR(U7/O7,"")</f>
        <v>18995.04798697454</v>
      </c>
      <c r="W7" s="139">
        <f t="shared" ref="W7:W34" si="3">IFERROR(V7*K7,"")</f>
        <v>8547.7715941385432</v>
      </c>
      <c r="X7" s="207" t="str">
        <f>+IF(W7="","",IF(W7&gt;=[6]PARÁMETROS!$D$5,"CUMPLE","NO CUMPLE"))</f>
        <v>CUMPLE</v>
      </c>
      <c r="Y7" s="128"/>
    </row>
    <row r="8" spans="1:28" s="79" customFormat="1" ht="63" x14ac:dyDescent="0.25">
      <c r="A8" s="653"/>
      <c r="B8" s="63" t="s">
        <v>242</v>
      </c>
      <c r="C8" s="409">
        <v>9</v>
      </c>
      <c r="D8" s="65" t="str">
        <f>+IFERROR(INDEX([6]CONSOLIDADO!$D$4:$D$108,MATCH('EXP ESPEC. 1-8.'!B8,[6]CONSOLIDADO!$C$4:$C$108,0)),"")</f>
        <v xml:space="preserve">AFA CONSULTORES Y CONSTRUCTORES S.A  E.S.P. </v>
      </c>
      <c r="E8" s="66" t="s">
        <v>469</v>
      </c>
      <c r="F8" s="67" t="s">
        <v>470</v>
      </c>
      <c r="G8" s="205" t="s">
        <v>5</v>
      </c>
      <c r="H8" s="205" t="s">
        <v>5</v>
      </c>
      <c r="I8" s="205" t="s">
        <v>5</v>
      </c>
      <c r="J8" s="205" t="s">
        <v>6</v>
      </c>
      <c r="K8" s="69">
        <v>1</v>
      </c>
      <c r="L8" s="70">
        <v>39142</v>
      </c>
      <c r="M8" s="70">
        <v>40920</v>
      </c>
      <c r="N8" s="71">
        <f t="shared" si="0"/>
        <v>2012</v>
      </c>
      <c r="O8" s="72">
        <f>+IFERROR(INDEX([6]PARÁMETROS!$B$11:$B$37,MATCH(N8,[6]PARÁMETROS!$A$11:$A$37,0)),"")</f>
        <v>566700</v>
      </c>
      <c r="P8" s="73">
        <v>3161732843</v>
      </c>
      <c r="Q8" s="74" t="s">
        <v>20</v>
      </c>
      <c r="R8" s="63" t="s">
        <v>54</v>
      </c>
      <c r="S8" s="75" t="s">
        <v>54</v>
      </c>
      <c r="T8" s="76">
        <v>1</v>
      </c>
      <c r="U8" s="72">
        <f t="shared" si="1"/>
        <v>3161732843</v>
      </c>
      <c r="V8" s="60">
        <f t="shared" si="2"/>
        <v>5579.2003582142224</v>
      </c>
      <c r="W8" s="60">
        <f t="shared" si="3"/>
        <v>5579.2003582142224</v>
      </c>
      <c r="X8" s="205" t="str">
        <f>+IF(W8="","",IF(W8&gt;=[6]PARÁMETROS!$D$5,"CUMPLE","NO CUMPLE"))</f>
        <v>CUMPLE</v>
      </c>
      <c r="Y8" s="66"/>
    </row>
    <row r="9" spans="1:28" s="79" customFormat="1" ht="256.5" x14ac:dyDescent="0.25">
      <c r="A9" s="653"/>
      <c r="B9" s="63" t="s">
        <v>242</v>
      </c>
      <c r="C9" s="409">
        <v>23</v>
      </c>
      <c r="D9" s="65" t="str">
        <f>+IFERROR(INDEX([6]CONSOLIDADO!$D$4:$D$108,MATCH('EXP ESPEC. 1-8.'!B9,[6]CONSOLIDADO!$C$4:$C$108,0)),"")</f>
        <v xml:space="preserve">AFA CONSULTORES Y CONSTRUCTORES S.A  E.S.P. </v>
      </c>
      <c r="E9" s="66" t="s">
        <v>471</v>
      </c>
      <c r="F9" s="67" t="s">
        <v>472</v>
      </c>
      <c r="G9" s="205" t="s">
        <v>5</v>
      </c>
      <c r="H9" s="205" t="s">
        <v>6</v>
      </c>
      <c r="I9" s="205" t="s">
        <v>5</v>
      </c>
      <c r="J9" s="205" t="s">
        <v>6</v>
      </c>
      <c r="K9" s="69">
        <v>0.5</v>
      </c>
      <c r="L9" s="70">
        <v>39125</v>
      </c>
      <c r="M9" s="70">
        <v>42012</v>
      </c>
      <c r="N9" s="71">
        <f t="shared" si="0"/>
        <v>2015</v>
      </c>
      <c r="O9" s="72">
        <f>+IFERROR(INDEX([6]PARÁMETROS!$B$11:$B$37,MATCH(N9,[6]PARÁMETROS!$A$11:$A$37,0)),"")</f>
        <v>644350</v>
      </c>
      <c r="P9" s="73">
        <v>15319357761</v>
      </c>
      <c r="Q9" s="74" t="s">
        <v>20</v>
      </c>
      <c r="R9" s="63" t="s">
        <v>54</v>
      </c>
      <c r="S9" s="75" t="s">
        <v>54</v>
      </c>
      <c r="T9" s="76">
        <v>1</v>
      </c>
      <c r="U9" s="72">
        <f t="shared" si="1"/>
        <v>15319357761</v>
      </c>
      <c r="V9" s="60">
        <f t="shared" si="2"/>
        <v>23774.901468146192</v>
      </c>
      <c r="W9" s="60">
        <f t="shared" si="3"/>
        <v>11887.450734073096</v>
      </c>
      <c r="X9" s="205" t="str">
        <f>+IF(W9="","",IF(W9&gt;=[6]PARÁMETROS!$D$5,"CUMPLE","NO CUMPLE"))</f>
        <v>CUMPLE</v>
      </c>
      <c r="Y9" s="66"/>
    </row>
    <row r="10" spans="1:28" s="252" customFormat="1" ht="114.75" thickBot="1" x14ac:dyDescent="0.3">
      <c r="A10" s="654"/>
      <c r="B10" s="145" t="s">
        <v>247</v>
      </c>
      <c r="C10" s="411">
        <v>48</v>
      </c>
      <c r="D10" s="146" t="str">
        <f>+IFERROR(INDEX([6]CONSOLIDADO!$D$4:$D$108,MATCH('EXP ESPEC. 1-8.'!B10,[6]CONSOLIDADO!$C$4:$C$108,0)),"")</f>
        <v xml:space="preserve">INCGROUP S.A.S </v>
      </c>
      <c r="E10" s="147" t="s">
        <v>473</v>
      </c>
      <c r="F10" s="148" t="s">
        <v>474</v>
      </c>
      <c r="G10" s="208" t="s">
        <v>5</v>
      </c>
      <c r="H10" s="208" t="s">
        <v>6</v>
      </c>
      <c r="I10" s="208" t="s">
        <v>5</v>
      </c>
      <c r="J10" s="208" t="s">
        <v>6</v>
      </c>
      <c r="K10" s="150">
        <v>0.65</v>
      </c>
      <c r="L10" s="151">
        <v>39615</v>
      </c>
      <c r="M10" s="151">
        <v>41152</v>
      </c>
      <c r="N10" s="152">
        <f t="shared" si="0"/>
        <v>2012</v>
      </c>
      <c r="O10" s="153">
        <f>+IFERROR(INDEX([6]PARÁMETROS!$B$11:$B$37,MATCH(N10,[6]PARÁMETROS!$A$11:$A$37,0)),"")</f>
        <v>566700</v>
      </c>
      <c r="P10" s="154">
        <v>19146251489</v>
      </c>
      <c r="Q10" s="155" t="s">
        <v>20</v>
      </c>
      <c r="R10" s="145" t="s">
        <v>54</v>
      </c>
      <c r="S10" s="156" t="s">
        <v>54</v>
      </c>
      <c r="T10" s="157">
        <v>1</v>
      </c>
      <c r="U10" s="153">
        <f t="shared" si="1"/>
        <v>19146251489</v>
      </c>
      <c r="V10" s="158">
        <f t="shared" si="2"/>
        <v>33785.515244397386</v>
      </c>
      <c r="W10" s="158">
        <f t="shared" si="3"/>
        <v>21960.584908858302</v>
      </c>
      <c r="X10" s="208" t="str">
        <f>+IF(W10="","",IF(W10&gt;=[6]PARÁMETROS!$D$5,"CUMPLE","NO CUMPLE"))</f>
        <v>CUMPLE</v>
      </c>
      <c r="Y10" s="147"/>
    </row>
    <row r="11" spans="1:28" s="266" customFormat="1" ht="63" x14ac:dyDescent="0.25">
      <c r="A11" s="652" t="s">
        <v>477</v>
      </c>
      <c r="B11" s="113" t="s">
        <v>243</v>
      </c>
      <c r="C11" s="414">
        <v>5</v>
      </c>
      <c r="D11" s="114" t="str">
        <f>+IFERROR(INDEX([6]CONSOLIDADO!$D$4:$D$108,MATCH('EXP ESPEC. 1-8.'!B11,[6]CONSOLIDADO!$C$4:$C$108,0)),"")</f>
        <v>INGENIEROS CIVILES ESPECIALISTAS LTDA</v>
      </c>
      <c r="E11" s="115" t="s">
        <v>478</v>
      </c>
      <c r="F11" s="116" t="s">
        <v>479</v>
      </c>
      <c r="G11" s="124" t="s">
        <v>5</v>
      </c>
      <c r="H11" s="446" t="s">
        <v>5</v>
      </c>
      <c r="I11" s="124" t="s">
        <v>5</v>
      </c>
      <c r="J11" s="124" t="s">
        <v>6</v>
      </c>
      <c r="K11" s="117">
        <v>0.5</v>
      </c>
      <c r="L11" s="118">
        <v>37288</v>
      </c>
      <c r="M11" s="118">
        <v>41041</v>
      </c>
      <c r="N11" s="168">
        <f t="shared" si="0"/>
        <v>2012</v>
      </c>
      <c r="O11" s="119">
        <f>+IFERROR(INDEX([6]PARÁMETROS!$B$11:$B$37,MATCH(N11,[6]PARÁMETROS!$A$11:$A$37,0)),"")</f>
        <v>566700</v>
      </c>
      <c r="P11" s="120">
        <f>16317.48*[6]PARÁMETROS!B21*([6]PARÁMETROS!B33/[6]PARÁMETROS!B21)</f>
        <v>9247115916</v>
      </c>
      <c r="Q11" s="265" t="s">
        <v>20</v>
      </c>
      <c r="R11" s="113" t="s">
        <v>54</v>
      </c>
      <c r="S11" s="121" t="s">
        <v>54</v>
      </c>
      <c r="T11" s="122">
        <v>1</v>
      </c>
      <c r="U11" s="119">
        <f t="shared" si="1"/>
        <v>9247115916</v>
      </c>
      <c r="V11" s="123">
        <f t="shared" si="2"/>
        <v>16317.48</v>
      </c>
      <c r="W11" s="123">
        <f t="shared" si="3"/>
        <v>8158.74</v>
      </c>
      <c r="X11" s="124" t="str">
        <f>+IF(W11="","",IF(W11&gt;=[6]PARÁMETROS!$D$5,"CUMPLE","NO CUMPLE"))</f>
        <v>CUMPLE</v>
      </c>
      <c r="Y11" s="115"/>
    </row>
    <row r="12" spans="1:28" s="79" customFormat="1" ht="63" x14ac:dyDescent="0.25">
      <c r="A12" s="653"/>
      <c r="B12" s="63" t="s">
        <v>243</v>
      </c>
      <c r="C12" s="409">
        <v>35</v>
      </c>
      <c r="D12" s="65" t="str">
        <f>+IFERROR(INDEX([6]CONSOLIDADO!$D$4:$D$108,MATCH('EXP ESPEC. 1-8.'!B12,[6]CONSOLIDADO!$C$4:$C$108,0)),"")</f>
        <v>INGENIEROS CIVILES ESPECIALISTAS LTDA</v>
      </c>
      <c r="E12" s="66" t="s">
        <v>480</v>
      </c>
      <c r="F12" s="66" t="s">
        <v>481</v>
      </c>
      <c r="G12" s="205" t="s">
        <v>5</v>
      </c>
      <c r="H12" s="205" t="s">
        <v>6</v>
      </c>
      <c r="I12" s="205" t="s">
        <v>5</v>
      </c>
      <c r="J12" s="205" t="s">
        <v>6</v>
      </c>
      <c r="K12" s="80">
        <v>1</v>
      </c>
      <c r="L12" s="70">
        <v>40778</v>
      </c>
      <c r="M12" s="70">
        <v>41225</v>
      </c>
      <c r="N12" s="71">
        <f t="shared" si="0"/>
        <v>2012</v>
      </c>
      <c r="O12" s="72">
        <f>+IFERROR(INDEX([6]PARÁMETROS!$B$11:$B$37,MATCH(N12,[6]PARÁMETROS!$A$11:$A$37,0)),"")</f>
        <v>566700</v>
      </c>
      <c r="P12" s="81">
        <v>1568703830</v>
      </c>
      <c r="Q12" s="72" t="s">
        <v>20</v>
      </c>
      <c r="R12" s="63" t="s">
        <v>54</v>
      </c>
      <c r="S12" s="75" t="s">
        <v>54</v>
      </c>
      <c r="T12" s="76">
        <v>1</v>
      </c>
      <c r="U12" s="72">
        <f t="shared" si="1"/>
        <v>1568703830</v>
      </c>
      <c r="V12" s="60">
        <f t="shared" si="2"/>
        <v>2768.1380448208929</v>
      </c>
      <c r="W12" s="60">
        <f t="shared" si="3"/>
        <v>2768.1380448208929</v>
      </c>
      <c r="X12" s="205" t="str">
        <f>+IF(W12="","",IF(W12&gt;=[6]PARÁMETROS!$D$5,"CUMPLE","NO CUMPLE"))</f>
        <v>CUMPLE</v>
      </c>
      <c r="Y12" s="66"/>
    </row>
    <row r="13" spans="1:28" s="79" customFormat="1" ht="71.25" x14ac:dyDescent="0.25">
      <c r="A13" s="653"/>
      <c r="B13" s="63" t="s">
        <v>248</v>
      </c>
      <c r="C13" s="409">
        <v>57</v>
      </c>
      <c r="D13" s="65" t="str">
        <f>+IFERROR(INDEX([6]CONSOLIDADO!$D$4:$D$108,MATCH('EXP ESPEC. 1-8.'!B13,[6]CONSOLIDADO!$C$4:$C$108,0)),"")</f>
        <v>INGENIERIA DE PROYECTOS S.A.S.</v>
      </c>
      <c r="E13" s="66" t="s">
        <v>482</v>
      </c>
      <c r="F13" s="67" t="s">
        <v>483</v>
      </c>
      <c r="G13" s="205" t="s">
        <v>5</v>
      </c>
      <c r="H13" s="205" t="s">
        <v>6</v>
      </c>
      <c r="I13" s="205" t="s">
        <v>5</v>
      </c>
      <c r="J13" s="205" t="s">
        <v>6</v>
      </c>
      <c r="K13" s="69">
        <v>0.5</v>
      </c>
      <c r="L13" s="70">
        <v>38338</v>
      </c>
      <c r="M13" s="70">
        <v>40296</v>
      </c>
      <c r="N13" s="71">
        <f t="shared" si="0"/>
        <v>2010</v>
      </c>
      <c r="O13" s="72">
        <f>+IFERROR(INDEX([6]PARÁMETROS!$B$11:$B$37,MATCH(N13,[6]PARÁMETROS!$A$11:$A$37,0)),"")</f>
        <v>515000</v>
      </c>
      <c r="P13" s="73">
        <v>5611007439</v>
      </c>
      <c r="Q13" s="74" t="s">
        <v>20</v>
      </c>
      <c r="R13" s="63" t="s">
        <v>54</v>
      </c>
      <c r="S13" s="75" t="s">
        <v>54</v>
      </c>
      <c r="T13" s="76">
        <v>1</v>
      </c>
      <c r="U13" s="72">
        <f t="shared" si="1"/>
        <v>5611007439</v>
      </c>
      <c r="V13" s="60">
        <f t="shared" si="2"/>
        <v>10895.160075728156</v>
      </c>
      <c r="W13" s="60">
        <f t="shared" si="3"/>
        <v>5447.5800378640779</v>
      </c>
      <c r="X13" s="205" t="str">
        <f>+IF(W13="","",IF(W13&gt;=[6]PARÁMETROS!$D$5,"CUMPLE","NO CUMPLE"))</f>
        <v>CUMPLE</v>
      </c>
      <c r="Y13" s="66"/>
    </row>
    <row r="14" spans="1:28" s="243" customFormat="1" ht="72" thickBot="1" x14ac:dyDescent="0.3">
      <c r="A14" s="654"/>
      <c r="B14" s="210" t="s">
        <v>248</v>
      </c>
      <c r="C14" s="410">
        <v>85</v>
      </c>
      <c r="D14" s="211" t="str">
        <f>+IFERROR(INDEX([6]CONSOLIDADO!$D$4:$D$108,MATCH('EXP ESPEC. 1-8.'!B14,[6]CONSOLIDADO!$C$4:$C$108,0)),"")</f>
        <v>INGENIERIA DE PROYECTOS S.A.S.</v>
      </c>
      <c r="E14" s="212" t="s">
        <v>473</v>
      </c>
      <c r="F14" s="213" t="s">
        <v>484</v>
      </c>
      <c r="G14" s="214" t="s">
        <v>5</v>
      </c>
      <c r="H14" s="214" t="s">
        <v>6</v>
      </c>
      <c r="I14" s="214" t="s">
        <v>5</v>
      </c>
      <c r="J14" s="214" t="s">
        <v>6</v>
      </c>
      <c r="K14" s="215">
        <v>1</v>
      </c>
      <c r="L14" s="216">
        <v>39181</v>
      </c>
      <c r="M14" s="216">
        <v>39950</v>
      </c>
      <c r="N14" s="217">
        <f t="shared" si="0"/>
        <v>2009</v>
      </c>
      <c r="O14" s="202">
        <f>+IFERROR(INDEX([6]PARÁMETROS!$B$11:$B$37,MATCH(N14,[6]PARÁMETROS!$A$11:$A$37,0)),"")</f>
        <v>496900</v>
      </c>
      <c r="P14" s="218">
        <v>1219868640</v>
      </c>
      <c r="Q14" s="203" t="s">
        <v>20</v>
      </c>
      <c r="R14" s="210" t="s">
        <v>54</v>
      </c>
      <c r="S14" s="219" t="s">
        <v>54</v>
      </c>
      <c r="T14" s="220">
        <v>1</v>
      </c>
      <c r="U14" s="202">
        <f t="shared" si="1"/>
        <v>1219868640</v>
      </c>
      <c r="V14" s="204">
        <f t="shared" si="2"/>
        <v>2454.9580197222781</v>
      </c>
      <c r="W14" s="204">
        <f t="shared" si="3"/>
        <v>2454.9580197222781</v>
      </c>
      <c r="X14" s="214" t="str">
        <f>+IF(W14="","",IF(W14&gt;=[6]PARÁMETROS!$D$5,"CUMPLE","NO CUMPLE"))</f>
        <v>CUMPLE</v>
      </c>
      <c r="Y14" s="212"/>
    </row>
    <row r="15" spans="1:28" s="237" customFormat="1" ht="47.25" x14ac:dyDescent="0.25">
      <c r="A15" s="652" t="s">
        <v>487</v>
      </c>
      <c r="B15" s="125" t="s">
        <v>244</v>
      </c>
      <c r="C15" s="408">
        <v>4</v>
      </c>
      <c r="D15" s="127" t="str">
        <f>+IFERROR(INDEX([6]CONSOLIDADO!$D$4:$D$108,MATCH('EXP ESPEC. 1-8.'!B15,[6]CONSOLIDADO!$C$4:$C$108,0)),"")</f>
        <v>GOMEZ CAJIAO Y ASOCIADOS S.A.</v>
      </c>
      <c r="E15" s="128" t="s">
        <v>482</v>
      </c>
      <c r="F15" s="129" t="s">
        <v>490</v>
      </c>
      <c r="G15" s="207" t="s">
        <v>5</v>
      </c>
      <c r="H15" s="207" t="s">
        <v>6</v>
      </c>
      <c r="I15" s="207" t="s">
        <v>5</v>
      </c>
      <c r="J15" s="207" t="s">
        <v>6</v>
      </c>
      <c r="K15" s="131">
        <v>1</v>
      </c>
      <c r="L15" s="132">
        <v>38366</v>
      </c>
      <c r="M15" s="132">
        <v>39071</v>
      </c>
      <c r="N15" s="133">
        <f t="shared" si="0"/>
        <v>2006</v>
      </c>
      <c r="O15" s="134">
        <f>+IFERROR(INDEX([6]PARÁMETROS!$B$11:$B$37,MATCH(N15,[6]PARÁMETROS!$A$11:$A$37,0)),"")</f>
        <v>408000</v>
      </c>
      <c r="P15" s="135">
        <v>1534302721</v>
      </c>
      <c r="Q15" s="136" t="s">
        <v>20</v>
      </c>
      <c r="R15" s="125" t="s">
        <v>54</v>
      </c>
      <c r="S15" s="137" t="s">
        <v>54</v>
      </c>
      <c r="T15" s="138">
        <v>1</v>
      </c>
      <c r="U15" s="134">
        <f t="shared" si="1"/>
        <v>1534302721</v>
      </c>
      <c r="V15" s="139">
        <f t="shared" si="2"/>
        <v>3760.5458848039216</v>
      </c>
      <c r="W15" s="139">
        <f t="shared" si="3"/>
        <v>3760.5458848039216</v>
      </c>
      <c r="X15" s="207" t="str">
        <f>+IF(W15="","",IF(W15&gt;=[6]PARÁMETROS!$D$5,"CUMPLE","NO CUMPLE"))</f>
        <v>CUMPLE</v>
      </c>
      <c r="Y15" s="128"/>
    </row>
    <row r="16" spans="1:28" s="79" customFormat="1" ht="114" x14ac:dyDescent="0.25">
      <c r="A16" s="653"/>
      <c r="B16" s="63" t="s">
        <v>244</v>
      </c>
      <c r="C16" s="409">
        <v>9</v>
      </c>
      <c r="D16" s="65" t="str">
        <f>+IFERROR(INDEX([6]CONSOLIDADO!$D$4:$D$108,MATCH('EXP ESPEC. 1-8.'!B16,[6]CONSOLIDADO!$C$4:$C$108,0)),"")</f>
        <v>GOMEZ CAJIAO Y ASOCIADOS S.A.</v>
      </c>
      <c r="E16" s="66" t="s">
        <v>473</v>
      </c>
      <c r="F16" s="67" t="s">
        <v>492</v>
      </c>
      <c r="G16" s="205" t="s">
        <v>5</v>
      </c>
      <c r="H16" s="205" t="s">
        <v>5</v>
      </c>
      <c r="I16" s="205" t="s">
        <v>5</v>
      </c>
      <c r="J16" s="205" t="s">
        <v>6</v>
      </c>
      <c r="K16" s="69">
        <v>0.5</v>
      </c>
      <c r="L16" s="70">
        <v>38034</v>
      </c>
      <c r="M16" s="70">
        <v>40770</v>
      </c>
      <c r="N16" s="71">
        <f t="shared" si="0"/>
        <v>2011</v>
      </c>
      <c r="O16" s="72">
        <f>+IFERROR(INDEX([6]PARÁMETROS!$B$11:$B$37,MATCH(N16,[6]PARÁMETROS!$A$11:$A$37,0)),"")</f>
        <v>535600</v>
      </c>
      <c r="P16" s="73">
        <v>9131630030</v>
      </c>
      <c r="Q16" s="74" t="s">
        <v>20</v>
      </c>
      <c r="R16" s="63" t="s">
        <v>54</v>
      </c>
      <c r="S16" s="75" t="s">
        <v>54</v>
      </c>
      <c r="T16" s="76">
        <v>1</v>
      </c>
      <c r="U16" s="72">
        <f t="shared" si="1"/>
        <v>9131630030</v>
      </c>
      <c r="V16" s="60">
        <f t="shared" si="2"/>
        <v>17049.346583271097</v>
      </c>
      <c r="W16" s="60">
        <f t="shared" si="3"/>
        <v>8524.6732916355486</v>
      </c>
      <c r="X16" s="205" t="str">
        <f>+IF(W16="","",IF(W16&gt;=[6]PARÁMETROS!$D$5,"CUMPLE","NO CUMPLE"))</f>
        <v>CUMPLE</v>
      </c>
      <c r="Y16" s="66"/>
    </row>
    <row r="17" spans="1:26" s="79" customFormat="1" ht="78.75" x14ac:dyDescent="0.25">
      <c r="A17" s="653"/>
      <c r="B17" s="63" t="s">
        <v>249</v>
      </c>
      <c r="C17" s="409">
        <v>24</v>
      </c>
      <c r="D17" s="65" t="str">
        <f>+IFERROR(INDEX([6]CONSOLIDADO!$D$4:$D$108,MATCH('EXP ESPEC. 1-8.'!B17,[6]CONSOLIDADO!$C$4:$C$108,0)),"")</f>
        <v>CONSULTORIA INTOK DE COLOMBIA Y ASOCIADOS S.A.S.</v>
      </c>
      <c r="E17" s="66" t="s">
        <v>493</v>
      </c>
      <c r="F17" s="67" t="s">
        <v>494</v>
      </c>
      <c r="G17" s="205" t="s">
        <v>5</v>
      </c>
      <c r="H17" s="205" t="s">
        <v>6</v>
      </c>
      <c r="I17" s="205" t="s">
        <v>5</v>
      </c>
      <c r="J17" s="205" t="s">
        <v>6</v>
      </c>
      <c r="K17" s="69">
        <v>1</v>
      </c>
      <c r="L17" s="70">
        <v>38562</v>
      </c>
      <c r="M17" s="70">
        <v>39521</v>
      </c>
      <c r="N17" s="71">
        <f t="shared" si="0"/>
        <v>2008</v>
      </c>
      <c r="O17" s="72">
        <f>+IFERROR(INDEX([6]PARÁMETROS!$B$11:$B$37,MATCH(N17,[6]PARÁMETROS!$A$11:$A$37,0)),"")</f>
        <v>461500</v>
      </c>
      <c r="P17" s="73">
        <v>2838229.9999999995</v>
      </c>
      <c r="Q17" s="74" t="s">
        <v>458</v>
      </c>
      <c r="R17" s="63">
        <v>1.5567</v>
      </c>
      <c r="S17" s="75">
        <v>4418272.6409999989</v>
      </c>
      <c r="T17" s="76">
        <v>1856.01</v>
      </c>
      <c r="U17" s="72">
        <f t="shared" si="1"/>
        <v>5267783262.2999992</v>
      </c>
      <c r="V17" s="60">
        <f t="shared" si="2"/>
        <v>11414.481608450702</v>
      </c>
      <c r="W17" s="60">
        <f t="shared" si="3"/>
        <v>11414.481608450702</v>
      </c>
      <c r="X17" s="205" t="str">
        <f>+IF(W17="","",IF(W17&gt;=[6]PARÁMETROS!$D$5,"CUMPLE","NO CUMPLE"))</f>
        <v>CUMPLE</v>
      </c>
      <c r="Y17" s="66"/>
    </row>
    <row r="18" spans="1:26" s="243" customFormat="1" ht="79.5" thickBot="1" x14ac:dyDescent="0.3">
      <c r="A18" s="654"/>
      <c r="B18" s="210" t="s">
        <v>249</v>
      </c>
      <c r="C18" s="410">
        <v>33</v>
      </c>
      <c r="D18" s="211" t="str">
        <f>+IFERROR(INDEX([6]CONSOLIDADO!$D$4:$D$108,MATCH('EXP ESPEC. 1-8.'!B18,[6]CONSOLIDADO!$C$4:$C$108,0)),"")</f>
        <v>CONSULTORIA INTOK DE COLOMBIA Y ASOCIADOS S.A.S.</v>
      </c>
      <c r="E18" s="212" t="s">
        <v>495</v>
      </c>
      <c r="F18" s="213" t="s">
        <v>496</v>
      </c>
      <c r="G18" s="214" t="s">
        <v>5</v>
      </c>
      <c r="H18" s="214" t="s">
        <v>6</v>
      </c>
      <c r="I18" s="214" t="s">
        <v>5</v>
      </c>
      <c r="J18" s="214" t="s">
        <v>6</v>
      </c>
      <c r="K18" s="215">
        <v>1</v>
      </c>
      <c r="L18" s="216">
        <v>38701</v>
      </c>
      <c r="M18" s="216">
        <v>40085</v>
      </c>
      <c r="N18" s="217">
        <f t="shared" si="0"/>
        <v>2009</v>
      </c>
      <c r="O18" s="202">
        <f>+IFERROR(INDEX([6]PARÁMETROS!$B$11:$B$37,MATCH(N18,[6]PARÁMETROS!$A$11:$A$37,0)),"")</f>
        <v>496900</v>
      </c>
      <c r="P18" s="218">
        <v>1020058.28</v>
      </c>
      <c r="Q18" s="203" t="s">
        <v>458</v>
      </c>
      <c r="R18" s="210">
        <v>1.46326</v>
      </c>
      <c r="S18" s="219">
        <v>1492610.4787928001</v>
      </c>
      <c r="T18" s="220">
        <v>1921.64</v>
      </c>
      <c r="U18" s="202">
        <f t="shared" si="1"/>
        <v>1960184793.1792002</v>
      </c>
      <c r="V18" s="204">
        <f t="shared" si="2"/>
        <v>3944.8275169635745</v>
      </c>
      <c r="W18" s="204">
        <f t="shared" si="3"/>
        <v>3944.8275169635745</v>
      </c>
      <c r="X18" s="214" t="str">
        <f>+IF(W18="","",IF(W18&gt;=[6]PARÁMETROS!$D$5,"CUMPLE","NO CUMPLE"))</f>
        <v>CUMPLE</v>
      </c>
      <c r="Y18" s="212"/>
    </row>
    <row r="19" spans="1:26" s="270" customFormat="1" ht="71.25" x14ac:dyDescent="0.25">
      <c r="A19" s="652" t="s">
        <v>497</v>
      </c>
      <c r="B19" s="125" t="s">
        <v>245</v>
      </c>
      <c r="C19" s="408">
        <v>5</v>
      </c>
      <c r="D19" s="127" t="str">
        <f>+IFERROR(INDEX([6]CONSOLIDADO!$D$4:$D$108,MATCH('EXP ESPEC. 1-8.'!B19,[6]CONSOLIDADO!$C$4:$C$108,0)),"")</f>
        <v>ICEACSA CONSULTORES SUCURSAL COLOMBIA</v>
      </c>
      <c r="E19" s="128" t="s">
        <v>503</v>
      </c>
      <c r="F19" s="129" t="s">
        <v>504</v>
      </c>
      <c r="G19" s="207" t="s">
        <v>5</v>
      </c>
      <c r="H19" s="207" t="s">
        <v>6</v>
      </c>
      <c r="I19" s="207" t="s">
        <v>5</v>
      </c>
      <c r="J19" s="207" t="s">
        <v>6</v>
      </c>
      <c r="K19" s="267">
        <v>1</v>
      </c>
      <c r="L19" s="268">
        <v>37839</v>
      </c>
      <c r="M19" s="269">
        <v>38869</v>
      </c>
      <c r="N19" s="133">
        <f>IF(M19="","",YEAR(M19))</f>
        <v>2006</v>
      </c>
      <c r="O19" s="134">
        <f>+IFERROR(INDEX([6]PARÁMETROS!$B$11:$B$37,MATCH(N19,[6]PARÁMETROS!$A$11:$A$37,0)),"")</f>
        <v>408000</v>
      </c>
      <c r="P19" s="136">
        <v>1115922.3700000001</v>
      </c>
      <c r="Q19" s="136" t="s">
        <v>458</v>
      </c>
      <c r="R19" s="125">
        <v>1.2858799999999999</v>
      </c>
      <c r="S19" s="137">
        <f>+P19*R19</f>
        <v>1434942.2571356001</v>
      </c>
      <c r="T19" s="138">
        <v>2486.0700000000002</v>
      </c>
      <c r="U19" s="134">
        <f>IF(T19&lt;&gt;"",P19*T19,"")</f>
        <v>2774261126.3859005</v>
      </c>
      <c r="V19" s="139">
        <f>+IFERROR(U19/O19,"")</f>
        <v>6799.6596234948538</v>
      </c>
      <c r="W19" s="139">
        <f>IFERROR(V19*K19,"")</f>
        <v>6799.6596234948538</v>
      </c>
      <c r="X19" s="207" t="str">
        <f>+IF(W19="","",IF(W19&gt;=[6]PARÁMETROS!$D$5,"CUMPLE","NO CUMPLE"))</f>
        <v>CUMPLE</v>
      </c>
      <c r="Y19" s="128"/>
    </row>
    <row r="20" spans="1:26" s="79" customFormat="1" ht="47.25" x14ac:dyDescent="0.25">
      <c r="A20" s="653"/>
      <c r="B20" s="63" t="s">
        <v>250</v>
      </c>
      <c r="C20" s="409">
        <v>21</v>
      </c>
      <c r="D20" s="65" t="str">
        <f>+IFERROR(INDEX([6]CONSOLIDADO!$D$4:$D$108,MATCH('EXP ESPEC. 1-8.'!B20,[6]CONSOLIDADO!$C$4:$C$108,0)),"")</f>
        <v>GEOTECNIA Y CIMIENTOS INGEOCIM S.A.S.</v>
      </c>
      <c r="E20" s="66" t="s">
        <v>498</v>
      </c>
      <c r="F20" s="67" t="s">
        <v>499</v>
      </c>
      <c r="G20" s="205" t="s">
        <v>5</v>
      </c>
      <c r="H20" s="205" t="s">
        <v>6</v>
      </c>
      <c r="I20" s="205" t="s">
        <v>5</v>
      </c>
      <c r="J20" s="205" t="s">
        <v>6</v>
      </c>
      <c r="K20" s="69">
        <v>0.9</v>
      </c>
      <c r="L20" s="70">
        <v>35730</v>
      </c>
      <c r="M20" s="70">
        <v>36459</v>
      </c>
      <c r="N20" s="71">
        <f t="shared" si="0"/>
        <v>1999</v>
      </c>
      <c r="O20" s="72">
        <f>+IFERROR(INDEX([6]PARÁMETROS!$B$11:$B$37,MATCH(N20,[6]PARÁMETROS!$A$11:$A$37,0)),"")</f>
        <v>236460</v>
      </c>
      <c r="P20" s="73">
        <f>1343799332.5</f>
        <v>1343799332.5</v>
      </c>
      <c r="Q20" s="74" t="s">
        <v>20</v>
      </c>
      <c r="R20" s="63" t="s">
        <v>54</v>
      </c>
      <c r="S20" s="75" t="s">
        <v>54</v>
      </c>
      <c r="T20" s="76">
        <v>1</v>
      </c>
      <c r="U20" s="72">
        <f t="shared" si="1"/>
        <v>1343799332.5</v>
      </c>
      <c r="V20" s="60">
        <f t="shared" si="2"/>
        <v>5682.9879577941301</v>
      </c>
      <c r="W20" s="60">
        <f t="shared" si="3"/>
        <v>5114.6891620147171</v>
      </c>
      <c r="X20" s="205" t="str">
        <f>+IF(W20="","",IF(W20&gt;=[6]PARÁMETROS!$D$5,"CUMPLE","NO CUMPLE"))</f>
        <v>CUMPLE</v>
      </c>
      <c r="Y20" s="66"/>
    </row>
    <row r="21" spans="1:26" s="79" customFormat="1" ht="185.25" x14ac:dyDescent="0.25">
      <c r="A21" s="653"/>
      <c r="B21" s="63" t="s">
        <v>250</v>
      </c>
      <c r="C21" s="409">
        <v>27</v>
      </c>
      <c r="D21" s="65" t="str">
        <f>+IFERROR(INDEX([6]CONSOLIDADO!$D$4:$D$108,MATCH('EXP ESPEC. 1-8.'!B21,[6]CONSOLIDADO!$C$4:$C$108,0)),"")</f>
        <v>GEOTECNIA Y CIMIENTOS INGEOCIM S.A.S.</v>
      </c>
      <c r="E21" s="66" t="s">
        <v>26</v>
      </c>
      <c r="F21" s="67" t="s">
        <v>500</v>
      </c>
      <c r="G21" s="205" t="s">
        <v>5</v>
      </c>
      <c r="H21" s="205" t="s">
        <v>5</v>
      </c>
      <c r="I21" s="205" t="s">
        <v>5</v>
      </c>
      <c r="J21" s="205" t="s">
        <v>6</v>
      </c>
      <c r="K21" s="69">
        <v>0.5</v>
      </c>
      <c r="L21" s="70">
        <v>38772</v>
      </c>
      <c r="M21" s="70">
        <v>40656</v>
      </c>
      <c r="N21" s="71">
        <f t="shared" si="0"/>
        <v>2011</v>
      </c>
      <c r="O21" s="72">
        <f>+IFERROR(INDEX([6]PARÁMETROS!$B$11:$B$37,MATCH(N21,[6]PARÁMETROS!$A$11:$A$37,0)),"")</f>
        <v>535600</v>
      </c>
      <c r="P21" s="73">
        <f>4960831409</f>
        <v>4960831409</v>
      </c>
      <c r="Q21" s="74" t="s">
        <v>20</v>
      </c>
      <c r="R21" s="63" t="s">
        <v>54</v>
      </c>
      <c r="S21" s="75" t="s">
        <v>54</v>
      </c>
      <c r="T21" s="76">
        <v>1</v>
      </c>
      <c r="U21" s="72">
        <f t="shared" si="1"/>
        <v>4960831409</v>
      </c>
      <c r="V21" s="60">
        <f t="shared" si="2"/>
        <v>9262.1945649738609</v>
      </c>
      <c r="W21" s="60">
        <f t="shared" si="3"/>
        <v>4631.0972824869305</v>
      </c>
      <c r="X21" s="205" t="str">
        <f>+IF(W21="","",IF(W21&gt;=[6]PARÁMETROS!$D$5,"CUMPLE","NO CUMPLE"))</f>
        <v>CUMPLE</v>
      </c>
      <c r="Y21" s="66"/>
    </row>
    <row r="22" spans="1:26" s="252" customFormat="1" ht="79.5" thickBot="1" x14ac:dyDescent="0.3">
      <c r="A22" s="654"/>
      <c r="B22" s="145" t="s">
        <v>250</v>
      </c>
      <c r="C22" s="411">
        <v>32</v>
      </c>
      <c r="D22" s="146" t="str">
        <f>+IFERROR(INDEX([6]CONSOLIDADO!$D$4:$D$108,MATCH('EXP ESPEC. 1-8.'!B22,[6]CONSOLIDADO!$C$4:$C$108,0)),"")</f>
        <v>GEOTECNIA Y CIMIENTOS INGEOCIM S.A.S.</v>
      </c>
      <c r="E22" s="271" t="s">
        <v>501</v>
      </c>
      <c r="F22" s="271" t="s">
        <v>502</v>
      </c>
      <c r="G22" s="208" t="s">
        <v>5</v>
      </c>
      <c r="H22" s="208" t="s">
        <v>5</v>
      </c>
      <c r="I22" s="208" t="s">
        <v>5</v>
      </c>
      <c r="J22" s="208" t="s">
        <v>6</v>
      </c>
      <c r="K22" s="272">
        <v>0.6</v>
      </c>
      <c r="L22" s="151">
        <v>41568</v>
      </c>
      <c r="M22" s="151">
        <v>42312</v>
      </c>
      <c r="N22" s="152">
        <f t="shared" si="0"/>
        <v>2015</v>
      </c>
      <c r="O22" s="153">
        <f>+IFERROR(INDEX([6]PARÁMETROS!$B$11:$B$37,MATCH(N22,[6]PARÁMETROS!$A$11:$A$37,0)),"")</f>
        <v>644350</v>
      </c>
      <c r="P22" s="154">
        <f>2992430016</f>
        <v>2992430016</v>
      </c>
      <c r="Q22" s="155" t="s">
        <v>20</v>
      </c>
      <c r="R22" s="145" t="s">
        <v>54</v>
      </c>
      <c r="S22" s="156" t="s">
        <v>54</v>
      </c>
      <c r="T22" s="157">
        <v>1</v>
      </c>
      <c r="U22" s="153">
        <f t="shared" si="1"/>
        <v>2992430016</v>
      </c>
      <c r="V22" s="158">
        <f t="shared" si="2"/>
        <v>4644.1064887095527</v>
      </c>
      <c r="W22" s="158">
        <f t="shared" si="3"/>
        <v>2786.4638932257317</v>
      </c>
      <c r="X22" s="208" t="str">
        <f>+IF(W22="","",IF(W22&gt;=[6]PARÁMETROS!$D$5,"CUMPLE","NO CUMPLE"))</f>
        <v>CUMPLE</v>
      </c>
      <c r="Y22" s="273"/>
    </row>
    <row r="23" spans="1:26" s="266" customFormat="1" ht="57" x14ac:dyDescent="0.25">
      <c r="A23" s="652" t="s">
        <v>507</v>
      </c>
      <c r="B23" s="113" t="s">
        <v>246</v>
      </c>
      <c r="C23" s="414">
        <v>3</v>
      </c>
      <c r="D23" s="114" t="str">
        <f>+IFERROR(INDEX([6]CONSOLIDADO!$D$4:$D$108,MATCH('EXP ESPEC. 1-8.'!B23,[6]CONSOLIDADO!$C$4:$C$108,0)),"")</f>
        <v>VELNEC S.A.</v>
      </c>
      <c r="E23" s="115" t="s">
        <v>473</v>
      </c>
      <c r="F23" s="116" t="s">
        <v>508</v>
      </c>
      <c r="G23" s="124" t="s">
        <v>5</v>
      </c>
      <c r="H23" s="124" t="s">
        <v>6</v>
      </c>
      <c r="I23" s="124" t="s">
        <v>5</v>
      </c>
      <c r="J23" s="124" t="s">
        <v>6</v>
      </c>
      <c r="K23" s="117">
        <v>1</v>
      </c>
      <c r="L23" s="118">
        <v>39062</v>
      </c>
      <c r="M23" s="118">
        <v>40476</v>
      </c>
      <c r="N23" s="168">
        <f t="shared" si="0"/>
        <v>2010</v>
      </c>
      <c r="O23" s="119">
        <f>+IFERROR(INDEX([6]PARÁMETROS!$B$11:$B$37,MATCH(N23,[6]PARÁMETROS!$A$11:$A$37,0)),"")</f>
        <v>515000</v>
      </c>
      <c r="P23" s="120">
        <v>2398644428</v>
      </c>
      <c r="Q23" s="265" t="s">
        <v>20</v>
      </c>
      <c r="R23" s="113" t="s">
        <v>54</v>
      </c>
      <c r="S23" s="121" t="s">
        <v>54</v>
      </c>
      <c r="T23" s="122">
        <v>1</v>
      </c>
      <c r="U23" s="119">
        <f t="shared" si="1"/>
        <v>2398644428</v>
      </c>
      <c r="V23" s="123">
        <f t="shared" si="2"/>
        <v>4657.5619961165048</v>
      </c>
      <c r="W23" s="123">
        <f t="shared" si="3"/>
        <v>4657.5619961165048</v>
      </c>
      <c r="X23" s="274" t="str">
        <f>+IF(W23="","",IF(W23&gt;=[6]PARÁMETROS!$D$5,"CUMPLE","NO CUMPLE"))</f>
        <v>CUMPLE</v>
      </c>
      <c r="Y23" s="175"/>
      <c r="Z23" s="275"/>
    </row>
    <row r="24" spans="1:26" s="79" customFormat="1" ht="114" x14ac:dyDescent="0.25">
      <c r="A24" s="653"/>
      <c r="B24" s="63" t="s">
        <v>246</v>
      </c>
      <c r="C24" s="409">
        <v>18</v>
      </c>
      <c r="D24" s="65" t="str">
        <f>+IFERROR(INDEX([6]CONSOLIDADO!$D$4:$D$108,MATCH('EXP ESPEC. 1-8.'!B24,[6]CONSOLIDADO!$C$4:$C$108,0)),"")</f>
        <v>VELNEC S.A.</v>
      </c>
      <c r="E24" s="66" t="s">
        <v>22</v>
      </c>
      <c r="F24" s="67" t="s">
        <v>509</v>
      </c>
      <c r="G24" s="205" t="s">
        <v>5</v>
      </c>
      <c r="H24" s="205" t="s">
        <v>5</v>
      </c>
      <c r="I24" s="205" t="s">
        <v>5</v>
      </c>
      <c r="J24" s="205" t="s">
        <v>6</v>
      </c>
      <c r="K24" s="69">
        <v>0.2</v>
      </c>
      <c r="L24" s="70">
        <v>40567</v>
      </c>
      <c r="M24" s="70">
        <v>42226</v>
      </c>
      <c r="N24" s="71">
        <f t="shared" si="0"/>
        <v>2015</v>
      </c>
      <c r="O24" s="72">
        <f>+IFERROR(INDEX([6]PARÁMETROS!$B$11:$B$37,MATCH(N24,[6]PARÁMETROS!$A$11:$A$37,0)),"")</f>
        <v>644350</v>
      </c>
      <c r="P24" s="73">
        <v>34817301515</v>
      </c>
      <c r="Q24" s="74" t="s">
        <v>20</v>
      </c>
      <c r="R24" s="63" t="s">
        <v>54</v>
      </c>
      <c r="S24" s="75" t="s">
        <v>54</v>
      </c>
      <c r="T24" s="76">
        <v>1</v>
      </c>
      <c r="U24" s="72">
        <f t="shared" si="1"/>
        <v>34817301515</v>
      </c>
      <c r="V24" s="60">
        <f t="shared" si="2"/>
        <v>54034.766066578726</v>
      </c>
      <c r="W24" s="60">
        <f t="shared" si="3"/>
        <v>10806.953213315746</v>
      </c>
      <c r="X24" s="205" t="str">
        <f>+IF(W24="","",IF(W24&gt;=[6]PARÁMETROS!$D$5,"CUMPLE","NO CUMPLE"))</f>
        <v>CUMPLE</v>
      </c>
      <c r="Y24" s="143"/>
      <c r="Z24" s="112"/>
    </row>
    <row r="25" spans="1:26" s="79" customFormat="1" ht="78.75" x14ac:dyDescent="0.25">
      <c r="A25" s="653"/>
      <c r="B25" s="63" t="s">
        <v>251</v>
      </c>
      <c r="C25" s="409">
        <v>32</v>
      </c>
      <c r="D25" s="65" t="str">
        <f>+IFERROR(INDEX([6]CONSOLIDADO!$D$4:$D$108,MATCH('EXP ESPEC. 1-8.'!B25,[6]CONSOLIDADO!$C$4:$C$108,0)),"")</f>
        <v>CONSULTORES INTERVENTORES COLOMBIANOS S.A.S.  - CONCIC S.A.S.</v>
      </c>
      <c r="E25" s="66" t="s">
        <v>482</v>
      </c>
      <c r="F25" s="67" t="s">
        <v>510</v>
      </c>
      <c r="G25" s="205" t="s">
        <v>5</v>
      </c>
      <c r="H25" s="205" t="s">
        <v>6</v>
      </c>
      <c r="I25" s="205" t="s">
        <v>5</v>
      </c>
      <c r="J25" s="205" t="s">
        <v>6</v>
      </c>
      <c r="K25" s="69">
        <v>0.6</v>
      </c>
      <c r="L25" s="70">
        <v>41121</v>
      </c>
      <c r="M25" s="70">
        <v>41882</v>
      </c>
      <c r="N25" s="71">
        <f t="shared" si="0"/>
        <v>2014</v>
      </c>
      <c r="O25" s="72">
        <f>+IFERROR(INDEX([6]PARÁMETROS!$B$11:$B$37,MATCH(N25,[6]PARÁMETROS!$A$11:$A$37,0)),"")</f>
        <v>616000</v>
      </c>
      <c r="P25" s="73">
        <v>3121715915</v>
      </c>
      <c r="Q25" s="74" t="s">
        <v>20</v>
      </c>
      <c r="R25" s="63" t="s">
        <v>54</v>
      </c>
      <c r="S25" s="75" t="s">
        <v>54</v>
      </c>
      <c r="T25" s="76">
        <v>1</v>
      </c>
      <c r="U25" s="72">
        <f t="shared" si="1"/>
        <v>3121715915</v>
      </c>
      <c r="V25" s="60">
        <f t="shared" si="2"/>
        <v>5067.7206412337664</v>
      </c>
      <c r="W25" s="60">
        <f t="shared" si="3"/>
        <v>3040.6323847402596</v>
      </c>
      <c r="X25" s="205" t="str">
        <f>+IF(W25="","",IF(W25&gt;=[6]PARÁMETROS!$D$5,"CUMPLE","NO CUMPLE"))</f>
        <v>CUMPLE</v>
      </c>
      <c r="Y25" s="143"/>
      <c r="Z25" s="112"/>
    </row>
    <row r="26" spans="1:26" s="243" customFormat="1" ht="79.5" thickBot="1" x14ac:dyDescent="0.3">
      <c r="A26" s="653"/>
      <c r="B26" s="210" t="s">
        <v>251</v>
      </c>
      <c r="C26" s="410">
        <v>41</v>
      </c>
      <c r="D26" s="211" t="str">
        <f>+IFERROR(INDEX([6]CONSOLIDADO!$D$4:$D$108,MATCH('EXP ESPEC. 1-8.'!B26,[6]CONSOLIDADO!$C$4:$C$108,0)),"")</f>
        <v>CONSULTORES INTERVENTORES COLOMBIANOS S.A.S.  - CONCIC S.A.S.</v>
      </c>
      <c r="E26" s="212" t="s">
        <v>482</v>
      </c>
      <c r="F26" s="213" t="s">
        <v>511</v>
      </c>
      <c r="G26" s="214" t="s">
        <v>5</v>
      </c>
      <c r="H26" s="214" t="s">
        <v>6</v>
      </c>
      <c r="I26" s="214" t="s">
        <v>5</v>
      </c>
      <c r="J26" s="214" t="s">
        <v>6</v>
      </c>
      <c r="K26" s="215">
        <v>0.6</v>
      </c>
      <c r="L26" s="216">
        <v>41123</v>
      </c>
      <c r="M26" s="216">
        <v>42139</v>
      </c>
      <c r="N26" s="217">
        <f t="shared" si="0"/>
        <v>2015</v>
      </c>
      <c r="O26" s="202">
        <f>+IFERROR(INDEX([6]PARÁMETROS!$B$11:$B$37,MATCH(N26,[6]PARÁMETROS!$A$11:$A$37,0)),"")</f>
        <v>644350</v>
      </c>
      <c r="P26" s="218">
        <v>5897603327</v>
      </c>
      <c r="Q26" s="203" t="s">
        <v>20</v>
      </c>
      <c r="R26" s="210" t="s">
        <v>54</v>
      </c>
      <c r="S26" s="219" t="s">
        <v>54</v>
      </c>
      <c r="T26" s="220">
        <v>1</v>
      </c>
      <c r="U26" s="202">
        <f t="shared" si="1"/>
        <v>5897603327</v>
      </c>
      <c r="V26" s="204">
        <f t="shared" si="2"/>
        <v>9152.7947963063561</v>
      </c>
      <c r="W26" s="204">
        <f t="shared" si="3"/>
        <v>5491.6768777838133</v>
      </c>
      <c r="X26" s="214" t="str">
        <f>+IF(W26="","",IF(W26&gt;=[6]PARÁMETROS!$D$5,"CUMPLE","NO CUMPLE"))</f>
        <v>CUMPLE</v>
      </c>
      <c r="Y26" s="221"/>
      <c r="Z26" s="276"/>
    </row>
    <row r="27" spans="1:26" s="237" customFormat="1" ht="94.5" x14ac:dyDescent="0.25">
      <c r="A27" s="652" t="s">
        <v>512</v>
      </c>
      <c r="B27" s="125" t="s">
        <v>253</v>
      </c>
      <c r="C27" s="408">
        <v>7</v>
      </c>
      <c r="D27" s="127" t="str">
        <f>+IFERROR(INDEX([6]CONSOLIDADO!$D$4:$D$108,MATCH('EXP ESPEC. 1-8.'!B27,[6]CONSOLIDADO!$C$4:$C$108,0)),"")</f>
        <v>CPS INGENIEROS OBRA CIVIL Y MEDIO AMBIENTE SUCURSAL COLOMBIA SL</v>
      </c>
      <c r="E27" s="128" t="s">
        <v>475</v>
      </c>
      <c r="F27" s="129" t="s">
        <v>515</v>
      </c>
      <c r="G27" s="207" t="s">
        <v>5</v>
      </c>
      <c r="H27" s="207" t="s">
        <v>6</v>
      </c>
      <c r="I27" s="207" t="s">
        <v>5</v>
      </c>
      <c r="J27" s="207" t="s">
        <v>6</v>
      </c>
      <c r="K27" s="131">
        <v>1</v>
      </c>
      <c r="L27" s="132">
        <v>39070</v>
      </c>
      <c r="M27" s="132">
        <v>40359</v>
      </c>
      <c r="N27" s="133">
        <f t="shared" si="0"/>
        <v>2010</v>
      </c>
      <c r="O27" s="134">
        <f>+IFERROR(INDEX([6]PARÁMETROS!$B$11:$B$37,MATCH(N27,[6]PARÁMETROS!$A$11:$A$37,0)),"")</f>
        <v>515000</v>
      </c>
      <c r="P27" s="249">
        <v>977604.33</v>
      </c>
      <c r="Q27" s="136" t="s">
        <v>458</v>
      </c>
      <c r="R27" s="125">
        <v>1.22055</v>
      </c>
      <c r="S27" s="137">
        <f>+P27*R27</f>
        <v>1193214.9649815001</v>
      </c>
      <c r="T27" s="138">
        <v>1916.46</v>
      </c>
      <c r="U27" s="134">
        <f>+T27*S27</f>
        <v>2286748751.7884455</v>
      </c>
      <c r="V27" s="139">
        <f t="shared" si="2"/>
        <v>4440.288838424166</v>
      </c>
      <c r="W27" s="139">
        <f t="shared" si="3"/>
        <v>4440.288838424166</v>
      </c>
      <c r="X27" s="207" t="str">
        <f>+IF(W27="","",IF(W27&gt;=[6]PARÁMETROS!$D$5,"CUMPLE","NO CUMPLE"))</f>
        <v>CUMPLE</v>
      </c>
      <c r="Y27" s="128"/>
    </row>
    <row r="28" spans="1:26" s="79" customFormat="1" ht="94.5" x14ac:dyDescent="0.25">
      <c r="A28" s="653"/>
      <c r="B28" s="63" t="s">
        <v>253</v>
      </c>
      <c r="C28" s="409">
        <v>13</v>
      </c>
      <c r="D28" s="65" t="str">
        <f>+IFERROR(INDEX([6]CONSOLIDADO!$D$4:$D$108,MATCH('EXP ESPEC. 1-8.'!B28,[6]CONSOLIDADO!$C$4:$C$108,0)),"")</f>
        <v>CPS INGENIEROS OBRA CIVIL Y MEDIO AMBIENTE SUCURSAL COLOMBIA SL</v>
      </c>
      <c r="E28" s="66" t="s">
        <v>513</v>
      </c>
      <c r="F28" s="67" t="s">
        <v>516</v>
      </c>
      <c r="G28" s="205" t="s">
        <v>5</v>
      </c>
      <c r="H28" s="205" t="s">
        <v>6</v>
      </c>
      <c r="I28" s="205" t="s">
        <v>5</v>
      </c>
      <c r="J28" s="205" t="s">
        <v>6</v>
      </c>
      <c r="K28" s="69">
        <v>1</v>
      </c>
      <c r="L28" s="70">
        <v>39024</v>
      </c>
      <c r="M28" s="70">
        <v>40189</v>
      </c>
      <c r="N28" s="71">
        <f t="shared" si="0"/>
        <v>2010</v>
      </c>
      <c r="O28" s="72">
        <f>+IFERROR(INDEX([6]PARÁMETROS!$B$11:$B$37,MATCH(N28,[6]PARÁMETROS!$A$11:$A$37,0)),"")</f>
        <v>515000</v>
      </c>
      <c r="P28" s="73">
        <v>741925.82</v>
      </c>
      <c r="Q28" s="74" t="s">
        <v>458</v>
      </c>
      <c r="R28" s="63">
        <v>1.44072</v>
      </c>
      <c r="S28" s="75">
        <f>+P28*R28</f>
        <v>1068907.3673904</v>
      </c>
      <c r="T28" s="76">
        <v>1968.24</v>
      </c>
      <c r="U28" s="72">
        <f>+T28*S28</f>
        <v>2103866236.7924809</v>
      </c>
      <c r="V28" s="60">
        <f t="shared" si="2"/>
        <v>4085.1771588203515</v>
      </c>
      <c r="W28" s="60">
        <f t="shared" si="3"/>
        <v>4085.1771588203515</v>
      </c>
      <c r="X28" s="205" t="str">
        <f>+IF(W28="","",IF(W28&gt;=[6]PARÁMETROS!$D$5,"CUMPLE","NO CUMPLE"))</f>
        <v>CUMPLE</v>
      </c>
      <c r="Y28" s="66"/>
    </row>
    <row r="29" spans="1:26" s="79" customFormat="1" ht="94.5" x14ac:dyDescent="0.25">
      <c r="A29" s="653"/>
      <c r="B29" s="63" t="s">
        <v>253</v>
      </c>
      <c r="C29" s="409">
        <v>22</v>
      </c>
      <c r="D29" s="65" t="str">
        <f>+IFERROR(INDEX([6]CONSOLIDADO!$D$4:$D$108,MATCH('EXP ESPEC. 1-8.'!B29,[6]CONSOLIDADO!$C$4:$C$108,0)),"")</f>
        <v>CPS INGENIEROS OBRA CIVIL Y MEDIO AMBIENTE SUCURSAL COLOMBIA SL</v>
      </c>
      <c r="E29" s="66" t="s">
        <v>517</v>
      </c>
      <c r="F29" s="67" t="s">
        <v>518</v>
      </c>
      <c r="G29" s="205" t="s">
        <v>5</v>
      </c>
      <c r="H29" s="205" t="s">
        <v>6</v>
      </c>
      <c r="I29" s="205" t="s">
        <v>5</v>
      </c>
      <c r="J29" s="205" t="s">
        <v>6</v>
      </c>
      <c r="K29" s="69">
        <v>1</v>
      </c>
      <c r="L29" s="70">
        <v>38107</v>
      </c>
      <c r="M29" s="70">
        <v>40747</v>
      </c>
      <c r="N29" s="71">
        <f t="shared" si="0"/>
        <v>2011</v>
      </c>
      <c r="O29" s="72">
        <f>+IFERROR(INDEX([6]PARÁMETROS!$B$11:$B$37,MATCH(N29,[6]PARÁMETROS!$A$11:$A$37,0)),"")</f>
        <v>535600</v>
      </c>
      <c r="P29" s="92">
        <v>1048263.23</v>
      </c>
      <c r="Q29" s="74" t="s">
        <v>458</v>
      </c>
      <c r="R29" s="63">
        <v>1.43862</v>
      </c>
      <c r="S29" s="75">
        <f>+P29*R29</f>
        <v>1508052.4479425999</v>
      </c>
      <c r="T29" s="76">
        <v>1757.35</v>
      </c>
      <c r="U29" s="72">
        <f>+T29*S29</f>
        <v>2650175969.3919277</v>
      </c>
      <c r="V29" s="60">
        <f t="shared" si="2"/>
        <v>4948.0507270200296</v>
      </c>
      <c r="W29" s="60">
        <f t="shared" si="3"/>
        <v>4948.0507270200296</v>
      </c>
      <c r="X29" s="205" t="str">
        <f>+IF(W29="","",IF(W29&gt;=[6]PARÁMETROS!$D$5,"CUMPLE","NO CUMPLE"))</f>
        <v>CUMPLE</v>
      </c>
      <c r="Y29" s="66"/>
    </row>
    <row r="30" spans="1:26" s="243" customFormat="1" ht="214.5" thickBot="1" x14ac:dyDescent="0.3">
      <c r="A30" s="654"/>
      <c r="B30" s="210" t="s">
        <v>252</v>
      </c>
      <c r="C30" s="410">
        <v>29</v>
      </c>
      <c r="D30" s="211" t="str">
        <f>+IFERROR(INDEX([6]CONSOLIDADO!$D$4:$D$108,MATCH('EXP ESPEC. 1-8.'!B30,[6]CONSOLIDADO!$C$4:$C$108,0)),"")</f>
        <v>SERTIC S.A.S.</v>
      </c>
      <c r="E30" s="277" t="s">
        <v>22</v>
      </c>
      <c r="F30" s="278" t="s">
        <v>519</v>
      </c>
      <c r="G30" s="214" t="s">
        <v>6</v>
      </c>
      <c r="H30" s="214" t="s">
        <v>5</v>
      </c>
      <c r="I30" s="214" t="s">
        <v>5</v>
      </c>
      <c r="J30" s="214" t="s">
        <v>6</v>
      </c>
      <c r="K30" s="279">
        <v>0.25</v>
      </c>
      <c r="L30" s="280">
        <v>40954</v>
      </c>
      <c r="M30" s="280">
        <v>42219</v>
      </c>
      <c r="N30" s="217">
        <f t="shared" si="0"/>
        <v>2015</v>
      </c>
      <c r="O30" s="202">
        <f>+IFERROR(INDEX([6]PARÁMETROS!$B$11:$B$37,MATCH(N30,[6]PARÁMETROS!$A$11:$A$37,0)),"")</f>
        <v>644350</v>
      </c>
      <c r="P30" s="218">
        <v>6977164103</v>
      </c>
      <c r="Q30" s="203" t="s">
        <v>20</v>
      </c>
      <c r="R30" s="210" t="s">
        <v>54</v>
      </c>
      <c r="S30" s="219" t="s">
        <v>54</v>
      </c>
      <c r="T30" s="220">
        <v>1</v>
      </c>
      <c r="U30" s="202">
        <f>IF(T30&lt;&gt;"",P30*T30,"")</f>
        <v>6977164103</v>
      </c>
      <c r="V30" s="204">
        <f t="shared" si="2"/>
        <v>10828.220847365563</v>
      </c>
      <c r="W30" s="204">
        <f t="shared" si="3"/>
        <v>2707.0552118413907</v>
      </c>
      <c r="X30" s="214" t="str">
        <f>+IF(W30="","",IF(W30&gt;=[6]PARÁMETROS!$D$5,"CUMPLE","NO CUMPLE"))</f>
        <v>CUMPLE</v>
      </c>
      <c r="Y30" s="281" t="s">
        <v>884</v>
      </c>
    </row>
    <row r="31" spans="1:26" s="237" customFormat="1" ht="71.25" x14ac:dyDescent="0.25">
      <c r="A31" s="652" t="s">
        <v>521</v>
      </c>
      <c r="B31" s="125" t="s">
        <v>255</v>
      </c>
      <c r="C31" s="408">
        <v>3</v>
      </c>
      <c r="D31" s="127" t="str">
        <f>+IFERROR(INDEX([6]CONSOLIDADO!$D$4:$D$108,MATCH('EXP ESPEC. 1-8.'!B31,[6]CONSOLIDADO!$C$4:$C$108,0)),"")</f>
        <v>JOSE MANUEL GUARDO POLO</v>
      </c>
      <c r="E31" s="128" t="s">
        <v>522</v>
      </c>
      <c r="F31" s="129" t="s">
        <v>523</v>
      </c>
      <c r="G31" s="207" t="s">
        <v>5</v>
      </c>
      <c r="H31" s="207" t="s">
        <v>6</v>
      </c>
      <c r="I31" s="207" t="s">
        <v>5</v>
      </c>
      <c r="J31" s="207" t="s">
        <v>6</v>
      </c>
      <c r="K31" s="131">
        <v>1</v>
      </c>
      <c r="L31" s="132">
        <v>34085</v>
      </c>
      <c r="M31" s="132">
        <v>34352</v>
      </c>
      <c r="N31" s="133">
        <f t="shared" si="0"/>
        <v>1994</v>
      </c>
      <c r="O31" s="134">
        <f>+IFERROR(INDEX([6]PARÁMETROS!$B$11:$B$37,MATCH(N31,[6]PARÁMETROS!$A$11:$A$37,0)),"")</f>
        <v>98700</v>
      </c>
      <c r="P31" s="135">
        <v>265817625</v>
      </c>
      <c r="Q31" s="136" t="s">
        <v>20</v>
      </c>
      <c r="R31" s="125" t="s">
        <v>54</v>
      </c>
      <c r="S31" s="137" t="s">
        <v>54</v>
      </c>
      <c r="T31" s="138">
        <v>1</v>
      </c>
      <c r="U31" s="134">
        <f t="shared" si="1"/>
        <v>265817625</v>
      </c>
      <c r="V31" s="139">
        <f t="shared" si="2"/>
        <v>2693.1876899696049</v>
      </c>
      <c r="W31" s="139">
        <f t="shared" si="3"/>
        <v>2693.1876899696049</v>
      </c>
      <c r="X31" s="207" t="str">
        <f>+IF(W31="","",IF(W31&gt;=[6]PARÁMETROS!$D$5,"CUMPLE","NO CUMPLE"))</f>
        <v>CUMPLE</v>
      </c>
      <c r="Y31" s="128"/>
    </row>
    <row r="32" spans="1:26" s="79" customFormat="1" ht="57" x14ac:dyDescent="0.25">
      <c r="A32" s="653"/>
      <c r="B32" s="63" t="s">
        <v>255</v>
      </c>
      <c r="C32" s="409">
        <v>11</v>
      </c>
      <c r="D32" s="65" t="str">
        <f>+IFERROR(INDEX([6]CONSOLIDADO!$D$4:$D$108,MATCH('EXP ESPEC. 1-8.'!B32,[6]CONSOLIDADO!$C$4:$C$108,0)),"")</f>
        <v>JOSE MANUEL GUARDO POLO</v>
      </c>
      <c r="E32" s="66" t="s">
        <v>524</v>
      </c>
      <c r="F32" s="67" t="s">
        <v>525</v>
      </c>
      <c r="G32" s="205" t="s">
        <v>5</v>
      </c>
      <c r="H32" s="205" t="s">
        <v>6</v>
      </c>
      <c r="I32" s="205" t="s">
        <v>5</v>
      </c>
      <c r="J32" s="205" t="s">
        <v>6</v>
      </c>
      <c r="K32" s="69">
        <v>1</v>
      </c>
      <c r="L32" s="70">
        <v>34355</v>
      </c>
      <c r="M32" s="70">
        <v>34610</v>
      </c>
      <c r="N32" s="71">
        <f t="shared" si="0"/>
        <v>1994</v>
      </c>
      <c r="O32" s="72">
        <f>+IFERROR(INDEX([6]PARÁMETROS!$B$11:$B$37,MATCH(N32,[6]PARÁMETROS!$A$11:$A$37,0)),"")</f>
        <v>98700</v>
      </c>
      <c r="P32" s="73">
        <v>320063303</v>
      </c>
      <c r="Q32" s="74" t="s">
        <v>20</v>
      </c>
      <c r="R32" s="63" t="s">
        <v>54</v>
      </c>
      <c r="S32" s="75" t="s">
        <v>54</v>
      </c>
      <c r="T32" s="76">
        <v>1</v>
      </c>
      <c r="U32" s="72">
        <f t="shared" si="1"/>
        <v>320063303</v>
      </c>
      <c r="V32" s="60">
        <f t="shared" si="2"/>
        <v>3242.789290780142</v>
      </c>
      <c r="W32" s="60">
        <f t="shared" si="3"/>
        <v>3242.789290780142</v>
      </c>
      <c r="X32" s="205" t="str">
        <f>+IF(W32="","",IF(W32&gt;=[6]PARÁMETROS!$D$5,"CUMPLE","NO CUMPLE"))</f>
        <v>CUMPLE</v>
      </c>
      <c r="Y32" s="66"/>
    </row>
    <row r="33" spans="1:25" s="79" customFormat="1" ht="42.75" x14ac:dyDescent="0.25">
      <c r="A33" s="653"/>
      <c r="B33" s="63" t="s">
        <v>255</v>
      </c>
      <c r="C33" s="409">
        <v>17</v>
      </c>
      <c r="D33" s="65" t="str">
        <f>+IFERROR(INDEX([6]CONSOLIDADO!$D$4:$D$108,MATCH('EXP ESPEC. 1-8.'!B33,[6]CONSOLIDADO!$C$4:$C$108,0)),"")</f>
        <v>JOSE MANUEL GUARDO POLO</v>
      </c>
      <c r="E33" s="66" t="s">
        <v>537</v>
      </c>
      <c r="F33" s="67" t="s">
        <v>538</v>
      </c>
      <c r="G33" s="205" t="s">
        <v>5</v>
      </c>
      <c r="H33" s="205" t="s">
        <v>5</v>
      </c>
      <c r="I33" s="205" t="s">
        <v>5</v>
      </c>
      <c r="J33" s="205" t="s">
        <v>6</v>
      </c>
      <c r="K33" s="69">
        <v>0.5</v>
      </c>
      <c r="L33" s="70">
        <v>36752</v>
      </c>
      <c r="M33" s="70">
        <v>41789</v>
      </c>
      <c r="N33" s="71">
        <f t="shared" si="0"/>
        <v>2014</v>
      </c>
      <c r="O33" s="72">
        <f>+IFERROR(INDEX([6]PARÁMETROS!$B$11:$B$37,MATCH(N33,[6]PARÁMETROS!$A$11:$A$37,0)),"")</f>
        <v>616000</v>
      </c>
      <c r="P33" s="73">
        <v>4766569521</v>
      </c>
      <c r="Q33" s="74" t="s">
        <v>20</v>
      </c>
      <c r="R33" s="63" t="s">
        <v>54</v>
      </c>
      <c r="S33" s="75" t="s">
        <v>54</v>
      </c>
      <c r="T33" s="76">
        <v>1</v>
      </c>
      <c r="U33" s="72">
        <f t="shared" si="1"/>
        <v>4766569521</v>
      </c>
      <c r="V33" s="60">
        <f t="shared" si="2"/>
        <v>7737.9375340909091</v>
      </c>
      <c r="W33" s="60">
        <f t="shared" si="3"/>
        <v>3868.9687670454546</v>
      </c>
      <c r="X33" s="205" t="str">
        <f>+IF(W33="","",IF(W33&gt;=[6]PARÁMETROS!$D$5,"CUMPLE","NO CUMPLE"))</f>
        <v>CUMPLE</v>
      </c>
      <c r="Y33" s="66"/>
    </row>
    <row r="34" spans="1:25" s="252" customFormat="1" ht="111" thickBot="1" x14ac:dyDescent="0.3">
      <c r="A34" s="654"/>
      <c r="B34" s="145" t="s">
        <v>254</v>
      </c>
      <c r="C34" s="411">
        <v>30</v>
      </c>
      <c r="D34" s="146" t="str">
        <f>+IFERROR(INDEX([6]CONSOLIDADO!$D$4:$D$108,MATCH('EXP ESPEC. 1-8.'!B34,[6]CONSOLIDADO!$C$4:$C$108,0)),"")</f>
        <v>INGENOBRAS CONSTRUCCIONES Y CONSULTORIA S.A.S. - INGENOBRAS S.A.S.</v>
      </c>
      <c r="E34" s="147" t="s">
        <v>528</v>
      </c>
      <c r="F34" s="148" t="s">
        <v>529</v>
      </c>
      <c r="G34" s="208" t="s">
        <v>5</v>
      </c>
      <c r="H34" s="208" t="s">
        <v>6</v>
      </c>
      <c r="I34" s="208" t="s">
        <v>5</v>
      </c>
      <c r="J34" s="208" t="s">
        <v>6</v>
      </c>
      <c r="K34" s="172">
        <v>0.45</v>
      </c>
      <c r="L34" s="151">
        <v>40805</v>
      </c>
      <c r="M34" s="151">
        <v>41730</v>
      </c>
      <c r="N34" s="152">
        <f t="shared" si="0"/>
        <v>2014</v>
      </c>
      <c r="O34" s="153">
        <f>+IFERROR(INDEX([6]PARÁMETROS!$B$11:$B$37,MATCH(N34,[6]PARÁMETROS!$A$11:$A$37,0)),"")</f>
        <v>616000</v>
      </c>
      <c r="P34" s="173">
        <v>5922134662</v>
      </c>
      <c r="Q34" s="155" t="s">
        <v>20</v>
      </c>
      <c r="R34" s="145" t="s">
        <v>54</v>
      </c>
      <c r="S34" s="156" t="s">
        <v>54</v>
      </c>
      <c r="T34" s="157">
        <v>1</v>
      </c>
      <c r="U34" s="153">
        <f t="shared" si="1"/>
        <v>5922134662</v>
      </c>
      <c r="V34" s="158">
        <f t="shared" si="2"/>
        <v>9613.8549707792208</v>
      </c>
      <c r="W34" s="158">
        <f t="shared" si="3"/>
        <v>4326.2347368506498</v>
      </c>
      <c r="X34" s="208" t="str">
        <f>+IF(W34="","",IF(W34&gt;=[6]PARÁMETROS!$D$5,"CUMPLE","NO CUMPLE"))</f>
        <v>CUMPLE</v>
      </c>
      <c r="Y34" s="147"/>
    </row>
    <row r="35" spans="1:25" s="237" customFormat="1" x14ac:dyDescent="0.25">
      <c r="A35" s="652"/>
      <c r="B35" s="125"/>
      <c r="C35" s="408"/>
      <c r="D35" s="127"/>
      <c r="E35" s="128"/>
      <c r="F35" s="129"/>
      <c r="G35" s="207"/>
      <c r="H35" s="207"/>
      <c r="I35" s="207"/>
      <c r="J35" s="207"/>
      <c r="K35" s="131"/>
      <c r="L35" s="132"/>
      <c r="M35" s="132"/>
      <c r="N35" s="133"/>
      <c r="O35" s="134"/>
      <c r="P35" s="135"/>
      <c r="Q35" s="136"/>
      <c r="R35" s="125"/>
      <c r="S35" s="137"/>
      <c r="T35" s="138"/>
      <c r="U35" s="134"/>
      <c r="V35" s="139"/>
      <c r="W35" s="139"/>
      <c r="X35" s="207"/>
      <c r="Y35" s="128"/>
    </row>
    <row r="36" spans="1:25" s="79" customFormat="1" x14ac:dyDescent="0.25">
      <c r="A36" s="653"/>
      <c r="B36" s="63"/>
      <c r="C36" s="409"/>
      <c r="D36" s="65"/>
      <c r="E36" s="66"/>
      <c r="F36" s="67"/>
      <c r="G36" s="205"/>
      <c r="H36" s="205"/>
      <c r="I36" s="205"/>
      <c r="J36" s="205"/>
      <c r="K36" s="69"/>
      <c r="L36" s="70"/>
      <c r="M36" s="70"/>
      <c r="N36" s="71"/>
      <c r="O36" s="72"/>
      <c r="P36" s="73"/>
      <c r="Q36" s="74"/>
      <c r="R36" s="63"/>
      <c r="S36" s="75"/>
      <c r="T36" s="76"/>
      <c r="U36" s="72"/>
      <c r="V36" s="60"/>
      <c r="W36" s="60"/>
      <c r="X36" s="205"/>
      <c r="Y36" s="66"/>
    </row>
    <row r="37" spans="1:25" s="79" customFormat="1" x14ac:dyDescent="0.25">
      <c r="A37" s="653"/>
      <c r="B37" s="63"/>
      <c r="C37" s="409"/>
      <c r="D37" s="65"/>
      <c r="E37" s="66"/>
      <c r="F37" s="67"/>
      <c r="G37" s="205"/>
      <c r="H37" s="205"/>
      <c r="I37" s="205"/>
      <c r="J37" s="205"/>
      <c r="K37" s="69"/>
      <c r="L37" s="70"/>
      <c r="M37" s="70"/>
      <c r="N37" s="71"/>
      <c r="O37" s="72"/>
      <c r="P37" s="73"/>
      <c r="Q37" s="74"/>
      <c r="R37" s="63"/>
      <c r="S37" s="75"/>
      <c r="T37" s="76"/>
      <c r="U37" s="72"/>
      <c r="V37" s="60"/>
      <c r="W37" s="60"/>
      <c r="X37" s="205"/>
      <c r="Y37" s="66"/>
    </row>
    <row r="38" spans="1:25" s="252" customFormat="1" ht="16.5" thickBot="1" x14ac:dyDescent="0.3">
      <c r="A38" s="654"/>
      <c r="B38" s="145"/>
      <c r="C38" s="411"/>
      <c r="D38" s="146"/>
      <c r="E38" s="147"/>
      <c r="F38" s="148"/>
      <c r="G38" s="208"/>
      <c r="H38" s="208"/>
      <c r="I38" s="208"/>
      <c r="J38" s="208"/>
      <c r="K38" s="150"/>
      <c r="L38" s="151"/>
      <c r="M38" s="151"/>
      <c r="N38" s="152"/>
      <c r="O38" s="153"/>
      <c r="P38" s="154"/>
      <c r="Q38" s="155"/>
      <c r="R38" s="145"/>
      <c r="S38" s="156"/>
      <c r="T38" s="157"/>
      <c r="U38" s="153"/>
      <c r="V38" s="158"/>
      <c r="W38" s="158"/>
      <c r="X38" s="208"/>
      <c r="Y38" s="147"/>
    </row>
  </sheetData>
  <autoFilter ref="A1:Y17"/>
  <mergeCells count="34">
    <mergeCell ref="F1:F2"/>
    <mergeCell ref="A1:A2"/>
    <mergeCell ref="B1:B2"/>
    <mergeCell ref="C1:C2"/>
    <mergeCell ref="D1:D2"/>
    <mergeCell ref="E1:E2"/>
    <mergeCell ref="R1:R2"/>
    <mergeCell ref="G1:G2"/>
    <mergeCell ref="H1:H2"/>
    <mergeCell ref="I1:I2"/>
    <mergeCell ref="J1:J2"/>
    <mergeCell ref="K1:K2"/>
    <mergeCell ref="L1:L2"/>
    <mergeCell ref="M1:M2"/>
    <mergeCell ref="N1:N2"/>
    <mergeCell ref="O1:O2"/>
    <mergeCell ref="P1:P2"/>
    <mergeCell ref="Q1:Q2"/>
    <mergeCell ref="A23:A26"/>
    <mergeCell ref="A27:A30"/>
    <mergeCell ref="A31:A34"/>
    <mergeCell ref="A35:A38"/>
    <mergeCell ref="Y1:Y2"/>
    <mergeCell ref="A3:A6"/>
    <mergeCell ref="A7:A10"/>
    <mergeCell ref="A11:A14"/>
    <mergeCell ref="A15:A18"/>
    <mergeCell ref="A19:A22"/>
    <mergeCell ref="S1:S2"/>
    <mergeCell ref="T1:T2"/>
    <mergeCell ref="U1:U2"/>
    <mergeCell ref="V1:V2"/>
    <mergeCell ref="W1:W2"/>
    <mergeCell ref="X1:X2"/>
  </mergeCells>
  <conditionalFormatting sqref="X3:X34">
    <cfRule type="containsText" dxfId="65" priority="3" operator="containsText" text="NO CUMPLE">
      <formula>NOT(ISERROR(SEARCH("NO CUMPLE",X3)))</formula>
    </cfRule>
  </conditionalFormatting>
  <conditionalFormatting sqref="X35:X38">
    <cfRule type="containsText" dxfId="64" priority="1" operator="containsText" text="NO CUMPLE">
      <formula>NOT(ISERROR(SEARCH("NO CUMPLE",X35)))</formula>
    </cfRule>
  </conditionalFormatting>
  <dataValidations count="1">
    <dataValidation type="list" allowBlank="1" showInputMessage="1" showErrorMessage="1" sqref="G3:J38">
      <formula1>$AA$1:$AB$1</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206"/>
  <sheetViews>
    <sheetView zoomScale="70" zoomScaleNormal="70" zoomScalePageLayoutView="75" workbookViewId="0">
      <pane xSplit="1" ySplit="2" topLeftCell="U39" activePane="bottomRight" state="frozen"/>
      <selection pane="topRight" activeCell="B1" sqref="B1"/>
      <selection pane="bottomLeft" activeCell="A3" sqref="A3"/>
      <selection pane="bottomRight" activeCell="B38" sqref="B38"/>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12.5" style="104" customWidth="1"/>
    <col min="9" max="9" width="13.625" style="105" customWidth="1"/>
    <col min="10" max="10" width="10.625" style="106" customWidth="1"/>
    <col min="11" max="11" width="11" style="107" customWidth="1"/>
    <col min="12" max="12" width="11" style="108" customWidth="1"/>
    <col min="13" max="13" width="11" style="74" customWidth="1"/>
    <col min="14" max="14" width="18.5" style="109" customWidth="1"/>
    <col min="15" max="15" width="8.75" style="109" customWidth="1"/>
    <col min="16" max="16" width="9.5" style="74" bestFit="1" customWidth="1"/>
    <col min="17" max="17" width="12.5" style="74" customWidth="1"/>
    <col min="18" max="18" width="11.125" style="74" bestFit="1" customWidth="1"/>
    <col min="19" max="19" width="18.75" style="74" customWidth="1"/>
    <col min="20" max="20" width="15.5" style="74" customWidth="1"/>
    <col min="21" max="21" width="18.375" style="87" customWidth="1"/>
    <col min="22" max="22" width="16.5" style="87" customWidth="1"/>
    <col min="23" max="23" width="10" style="94" customWidth="1"/>
    <col min="24" max="24" width="7.875" style="110" customWidth="1"/>
    <col min="25" max="25" width="8.875" style="110" customWidth="1"/>
    <col min="26" max="26" width="10" style="94" customWidth="1"/>
    <col min="27" max="27" width="7.875" style="110" customWidth="1"/>
    <col min="28" max="28" width="8.875" style="110" customWidth="1"/>
    <col min="29" max="29" width="10" style="110" bestFit="1" customWidth="1"/>
    <col min="30" max="30" width="7.375" style="110" bestFit="1" customWidth="1"/>
    <col min="31" max="31" width="6.375" style="110" customWidth="1"/>
    <col min="32" max="35" width="19.5" style="63" customWidth="1"/>
    <col min="36" max="36" width="59.125" style="96" customWidth="1"/>
    <col min="37" max="39" width="10.875" style="111"/>
    <col min="40" max="41" width="15.125" style="111" bestFit="1" customWidth="1"/>
    <col min="42" max="16384" width="10.875" style="111"/>
  </cols>
  <sheetData>
    <row r="1" spans="1:39" s="61" customFormat="1" ht="15" customHeight="1" x14ac:dyDescent="0.25">
      <c r="A1" s="661" t="s">
        <v>2</v>
      </c>
      <c r="B1" s="661" t="s">
        <v>1</v>
      </c>
      <c r="C1" s="676" t="s">
        <v>369</v>
      </c>
      <c r="D1" s="661" t="s">
        <v>7</v>
      </c>
      <c r="E1" s="661" t="s">
        <v>8</v>
      </c>
      <c r="F1" s="661" t="s">
        <v>9</v>
      </c>
      <c r="G1" s="662" t="s">
        <v>57</v>
      </c>
      <c r="H1" s="662" t="s">
        <v>383</v>
      </c>
      <c r="I1" s="670" t="s">
        <v>56</v>
      </c>
      <c r="J1" s="672" t="s">
        <v>10</v>
      </c>
      <c r="K1" s="672" t="s">
        <v>443</v>
      </c>
      <c r="L1" s="674" t="s">
        <v>65</v>
      </c>
      <c r="M1" s="661" t="s">
        <v>64</v>
      </c>
      <c r="N1" s="661" t="s">
        <v>11</v>
      </c>
      <c r="O1" s="661" t="s">
        <v>12</v>
      </c>
      <c r="P1" s="662" t="s">
        <v>13</v>
      </c>
      <c r="Q1" s="662" t="s">
        <v>14</v>
      </c>
      <c r="R1" s="662" t="s">
        <v>15</v>
      </c>
      <c r="S1" s="662" t="s">
        <v>16</v>
      </c>
      <c r="T1" s="661" t="s">
        <v>17</v>
      </c>
      <c r="U1" s="662" t="s">
        <v>386</v>
      </c>
      <c r="V1" s="668" t="s">
        <v>55</v>
      </c>
      <c r="W1" s="661" t="s">
        <v>27</v>
      </c>
      <c r="X1" s="661"/>
      <c r="Y1" s="661"/>
      <c r="Z1" s="661" t="s">
        <v>28</v>
      </c>
      <c r="AA1" s="661"/>
      <c r="AB1" s="661"/>
      <c r="AC1" s="661" t="s">
        <v>29</v>
      </c>
      <c r="AD1" s="661"/>
      <c r="AE1" s="661"/>
      <c r="AF1" s="662" t="s">
        <v>30</v>
      </c>
      <c r="AG1" s="664" t="s">
        <v>374</v>
      </c>
      <c r="AH1" s="665" t="s">
        <v>618</v>
      </c>
      <c r="AI1" s="664" t="s">
        <v>619</v>
      </c>
      <c r="AJ1" s="659" t="s">
        <v>0</v>
      </c>
      <c r="AL1" s="62" t="s">
        <v>5</v>
      </c>
      <c r="AM1" s="62" t="s">
        <v>6</v>
      </c>
    </row>
    <row r="2" spans="1:39" s="61" customFormat="1" ht="62.25" customHeight="1" thickBot="1" x14ac:dyDescent="0.3">
      <c r="A2" s="667"/>
      <c r="B2" s="667"/>
      <c r="C2" s="677"/>
      <c r="D2" s="667"/>
      <c r="E2" s="667"/>
      <c r="F2" s="667"/>
      <c r="G2" s="663"/>
      <c r="H2" s="663"/>
      <c r="I2" s="671"/>
      <c r="J2" s="673"/>
      <c r="K2" s="673"/>
      <c r="L2" s="675"/>
      <c r="M2" s="667"/>
      <c r="N2" s="667"/>
      <c r="O2" s="667"/>
      <c r="P2" s="663"/>
      <c r="Q2" s="663"/>
      <c r="R2" s="663"/>
      <c r="S2" s="663"/>
      <c r="T2" s="667"/>
      <c r="U2" s="663"/>
      <c r="V2" s="669"/>
      <c r="W2" s="206" t="s">
        <v>31</v>
      </c>
      <c r="X2" s="206" t="s">
        <v>32</v>
      </c>
      <c r="Y2" s="206" t="s">
        <v>33</v>
      </c>
      <c r="Z2" s="206" t="s">
        <v>34</v>
      </c>
      <c r="AA2" s="206" t="s">
        <v>32</v>
      </c>
      <c r="AB2" s="206" t="s">
        <v>35</v>
      </c>
      <c r="AC2" s="206" t="s">
        <v>34</v>
      </c>
      <c r="AD2" s="206" t="s">
        <v>32</v>
      </c>
      <c r="AE2" s="206" t="s">
        <v>36</v>
      </c>
      <c r="AF2" s="663"/>
      <c r="AG2" s="665"/>
      <c r="AH2" s="666"/>
      <c r="AI2" s="665"/>
      <c r="AJ2" s="660"/>
    </row>
    <row r="3" spans="1:39" s="79" customFormat="1" ht="156" customHeight="1" x14ac:dyDescent="0.25">
      <c r="A3" s="652" t="s">
        <v>74</v>
      </c>
      <c r="B3" s="125" t="s">
        <v>256</v>
      </c>
      <c r="C3" s="126">
        <v>79</v>
      </c>
      <c r="D3" s="127" t="str">
        <f>+IFERROR(INDEX([7]CONSOLIDADO!$D$4:$D$108,MATCH('EXP GEN. 9-16'!B3,[7]CONSOLIDADO!$C$4:$C$108,0)),"")</f>
        <v>ARREDONDO MADRID INGENIEROS CIVILES (AIM ) LIMITADA</v>
      </c>
      <c r="E3" s="66" t="s">
        <v>539</v>
      </c>
      <c r="F3" s="67" t="s">
        <v>540</v>
      </c>
      <c r="G3" s="207" t="s">
        <v>5</v>
      </c>
      <c r="H3" s="207" t="s">
        <v>5</v>
      </c>
      <c r="I3" s="131">
        <v>1</v>
      </c>
      <c r="J3" s="70">
        <v>35006</v>
      </c>
      <c r="K3" s="70">
        <v>35828</v>
      </c>
      <c r="L3" s="133">
        <f>IF(K3="","",YEAR(K3))</f>
        <v>1998</v>
      </c>
      <c r="M3" s="134">
        <f>+IFERROR(INDEX([7]PARÁMETROS!$B$11:$B$37,MATCH(L3,[7]PARÁMETROS!$A$11:$A$37,0)),"")</f>
        <v>203826</v>
      </c>
      <c r="N3" s="73">
        <v>943132057</v>
      </c>
      <c r="O3" s="136" t="s">
        <v>20</v>
      </c>
      <c r="P3" s="125" t="s">
        <v>54</v>
      </c>
      <c r="Q3" s="137" t="s">
        <v>54</v>
      </c>
      <c r="R3" s="138">
        <v>1</v>
      </c>
      <c r="S3" s="134">
        <f>IF(R3&lt;&gt;"",N3*R3,"")</f>
        <v>943132057</v>
      </c>
      <c r="T3" s="139">
        <f>+IFERROR(S3/M3,"")</f>
        <v>4627.1430386702386</v>
      </c>
      <c r="U3" s="139">
        <f>IFERROR(T3*I3,"")</f>
        <v>4627.1430386702386</v>
      </c>
      <c r="V3" s="140">
        <v>56</v>
      </c>
      <c r="W3" s="649" t="s">
        <v>6</v>
      </c>
      <c r="X3" s="649"/>
      <c r="Y3" s="649"/>
      <c r="Z3" s="649" t="s">
        <v>5</v>
      </c>
      <c r="AA3" s="649"/>
      <c r="AB3" s="649"/>
      <c r="AC3" s="649" t="s">
        <v>5</v>
      </c>
      <c r="AD3" s="649"/>
      <c r="AE3" s="649"/>
      <c r="AF3" s="207" t="s">
        <v>5</v>
      </c>
      <c r="AG3" s="649" t="str">
        <f>IF(U3="","",IF(SUM(U3:U5)&gt;=[7]PARÁMETROS!$H$5,"CUMPLE","NO CUMPLE"))</f>
        <v>CUMPLE</v>
      </c>
      <c r="AH3" s="649" t="str">
        <f>IF(U3+U4="","",IF(U3+U4&gt;=[7]PARÁMETROS!$F$5,"CUMPLE","NO CUMPLE"))</f>
        <v>CUMPLE</v>
      </c>
      <c r="AI3" s="207" t="str">
        <f>+IF(U3="","",IF(U3&gt;=[7]PARÁMETROS!$D$5,"CUMPLE","NO CUMPLE"))</f>
        <v>CUMPLE</v>
      </c>
      <c r="AJ3" s="142"/>
      <c r="AK3" s="112"/>
    </row>
    <row r="4" spans="1:39" s="79" customFormat="1" ht="72.75" customHeight="1" x14ac:dyDescent="0.25">
      <c r="A4" s="653"/>
      <c r="B4" s="63" t="s">
        <v>256</v>
      </c>
      <c r="C4" s="64">
        <v>106</v>
      </c>
      <c r="D4" s="65" t="str">
        <f>+IFERROR(INDEX([7]CONSOLIDADO!$D$4:$D$108,MATCH('EXP GEN. 9-16'!B4,[7]CONSOLIDADO!$C$4:$C$108,0)),"")</f>
        <v>ARREDONDO MADRID INGENIEROS CIVILES (AIM ) LIMITADA</v>
      </c>
      <c r="E4" s="66" t="s">
        <v>539</v>
      </c>
      <c r="F4" s="67" t="s">
        <v>541</v>
      </c>
      <c r="G4" s="205" t="s">
        <v>5</v>
      </c>
      <c r="H4" s="205" t="s">
        <v>5</v>
      </c>
      <c r="I4" s="80">
        <v>1</v>
      </c>
      <c r="J4" s="70">
        <v>38295</v>
      </c>
      <c r="K4" s="70">
        <v>39634</v>
      </c>
      <c r="L4" s="71">
        <f t="shared" ref="L4:L61" si="0">IF(K4="","",YEAR(K4))</f>
        <v>2008</v>
      </c>
      <c r="M4" s="72">
        <f>+IFERROR(INDEX([7]PARÁMETROS!$B$11:$B$37,MATCH(L4,[7]PARÁMETROS!$A$11:$A$37,0)),"")</f>
        <v>461500</v>
      </c>
      <c r="N4" s="73">
        <v>5529917538</v>
      </c>
      <c r="O4" s="72" t="s">
        <v>20</v>
      </c>
      <c r="P4" s="63" t="s">
        <v>54</v>
      </c>
      <c r="Q4" s="75" t="s">
        <v>54</v>
      </c>
      <c r="R4" s="76">
        <v>1</v>
      </c>
      <c r="S4" s="72">
        <f t="shared" ref="S4:S61" si="1">IF(R4&lt;&gt;"",N4*R4,"")</f>
        <v>5529917538</v>
      </c>
      <c r="T4" s="60">
        <f t="shared" ref="T4:T61" si="2">+IFERROR(S4/M4,"")</f>
        <v>11982.486539544961</v>
      </c>
      <c r="U4" s="60">
        <f t="shared" ref="U4:U61" si="3">IFERROR(T4*I4,"")</f>
        <v>11982.486539544961</v>
      </c>
      <c r="V4" s="77">
        <v>1</v>
      </c>
      <c r="W4" s="650" t="s">
        <v>5</v>
      </c>
      <c r="X4" s="650"/>
      <c r="Y4" s="650"/>
      <c r="Z4" s="650" t="s">
        <v>5</v>
      </c>
      <c r="AA4" s="650"/>
      <c r="AB4" s="650"/>
      <c r="AC4" s="650" t="s">
        <v>5</v>
      </c>
      <c r="AD4" s="650"/>
      <c r="AE4" s="650"/>
      <c r="AF4" s="205" t="s">
        <v>5</v>
      </c>
      <c r="AG4" s="650"/>
      <c r="AH4" s="650"/>
      <c r="AI4" s="205" t="str">
        <f>+IF(U4="","",IF(U4&gt;=[7]PARÁMETROS!$D$5,"CUMPLE","NO CUMPLE"))</f>
        <v>CUMPLE</v>
      </c>
      <c r="AJ4" s="143"/>
      <c r="AK4" s="112"/>
    </row>
    <row r="5" spans="1:39" s="79" customFormat="1" ht="65.099999999999994" customHeight="1" thickBot="1" x14ac:dyDescent="0.3">
      <c r="A5" s="653"/>
      <c r="B5" s="63" t="s">
        <v>281</v>
      </c>
      <c r="C5" s="64">
        <v>115</v>
      </c>
      <c r="D5" s="65" t="str">
        <f>+IFERROR(INDEX([7]CONSOLIDADO!$D$4:$D$108,MATCH('EXP GEN. 9-16'!B5,[7]CONSOLIDADO!$C$4:$C$108,0)),"")</f>
        <v>INGENIERIA INTEGRAL DE OBRAS INGEOBRAS S.A.S.</v>
      </c>
      <c r="E5" s="66" t="s">
        <v>542</v>
      </c>
      <c r="F5" s="67" t="s">
        <v>543</v>
      </c>
      <c r="G5" s="205" t="s">
        <v>5</v>
      </c>
      <c r="H5" s="205" t="s">
        <v>5</v>
      </c>
      <c r="I5" s="69">
        <v>1</v>
      </c>
      <c r="J5" s="70">
        <v>41295</v>
      </c>
      <c r="K5" s="70">
        <v>41841</v>
      </c>
      <c r="L5" s="71">
        <f t="shared" si="0"/>
        <v>2014</v>
      </c>
      <c r="M5" s="72">
        <f>+IFERROR(INDEX([7]PARÁMETROS!$B$11:$B$37,MATCH(L5,[7]PARÁMETROS!$A$11:$A$37,0)),"")</f>
        <v>616000</v>
      </c>
      <c r="N5" s="73">
        <v>3203004883</v>
      </c>
      <c r="O5" s="74" t="s">
        <v>20</v>
      </c>
      <c r="P5" s="63" t="s">
        <v>54</v>
      </c>
      <c r="Q5" s="75" t="s">
        <v>54</v>
      </c>
      <c r="R5" s="76">
        <v>1</v>
      </c>
      <c r="S5" s="72">
        <f t="shared" si="1"/>
        <v>3203004883</v>
      </c>
      <c r="T5" s="60">
        <f t="shared" si="2"/>
        <v>5199.6832516233762</v>
      </c>
      <c r="U5" s="60">
        <f t="shared" si="3"/>
        <v>5199.6832516233762</v>
      </c>
      <c r="V5" s="77">
        <v>145</v>
      </c>
      <c r="W5" s="650" t="s">
        <v>5</v>
      </c>
      <c r="X5" s="650"/>
      <c r="Y5" s="650"/>
      <c r="Z5" s="650" t="s">
        <v>6</v>
      </c>
      <c r="AA5" s="650"/>
      <c r="AB5" s="650"/>
      <c r="AC5" s="650" t="s">
        <v>5</v>
      </c>
      <c r="AD5" s="650"/>
      <c r="AE5" s="650"/>
      <c r="AF5" s="205" t="s">
        <v>5</v>
      </c>
      <c r="AG5" s="650"/>
      <c r="AH5" s="650"/>
      <c r="AI5" s="205" t="str">
        <f>+IF(U5="","",IF(U5&gt;=[7]PARÁMETROS!$D$5,"CUMPLE","NO CUMPLE"))</f>
        <v>CUMPLE</v>
      </c>
      <c r="AJ5" s="144"/>
      <c r="AK5" s="112"/>
    </row>
    <row r="6" spans="1:39" s="79" customFormat="1" ht="46.5" customHeight="1" x14ac:dyDescent="0.25">
      <c r="A6" s="652" t="s">
        <v>75</v>
      </c>
      <c r="B6" s="113" t="s">
        <v>282</v>
      </c>
      <c r="C6" s="414">
        <v>100</v>
      </c>
      <c r="D6" s="114" t="str">
        <f>+IFERROR(INDEX([7]CONSOLIDADO!$D$4:$D$108,MATCH('EXP GEN. 9-16'!B6,[7]CONSOLIDADO!$C$4:$C$108,0)),"")</f>
        <v xml:space="preserve">GETINSA INGENIERIA SL SUCURSAL COLOMBIA </v>
      </c>
      <c r="E6" s="66" t="s">
        <v>544</v>
      </c>
      <c r="F6" s="67" t="s">
        <v>545</v>
      </c>
      <c r="G6" s="124" t="s">
        <v>5</v>
      </c>
      <c r="H6" s="124" t="s">
        <v>5</v>
      </c>
      <c r="I6" s="117">
        <v>0.4</v>
      </c>
      <c r="J6" s="118">
        <v>39186</v>
      </c>
      <c r="K6" s="118">
        <v>40939</v>
      </c>
      <c r="L6" s="168">
        <f t="shared" si="0"/>
        <v>2012</v>
      </c>
      <c r="M6" s="119">
        <f>+IFERROR(INDEX([7]PARÁMETROS!$B$11:$B$37,MATCH(L6,[7]PARÁMETROS!$A$11:$A$37,0)),"")</f>
        <v>566700</v>
      </c>
      <c r="N6" s="282">
        <v>3333357.67</v>
      </c>
      <c r="O6" s="265" t="s">
        <v>546</v>
      </c>
      <c r="P6" s="283">
        <v>1.31515</v>
      </c>
      <c r="Q6" s="122">
        <f>+N6*P6</f>
        <v>4383865.3397005005</v>
      </c>
      <c r="R6" s="122">
        <v>1815.08</v>
      </c>
      <c r="S6" s="284">
        <f>IF(R6&lt;&gt;"",Q6*R6,"")</f>
        <v>7957066300.7835836</v>
      </c>
      <c r="T6" s="123">
        <f>+IFERROR(S6/M6,"")</f>
        <v>14041.055762808512</v>
      </c>
      <c r="U6" s="123">
        <f>IFERROR(T6*I6,"")</f>
        <v>5616.4223051234048</v>
      </c>
      <c r="V6" s="168">
        <v>26</v>
      </c>
      <c r="W6" s="650" t="s">
        <v>5</v>
      </c>
      <c r="X6" s="650"/>
      <c r="Y6" s="650"/>
      <c r="Z6" s="650" t="s">
        <v>5</v>
      </c>
      <c r="AA6" s="650"/>
      <c r="AB6" s="650"/>
      <c r="AC6" s="650" t="s">
        <v>5</v>
      </c>
      <c r="AD6" s="650"/>
      <c r="AE6" s="650"/>
      <c r="AF6" s="205" t="s">
        <v>5</v>
      </c>
      <c r="AG6" s="682" t="str">
        <f>IF(U6="","",IF(SUM(U6:U11)&gt;=[7]PARÁMETROS!$H$5,"CUMPLE","NO CUMPLE"))</f>
        <v>CUMPLE</v>
      </c>
      <c r="AH6" s="682" t="str">
        <f>IF(U6="","",IF(U6+U7+U8+U9&gt;=[7]PARÁMETROS!$F$5,"CUMPLE","NO CUMPLE"))</f>
        <v>CUMPLE</v>
      </c>
      <c r="AI6" s="124" t="str">
        <f>+IF(U6="","",IF(U6&gt;=[7]PARÁMETROS!$D$5,"CUMPLE","NO CUMPLE"))</f>
        <v>CUMPLE</v>
      </c>
      <c r="AJ6" s="175"/>
      <c r="AK6" s="112"/>
    </row>
    <row r="7" spans="1:39" s="79" customFormat="1" ht="42" customHeight="1" x14ac:dyDescent="0.25">
      <c r="A7" s="653"/>
      <c r="B7" s="63" t="s">
        <v>282</v>
      </c>
      <c r="C7" s="409">
        <v>104</v>
      </c>
      <c r="D7" s="65" t="str">
        <f>+IFERROR(INDEX([7]CONSOLIDADO!$D$4:$D$108,MATCH('EXP GEN. 9-16'!B7,[7]CONSOLIDADO!$C$4:$C$108,0)),"")</f>
        <v xml:space="preserve">GETINSA INGENIERIA SL SUCURSAL COLOMBIA </v>
      </c>
      <c r="E7" s="66" t="s">
        <v>544</v>
      </c>
      <c r="F7" s="67" t="s">
        <v>547</v>
      </c>
      <c r="G7" s="205" t="s">
        <v>5</v>
      </c>
      <c r="H7" s="205" t="s">
        <v>5</v>
      </c>
      <c r="I7" s="69">
        <v>1</v>
      </c>
      <c r="J7" s="70">
        <v>39087</v>
      </c>
      <c r="K7" s="70">
        <v>40334</v>
      </c>
      <c r="L7" s="71">
        <f t="shared" si="0"/>
        <v>2010</v>
      </c>
      <c r="M7" s="72">
        <f>+IFERROR(INDEX([7]PARÁMETROS!$B$11:$B$37,MATCH(L7,[7]PARÁMETROS!$A$11:$A$37,0)),"")</f>
        <v>515000</v>
      </c>
      <c r="N7" s="285">
        <v>1306037.8500000001</v>
      </c>
      <c r="O7" s="74" t="s">
        <v>546</v>
      </c>
      <c r="P7" s="63">
        <v>1.2085600000000001</v>
      </c>
      <c r="Q7" s="76">
        <f>+N7*P7</f>
        <v>1578425.1039960003</v>
      </c>
      <c r="R7" s="76">
        <v>1965.83</v>
      </c>
      <c r="S7" s="72">
        <f>IF(R7&lt;&gt;"",Q7*R7,"")</f>
        <v>3102915422.188457</v>
      </c>
      <c r="T7" s="60">
        <f>+IFERROR(S7/M7,"")</f>
        <v>6025.0784896863242</v>
      </c>
      <c r="U7" s="60">
        <f>IFERROR(T7*I7,"")</f>
        <v>6025.0784896863242</v>
      </c>
      <c r="V7" s="71">
        <v>28</v>
      </c>
      <c r="W7" s="650" t="s">
        <v>5</v>
      </c>
      <c r="X7" s="650"/>
      <c r="Y7" s="650"/>
      <c r="Z7" s="650" t="s">
        <v>5</v>
      </c>
      <c r="AA7" s="650"/>
      <c r="AB7" s="650"/>
      <c r="AC7" s="650" t="s">
        <v>5</v>
      </c>
      <c r="AD7" s="650"/>
      <c r="AE7" s="650"/>
      <c r="AF7" s="205" t="s">
        <v>5</v>
      </c>
      <c r="AG7" s="650"/>
      <c r="AH7" s="650"/>
      <c r="AI7" s="205" t="str">
        <f>+IF(U7="","",IF(U7&gt;=[7]PARÁMETROS!$D$5,"CUMPLE","NO CUMPLE"))</f>
        <v>CUMPLE</v>
      </c>
      <c r="AJ7" s="143"/>
      <c r="AK7" s="112"/>
    </row>
    <row r="8" spans="1:39" s="79" customFormat="1" ht="55.5" customHeight="1" x14ac:dyDescent="0.25">
      <c r="A8" s="653"/>
      <c r="B8" s="63" t="s">
        <v>282</v>
      </c>
      <c r="C8" s="409">
        <v>111</v>
      </c>
      <c r="D8" s="65" t="str">
        <f>+IFERROR(INDEX([7]CONSOLIDADO!$D$4:$D$108,MATCH('EXP GEN. 9-16'!B8,[7]CONSOLIDADO!$C$4:$C$108,0)),"")</f>
        <v xml:space="preserve">GETINSA INGENIERIA SL SUCURSAL COLOMBIA </v>
      </c>
      <c r="E8" s="66" t="s">
        <v>544</v>
      </c>
      <c r="F8" s="67" t="s">
        <v>548</v>
      </c>
      <c r="G8" s="205" t="s">
        <v>5</v>
      </c>
      <c r="H8" s="205" t="s">
        <v>5</v>
      </c>
      <c r="I8" s="69">
        <v>0.6</v>
      </c>
      <c r="J8" s="70">
        <v>36857</v>
      </c>
      <c r="K8" s="70">
        <v>39172</v>
      </c>
      <c r="L8" s="71">
        <f t="shared" si="0"/>
        <v>2007</v>
      </c>
      <c r="M8" s="72">
        <f>+IFERROR(INDEX([7]PARÁMETROS!$B$11:$B$37,MATCH(L8,[7]PARÁMETROS!$A$11:$A$37,0)),"")</f>
        <v>433700</v>
      </c>
      <c r="N8" s="285">
        <v>4056429.75</v>
      </c>
      <c r="O8" s="74" t="s">
        <v>546</v>
      </c>
      <c r="P8" s="63">
        <v>1.3297000000000001</v>
      </c>
      <c r="Q8" s="76">
        <f>+N8*P8</f>
        <v>5393834.6385750007</v>
      </c>
      <c r="R8" s="76">
        <v>2186.21</v>
      </c>
      <c r="S8" s="72">
        <f>IF(R8&lt;&gt;"",Q8*R8,"")</f>
        <v>11792055225.199053</v>
      </c>
      <c r="T8" s="60">
        <f>+IFERROR(S8/M8,"")</f>
        <v>27189.428695409391</v>
      </c>
      <c r="U8" s="60">
        <f>IFERROR(T8*I8,"")</f>
        <v>16313.657217245634</v>
      </c>
      <c r="V8" s="71">
        <v>29</v>
      </c>
      <c r="W8" s="650" t="s">
        <v>5</v>
      </c>
      <c r="X8" s="650"/>
      <c r="Y8" s="650"/>
      <c r="Z8" s="650" t="s">
        <v>5</v>
      </c>
      <c r="AA8" s="650"/>
      <c r="AB8" s="650"/>
      <c r="AC8" s="650" t="s">
        <v>5</v>
      </c>
      <c r="AD8" s="650"/>
      <c r="AE8" s="650"/>
      <c r="AF8" s="205" t="s">
        <v>5</v>
      </c>
      <c r="AG8" s="650"/>
      <c r="AH8" s="650"/>
      <c r="AI8" s="205" t="str">
        <f>+IF(U8="","",IF(U8&gt;=[7]PARÁMETROS!$D$5,"CUMPLE","NO CUMPLE"))</f>
        <v>CUMPLE</v>
      </c>
      <c r="AJ8" s="143"/>
      <c r="AK8" s="112"/>
    </row>
    <row r="9" spans="1:39" s="79" customFormat="1" ht="51" customHeight="1" x14ac:dyDescent="0.25">
      <c r="A9" s="653"/>
      <c r="B9" s="63" t="s">
        <v>282</v>
      </c>
      <c r="C9" s="409">
        <v>115</v>
      </c>
      <c r="D9" s="65" t="str">
        <f>+IFERROR(INDEX([7]CONSOLIDADO!$D$4:$D$108,MATCH('EXP GEN. 9-16'!B9,[7]CONSOLIDADO!$C$4:$C$108,0)),"")</f>
        <v xml:space="preserve">GETINSA INGENIERIA SL SUCURSAL COLOMBIA </v>
      </c>
      <c r="E9" s="66" t="s">
        <v>544</v>
      </c>
      <c r="F9" s="67" t="s">
        <v>549</v>
      </c>
      <c r="G9" s="205" t="s">
        <v>5</v>
      </c>
      <c r="H9" s="205" t="s">
        <v>5</v>
      </c>
      <c r="I9" s="69">
        <v>1</v>
      </c>
      <c r="J9" s="70">
        <v>38681</v>
      </c>
      <c r="K9" s="70">
        <v>39777</v>
      </c>
      <c r="L9" s="71">
        <f t="shared" si="0"/>
        <v>2008</v>
      </c>
      <c r="M9" s="72">
        <f>+IFERROR(INDEX([7]PARÁMETROS!$B$11:$B$37,MATCH(L9,[7]PARÁMETROS!$A$11:$A$37,0)),"")</f>
        <v>461500</v>
      </c>
      <c r="N9" s="285">
        <v>763582.06</v>
      </c>
      <c r="O9" s="74" t="s">
        <v>546</v>
      </c>
      <c r="P9" s="63">
        <v>1.2687600000000001</v>
      </c>
      <c r="Q9" s="75">
        <f>+N9*P9</f>
        <v>968802.3744456002</v>
      </c>
      <c r="R9" s="76">
        <v>2314.7199999999998</v>
      </c>
      <c r="S9" s="72">
        <f>IF(R9&lt;&gt;"",Q9*R9,"")</f>
        <v>2242506232.1767197</v>
      </c>
      <c r="T9" s="60">
        <f>+IFERROR(S9/M9,"")</f>
        <v>4859.168433752372</v>
      </c>
      <c r="U9" s="60">
        <f>IFERROR(T9*I9,"")</f>
        <v>4859.168433752372</v>
      </c>
      <c r="V9" s="71">
        <v>30</v>
      </c>
      <c r="W9" s="650" t="s">
        <v>5</v>
      </c>
      <c r="X9" s="650"/>
      <c r="Y9" s="650"/>
      <c r="Z9" s="650" t="s">
        <v>5</v>
      </c>
      <c r="AA9" s="650"/>
      <c r="AB9" s="650"/>
      <c r="AC9" s="650" t="s">
        <v>5</v>
      </c>
      <c r="AD9" s="650"/>
      <c r="AE9" s="650"/>
      <c r="AF9" s="205" t="s">
        <v>5</v>
      </c>
      <c r="AG9" s="650"/>
      <c r="AH9" s="650"/>
      <c r="AI9" s="205" t="str">
        <f>+IF(U9="","",IF(U9&gt;=[7]PARÁMETROS!$D$5,"CUMPLE","NO CUMPLE"))</f>
        <v>CUMPLE</v>
      </c>
      <c r="AJ9" s="143"/>
      <c r="AK9" s="112"/>
    </row>
    <row r="10" spans="1:39" s="79" customFormat="1" ht="33.75" customHeight="1" x14ac:dyDescent="0.25">
      <c r="A10" s="653"/>
      <c r="B10" s="63" t="s">
        <v>283</v>
      </c>
      <c r="C10" s="409">
        <v>122</v>
      </c>
      <c r="D10" s="65" t="str">
        <f>+IFERROR(INDEX([7]CONSOLIDADO!$D$4:$D$108,MATCH('EXP GEN. 9-16'!B10,[7]CONSOLIDADO!$C$4:$C$108,0)),"")</f>
        <v xml:space="preserve">EUROESTUDIOS INGENIEROS DE CONSULTA S.A.S. </v>
      </c>
      <c r="E10" s="66" t="s">
        <v>550</v>
      </c>
      <c r="F10" s="67" t="s">
        <v>551</v>
      </c>
      <c r="G10" s="205" t="s">
        <v>5</v>
      </c>
      <c r="H10" s="205" t="s">
        <v>5</v>
      </c>
      <c r="I10" s="69">
        <v>0.75</v>
      </c>
      <c r="J10" s="70">
        <v>39521</v>
      </c>
      <c r="K10" s="70">
        <v>40999</v>
      </c>
      <c r="L10" s="71">
        <f t="shared" si="0"/>
        <v>2012</v>
      </c>
      <c r="M10" s="72">
        <f>+IFERROR(INDEX([7]PARÁMETROS!$B$11:$B$37,MATCH(L10,[7]PARÁMETROS!$A$11:$A$37,0)),"")</f>
        <v>566700</v>
      </c>
      <c r="N10" s="73">
        <v>7072964150</v>
      </c>
      <c r="O10" s="74" t="s">
        <v>20</v>
      </c>
      <c r="P10" s="63" t="s">
        <v>54</v>
      </c>
      <c r="Q10" s="75" t="s">
        <v>54</v>
      </c>
      <c r="R10" s="76">
        <v>1</v>
      </c>
      <c r="S10" s="72">
        <f t="shared" si="1"/>
        <v>7072964150</v>
      </c>
      <c r="T10" s="60">
        <f t="shared" si="2"/>
        <v>12480.967266631375</v>
      </c>
      <c r="U10" s="60">
        <f t="shared" si="3"/>
        <v>9360.7254499735318</v>
      </c>
      <c r="V10" s="71">
        <v>31</v>
      </c>
      <c r="W10" s="650" t="s">
        <v>6</v>
      </c>
      <c r="X10" s="650"/>
      <c r="Y10" s="650"/>
      <c r="Z10" s="650" t="s">
        <v>5</v>
      </c>
      <c r="AA10" s="650"/>
      <c r="AB10" s="650"/>
      <c r="AC10" s="650" t="s">
        <v>5</v>
      </c>
      <c r="AD10" s="650"/>
      <c r="AE10" s="650"/>
      <c r="AF10" s="205" t="s">
        <v>5</v>
      </c>
      <c r="AG10" s="650"/>
      <c r="AH10" s="650"/>
      <c r="AI10" s="205" t="str">
        <f>+IF(U10="","",IF(U10&gt;=[7]PARÁMETROS!$D$5,"CUMPLE","NO CUMPLE"))</f>
        <v>CUMPLE</v>
      </c>
      <c r="AJ10" s="143"/>
      <c r="AK10" s="112"/>
    </row>
    <row r="11" spans="1:39" s="79" customFormat="1" ht="30" customHeight="1" thickBot="1" x14ac:dyDescent="0.3">
      <c r="A11" s="654"/>
      <c r="B11" s="145" t="s">
        <v>283</v>
      </c>
      <c r="C11" s="411">
        <v>141</v>
      </c>
      <c r="D11" s="146" t="str">
        <f>+IFERROR(INDEX([7]CONSOLIDADO!$D$4:$D$108,MATCH('EXP GEN. 9-16'!B11,[7]CONSOLIDADO!$C$4:$C$108,0)),"")</f>
        <v xml:space="preserve">EUROESTUDIOS INGENIEROS DE CONSULTA S.A.S. </v>
      </c>
      <c r="E11" s="147" t="s">
        <v>552</v>
      </c>
      <c r="F11" s="148" t="s">
        <v>553</v>
      </c>
      <c r="G11" s="208" t="s">
        <v>5</v>
      </c>
      <c r="H11" s="208" t="s">
        <v>5</v>
      </c>
      <c r="I11" s="150">
        <v>0.5</v>
      </c>
      <c r="J11" s="151">
        <v>39694</v>
      </c>
      <c r="K11" s="151">
        <v>40283</v>
      </c>
      <c r="L11" s="152">
        <f t="shared" si="0"/>
        <v>2010</v>
      </c>
      <c r="M11" s="153">
        <f>+IFERROR(INDEX([7]PARÁMETROS!$B$11:$B$37,MATCH(L11,[7]PARÁMETROS!$A$11:$A$37,0)),"")</f>
        <v>515000</v>
      </c>
      <c r="N11" s="154">
        <v>3136622318</v>
      </c>
      <c r="O11" s="155" t="s">
        <v>20</v>
      </c>
      <c r="P11" s="145" t="s">
        <v>54</v>
      </c>
      <c r="Q11" s="156" t="s">
        <v>54</v>
      </c>
      <c r="R11" s="157">
        <v>1</v>
      </c>
      <c r="S11" s="153">
        <f t="shared" si="1"/>
        <v>3136622318</v>
      </c>
      <c r="T11" s="158">
        <f t="shared" si="2"/>
        <v>6090.5287728155336</v>
      </c>
      <c r="U11" s="158">
        <f t="shared" si="3"/>
        <v>3045.2643864077668</v>
      </c>
      <c r="V11" s="152">
        <v>33</v>
      </c>
      <c r="W11" s="650" t="s">
        <v>6</v>
      </c>
      <c r="X11" s="650"/>
      <c r="Y11" s="650"/>
      <c r="Z11" s="650" t="s">
        <v>5</v>
      </c>
      <c r="AA11" s="650"/>
      <c r="AB11" s="650"/>
      <c r="AC11" s="650" t="s">
        <v>5</v>
      </c>
      <c r="AD11" s="650"/>
      <c r="AE11" s="650"/>
      <c r="AF11" s="205" t="s">
        <v>5</v>
      </c>
      <c r="AG11" s="651"/>
      <c r="AH11" s="651"/>
      <c r="AI11" s="208" t="str">
        <f>+IF(U11="","",IF(U11&gt;=[7]PARÁMETROS!$D$5,"CUMPLE","NO CUMPLE"))</f>
        <v>CUMPLE</v>
      </c>
      <c r="AJ11" s="160"/>
      <c r="AK11" s="112"/>
    </row>
    <row r="12" spans="1:39" s="79" customFormat="1" ht="74.25" customHeight="1" x14ac:dyDescent="0.25">
      <c r="A12" s="652" t="s">
        <v>181</v>
      </c>
      <c r="B12" s="125" t="s">
        <v>284</v>
      </c>
      <c r="C12" s="408">
        <v>65</v>
      </c>
      <c r="D12" s="127" t="str">
        <f>+IFERROR(INDEX([7]CONSOLIDADO!$D$4:$D$108,MATCH('EXP GEN. 9-16'!B12,[7]CONSOLIDADO!$C$4:$C$108,0)),"")</f>
        <v>INGENIERIA Y CONSULTORIA INGECON S.A.S.</v>
      </c>
      <c r="E12" s="128" t="s">
        <v>554</v>
      </c>
      <c r="F12" s="129" t="s">
        <v>555</v>
      </c>
      <c r="G12" s="207" t="s">
        <v>5</v>
      </c>
      <c r="H12" s="207" t="s">
        <v>5</v>
      </c>
      <c r="I12" s="131">
        <v>1</v>
      </c>
      <c r="J12" s="132">
        <v>39156</v>
      </c>
      <c r="K12" s="132">
        <v>39964</v>
      </c>
      <c r="L12" s="133">
        <f t="shared" si="0"/>
        <v>2009</v>
      </c>
      <c r="M12" s="134">
        <f>+IFERROR(INDEX([7]PARÁMETROS!$B$11:$B$37,MATCH(L12,[7]PARÁMETROS!$A$11:$A$37,0)),"")</f>
        <v>496900</v>
      </c>
      <c r="N12" s="249">
        <v>2927141854</v>
      </c>
      <c r="O12" s="203" t="s">
        <v>20</v>
      </c>
      <c r="P12" s="210" t="s">
        <v>54</v>
      </c>
      <c r="Q12" s="219" t="s">
        <v>54</v>
      </c>
      <c r="R12" s="220">
        <v>1</v>
      </c>
      <c r="S12" s="134">
        <f t="shared" si="1"/>
        <v>2927141854</v>
      </c>
      <c r="T12" s="139">
        <f t="shared" si="2"/>
        <v>5890.8067095995166</v>
      </c>
      <c r="U12" s="139">
        <f t="shared" si="3"/>
        <v>5890.8067095995166</v>
      </c>
      <c r="V12" s="133">
        <v>21</v>
      </c>
      <c r="W12" s="649" t="s">
        <v>6</v>
      </c>
      <c r="X12" s="649"/>
      <c r="Y12" s="649"/>
      <c r="Z12" s="649" t="s">
        <v>5</v>
      </c>
      <c r="AA12" s="649"/>
      <c r="AB12" s="649"/>
      <c r="AC12" s="649" t="s">
        <v>5</v>
      </c>
      <c r="AD12" s="649"/>
      <c r="AE12" s="649"/>
      <c r="AF12" s="207" t="s">
        <v>5</v>
      </c>
      <c r="AG12" s="649" t="str">
        <f>IF(U12="","",IF(SUM(U12:U16)&gt;=[7]PARÁMETROS!$H$5,"CUMPLE","NO CUMPLE"))</f>
        <v>CUMPLE</v>
      </c>
      <c r="AH12" s="649" t="str">
        <f>IF(U12="","",IF(U12+U13&gt;=[7]PARÁMETROS!$F$5,"CUMPLE","NO CUMPLE"))</f>
        <v>CUMPLE</v>
      </c>
      <c r="AI12" s="207" t="str">
        <f>+IF(U12="","",IF(U12&gt;=[7]PARÁMETROS!$D$5,"CUMPLE","NO CUMPLE"))</f>
        <v>CUMPLE</v>
      </c>
      <c r="AJ12" s="142"/>
      <c r="AK12" s="112"/>
    </row>
    <row r="13" spans="1:39" s="79" customFormat="1" ht="53.25" customHeight="1" x14ac:dyDescent="0.25">
      <c r="A13" s="653"/>
      <c r="B13" s="63" t="s">
        <v>284</v>
      </c>
      <c r="C13" s="409">
        <v>80</v>
      </c>
      <c r="D13" s="65" t="str">
        <f>+IFERROR(INDEX([7]CONSOLIDADO!$D$4:$D$108,MATCH('EXP GEN. 9-16'!B13,[7]CONSOLIDADO!$C$4:$C$108,0)),"")</f>
        <v>INGENIERIA Y CONSULTORIA INGECON S.A.S.</v>
      </c>
      <c r="E13" s="66" t="s">
        <v>552</v>
      </c>
      <c r="F13" s="66" t="s">
        <v>556</v>
      </c>
      <c r="G13" s="205" t="s">
        <v>5</v>
      </c>
      <c r="H13" s="205" t="s">
        <v>5</v>
      </c>
      <c r="I13" s="80">
        <v>1</v>
      </c>
      <c r="J13" s="70">
        <v>39147</v>
      </c>
      <c r="K13" s="70">
        <v>40016</v>
      </c>
      <c r="L13" s="71">
        <f t="shared" si="0"/>
        <v>2009</v>
      </c>
      <c r="M13" s="72">
        <f>+IFERROR(INDEX([7]PARÁMETROS!$B$11:$B$37,MATCH(L13,[7]PARÁMETROS!$A$11:$A$37,0)),"")</f>
        <v>496900</v>
      </c>
      <c r="N13" s="286">
        <v>4704397815</v>
      </c>
      <c r="O13" s="72" t="s">
        <v>20</v>
      </c>
      <c r="P13" s="63" t="s">
        <v>54</v>
      </c>
      <c r="Q13" s="75" t="s">
        <v>54</v>
      </c>
      <c r="R13" s="76">
        <v>1</v>
      </c>
      <c r="S13" s="72">
        <f t="shared" si="1"/>
        <v>4704397815</v>
      </c>
      <c r="T13" s="60">
        <f t="shared" si="2"/>
        <v>9467.4940933789494</v>
      </c>
      <c r="U13" s="60">
        <f t="shared" si="3"/>
        <v>9467.4940933789494</v>
      </c>
      <c r="V13" s="71">
        <v>5</v>
      </c>
      <c r="W13" s="650" t="s">
        <v>5</v>
      </c>
      <c r="X13" s="650"/>
      <c r="Y13" s="650"/>
      <c r="Z13" s="650" t="s">
        <v>5</v>
      </c>
      <c r="AA13" s="650"/>
      <c r="AB13" s="650"/>
      <c r="AC13" s="650" t="s">
        <v>5</v>
      </c>
      <c r="AD13" s="650"/>
      <c r="AE13" s="650"/>
      <c r="AF13" s="205" t="s">
        <v>5</v>
      </c>
      <c r="AG13" s="650"/>
      <c r="AH13" s="650"/>
      <c r="AI13" s="205" t="str">
        <f>+IF(U13="","",IF(U13&gt;=[7]PARÁMETROS!$D$5,"CUMPLE","NO CUMPLE"))</f>
        <v>CUMPLE</v>
      </c>
      <c r="AJ13" s="143"/>
      <c r="AK13" s="112"/>
    </row>
    <row r="14" spans="1:39" s="79" customFormat="1" ht="72" customHeight="1" x14ac:dyDescent="0.25">
      <c r="A14" s="653"/>
      <c r="B14" s="63" t="s">
        <v>285</v>
      </c>
      <c r="C14" s="409">
        <v>85</v>
      </c>
      <c r="D14" s="65" t="str">
        <f>+IFERROR(INDEX([7]CONSOLIDADO!$D$4:$D$108,MATCH('EXP GEN. 9-16'!B14,[7]CONSOLIDADO!$C$4:$C$108,0)),"")</f>
        <v>CONSULTORIA INTEGRAL EN INGENIERIA S.A. DE CV</v>
      </c>
      <c r="E14" s="66" t="s">
        <v>557</v>
      </c>
      <c r="F14" s="67" t="s">
        <v>558</v>
      </c>
      <c r="G14" s="205" t="s">
        <v>5</v>
      </c>
      <c r="H14" s="205" t="s">
        <v>5</v>
      </c>
      <c r="I14" s="69">
        <v>1</v>
      </c>
      <c r="J14" s="70">
        <v>37809</v>
      </c>
      <c r="K14" s="70">
        <v>38260</v>
      </c>
      <c r="L14" s="71">
        <f t="shared" si="0"/>
        <v>2004</v>
      </c>
      <c r="M14" s="72">
        <f>+IFERROR(INDEX([7]PARÁMETROS!$B$11:$B$37,MATCH(L14,[7]PARÁMETROS!$A$11:$A$37,0)),"")</f>
        <v>358000</v>
      </c>
      <c r="N14" s="250">
        <v>19507017.219999999</v>
      </c>
      <c r="O14" s="72" t="s">
        <v>559</v>
      </c>
      <c r="P14" s="63">
        <v>8.7510000000000004E-2</v>
      </c>
      <c r="Q14" s="75">
        <f>+N14*P14</f>
        <v>1707059.0769221999</v>
      </c>
      <c r="R14" s="76">
        <v>2595.17</v>
      </c>
      <c r="S14" s="72">
        <f>IF(R14&lt;&gt;"",Q14*R14,"")</f>
        <v>4430108504.6561861</v>
      </c>
      <c r="T14" s="60">
        <f t="shared" si="2"/>
        <v>12374.604761609458</v>
      </c>
      <c r="U14" s="60">
        <f t="shared" si="3"/>
        <v>12374.604761609458</v>
      </c>
      <c r="V14" s="71">
        <v>21</v>
      </c>
      <c r="W14" s="650" t="s">
        <v>5</v>
      </c>
      <c r="X14" s="650"/>
      <c r="Y14" s="650"/>
      <c r="Z14" s="650" t="s">
        <v>5</v>
      </c>
      <c r="AA14" s="650"/>
      <c r="AB14" s="650"/>
      <c r="AC14" s="650" t="s">
        <v>5</v>
      </c>
      <c r="AD14" s="650"/>
      <c r="AE14" s="650"/>
      <c r="AF14" s="205" t="s">
        <v>5</v>
      </c>
      <c r="AG14" s="650"/>
      <c r="AH14" s="650"/>
      <c r="AI14" s="205" t="str">
        <f>+IF(U14="","",IF(U14&gt;=[7]PARÁMETROS!$D$5,"CUMPLE","NO CUMPLE"))</f>
        <v>CUMPLE</v>
      </c>
      <c r="AJ14" s="143"/>
      <c r="AK14" s="112"/>
    </row>
    <row r="15" spans="1:39" s="79" customFormat="1" ht="60.75" customHeight="1" x14ac:dyDescent="0.25">
      <c r="A15" s="653"/>
      <c r="B15" s="63" t="s">
        <v>285</v>
      </c>
      <c r="C15" s="409">
        <v>144</v>
      </c>
      <c r="D15" s="65" t="str">
        <f>+IFERROR(INDEX([7]CONSOLIDADO!$D$4:$D$108,MATCH('EXP GEN. 9-16'!B15,[7]CONSOLIDADO!$C$4:$C$108,0)),"")</f>
        <v>CONSULTORIA INTEGRAL EN INGENIERIA S.A. DE CV</v>
      </c>
      <c r="E15" s="66" t="s">
        <v>557</v>
      </c>
      <c r="F15" s="82" t="s">
        <v>560</v>
      </c>
      <c r="G15" s="205" t="s">
        <v>5</v>
      </c>
      <c r="H15" s="205" t="s">
        <v>5</v>
      </c>
      <c r="I15" s="69">
        <v>1</v>
      </c>
      <c r="J15" s="70">
        <v>38467</v>
      </c>
      <c r="K15" s="70">
        <v>38960</v>
      </c>
      <c r="L15" s="71">
        <f t="shared" si="0"/>
        <v>2006</v>
      </c>
      <c r="M15" s="72">
        <f>+IFERROR(INDEX([7]PARÁMETROS!$B$11:$B$37,MATCH(L15,[7]PARÁMETROS!$A$11:$A$37,0)),"")</f>
        <v>408000</v>
      </c>
      <c r="N15" s="250">
        <v>13552658.470000001</v>
      </c>
      <c r="O15" s="72" t="s">
        <v>559</v>
      </c>
      <c r="P15" s="63">
        <v>9.1899999999999996E-2</v>
      </c>
      <c r="Q15" s="75">
        <f>+N15*P15</f>
        <v>1245489.313393</v>
      </c>
      <c r="R15" s="76">
        <v>2396.63</v>
      </c>
      <c r="S15" s="72">
        <f>IF(R15&lt;&gt;"",Q15*R15,"")</f>
        <v>2984977053.1570659</v>
      </c>
      <c r="T15" s="60">
        <f t="shared" si="2"/>
        <v>7316.1202283261418</v>
      </c>
      <c r="U15" s="60">
        <f t="shared" si="3"/>
        <v>7316.1202283261418</v>
      </c>
      <c r="V15" s="71">
        <v>25</v>
      </c>
      <c r="W15" s="650" t="s">
        <v>5</v>
      </c>
      <c r="X15" s="650"/>
      <c r="Y15" s="650"/>
      <c r="Z15" s="650" t="s">
        <v>5</v>
      </c>
      <c r="AA15" s="650"/>
      <c r="AB15" s="650"/>
      <c r="AC15" s="650" t="s">
        <v>5</v>
      </c>
      <c r="AD15" s="650"/>
      <c r="AE15" s="650"/>
      <c r="AF15" s="205" t="s">
        <v>5</v>
      </c>
      <c r="AG15" s="650"/>
      <c r="AH15" s="650"/>
      <c r="AI15" s="205" t="str">
        <f>+IF(U15="","",IF(U15&gt;=[7]PARÁMETROS!$D$5,"CUMPLE","NO CUMPLE"))</f>
        <v>CUMPLE</v>
      </c>
      <c r="AJ15" s="143"/>
      <c r="AK15" s="112"/>
    </row>
    <row r="16" spans="1:39" s="79" customFormat="1" ht="63" customHeight="1" thickBot="1" x14ac:dyDescent="0.3">
      <c r="A16" s="653"/>
      <c r="B16" s="63" t="s">
        <v>285</v>
      </c>
      <c r="C16" s="409">
        <v>162</v>
      </c>
      <c r="D16" s="65" t="str">
        <f>+IFERROR(INDEX([7]CONSOLIDADO!$D$4:$D$108,MATCH('EXP GEN. 9-16'!B16,[7]CONSOLIDADO!$C$4:$C$108,0)),"")</f>
        <v>CONSULTORIA INTEGRAL EN INGENIERIA S.A. DE CV</v>
      </c>
      <c r="E16" s="66" t="s">
        <v>557</v>
      </c>
      <c r="F16" s="67" t="s">
        <v>561</v>
      </c>
      <c r="G16" s="205" t="s">
        <v>5</v>
      </c>
      <c r="H16" s="205" t="s">
        <v>5</v>
      </c>
      <c r="I16" s="69">
        <v>1</v>
      </c>
      <c r="J16" s="70">
        <v>40735</v>
      </c>
      <c r="K16" s="70">
        <v>41079</v>
      </c>
      <c r="L16" s="71">
        <f t="shared" si="0"/>
        <v>2012</v>
      </c>
      <c r="M16" s="72">
        <f>+IFERROR(INDEX([7]PARÁMETROS!$B$11:$B$37,MATCH(L16,[7]PARÁMETROS!$A$11:$A$37,0)),"")</f>
        <v>566700</v>
      </c>
      <c r="N16" s="250">
        <v>17552043.609999999</v>
      </c>
      <c r="O16" s="72" t="s">
        <v>559</v>
      </c>
      <c r="P16" s="63">
        <v>7.2069999999999995E-2</v>
      </c>
      <c r="Q16" s="75">
        <f>+N16*P16</f>
        <v>1264975.7829727</v>
      </c>
      <c r="R16" s="287">
        <v>1786.21</v>
      </c>
      <c r="S16" s="72">
        <f>IF(R16&lt;&gt;"",Q16*R16,"")</f>
        <v>2259512393.3036666</v>
      </c>
      <c r="T16" s="60">
        <f t="shared" si="2"/>
        <v>3987.1402740491735</v>
      </c>
      <c r="U16" s="60">
        <f t="shared" si="3"/>
        <v>3987.1402740491735</v>
      </c>
      <c r="V16" s="71">
        <v>10</v>
      </c>
      <c r="W16" s="650" t="s">
        <v>6</v>
      </c>
      <c r="X16" s="650"/>
      <c r="Y16" s="650"/>
      <c r="Z16" s="650" t="s">
        <v>6</v>
      </c>
      <c r="AA16" s="650"/>
      <c r="AB16" s="650"/>
      <c r="AC16" s="650" t="s">
        <v>5</v>
      </c>
      <c r="AD16" s="650"/>
      <c r="AE16" s="650"/>
      <c r="AF16" s="205" t="s">
        <v>5</v>
      </c>
      <c r="AG16" s="650"/>
      <c r="AH16" s="650"/>
      <c r="AI16" s="205" t="str">
        <f>+IF(U16="","",IF(U16&gt;=[7]PARÁMETROS!$D$5,"CUMPLE","NO CUMPLE"))</f>
        <v>CUMPLE</v>
      </c>
      <c r="AJ16" s="143"/>
      <c r="AK16" s="112"/>
    </row>
    <row r="17" spans="1:37" s="79" customFormat="1" ht="54.75" customHeight="1" x14ac:dyDescent="0.25">
      <c r="A17" s="652" t="s">
        <v>185</v>
      </c>
      <c r="B17" s="125" t="s">
        <v>286</v>
      </c>
      <c r="C17" s="408">
        <v>133</v>
      </c>
      <c r="D17" s="127" t="str">
        <f>+IFERROR(INDEX([7]CONSOLIDADO!$D$4:$D$108,MATCH('EXP GEN. 9-16'!B17,[7]CONSOLIDADO!$C$4:$C$108,0)),"")</f>
        <v>PROYECTOS E INTERVENTORIAS LIMITADA</v>
      </c>
      <c r="E17" s="128" t="s">
        <v>554</v>
      </c>
      <c r="F17" s="129" t="s">
        <v>562</v>
      </c>
      <c r="G17" s="207" t="s">
        <v>5</v>
      </c>
      <c r="H17" s="207" t="s">
        <v>5</v>
      </c>
      <c r="I17" s="131">
        <v>0.7</v>
      </c>
      <c r="J17" s="132">
        <v>39860</v>
      </c>
      <c r="K17" s="132">
        <v>41337</v>
      </c>
      <c r="L17" s="133">
        <f t="shared" si="0"/>
        <v>2013</v>
      </c>
      <c r="M17" s="134">
        <f>+IFERROR(INDEX([7]PARÁMETROS!$B$11:$B$37,MATCH(L17,[7]PARÁMETROS!$A$11:$A$37,0)),"")</f>
        <v>589500</v>
      </c>
      <c r="N17" s="249">
        <v>13157956981</v>
      </c>
      <c r="O17" s="72" t="s">
        <v>20</v>
      </c>
      <c r="P17" s="63" t="s">
        <v>54</v>
      </c>
      <c r="Q17" s="75" t="s">
        <v>54</v>
      </c>
      <c r="R17" s="76">
        <v>1</v>
      </c>
      <c r="S17" s="134">
        <f>IF(R17&lt;&gt;"",N17*R17,"")</f>
        <v>13157956981</v>
      </c>
      <c r="T17" s="139">
        <f>+IFERROR(S17/M17,"")</f>
        <v>22320.537711620018</v>
      </c>
      <c r="U17" s="139">
        <f t="shared" si="3"/>
        <v>15624.376398134011</v>
      </c>
      <c r="V17" s="200">
        <v>70</v>
      </c>
      <c r="W17" s="649" t="s">
        <v>5</v>
      </c>
      <c r="X17" s="649"/>
      <c r="Y17" s="649"/>
      <c r="Z17" s="649" t="s">
        <v>5</v>
      </c>
      <c r="AA17" s="649"/>
      <c r="AB17" s="649"/>
      <c r="AC17" s="649" t="s">
        <v>5</v>
      </c>
      <c r="AD17" s="649"/>
      <c r="AE17" s="649"/>
      <c r="AF17" s="207" t="s">
        <v>5</v>
      </c>
      <c r="AG17" s="649" t="str">
        <f>IF(U17="","",IF(SUM(U17:U19)&gt;=[7]PARÁMETROS!$H$5,"CUMPLE","NO CUMPLE"))</f>
        <v>CUMPLE</v>
      </c>
      <c r="AH17" s="649" t="str">
        <f>IF(U17="","",IF(U17+U18&gt;=[7]PARÁMETROS!$F$5,"CUMPLE","NO CUMPLE"))</f>
        <v>CUMPLE</v>
      </c>
      <c r="AI17" s="207" t="str">
        <f>+IF(U17="","",IF(U17&gt;=[7]PARÁMETROS!$D$5,"CUMPLE","NO CUMPLE"))</f>
        <v>CUMPLE</v>
      </c>
      <c r="AJ17" s="142"/>
      <c r="AK17" s="112"/>
    </row>
    <row r="18" spans="1:37" s="79" customFormat="1" ht="54.75" customHeight="1" x14ac:dyDescent="0.25">
      <c r="A18" s="653"/>
      <c r="B18" s="63" t="s">
        <v>286</v>
      </c>
      <c r="C18" s="409">
        <v>222</v>
      </c>
      <c r="D18" s="65" t="str">
        <f>+IFERROR(INDEX([7]CONSOLIDADO!$D$4:$D$108,MATCH('EXP GEN. 9-16'!B18,[7]CONSOLIDADO!$C$4:$C$108,0)),"")</f>
        <v>PROYECTOS E INTERVENTORIAS LIMITADA</v>
      </c>
      <c r="E18" s="66" t="s">
        <v>563</v>
      </c>
      <c r="F18" s="67" t="s">
        <v>564</v>
      </c>
      <c r="G18" s="205" t="s">
        <v>5</v>
      </c>
      <c r="H18" s="205" t="s">
        <v>5</v>
      </c>
      <c r="I18" s="69">
        <v>1</v>
      </c>
      <c r="J18" s="70">
        <v>39804</v>
      </c>
      <c r="K18" s="70">
        <v>40390</v>
      </c>
      <c r="L18" s="71">
        <f t="shared" si="0"/>
        <v>2010</v>
      </c>
      <c r="M18" s="72">
        <f>+IFERROR(INDEX([7]PARÁMETROS!$B$11:$B$37,MATCH(L18,[7]PARÁMETROS!$A$11:$A$37,0)),"")</f>
        <v>515000</v>
      </c>
      <c r="N18" s="250">
        <v>2584495082</v>
      </c>
      <c r="O18" s="72" t="s">
        <v>20</v>
      </c>
      <c r="P18" s="63" t="s">
        <v>54</v>
      </c>
      <c r="Q18" s="75" t="s">
        <v>54</v>
      </c>
      <c r="R18" s="76">
        <v>1</v>
      </c>
      <c r="S18" s="72">
        <f t="shared" si="1"/>
        <v>2584495082</v>
      </c>
      <c r="T18" s="60">
        <f t="shared" si="2"/>
        <v>5018.4370524271844</v>
      </c>
      <c r="U18" s="60">
        <f t="shared" si="3"/>
        <v>5018.4370524271844</v>
      </c>
      <c r="V18" s="201">
        <v>49</v>
      </c>
      <c r="W18" s="650" t="s">
        <v>5</v>
      </c>
      <c r="X18" s="650"/>
      <c r="Y18" s="650"/>
      <c r="Z18" s="650" t="s">
        <v>5</v>
      </c>
      <c r="AA18" s="650"/>
      <c r="AB18" s="650"/>
      <c r="AC18" s="650" t="s">
        <v>5</v>
      </c>
      <c r="AD18" s="650"/>
      <c r="AE18" s="650"/>
      <c r="AF18" s="205" t="s">
        <v>5</v>
      </c>
      <c r="AG18" s="650"/>
      <c r="AH18" s="650"/>
      <c r="AI18" s="205" t="str">
        <f>+IF(U18="","",IF(U18&gt;=[7]PARÁMETROS!$D$5,"CUMPLE","NO CUMPLE"))</f>
        <v>CUMPLE</v>
      </c>
      <c r="AJ18" s="143"/>
      <c r="AK18" s="112"/>
    </row>
    <row r="19" spans="1:37" s="79" customFormat="1" ht="62.25" customHeight="1" thickBot="1" x14ac:dyDescent="0.3">
      <c r="A19" s="653"/>
      <c r="B19" s="63" t="s">
        <v>287</v>
      </c>
      <c r="C19" s="409">
        <v>254</v>
      </c>
      <c r="D19" s="65" t="str">
        <f>+IFERROR(INDEX([7]CONSOLIDADO!$D$4:$D$108,MATCH('EXP GEN. 9-16'!B19,[7]CONSOLIDADO!$C$4:$C$108,0)),"")</f>
        <v>INENIERA DE ESTUDIOS Y ASESORIAS S.A.S. INESAS</v>
      </c>
      <c r="E19" s="66" t="s">
        <v>565</v>
      </c>
      <c r="F19" s="67" t="s">
        <v>566</v>
      </c>
      <c r="G19" s="205" t="s">
        <v>5</v>
      </c>
      <c r="H19" s="205" t="s">
        <v>5</v>
      </c>
      <c r="I19" s="69">
        <v>0.75</v>
      </c>
      <c r="J19" s="70">
        <v>38343</v>
      </c>
      <c r="K19" s="70">
        <v>40512</v>
      </c>
      <c r="L19" s="71">
        <f t="shared" si="0"/>
        <v>2010</v>
      </c>
      <c r="M19" s="72">
        <f>+IFERROR(INDEX([7]PARÁMETROS!$B$11:$B$37,MATCH(L19,[7]PARÁMETROS!$A$11:$A$37,0)),"")</f>
        <v>515000</v>
      </c>
      <c r="N19" s="250">
        <v>5720807974</v>
      </c>
      <c r="O19" s="72" t="s">
        <v>20</v>
      </c>
      <c r="P19" s="63" t="s">
        <v>54</v>
      </c>
      <c r="Q19" s="75" t="s">
        <v>54</v>
      </c>
      <c r="R19" s="76">
        <v>1</v>
      </c>
      <c r="S19" s="72">
        <f t="shared" si="1"/>
        <v>5720807974</v>
      </c>
      <c r="T19" s="60">
        <f t="shared" si="2"/>
        <v>11108.364998058252</v>
      </c>
      <c r="U19" s="60">
        <f t="shared" si="3"/>
        <v>8331.2737485436883</v>
      </c>
      <c r="V19" s="201">
        <v>16</v>
      </c>
      <c r="W19" s="650" t="s">
        <v>5</v>
      </c>
      <c r="X19" s="650"/>
      <c r="Y19" s="650"/>
      <c r="Z19" s="650" t="s">
        <v>6</v>
      </c>
      <c r="AA19" s="650"/>
      <c r="AB19" s="650"/>
      <c r="AC19" s="650" t="s">
        <v>5</v>
      </c>
      <c r="AD19" s="650"/>
      <c r="AE19" s="650"/>
      <c r="AF19" s="205" t="s">
        <v>5</v>
      </c>
      <c r="AG19" s="650"/>
      <c r="AH19" s="650"/>
      <c r="AI19" s="205" t="str">
        <f>+IF(U19="","",IF(U19&gt;=[7]PARÁMETROS!$D$5,"CUMPLE","NO CUMPLE"))</f>
        <v>CUMPLE</v>
      </c>
      <c r="AJ19" s="143"/>
      <c r="AK19" s="112"/>
    </row>
    <row r="20" spans="1:37" s="79" customFormat="1" ht="30" customHeight="1" x14ac:dyDescent="0.25">
      <c r="A20" s="652" t="s">
        <v>189</v>
      </c>
      <c r="B20" s="125" t="s">
        <v>288</v>
      </c>
      <c r="C20" s="408">
        <v>196</v>
      </c>
      <c r="D20" s="127" t="str">
        <f>+IFERROR(INDEX([7]CONSOLIDADO!$D$4:$D$108,MATCH('EXP GEN. 9-16'!B20,[7]CONSOLIDADO!$C$4:$C$108,0)),"")</f>
        <v>COMPAÑÍA COLOMBIANA DE CONSULTORES S.A.S. (CCC)</v>
      </c>
      <c r="E20" s="128" t="s">
        <v>539</v>
      </c>
      <c r="F20" s="129" t="s">
        <v>567</v>
      </c>
      <c r="G20" s="207" t="s">
        <v>5</v>
      </c>
      <c r="H20" s="207" t="s">
        <v>5</v>
      </c>
      <c r="I20" s="131">
        <v>1</v>
      </c>
      <c r="J20" s="132">
        <v>34991</v>
      </c>
      <c r="K20" s="132">
        <v>35919</v>
      </c>
      <c r="L20" s="133">
        <f t="shared" si="0"/>
        <v>1998</v>
      </c>
      <c r="M20" s="134">
        <f>+IFERROR(INDEX([7]PARÁMETROS!$B$11:$B$37,MATCH(L20,[7]PARÁMETROS!$A$11:$A$37,0)),"")</f>
        <v>203826</v>
      </c>
      <c r="N20" s="249">
        <v>2786155923</v>
      </c>
      <c r="O20" s="72" t="s">
        <v>20</v>
      </c>
      <c r="P20" s="63" t="s">
        <v>54</v>
      </c>
      <c r="Q20" s="75" t="s">
        <v>54</v>
      </c>
      <c r="R20" s="76">
        <v>1</v>
      </c>
      <c r="S20" s="134">
        <f t="shared" si="1"/>
        <v>2786155923</v>
      </c>
      <c r="T20" s="139">
        <f t="shared" si="2"/>
        <v>13669.28617055724</v>
      </c>
      <c r="U20" s="139">
        <f t="shared" si="3"/>
        <v>13669.28617055724</v>
      </c>
      <c r="V20" s="200">
        <v>2</v>
      </c>
      <c r="W20" s="649" t="s">
        <v>5</v>
      </c>
      <c r="X20" s="649"/>
      <c r="Y20" s="649"/>
      <c r="Z20" s="649" t="s">
        <v>5</v>
      </c>
      <c r="AA20" s="649"/>
      <c r="AB20" s="649"/>
      <c r="AC20" s="649" t="s">
        <v>5</v>
      </c>
      <c r="AD20" s="649"/>
      <c r="AE20" s="649"/>
      <c r="AF20" s="207" t="s">
        <v>5</v>
      </c>
      <c r="AG20" s="679" t="str">
        <f>IF(U20="","",IF(SUM(U20:U25)&gt;=[7]PARÁMETROS!$H$5,"CUMPLE","NO CUMPLE"))</f>
        <v>CUMPLE</v>
      </c>
      <c r="AH20" s="649" t="str">
        <f>IF(U20="","",IF(U20+U21+U22&gt;=[7]PARÁMETROS!$F$5,"CUMPLE","NO CUMPLE"))</f>
        <v>CUMPLE</v>
      </c>
      <c r="AI20" s="207" t="str">
        <f>+IF(U20="","",IF(U20&gt;=[7]PARÁMETROS!$D$5,"CUMPLE","NO CUMPLE"))</f>
        <v>CUMPLE</v>
      </c>
      <c r="AJ20" s="142"/>
      <c r="AK20" s="112"/>
    </row>
    <row r="21" spans="1:37" s="79" customFormat="1" ht="30" customHeight="1" x14ac:dyDescent="0.25">
      <c r="A21" s="653"/>
      <c r="B21" s="63" t="s">
        <v>288</v>
      </c>
      <c r="C21" s="409">
        <v>200</v>
      </c>
      <c r="D21" s="65" t="str">
        <f>+IFERROR(INDEX([7]CONSOLIDADO!$D$4:$D$108,MATCH('EXP GEN. 9-16'!B21,[7]CONSOLIDADO!$C$4:$C$108,0)),"")</f>
        <v>COMPAÑÍA COLOMBIANA DE CONSULTORES S.A.S. (CCC)</v>
      </c>
      <c r="E21" s="66" t="s">
        <v>565</v>
      </c>
      <c r="F21" s="67" t="s">
        <v>568</v>
      </c>
      <c r="G21" s="205" t="s">
        <v>5</v>
      </c>
      <c r="H21" s="205" t="s">
        <v>5</v>
      </c>
      <c r="I21" s="69">
        <v>1</v>
      </c>
      <c r="J21" s="70">
        <v>36950</v>
      </c>
      <c r="K21" s="70">
        <v>37422</v>
      </c>
      <c r="L21" s="71">
        <f t="shared" si="0"/>
        <v>2002</v>
      </c>
      <c r="M21" s="72">
        <f>+IFERROR(INDEX([7]PARÁMETROS!$B$11:$B$37,MATCH(L21,[7]PARÁMETROS!$A$11:$A$37,0)),"")</f>
        <v>309000</v>
      </c>
      <c r="N21" s="250">
        <v>1329179800.6500001</v>
      </c>
      <c r="O21" s="72" t="s">
        <v>20</v>
      </c>
      <c r="P21" s="63" t="s">
        <v>54</v>
      </c>
      <c r="Q21" s="75" t="s">
        <v>54</v>
      </c>
      <c r="R21" s="76">
        <v>1</v>
      </c>
      <c r="S21" s="72">
        <f t="shared" si="1"/>
        <v>1329179800.6500001</v>
      </c>
      <c r="T21" s="60">
        <f t="shared" si="2"/>
        <v>4301.5527529126221</v>
      </c>
      <c r="U21" s="60">
        <f t="shared" si="3"/>
        <v>4301.5527529126221</v>
      </c>
      <c r="V21" s="201">
        <v>9</v>
      </c>
      <c r="W21" s="650" t="s">
        <v>5</v>
      </c>
      <c r="X21" s="650"/>
      <c r="Y21" s="650"/>
      <c r="Z21" s="650" t="s">
        <v>5</v>
      </c>
      <c r="AA21" s="650"/>
      <c r="AB21" s="650"/>
      <c r="AC21" s="650" t="s">
        <v>5</v>
      </c>
      <c r="AD21" s="650"/>
      <c r="AE21" s="650"/>
      <c r="AF21" s="205" t="s">
        <v>5</v>
      </c>
      <c r="AG21" s="680"/>
      <c r="AH21" s="650"/>
      <c r="AI21" s="205" t="str">
        <f>+IF(U21="","",IF(U21&gt;=[7]PARÁMETROS!$D$5,"CUMPLE","NO CUMPLE"))</f>
        <v>CUMPLE</v>
      </c>
      <c r="AJ21" s="143"/>
      <c r="AK21" s="112"/>
    </row>
    <row r="22" spans="1:37" s="79" customFormat="1" ht="48.75" customHeight="1" x14ac:dyDescent="0.25">
      <c r="A22" s="653"/>
      <c r="B22" s="63" t="s">
        <v>288</v>
      </c>
      <c r="C22" s="409">
        <v>202</v>
      </c>
      <c r="D22" s="65" t="str">
        <f>+IFERROR(INDEX([7]CONSOLIDADO!$D$4:$D$108,MATCH('EXP GEN. 9-16'!B22,[7]CONSOLIDADO!$C$4:$C$108,0)),"")</f>
        <v>COMPAÑÍA COLOMBIANA DE CONSULTORES S.A.S. (CCC)</v>
      </c>
      <c r="E22" s="66" t="s">
        <v>565</v>
      </c>
      <c r="F22" s="67" t="s">
        <v>569</v>
      </c>
      <c r="G22" s="205" t="s">
        <v>5</v>
      </c>
      <c r="H22" s="205" t="s">
        <v>5</v>
      </c>
      <c r="I22" s="83">
        <v>1</v>
      </c>
      <c r="J22" s="70">
        <v>37308</v>
      </c>
      <c r="K22" s="70">
        <v>37970</v>
      </c>
      <c r="L22" s="71">
        <f t="shared" si="0"/>
        <v>2003</v>
      </c>
      <c r="M22" s="72">
        <f>+IFERROR(INDEX([7]PARÁMETROS!$B$11:$B$37,MATCH(L22,[7]PARÁMETROS!$A$11:$A$37,0)),"")</f>
        <v>332000</v>
      </c>
      <c r="N22" s="250">
        <v>1207857240.7</v>
      </c>
      <c r="O22" s="72" t="s">
        <v>20</v>
      </c>
      <c r="P22" s="63" t="s">
        <v>54</v>
      </c>
      <c r="Q22" s="75" t="s">
        <v>54</v>
      </c>
      <c r="R22" s="76">
        <v>1</v>
      </c>
      <c r="S22" s="72">
        <f t="shared" si="1"/>
        <v>1207857240.7</v>
      </c>
      <c r="T22" s="60">
        <f t="shared" si="2"/>
        <v>3638.1242189759037</v>
      </c>
      <c r="U22" s="60">
        <f t="shared" si="3"/>
        <v>3638.1242189759037</v>
      </c>
      <c r="V22" s="201">
        <v>13</v>
      </c>
      <c r="W22" s="650" t="s">
        <v>5</v>
      </c>
      <c r="X22" s="650"/>
      <c r="Y22" s="650"/>
      <c r="Z22" s="650" t="s">
        <v>5</v>
      </c>
      <c r="AA22" s="650"/>
      <c r="AB22" s="650"/>
      <c r="AC22" s="650" t="s">
        <v>5</v>
      </c>
      <c r="AD22" s="650"/>
      <c r="AE22" s="650"/>
      <c r="AF22" s="205" t="s">
        <v>5</v>
      </c>
      <c r="AG22" s="680"/>
      <c r="AH22" s="650"/>
      <c r="AI22" s="205" t="str">
        <f>+IF(U22="","",IF(U22&gt;=[7]PARÁMETROS!$D$5,"CUMPLE","NO CUMPLE"))</f>
        <v>CUMPLE</v>
      </c>
      <c r="AJ22" s="174"/>
      <c r="AK22" s="112"/>
    </row>
    <row r="23" spans="1:37" s="88" customFormat="1" ht="47.25" customHeight="1" x14ac:dyDescent="0.25">
      <c r="A23" s="653"/>
      <c r="B23" s="63" t="s">
        <v>289</v>
      </c>
      <c r="C23" s="409">
        <v>204</v>
      </c>
      <c r="D23" s="65" t="str">
        <f>+IFERROR(INDEX([7]CONSOLIDADO!$D$4:$D$108,MATCH('EXP GEN. 9-16'!B23,[7]CONSOLIDADO!$C$4:$C$108,0)),"")</f>
        <v>CONSULTORES EN INGENIERIA S.A.S.</v>
      </c>
      <c r="E23" s="66" t="s">
        <v>565</v>
      </c>
      <c r="F23" s="67" t="s">
        <v>570</v>
      </c>
      <c r="G23" s="205" t="s">
        <v>5</v>
      </c>
      <c r="H23" s="205" t="s">
        <v>5</v>
      </c>
      <c r="I23" s="84">
        <v>1</v>
      </c>
      <c r="J23" s="85">
        <v>35019</v>
      </c>
      <c r="K23" s="86">
        <v>36114</v>
      </c>
      <c r="L23" s="71">
        <f t="shared" si="0"/>
        <v>1998</v>
      </c>
      <c r="M23" s="72">
        <f>+IFERROR(INDEX([7]PARÁMETROS!$B$11:$B$37,MATCH(L23,[7]PARÁMETROS!$A$11:$A$37,0)),"")</f>
        <v>203826</v>
      </c>
      <c r="N23" s="288">
        <v>1910421539</v>
      </c>
      <c r="O23" s="72" t="s">
        <v>20</v>
      </c>
      <c r="P23" s="63" t="s">
        <v>54</v>
      </c>
      <c r="Q23" s="75" t="s">
        <v>54</v>
      </c>
      <c r="R23" s="76">
        <v>1</v>
      </c>
      <c r="S23" s="72">
        <f t="shared" si="1"/>
        <v>1910421539</v>
      </c>
      <c r="T23" s="60">
        <f t="shared" si="2"/>
        <v>9372.805917792628</v>
      </c>
      <c r="U23" s="60">
        <f t="shared" si="3"/>
        <v>9372.805917792628</v>
      </c>
      <c r="V23" s="289">
        <v>3</v>
      </c>
      <c r="W23" s="650" t="s">
        <v>6</v>
      </c>
      <c r="X23" s="650"/>
      <c r="Y23" s="650"/>
      <c r="Z23" s="650" t="s">
        <v>5</v>
      </c>
      <c r="AA23" s="650"/>
      <c r="AB23" s="650"/>
      <c r="AC23" s="650" t="s">
        <v>5</v>
      </c>
      <c r="AD23" s="650"/>
      <c r="AE23" s="650"/>
      <c r="AF23" s="205" t="s">
        <v>5</v>
      </c>
      <c r="AG23" s="680"/>
      <c r="AH23" s="650"/>
      <c r="AI23" s="205" t="str">
        <f>+IF(U23="","",IF(U23&gt;=[7]PARÁMETROS!$D$5,"CUMPLE","NO CUMPLE"))</f>
        <v>CUMPLE</v>
      </c>
      <c r="AJ23" s="143" t="s">
        <v>571</v>
      </c>
      <c r="AK23" s="166"/>
    </row>
    <row r="24" spans="1:37" s="79" customFormat="1" ht="45.75" customHeight="1" x14ac:dyDescent="0.25">
      <c r="A24" s="653"/>
      <c r="B24" s="63" t="s">
        <v>289</v>
      </c>
      <c r="C24" s="409">
        <v>208</v>
      </c>
      <c r="D24" s="65" t="str">
        <f>+IFERROR(INDEX([7]CONSOLIDADO!$D$4:$D$108,MATCH('EXP GEN. 9-16'!B24,[7]CONSOLIDADO!$C$4:$C$108,0)),"")</f>
        <v>CONSULTORES EN INGENIERIA S.A.S.</v>
      </c>
      <c r="E24" s="66" t="s">
        <v>550</v>
      </c>
      <c r="F24" s="67" t="s">
        <v>572</v>
      </c>
      <c r="G24" s="205" t="s">
        <v>5</v>
      </c>
      <c r="H24" s="205" t="s">
        <v>5</v>
      </c>
      <c r="I24" s="69">
        <v>0.4</v>
      </c>
      <c r="J24" s="70">
        <v>41012</v>
      </c>
      <c r="K24" s="70" t="s">
        <v>573</v>
      </c>
      <c r="L24" s="71">
        <v>2015</v>
      </c>
      <c r="M24" s="72">
        <f>+IFERROR(INDEX([7]PARÁMETROS!$B$11:$B$37,MATCH(L24,[7]PARÁMETROS!$A$11:$A$37,0)),"")</f>
        <v>644350</v>
      </c>
      <c r="N24" s="250">
        <v>24067899117</v>
      </c>
      <c r="O24" s="72" t="s">
        <v>20</v>
      </c>
      <c r="P24" s="63" t="s">
        <v>54</v>
      </c>
      <c r="Q24" s="75" t="s">
        <v>54</v>
      </c>
      <c r="R24" s="76">
        <v>1</v>
      </c>
      <c r="S24" s="72">
        <f t="shared" si="1"/>
        <v>24067899117</v>
      </c>
      <c r="T24" s="60">
        <f t="shared" si="2"/>
        <v>37352.214040505933</v>
      </c>
      <c r="U24" s="60">
        <f>IFERROR(T24*I24,"")</f>
        <v>14940.885616202373</v>
      </c>
      <c r="V24" s="201" t="s">
        <v>574</v>
      </c>
      <c r="W24" s="650" t="s">
        <v>575</v>
      </c>
      <c r="X24" s="650"/>
      <c r="Y24" s="650"/>
      <c r="Z24" s="650" t="s">
        <v>575</v>
      </c>
      <c r="AA24" s="650"/>
      <c r="AB24" s="650"/>
      <c r="AC24" s="650" t="s">
        <v>575</v>
      </c>
      <c r="AD24" s="650"/>
      <c r="AE24" s="650"/>
      <c r="AF24" s="205"/>
      <c r="AG24" s="680"/>
      <c r="AH24" s="650"/>
      <c r="AI24" s="205" t="str">
        <f>+IF(U24="","",IF(U24&gt;=[7]PARÁMETROS!$D$5,"CUMPLE","NO CUMPLE"))</f>
        <v>CUMPLE</v>
      </c>
      <c r="AJ24" s="143" t="s">
        <v>571</v>
      </c>
      <c r="AK24" s="112"/>
    </row>
    <row r="25" spans="1:37" s="79" customFormat="1" ht="44.25" customHeight="1" thickBot="1" x14ac:dyDescent="0.3">
      <c r="A25" s="654"/>
      <c r="B25" s="63" t="s">
        <v>289</v>
      </c>
      <c r="C25" s="411">
        <v>212</v>
      </c>
      <c r="D25" s="146" t="str">
        <f>+IFERROR(INDEX([7]CONSOLIDADO!$D$4:$D$108,MATCH('EXP GEN. 9-16'!B25,[7]CONSOLIDADO!$C$4:$C$108,0)),"")</f>
        <v>CONSULTORES EN INGENIERIA S.A.S.</v>
      </c>
      <c r="E25" s="66" t="s">
        <v>565</v>
      </c>
      <c r="F25" s="148" t="s">
        <v>576</v>
      </c>
      <c r="G25" s="208" t="s">
        <v>5</v>
      </c>
      <c r="H25" s="208" t="s">
        <v>5</v>
      </c>
      <c r="I25" s="290">
        <v>0.81799999999999995</v>
      </c>
      <c r="J25" s="151">
        <v>35507</v>
      </c>
      <c r="K25" s="151">
        <v>36543</v>
      </c>
      <c r="L25" s="152">
        <f t="shared" si="0"/>
        <v>2000</v>
      </c>
      <c r="M25" s="153">
        <f>+IFERROR(INDEX([7]PARÁMETROS!$B$11:$B$37,MATCH(L25,[7]PARÁMETROS!$A$11:$A$37,0)),"")</f>
        <v>260100</v>
      </c>
      <c r="N25" s="291">
        <v>4449058497.6599998</v>
      </c>
      <c r="O25" s="72" t="s">
        <v>20</v>
      </c>
      <c r="P25" s="63" t="s">
        <v>54</v>
      </c>
      <c r="Q25" s="75" t="s">
        <v>54</v>
      </c>
      <c r="R25" s="76">
        <v>1</v>
      </c>
      <c r="S25" s="153">
        <f t="shared" si="1"/>
        <v>4449058497.6599998</v>
      </c>
      <c r="T25" s="158">
        <f t="shared" si="2"/>
        <v>17105.184535409458</v>
      </c>
      <c r="U25" s="158">
        <f>IFERROR(T25*I25,"")</f>
        <v>13992.040949964936</v>
      </c>
      <c r="V25" s="190">
        <v>41</v>
      </c>
      <c r="W25" s="650" t="s">
        <v>6</v>
      </c>
      <c r="X25" s="650"/>
      <c r="Y25" s="650"/>
      <c r="Z25" s="650" t="s">
        <v>5</v>
      </c>
      <c r="AA25" s="650"/>
      <c r="AB25" s="650"/>
      <c r="AC25" s="650" t="s">
        <v>5</v>
      </c>
      <c r="AD25" s="650"/>
      <c r="AE25" s="650"/>
      <c r="AF25" s="205" t="s">
        <v>5</v>
      </c>
      <c r="AG25" s="681"/>
      <c r="AH25" s="651"/>
      <c r="AI25" s="208" t="str">
        <f>+IF(U25="","",IF(U25&gt;=[7]PARÁMETROS!$D$5,"CUMPLE","NO CUMPLE"))</f>
        <v>CUMPLE</v>
      </c>
      <c r="AJ25" s="143" t="s">
        <v>571</v>
      </c>
      <c r="AK25" s="112"/>
    </row>
    <row r="26" spans="1:37" s="79" customFormat="1" ht="30" customHeight="1" x14ac:dyDescent="0.25">
      <c r="A26" s="652" t="s">
        <v>193</v>
      </c>
      <c r="B26" s="125" t="s">
        <v>290</v>
      </c>
      <c r="C26" s="408">
        <v>187</v>
      </c>
      <c r="D26" s="127" t="str">
        <f>+IFERROR(INDEX([7]CONSOLIDADO!$D$4:$D$108,MATCH('EXP GEN. 9-16'!B26,[7]CONSOLIDADO!$C$4:$C$108,0)),"")</f>
        <v>SEDIC</v>
      </c>
      <c r="E26" s="128" t="s">
        <v>539</v>
      </c>
      <c r="F26" s="129" t="s">
        <v>577</v>
      </c>
      <c r="G26" s="207" t="s">
        <v>5</v>
      </c>
      <c r="H26" s="207" t="s">
        <v>5</v>
      </c>
      <c r="I26" s="131">
        <v>1</v>
      </c>
      <c r="J26" s="132">
        <v>34358</v>
      </c>
      <c r="K26" s="132">
        <v>35828</v>
      </c>
      <c r="L26" s="133">
        <f t="shared" si="0"/>
        <v>1998</v>
      </c>
      <c r="M26" s="134">
        <f>+IFERROR(INDEX([7]PARÁMETROS!$B$11:$B$37,MATCH(L26,[7]PARÁMETROS!$A$11:$A$37,0)),"")</f>
        <v>203826</v>
      </c>
      <c r="N26" s="249">
        <v>2834448285</v>
      </c>
      <c r="O26" s="136" t="s">
        <v>20</v>
      </c>
      <c r="P26" s="125" t="s">
        <v>54</v>
      </c>
      <c r="Q26" s="137" t="s">
        <v>54</v>
      </c>
      <c r="R26" s="138">
        <v>1</v>
      </c>
      <c r="S26" s="134">
        <f t="shared" si="1"/>
        <v>2834448285</v>
      </c>
      <c r="T26" s="139">
        <f t="shared" si="2"/>
        <v>13906.215522062936</v>
      </c>
      <c r="U26" s="139">
        <f t="shared" si="3"/>
        <v>13906.215522062936</v>
      </c>
      <c r="V26" s="200">
        <v>4</v>
      </c>
      <c r="W26" s="649" t="s">
        <v>6</v>
      </c>
      <c r="X26" s="649"/>
      <c r="Y26" s="649"/>
      <c r="Z26" s="649" t="s">
        <v>6</v>
      </c>
      <c r="AA26" s="649"/>
      <c r="AB26" s="649"/>
      <c r="AC26" s="649" t="s">
        <v>5</v>
      </c>
      <c r="AD26" s="649"/>
      <c r="AE26" s="649"/>
      <c r="AF26" s="207" t="s">
        <v>5</v>
      </c>
      <c r="AG26" s="649" t="str">
        <f>IF(U26="","",IF(SUM(U26:U31)&gt;=[7]PARÁMETROS!$H$5,"CUMPLE","NO CUMPLE"))</f>
        <v>CUMPLE</v>
      </c>
      <c r="AH26" s="649" t="str">
        <f>IF(U26="","",IF(U26+U27+U28+U29&gt;=[7]PARÁMETROS!$F$5,"CUMPLE","NO CUMPLE"))</f>
        <v>CUMPLE</v>
      </c>
      <c r="AI26" s="207" t="str">
        <f>+IF(U26="","",IF(U26&gt;=[7]PARÁMETROS!$D$5,"CUMPLE","NO CUMPLE"))</f>
        <v>CUMPLE</v>
      </c>
      <c r="AJ26" s="142"/>
      <c r="AK26" s="112"/>
    </row>
    <row r="27" spans="1:37" s="79" customFormat="1" ht="45.75" customHeight="1" x14ac:dyDescent="0.25">
      <c r="A27" s="653"/>
      <c r="B27" s="63" t="s">
        <v>290</v>
      </c>
      <c r="C27" s="409">
        <v>189</v>
      </c>
      <c r="D27" s="65" t="str">
        <f>+IFERROR(INDEX([7]CONSOLIDADO!$D$4:$D$108,MATCH('EXP GEN. 9-16'!B27,[7]CONSOLIDADO!$C$4:$C$108,0)),"")</f>
        <v>SEDIC</v>
      </c>
      <c r="E27" s="66" t="s">
        <v>578</v>
      </c>
      <c r="F27" s="67" t="s">
        <v>579</v>
      </c>
      <c r="G27" s="205" t="s">
        <v>5</v>
      </c>
      <c r="H27" s="205" t="s">
        <v>5</v>
      </c>
      <c r="I27" s="69">
        <v>1</v>
      </c>
      <c r="J27" s="70">
        <v>36298</v>
      </c>
      <c r="K27" s="70">
        <v>37425</v>
      </c>
      <c r="L27" s="71">
        <f t="shared" si="0"/>
        <v>2002</v>
      </c>
      <c r="M27" s="72">
        <f>+IFERROR(INDEX([7]PARÁMETROS!$B$11:$B$37,MATCH(L27,[7]PARÁMETROS!$A$11:$A$37,0)),"")</f>
        <v>309000</v>
      </c>
      <c r="N27" s="250">
        <v>3800380053</v>
      </c>
      <c r="O27" s="74" t="s">
        <v>20</v>
      </c>
      <c r="P27" s="63" t="s">
        <v>54</v>
      </c>
      <c r="Q27" s="75" t="s">
        <v>54</v>
      </c>
      <c r="R27" s="76">
        <v>1</v>
      </c>
      <c r="S27" s="72">
        <f t="shared" si="1"/>
        <v>3800380053</v>
      </c>
      <c r="T27" s="60">
        <f t="shared" si="2"/>
        <v>12298.964572815534</v>
      </c>
      <c r="U27" s="60">
        <f t="shared" si="3"/>
        <v>12298.964572815534</v>
      </c>
      <c r="V27" s="201">
        <v>11</v>
      </c>
      <c r="W27" s="650" t="s">
        <v>5</v>
      </c>
      <c r="X27" s="650"/>
      <c r="Y27" s="650"/>
      <c r="Z27" s="650" t="s">
        <v>5</v>
      </c>
      <c r="AA27" s="650"/>
      <c r="AB27" s="650"/>
      <c r="AC27" s="650" t="s">
        <v>5</v>
      </c>
      <c r="AD27" s="650"/>
      <c r="AE27" s="650"/>
      <c r="AF27" s="205" t="s">
        <v>5</v>
      </c>
      <c r="AG27" s="650"/>
      <c r="AH27" s="650"/>
      <c r="AI27" s="205" t="str">
        <f>+IF(U27="","",IF(U27&gt;=[7]PARÁMETROS!$D$5,"CUMPLE","NO CUMPLE"))</f>
        <v>CUMPLE</v>
      </c>
      <c r="AJ27" s="143"/>
      <c r="AK27" s="112"/>
    </row>
    <row r="28" spans="1:37" s="79" customFormat="1" ht="47.25" customHeight="1" x14ac:dyDescent="0.25">
      <c r="A28" s="653"/>
      <c r="B28" s="63" t="s">
        <v>290</v>
      </c>
      <c r="C28" s="409">
        <v>200</v>
      </c>
      <c r="D28" s="65" t="str">
        <f>+IFERROR(INDEX([7]CONSOLIDADO!$D$4:$D$108,MATCH('EXP GEN. 9-16'!B28,[7]CONSOLIDADO!$C$4:$C$108,0)),"")</f>
        <v>SEDIC</v>
      </c>
      <c r="E28" s="66" t="s">
        <v>565</v>
      </c>
      <c r="F28" s="67" t="s">
        <v>580</v>
      </c>
      <c r="G28" s="205" t="s">
        <v>5</v>
      </c>
      <c r="H28" s="205" t="s">
        <v>5</v>
      </c>
      <c r="I28" s="69">
        <v>1</v>
      </c>
      <c r="J28" s="70">
        <v>33161</v>
      </c>
      <c r="K28" s="70">
        <v>35550</v>
      </c>
      <c r="L28" s="71">
        <f t="shared" si="0"/>
        <v>1997</v>
      </c>
      <c r="M28" s="72">
        <f>+IFERROR(INDEX([7]PARÁMETROS!$B$11:$B$37,MATCH(L28,[7]PARÁMETROS!$A$11:$A$37,0)),"")</f>
        <v>172005</v>
      </c>
      <c r="N28" s="250">
        <v>1546808187</v>
      </c>
      <c r="O28" s="74" t="s">
        <v>20</v>
      </c>
      <c r="P28" s="63" t="s">
        <v>54</v>
      </c>
      <c r="Q28" s="75" t="s">
        <v>54</v>
      </c>
      <c r="R28" s="76">
        <v>1</v>
      </c>
      <c r="S28" s="72">
        <f t="shared" si="1"/>
        <v>1546808187</v>
      </c>
      <c r="T28" s="60">
        <f t="shared" si="2"/>
        <v>8992.8094357722166</v>
      </c>
      <c r="U28" s="60">
        <f t="shared" si="3"/>
        <v>8992.8094357722166</v>
      </c>
      <c r="V28" s="201">
        <v>40</v>
      </c>
      <c r="W28" s="650" t="s">
        <v>6</v>
      </c>
      <c r="X28" s="650"/>
      <c r="Y28" s="650"/>
      <c r="Z28" s="650" t="s">
        <v>5</v>
      </c>
      <c r="AA28" s="650"/>
      <c r="AB28" s="650"/>
      <c r="AC28" s="650" t="s">
        <v>5</v>
      </c>
      <c r="AD28" s="650"/>
      <c r="AE28" s="650"/>
      <c r="AF28" s="205" t="s">
        <v>5</v>
      </c>
      <c r="AG28" s="650"/>
      <c r="AH28" s="650"/>
      <c r="AI28" s="205" t="str">
        <f>+IF(U28="","",IF(U28&gt;=[7]PARÁMETROS!$D$5,"CUMPLE","NO CUMPLE"))</f>
        <v>CUMPLE</v>
      </c>
      <c r="AJ28" s="143"/>
      <c r="AK28" s="112"/>
    </row>
    <row r="29" spans="1:37" s="79" customFormat="1" ht="42" customHeight="1" x14ac:dyDescent="0.25">
      <c r="A29" s="653"/>
      <c r="B29" s="63" t="s">
        <v>290</v>
      </c>
      <c r="C29" s="409">
        <v>202</v>
      </c>
      <c r="D29" s="65" t="str">
        <f>+IFERROR(INDEX([7]CONSOLIDADO!$D$4:$D$108,MATCH('EXP GEN. 9-16'!B29,[7]CONSOLIDADO!$C$4:$C$108,0)),"")</f>
        <v>SEDIC</v>
      </c>
      <c r="E29" s="66" t="s">
        <v>565</v>
      </c>
      <c r="F29" s="67" t="s">
        <v>581</v>
      </c>
      <c r="G29" s="205" t="s">
        <v>5</v>
      </c>
      <c r="H29" s="205" t="s">
        <v>5</v>
      </c>
      <c r="I29" s="69">
        <v>0.5</v>
      </c>
      <c r="J29" s="70">
        <v>35136</v>
      </c>
      <c r="K29" s="70">
        <v>35971</v>
      </c>
      <c r="L29" s="71">
        <f t="shared" si="0"/>
        <v>1998</v>
      </c>
      <c r="M29" s="72">
        <f>+IFERROR(INDEX([7]PARÁMETROS!$B$11:$B$37,MATCH(L29,[7]PARÁMETROS!$A$11:$A$37,0)),"")</f>
        <v>203826</v>
      </c>
      <c r="N29" s="250">
        <v>2199833665</v>
      </c>
      <c r="O29" s="74" t="s">
        <v>20</v>
      </c>
      <c r="P29" s="63" t="s">
        <v>54</v>
      </c>
      <c r="Q29" s="75" t="s">
        <v>54</v>
      </c>
      <c r="R29" s="76">
        <v>1</v>
      </c>
      <c r="S29" s="72">
        <f t="shared" si="1"/>
        <v>2199833665</v>
      </c>
      <c r="T29" s="60">
        <f t="shared" si="2"/>
        <v>10792.703899404394</v>
      </c>
      <c r="U29" s="60">
        <f t="shared" si="3"/>
        <v>5396.3519497021971</v>
      </c>
      <c r="V29" s="201">
        <v>50</v>
      </c>
      <c r="W29" s="650" t="s">
        <v>6</v>
      </c>
      <c r="X29" s="650"/>
      <c r="Y29" s="650"/>
      <c r="Z29" s="650" t="s">
        <v>5</v>
      </c>
      <c r="AA29" s="650"/>
      <c r="AB29" s="650"/>
      <c r="AC29" s="650" t="s">
        <v>5</v>
      </c>
      <c r="AD29" s="650"/>
      <c r="AE29" s="650"/>
      <c r="AF29" s="205" t="s">
        <v>5</v>
      </c>
      <c r="AG29" s="650"/>
      <c r="AH29" s="650"/>
      <c r="AI29" s="205" t="str">
        <f>+IF(U29="","",IF(U29&gt;=[7]PARÁMETROS!$D$5,"CUMPLE","NO CUMPLE"))</f>
        <v>CUMPLE</v>
      </c>
      <c r="AJ29" s="143"/>
      <c r="AK29" s="112"/>
    </row>
    <row r="30" spans="1:37" s="79" customFormat="1" ht="51" customHeight="1" x14ac:dyDescent="0.25">
      <c r="A30" s="653"/>
      <c r="B30" s="63" t="s">
        <v>291</v>
      </c>
      <c r="C30" s="409">
        <v>204</v>
      </c>
      <c r="D30" s="65" t="str">
        <f>+IFERROR(INDEX([7]CONSOLIDADO!$D$4:$D$108,MATCH('EXP GEN. 9-16'!B30,[7]CONSOLIDADO!$C$4:$C$108,0)),"")</f>
        <v>CB INGENIEROS</v>
      </c>
      <c r="E30" s="66" t="s">
        <v>565</v>
      </c>
      <c r="F30" s="67" t="s">
        <v>582</v>
      </c>
      <c r="G30" s="205" t="s">
        <v>5</v>
      </c>
      <c r="H30" s="205" t="s">
        <v>5</v>
      </c>
      <c r="I30" s="69">
        <v>0.2</v>
      </c>
      <c r="J30" s="70">
        <v>40079</v>
      </c>
      <c r="K30" s="70">
        <v>42094</v>
      </c>
      <c r="L30" s="71">
        <f t="shared" si="0"/>
        <v>2015</v>
      </c>
      <c r="M30" s="72">
        <f>+IFERROR(INDEX([7]PARÁMETROS!$B$11:$B$37,MATCH(L30,[7]PARÁMETROS!$A$11:$A$37,0)),"")</f>
        <v>644350</v>
      </c>
      <c r="N30" s="250">
        <v>14008976863</v>
      </c>
      <c r="O30" s="74" t="s">
        <v>20</v>
      </c>
      <c r="P30" s="63" t="s">
        <v>54</v>
      </c>
      <c r="Q30" s="75" t="s">
        <v>54</v>
      </c>
      <c r="R30" s="76">
        <v>1</v>
      </c>
      <c r="S30" s="72">
        <f t="shared" si="1"/>
        <v>14008976863</v>
      </c>
      <c r="T30" s="60">
        <f t="shared" si="2"/>
        <v>21741.253764258556</v>
      </c>
      <c r="U30" s="60">
        <f t="shared" si="3"/>
        <v>4348.2507528517117</v>
      </c>
      <c r="V30" s="201">
        <v>76</v>
      </c>
      <c r="W30" s="650" t="s">
        <v>5</v>
      </c>
      <c r="X30" s="650"/>
      <c r="Y30" s="650"/>
      <c r="Z30" s="650" t="s">
        <v>5</v>
      </c>
      <c r="AA30" s="650"/>
      <c r="AB30" s="650"/>
      <c r="AC30" s="650" t="s">
        <v>5</v>
      </c>
      <c r="AD30" s="650"/>
      <c r="AE30" s="650"/>
      <c r="AF30" s="205" t="s">
        <v>5</v>
      </c>
      <c r="AG30" s="650"/>
      <c r="AH30" s="650"/>
      <c r="AI30" s="205" t="str">
        <f>+IF(U30="","",IF(U30&gt;=[7]PARÁMETROS!$D$5,"CUMPLE","NO CUMPLE"))</f>
        <v>CUMPLE</v>
      </c>
      <c r="AJ30" s="143"/>
      <c r="AK30" s="112"/>
    </row>
    <row r="31" spans="1:37" s="79" customFormat="1" ht="86.25" customHeight="1" thickBot="1" x14ac:dyDescent="0.3">
      <c r="A31" s="654"/>
      <c r="B31" s="145" t="s">
        <v>291</v>
      </c>
      <c r="C31" s="411">
        <v>208</v>
      </c>
      <c r="D31" s="146" t="str">
        <f>+IFERROR(INDEX([7]CONSOLIDADO!$D$4:$D$108,MATCH('EXP GEN. 9-16'!B31,[7]CONSOLIDADO!$C$4:$C$108,0)),"")</f>
        <v>CB INGENIEROS</v>
      </c>
      <c r="E31" s="147" t="s">
        <v>554</v>
      </c>
      <c r="F31" s="148" t="s">
        <v>583</v>
      </c>
      <c r="G31" s="208" t="s">
        <v>5</v>
      </c>
      <c r="H31" s="208" t="s">
        <v>5</v>
      </c>
      <c r="I31" s="150">
        <v>1</v>
      </c>
      <c r="J31" s="151">
        <v>35177</v>
      </c>
      <c r="K31" s="151">
        <v>35563</v>
      </c>
      <c r="L31" s="152">
        <f t="shared" si="0"/>
        <v>1997</v>
      </c>
      <c r="M31" s="153">
        <f>+IFERROR(INDEX([7]PARÁMETROS!$B$11:$B$37,MATCH(L31,[7]PARÁMETROS!$A$11:$A$37,0)),"")</f>
        <v>172005</v>
      </c>
      <c r="N31" s="291">
        <v>384734738</v>
      </c>
      <c r="O31" s="74" t="s">
        <v>20</v>
      </c>
      <c r="P31" s="63" t="s">
        <v>54</v>
      </c>
      <c r="Q31" s="75" t="s">
        <v>54</v>
      </c>
      <c r="R31" s="76">
        <v>1</v>
      </c>
      <c r="S31" s="153">
        <f t="shared" si="1"/>
        <v>384734738</v>
      </c>
      <c r="T31" s="158">
        <f t="shared" si="2"/>
        <v>2236.7648498590156</v>
      </c>
      <c r="U31" s="158">
        <f t="shared" si="3"/>
        <v>2236.7648498590156</v>
      </c>
      <c r="V31" s="190">
        <v>8</v>
      </c>
      <c r="W31" s="651" t="s">
        <v>6</v>
      </c>
      <c r="X31" s="651"/>
      <c r="Y31" s="651"/>
      <c r="Z31" s="651" t="s">
        <v>6</v>
      </c>
      <c r="AA31" s="651"/>
      <c r="AB31" s="651"/>
      <c r="AC31" s="651" t="s">
        <v>5</v>
      </c>
      <c r="AD31" s="651"/>
      <c r="AE31" s="651"/>
      <c r="AF31" s="208" t="s">
        <v>5</v>
      </c>
      <c r="AG31" s="651"/>
      <c r="AH31" s="651"/>
      <c r="AI31" s="208" t="str">
        <f>+IF(U31="","",IF(U31&gt;=[7]PARÁMETROS!$D$5,"CUMPLE","NO CUMPLE"))</f>
        <v>CUMPLE</v>
      </c>
      <c r="AJ31" s="160"/>
      <c r="AK31" s="112"/>
    </row>
    <row r="32" spans="1:37" s="79" customFormat="1" ht="30" customHeight="1" x14ac:dyDescent="0.25">
      <c r="A32" s="652" t="s">
        <v>197</v>
      </c>
      <c r="B32" s="125" t="s">
        <v>292</v>
      </c>
      <c r="C32" s="408">
        <v>135</v>
      </c>
      <c r="D32" s="127" t="str">
        <f>+IFERROR(INDEX([7]CONSOLIDADO!$D$4:$D$108,MATCH('EXP GEN. 9-16'!B32,[7]CONSOLIDADO!$C$4:$C$108,0)),"")</f>
        <v>CEMOSA (COLOMBIA)</v>
      </c>
      <c r="E32" s="128" t="s">
        <v>584</v>
      </c>
      <c r="F32" s="129" t="s">
        <v>585</v>
      </c>
      <c r="G32" s="207" t="s">
        <v>5</v>
      </c>
      <c r="H32" s="207" t="s">
        <v>5</v>
      </c>
      <c r="I32" s="131">
        <v>1</v>
      </c>
      <c r="J32" s="132">
        <v>39525</v>
      </c>
      <c r="K32" s="132">
        <v>41580</v>
      </c>
      <c r="L32" s="133">
        <f t="shared" si="0"/>
        <v>2013</v>
      </c>
      <c r="M32" s="134">
        <f>+IFERROR(INDEX([7]PARÁMETROS!$B$11:$B$37,MATCH(L32,[7]PARÁMETROS!$A$11:$A$37,0)),"")</f>
        <v>589500</v>
      </c>
      <c r="N32" s="292">
        <v>1562052.61</v>
      </c>
      <c r="O32" s="136" t="s">
        <v>546</v>
      </c>
      <c r="P32" s="125">
        <v>1.3530599999999999</v>
      </c>
      <c r="Q32" s="137">
        <f>+N32*P32</f>
        <v>2113550.9044865998</v>
      </c>
      <c r="R32" s="138">
        <v>1901.22</v>
      </c>
      <c r="S32" s="134">
        <f>IF(R32&lt;&gt;"",Q32*R32,"")</f>
        <v>4018325250.6280136</v>
      </c>
      <c r="T32" s="139">
        <f t="shared" si="2"/>
        <v>6816.4974565360708</v>
      </c>
      <c r="U32" s="139">
        <f t="shared" si="3"/>
        <v>6816.4974565360708</v>
      </c>
      <c r="V32" s="200">
        <v>5</v>
      </c>
      <c r="W32" s="649" t="s">
        <v>5</v>
      </c>
      <c r="X32" s="649"/>
      <c r="Y32" s="649"/>
      <c r="Z32" s="649" t="s">
        <v>5</v>
      </c>
      <c r="AA32" s="649"/>
      <c r="AB32" s="649"/>
      <c r="AC32" s="649" t="s">
        <v>5</v>
      </c>
      <c r="AD32" s="649"/>
      <c r="AE32" s="649"/>
      <c r="AF32" s="207" t="s">
        <v>5</v>
      </c>
      <c r="AG32" s="649" t="str">
        <f>IF(U32="","",IF(SUM(U32:U36)&gt;=[7]PARÁMETROS!$H$5,"CUMPLE","NO CUMPLE"))</f>
        <v>CUMPLE</v>
      </c>
      <c r="AH32" s="649" t="str">
        <f>IF(U32="","",IF(U32+U33+U34&gt;=[7]PARÁMETROS!$F$5,"CUMPLE","NO CUMPLE"))</f>
        <v>CUMPLE</v>
      </c>
      <c r="AI32" s="207" t="str">
        <f>+IF(U32="","",IF(U32&gt;=[7]PARÁMETROS!$D$5,"CUMPLE","NO CUMPLE"))</f>
        <v>CUMPLE</v>
      </c>
      <c r="AJ32" s="142"/>
      <c r="AK32" s="112"/>
    </row>
    <row r="33" spans="1:37" s="79" customFormat="1" ht="48" customHeight="1" x14ac:dyDescent="0.25">
      <c r="A33" s="653"/>
      <c r="B33" s="63" t="s">
        <v>292</v>
      </c>
      <c r="C33" s="409">
        <v>142</v>
      </c>
      <c r="D33" s="65" t="str">
        <f>+IFERROR(INDEX([7]CONSOLIDADO!$D$4:$D$108,MATCH('EXP GEN. 9-16'!B33,[7]CONSOLIDADO!$C$4:$C$108,0)),"")</f>
        <v>CEMOSA (COLOMBIA)</v>
      </c>
      <c r="E33" s="66" t="s">
        <v>584</v>
      </c>
      <c r="F33" s="67" t="s">
        <v>586</v>
      </c>
      <c r="G33" s="205" t="s">
        <v>5</v>
      </c>
      <c r="H33" s="205" t="s">
        <v>5</v>
      </c>
      <c r="I33" s="69">
        <v>1</v>
      </c>
      <c r="J33" s="70">
        <v>37201</v>
      </c>
      <c r="K33" s="70">
        <v>38173</v>
      </c>
      <c r="L33" s="71">
        <f t="shared" si="0"/>
        <v>2004</v>
      </c>
      <c r="M33" s="72">
        <f>+IFERROR(INDEX([7]PARÁMETROS!$B$11:$B$37,MATCH(L33,[7]PARÁMETROS!$A$11:$A$37,0)),"")</f>
        <v>358000</v>
      </c>
      <c r="N33" s="285">
        <v>1561333.21</v>
      </c>
      <c r="O33" s="74" t="s">
        <v>546</v>
      </c>
      <c r="P33" s="63">
        <v>1.2318</v>
      </c>
      <c r="Q33" s="75">
        <f>+N33*P33</f>
        <v>1923250.248078</v>
      </c>
      <c r="R33" s="76">
        <v>2674.1</v>
      </c>
      <c r="S33" s="72">
        <f>IF(R33&lt;&gt;"",Q33*R33,"")</f>
        <v>5142963488.3853798</v>
      </c>
      <c r="T33" s="60">
        <f t="shared" si="2"/>
        <v>14365.819799959161</v>
      </c>
      <c r="U33" s="60">
        <f t="shared" si="3"/>
        <v>14365.819799959161</v>
      </c>
      <c r="V33" s="201">
        <v>70</v>
      </c>
      <c r="W33" s="650" t="s">
        <v>5</v>
      </c>
      <c r="X33" s="650"/>
      <c r="Y33" s="650"/>
      <c r="Z33" s="650" t="s">
        <v>5</v>
      </c>
      <c r="AA33" s="650"/>
      <c r="AB33" s="650"/>
      <c r="AC33" s="650" t="s">
        <v>5</v>
      </c>
      <c r="AD33" s="650"/>
      <c r="AE33" s="650"/>
      <c r="AF33" s="205" t="s">
        <v>5</v>
      </c>
      <c r="AG33" s="650"/>
      <c r="AH33" s="650"/>
      <c r="AI33" s="205" t="str">
        <f>+IF(U33="","",IF(U33&gt;=[7]PARÁMETROS!$D$5,"CUMPLE","NO CUMPLE"))</f>
        <v>CUMPLE</v>
      </c>
      <c r="AJ33" s="143"/>
      <c r="AK33" s="112"/>
    </row>
    <row r="34" spans="1:37" s="79" customFormat="1" ht="51.75" customHeight="1" x14ac:dyDescent="0.25">
      <c r="A34" s="653"/>
      <c r="B34" s="63" t="s">
        <v>292</v>
      </c>
      <c r="C34" s="409">
        <v>153</v>
      </c>
      <c r="D34" s="65" t="str">
        <f>+IFERROR(INDEX([7]CONSOLIDADO!$D$4:$D$108,MATCH('EXP GEN. 9-16'!B34,[7]CONSOLIDADO!$C$4:$C$108,0)),"")</f>
        <v>CEMOSA (COLOMBIA)</v>
      </c>
      <c r="E34" s="66" t="s">
        <v>584</v>
      </c>
      <c r="F34" s="67" t="s">
        <v>587</v>
      </c>
      <c r="G34" s="205" t="s">
        <v>5</v>
      </c>
      <c r="H34" s="205" t="s">
        <v>5</v>
      </c>
      <c r="I34" s="69">
        <v>1</v>
      </c>
      <c r="J34" s="70">
        <v>38863</v>
      </c>
      <c r="K34" s="70">
        <v>40168</v>
      </c>
      <c r="L34" s="71">
        <f t="shared" si="0"/>
        <v>2009</v>
      </c>
      <c r="M34" s="72">
        <f>+IFERROR(INDEX([7]PARÁMETROS!$B$11:$B$37,MATCH(L34,[7]PARÁMETROS!$A$11:$A$37,0)),"")</f>
        <v>496900</v>
      </c>
      <c r="N34" s="285">
        <v>805267.23</v>
      </c>
      <c r="O34" s="74" t="s">
        <v>546</v>
      </c>
      <c r="P34" s="63">
        <v>1.4331400000000001</v>
      </c>
      <c r="Q34" s="75">
        <f>+N34*P34</f>
        <v>1154060.6780022001</v>
      </c>
      <c r="R34" s="76">
        <v>2025.85</v>
      </c>
      <c r="S34" s="72">
        <f>IF(R34&lt;&gt;"",Q34*R34,"")</f>
        <v>2337953824.530757</v>
      </c>
      <c r="T34" s="60">
        <f t="shared" si="2"/>
        <v>4705.0791397278263</v>
      </c>
      <c r="U34" s="60">
        <f t="shared" si="3"/>
        <v>4705.0791397278263</v>
      </c>
      <c r="V34" s="201">
        <v>12</v>
      </c>
      <c r="W34" s="650" t="s">
        <v>5</v>
      </c>
      <c r="X34" s="650"/>
      <c r="Y34" s="650"/>
      <c r="Z34" s="650" t="s">
        <v>5</v>
      </c>
      <c r="AA34" s="650"/>
      <c r="AB34" s="650"/>
      <c r="AC34" s="650" t="s">
        <v>5</v>
      </c>
      <c r="AD34" s="650"/>
      <c r="AE34" s="650"/>
      <c r="AF34" s="205" t="s">
        <v>5</v>
      </c>
      <c r="AG34" s="650"/>
      <c r="AH34" s="650"/>
      <c r="AI34" s="205" t="str">
        <f>+IF(U34="","",IF(U34&gt;=[7]PARÁMETROS!$D$5,"CUMPLE","NO CUMPLE"))</f>
        <v>CUMPLE</v>
      </c>
      <c r="AJ34" s="143"/>
      <c r="AK34" s="112"/>
    </row>
    <row r="35" spans="1:37" s="79" customFormat="1" ht="68.25" customHeight="1" x14ac:dyDescent="0.25">
      <c r="A35" s="653"/>
      <c r="B35" s="63" t="s">
        <v>293</v>
      </c>
      <c r="C35" s="409">
        <v>164</v>
      </c>
      <c r="D35" s="65" t="str">
        <f>+IFERROR(INDEX([7]CONSOLIDADO!$D$4:$D$108,MATCH('EXP GEN. 9-16'!B35,[7]CONSOLIDADO!$C$4:$C$108,0)),"")</f>
        <v>INGENIERIA Y DESARROLLO XIMA DE COLOMBIA S.A.S.</v>
      </c>
      <c r="E35" s="89" t="s">
        <v>584</v>
      </c>
      <c r="F35" s="251" t="s">
        <v>588</v>
      </c>
      <c r="G35" s="205" t="s">
        <v>5</v>
      </c>
      <c r="H35" s="205" t="s">
        <v>5</v>
      </c>
      <c r="I35" s="90">
        <v>0.5</v>
      </c>
      <c r="J35" s="91">
        <v>37915</v>
      </c>
      <c r="K35" s="91">
        <v>40421</v>
      </c>
      <c r="L35" s="71">
        <f t="shared" si="0"/>
        <v>2010</v>
      </c>
      <c r="M35" s="72">
        <f>+IFERROR(INDEX([7]PARÁMETROS!$B$11:$B$37,MATCH(L35,[7]PARÁMETROS!$A$11:$A$37,0)),"")</f>
        <v>515000</v>
      </c>
      <c r="N35" s="293">
        <v>3234513.41</v>
      </c>
      <c r="O35" s="93" t="s">
        <v>546</v>
      </c>
      <c r="P35" s="63">
        <v>1.2700199999999999</v>
      </c>
      <c r="Q35" s="75">
        <f>+N35*P35</f>
        <v>4107896.7209681999</v>
      </c>
      <c r="R35" s="76">
        <v>1823.74</v>
      </c>
      <c r="S35" s="72">
        <f>IF(R35&lt;&gt;"",Q35*R35,"")</f>
        <v>7491735565.8985453</v>
      </c>
      <c r="T35" s="60">
        <f t="shared" si="2"/>
        <v>14547.059351259311</v>
      </c>
      <c r="U35" s="60">
        <f t="shared" si="3"/>
        <v>7273.5296756296557</v>
      </c>
      <c r="V35" s="201">
        <v>7</v>
      </c>
      <c r="W35" s="650" t="s">
        <v>5</v>
      </c>
      <c r="X35" s="650"/>
      <c r="Y35" s="650"/>
      <c r="Z35" s="650" t="s">
        <v>5</v>
      </c>
      <c r="AA35" s="650"/>
      <c r="AB35" s="650"/>
      <c r="AC35" s="650" t="s">
        <v>5</v>
      </c>
      <c r="AD35" s="650"/>
      <c r="AE35" s="650"/>
      <c r="AF35" s="205" t="s">
        <v>5</v>
      </c>
      <c r="AG35" s="650"/>
      <c r="AH35" s="650"/>
      <c r="AI35" s="205" t="str">
        <f>+IF(U35="","",IF(U35&gt;=[7]PARÁMETROS!$D$5,"CUMPLE","NO CUMPLE"))</f>
        <v>CUMPLE</v>
      </c>
      <c r="AJ35" s="144" t="s">
        <v>589</v>
      </c>
      <c r="AK35" s="112"/>
    </row>
    <row r="36" spans="1:37" s="79" customFormat="1" ht="42.75" customHeight="1" thickBot="1" x14ac:dyDescent="0.3">
      <c r="A36" s="653"/>
      <c r="B36" s="63" t="s">
        <v>293</v>
      </c>
      <c r="C36" s="409">
        <v>172</v>
      </c>
      <c r="D36" s="65" t="str">
        <f>+IFERROR(INDEX([7]CONSOLIDADO!$D$4:$D$108,MATCH('EXP GEN. 9-16'!B36,[7]CONSOLIDADO!$C$4:$C$108,0)),"")</f>
        <v>INGENIERIA Y DESARROLLO XIMA DE COLOMBIA S.A.S.</v>
      </c>
      <c r="E36" s="66" t="s">
        <v>584</v>
      </c>
      <c r="F36" s="67" t="s">
        <v>590</v>
      </c>
      <c r="G36" s="205" t="s">
        <v>5</v>
      </c>
      <c r="H36" s="205" t="s">
        <v>5</v>
      </c>
      <c r="I36" s="69">
        <v>0.5</v>
      </c>
      <c r="J36" s="70">
        <v>35586</v>
      </c>
      <c r="K36" s="70">
        <v>37053</v>
      </c>
      <c r="L36" s="71">
        <f t="shared" si="0"/>
        <v>2001</v>
      </c>
      <c r="M36" s="72">
        <f>+IFERROR(INDEX([7]PARÁMETROS!$B$11:$B$37,MATCH(L36,[7]PARÁMETROS!$A$11:$A$37,0)),"")</f>
        <v>286000</v>
      </c>
      <c r="N36" s="285">
        <v>2678981.19</v>
      </c>
      <c r="O36" s="74" t="s">
        <v>546</v>
      </c>
      <c r="P36" s="63">
        <v>0.84975000000000001</v>
      </c>
      <c r="Q36" s="75">
        <f>+N36*P36</f>
        <v>2276464.2662025001</v>
      </c>
      <c r="R36" s="76">
        <v>2296.31</v>
      </c>
      <c r="S36" s="72">
        <f>IF(R36&lt;&gt;"",Q36*R36,"")</f>
        <v>5227467659.1234627</v>
      </c>
      <c r="T36" s="60">
        <f t="shared" si="2"/>
        <v>18277.858947984136</v>
      </c>
      <c r="U36" s="60">
        <f t="shared" si="3"/>
        <v>9138.9294739920679</v>
      </c>
      <c r="V36" s="201">
        <v>1</v>
      </c>
      <c r="W36" s="650" t="s">
        <v>5</v>
      </c>
      <c r="X36" s="650"/>
      <c r="Y36" s="650"/>
      <c r="Z36" s="650" t="s">
        <v>5</v>
      </c>
      <c r="AA36" s="650"/>
      <c r="AB36" s="650"/>
      <c r="AC36" s="650" t="s">
        <v>5</v>
      </c>
      <c r="AD36" s="650"/>
      <c r="AE36" s="650"/>
      <c r="AF36" s="205" t="s">
        <v>5</v>
      </c>
      <c r="AG36" s="650"/>
      <c r="AH36" s="650"/>
      <c r="AI36" s="205" t="str">
        <f>+IF(U36="","",IF(U36&gt;=[7]PARÁMETROS!$D$5,"CUMPLE","NO CUMPLE"))</f>
        <v>CUMPLE</v>
      </c>
      <c r="AJ36" s="144" t="s">
        <v>589</v>
      </c>
      <c r="AK36" s="112"/>
    </row>
    <row r="37" spans="1:37" s="79" customFormat="1" ht="48" customHeight="1" x14ac:dyDescent="0.25">
      <c r="A37" s="652" t="s">
        <v>200</v>
      </c>
      <c r="B37" s="125" t="s">
        <v>294</v>
      </c>
      <c r="C37" s="408">
        <v>83</v>
      </c>
      <c r="D37" s="127" t="str">
        <f>+IFERROR(INDEX([7]CONSOLIDADO!$D$4:$D$108,MATCH('EXP GEN. 9-16'!B37,[7]CONSOLIDADO!$C$4:$C$108,0)),"")</f>
        <v>SUPERING S.A.S.</v>
      </c>
      <c r="E37" s="128" t="s">
        <v>550</v>
      </c>
      <c r="F37" s="67" t="s">
        <v>591</v>
      </c>
      <c r="G37" s="207" t="s">
        <v>5</v>
      </c>
      <c r="H37" s="207" t="s">
        <v>5</v>
      </c>
      <c r="I37" s="131">
        <v>0.3</v>
      </c>
      <c r="J37" s="132">
        <v>37229</v>
      </c>
      <c r="K37" s="132">
        <v>40168</v>
      </c>
      <c r="L37" s="133">
        <f t="shared" si="0"/>
        <v>2009</v>
      </c>
      <c r="M37" s="134">
        <f>+IFERROR(INDEX([8]PARÁMETROS!$B$11:$B$37,MATCH(L37,[8]PARÁMETROS!$A$11:$A$37,0)),"")</f>
        <v>496900</v>
      </c>
      <c r="N37" s="249">
        <v>23197769047.380001</v>
      </c>
      <c r="O37" s="136" t="s">
        <v>20</v>
      </c>
      <c r="P37" s="125" t="s">
        <v>54</v>
      </c>
      <c r="Q37" s="137" t="s">
        <v>54</v>
      </c>
      <c r="R37" s="138">
        <v>1</v>
      </c>
      <c r="S37" s="134">
        <f>IF(R37&lt;&gt;"",N37*R37,"")</f>
        <v>23197769047.380001</v>
      </c>
      <c r="T37" s="139">
        <f t="shared" si="2"/>
        <v>46684.985001770983</v>
      </c>
      <c r="U37" s="139">
        <f t="shared" si="3"/>
        <v>14005.495500531295</v>
      </c>
      <c r="V37" s="200">
        <v>6</v>
      </c>
      <c r="W37" s="649" t="s">
        <v>5</v>
      </c>
      <c r="X37" s="649"/>
      <c r="Y37" s="649"/>
      <c r="Z37" s="649" t="s">
        <v>5</v>
      </c>
      <c r="AA37" s="649"/>
      <c r="AB37" s="649"/>
      <c r="AC37" s="649" t="s">
        <v>5</v>
      </c>
      <c r="AD37" s="649"/>
      <c r="AE37" s="649"/>
      <c r="AF37" s="207" t="s">
        <v>5</v>
      </c>
      <c r="AG37" s="649" t="str">
        <f>IF(U37="","",IF(SUM(U37:U38)&gt;=[7]PARÁMETROS!$H$5,"CUMPLE","NO CUMPLE"))</f>
        <v>CUMPLE</v>
      </c>
      <c r="AH37" s="649" t="s">
        <v>620</v>
      </c>
      <c r="AI37" s="207" t="str">
        <f>+IF(U37="","",IF(U37&gt;=[7]PARÁMETROS!$D$5,"CUMPLE","NO CUMPLE"))</f>
        <v>CUMPLE</v>
      </c>
      <c r="AJ37" s="142"/>
      <c r="AK37" s="112"/>
    </row>
    <row r="38" spans="1:37" s="79" customFormat="1" ht="84" customHeight="1" thickBot="1" x14ac:dyDescent="0.3">
      <c r="A38" s="653"/>
      <c r="B38" s="63" t="s">
        <v>294</v>
      </c>
      <c r="C38" s="409">
        <v>85</v>
      </c>
      <c r="D38" s="65" t="str">
        <f>+IFERROR(INDEX([7]CONSOLIDADO!$D$4:$D$108,MATCH('EXP GEN. 9-16'!B38,[7]CONSOLIDADO!$C$4:$C$108,0)),"")</f>
        <v>SUPERING S.A.S.</v>
      </c>
      <c r="E38" s="66" t="s">
        <v>592</v>
      </c>
      <c r="F38" s="67" t="s">
        <v>593</v>
      </c>
      <c r="G38" s="205" t="s">
        <v>5</v>
      </c>
      <c r="H38" s="205" t="s">
        <v>5</v>
      </c>
      <c r="I38" s="69">
        <v>1</v>
      </c>
      <c r="J38" s="70">
        <v>38807</v>
      </c>
      <c r="K38" s="70">
        <v>39813</v>
      </c>
      <c r="L38" s="71">
        <f t="shared" si="0"/>
        <v>2008</v>
      </c>
      <c r="M38" s="72">
        <f>+IFERROR(INDEX([7]PARÁMETROS!$B$11:$B$37,MATCH(L38,[7]PARÁMETROS!$A$11:$A$37,0)),"")</f>
        <v>461500</v>
      </c>
      <c r="N38" s="250">
        <v>47481903.439999998</v>
      </c>
      <c r="O38" s="72" t="s">
        <v>559</v>
      </c>
      <c r="P38" s="63">
        <v>7.2569999999999996E-2</v>
      </c>
      <c r="Q38" s="75">
        <f>+N38*P38</f>
        <v>3445761.7326407996</v>
      </c>
      <c r="R38" s="76">
        <v>2243.59</v>
      </c>
      <c r="S38" s="72">
        <f>IF(R38&lt;&gt;"",Q38*R38,"")</f>
        <v>7730876565.7355719</v>
      </c>
      <c r="T38" s="60">
        <f t="shared" si="2"/>
        <v>16751.62852813775</v>
      </c>
      <c r="U38" s="60">
        <f t="shared" si="3"/>
        <v>16751.62852813775</v>
      </c>
      <c r="V38" s="201">
        <v>11</v>
      </c>
      <c r="W38" s="650" t="s">
        <v>5</v>
      </c>
      <c r="X38" s="650"/>
      <c r="Y38" s="650"/>
      <c r="Z38" s="650" t="s">
        <v>5</v>
      </c>
      <c r="AA38" s="650"/>
      <c r="AB38" s="650"/>
      <c r="AC38" s="650" t="s">
        <v>5</v>
      </c>
      <c r="AD38" s="650"/>
      <c r="AE38" s="650"/>
      <c r="AF38" s="205" t="s">
        <v>5</v>
      </c>
      <c r="AG38" s="650"/>
      <c r="AH38" s="650"/>
      <c r="AI38" s="205" t="str">
        <f>+IF(U38="","",IF(U38&gt;=[7]PARÁMETROS!$D$5,"CUMPLE","NO CUMPLE"))</f>
        <v>CUMPLE</v>
      </c>
      <c r="AJ38" s="143"/>
      <c r="AK38" s="112"/>
    </row>
    <row r="39" spans="1:37" s="79" customFormat="1" ht="30" customHeight="1" x14ac:dyDescent="0.25">
      <c r="A39" s="652"/>
      <c r="B39" s="125"/>
      <c r="C39" s="408"/>
      <c r="D39" s="127" t="str">
        <f>+IFERROR(INDEX([7]CONSOLIDADO!$D$4:$D$108,MATCH('EXP GEN. 9-16'!B39,[7]CONSOLIDADO!$C$4:$C$108,0)),"")</f>
        <v/>
      </c>
      <c r="E39" s="128"/>
      <c r="F39" s="128"/>
      <c r="G39" s="207"/>
      <c r="H39" s="207"/>
      <c r="I39" s="170"/>
      <c r="J39" s="132"/>
      <c r="K39" s="132"/>
      <c r="L39" s="133" t="str">
        <f t="shared" si="0"/>
        <v/>
      </c>
      <c r="M39" s="134" t="str">
        <f>+IFERROR(INDEX([7]PARÁMETROS!$B$11:$B$37,MATCH(L39,[7]PARÁMETROS!$A$11:$A$37,0)),"")</f>
        <v/>
      </c>
      <c r="N39" s="294"/>
      <c r="O39" s="134"/>
      <c r="P39" s="125"/>
      <c r="Q39" s="137"/>
      <c r="R39" s="138"/>
      <c r="S39" s="134" t="str">
        <f t="shared" si="1"/>
        <v/>
      </c>
      <c r="T39" s="139" t="str">
        <f t="shared" si="2"/>
        <v/>
      </c>
      <c r="U39" s="139" t="str">
        <f t="shared" si="3"/>
        <v/>
      </c>
      <c r="V39" s="200"/>
      <c r="W39" s="649"/>
      <c r="X39" s="649"/>
      <c r="Y39" s="649"/>
      <c r="Z39" s="649"/>
      <c r="AA39" s="649"/>
      <c r="AB39" s="649"/>
      <c r="AC39" s="649"/>
      <c r="AD39" s="649"/>
      <c r="AE39" s="649"/>
      <c r="AF39" s="207"/>
      <c r="AG39" s="649" t="str">
        <f>IF(U39="","",IF(SUM(U39:U41)&gt;=[7]PARÁMETROS!$H$5,"CUMPLE","NO CUMPLE"))</f>
        <v/>
      </c>
      <c r="AH39" s="649" t="str">
        <f>IF(U39="","",IF(U39&gt;=[7]PARÁMETROS!$F$5,"CUMPLE","NO CUMPLE"))</f>
        <v/>
      </c>
      <c r="AI39" s="207" t="str">
        <f>+IF(U39="","",IF(U39&gt;=[7]PARÁMETROS!$D$5,"CUMPLE","NO CUMPLE"))</f>
        <v/>
      </c>
      <c r="AJ39" s="142"/>
      <c r="AK39" s="112"/>
    </row>
    <row r="40" spans="1:37" s="79" customFormat="1" ht="30" customHeight="1" x14ac:dyDescent="0.25">
      <c r="A40" s="653"/>
      <c r="B40" s="63"/>
      <c r="C40" s="409"/>
      <c r="D40" s="65" t="str">
        <f>+IFERROR(INDEX([7]CONSOLIDADO!$D$4:$D$108,MATCH('EXP GEN. 9-16'!B40,[7]CONSOLIDADO!$C$4:$C$108,0)),"")</f>
        <v/>
      </c>
      <c r="E40" s="66"/>
      <c r="F40" s="66"/>
      <c r="G40" s="205"/>
      <c r="H40" s="205"/>
      <c r="I40" s="80"/>
      <c r="J40" s="70"/>
      <c r="K40" s="70"/>
      <c r="L40" s="71" t="str">
        <f t="shared" si="0"/>
        <v/>
      </c>
      <c r="M40" s="72" t="str">
        <f>+IFERROR(INDEX([7]PARÁMETROS!$B$11:$B$37,MATCH(L40,[7]PARÁMETROS!$A$11:$A$37,0)),"")</f>
        <v/>
      </c>
      <c r="N40" s="286"/>
      <c r="O40" s="72"/>
      <c r="P40" s="63"/>
      <c r="Q40" s="75"/>
      <c r="R40" s="76"/>
      <c r="S40" s="72" t="str">
        <f t="shared" si="1"/>
        <v/>
      </c>
      <c r="T40" s="60" t="str">
        <f t="shared" si="2"/>
        <v/>
      </c>
      <c r="U40" s="60" t="str">
        <f t="shared" si="3"/>
        <v/>
      </c>
      <c r="V40" s="201"/>
      <c r="W40" s="650"/>
      <c r="X40" s="650"/>
      <c r="Y40" s="650"/>
      <c r="Z40" s="650"/>
      <c r="AA40" s="650"/>
      <c r="AB40" s="650"/>
      <c r="AC40" s="650"/>
      <c r="AD40" s="650"/>
      <c r="AE40" s="650"/>
      <c r="AF40" s="205"/>
      <c r="AG40" s="650"/>
      <c r="AH40" s="650"/>
      <c r="AI40" s="205" t="str">
        <f>+IF(U40="","",IF(U40&gt;=[7]PARÁMETROS!$D$5,"CUMPLE","NO CUMPLE"))</f>
        <v/>
      </c>
      <c r="AJ40" s="143"/>
      <c r="AK40" s="112"/>
    </row>
    <row r="41" spans="1:37" s="79" customFormat="1" ht="30" customHeight="1" x14ac:dyDescent="0.25">
      <c r="A41" s="653"/>
      <c r="B41" s="63"/>
      <c r="C41" s="409"/>
      <c r="D41" s="65" t="str">
        <f>+IFERROR(INDEX([7]CONSOLIDADO!$D$4:$D$108,MATCH('EXP GEN. 9-16'!B41,[7]CONSOLIDADO!$C$4:$C$108,0)),"")</f>
        <v/>
      </c>
      <c r="E41" s="66"/>
      <c r="F41" s="66"/>
      <c r="G41" s="205"/>
      <c r="H41" s="205"/>
      <c r="I41" s="80"/>
      <c r="J41" s="70"/>
      <c r="K41" s="70"/>
      <c r="L41" s="71" t="str">
        <f t="shared" si="0"/>
        <v/>
      </c>
      <c r="M41" s="72" t="str">
        <f>+IFERROR(INDEX([7]PARÁMETROS!$B$11:$B$37,MATCH(L41,[7]PARÁMETROS!$A$11:$A$37,0)),"")</f>
        <v/>
      </c>
      <c r="N41" s="286"/>
      <c r="O41" s="72"/>
      <c r="P41" s="63"/>
      <c r="Q41" s="75"/>
      <c r="R41" s="76"/>
      <c r="S41" s="72" t="str">
        <f t="shared" si="1"/>
        <v/>
      </c>
      <c r="T41" s="60" t="str">
        <f t="shared" si="2"/>
        <v/>
      </c>
      <c r="U41" s="60" t="str">
        <f t="shared" si="3"/>
        <v/>
      </c>
      <c r="V41" s="201"/>
      <c r="W41" s="650"/>
      <c r="X41" s="650"/>
      <c r="Y41" s="650"/>
      <c r="Z41" s="650"/>
      <c r="AA41" s="650"/>
      <c r="AB41" s="650"/>
      <c r="AC41" s="650"/>
      <c r="AD41" s="650"/>
      <c r="AE41" s="650"/>
      <c r="AF41" s="205"/>
      <c r="AG41" s="650"/>
      <c r="AH41" s="650"/>
      <c r="AI41" s="205" t="str">
        <f>+IF(U41="","",IF(U41&gt;=[7]PARÁMETROS!$D$5,"CUMPLE","NO CUMPLE"))</f>
        <v/>
      </c>
      <c r="AJ41" s="143"/>
      <c r="AK41" s="112"/>
    </row>
    <row r="42" spans="1:37" s="79" customFormat="1" ht="30" customHeight="1" x14ac:dyDescent="0.25">
      <c r="A42" s="653"/>
      <c r="B42" s="63"/>
      <c r="C42" s="409"/>
      <c r="D42" s="65" t="str">
        <f>+IFERROR(INDEX([7]CONSOLIDADO!$D$4:$D$108,MATCH('EXP GEN. 9-16'!B42,[7]CONSOLIDADO!$C$4:$C$108,0)),"")</f>
        <v/>
      </c>
      <c r="E42" s="66"/>
      <c r="F42" s="66"/>
      <c r="G42" s="205"/>
      <c r="H42" s="205"/>
      <c r="I42" s="80"/>
      <c r="J42" s="70"/>
      <c r="K42" s="70"/>
      <c r="L42" s="71" t="str">
        <f t="shared" si="0"/>
        <v/>
      </c>
      <c r="M42" s="72" t="str">
        <f>+IFERROR(INDEX([7]PARÁMETROS!$B$11:$B$37,MATCH(L42,[7]PARÁMETROS!$A$11:$A$37,0)),"")</f>
        <v/>
      </c>
      <c r="N42" s="286"/>
      <c r="O42" s="72"/>
      <c r="P42" s="63"/>
      <c r="Q42" s="75"/>
      <c r="R42" s="76"/>
      <c r="S42" s="72" t="str">
        <f t="shared" si="1"/>
        <v/>
      </c>
      <c r="T42" s="60" t="str">
        <f t="shared" si="2"/>
        <v/>
      </c>
      <c r="U42" s="60" t="str">
        <f t="shared" si="3"/>
        <v/>
      </c>
      <c r="V42" s="201"/>
      <c r="W42" s="650"/>
      <c r="X42" s="650"/>
      <c r="Y42" s="650"/>
      <c r="Z42" s="650"/>
      <c r="AA42" s="650"/>
      <c r="AB42" s="650"/>
      <c r="AC42" s="650"/>
      <c r="AD42" s="650"/>
      <c r="AE42" s="650"/>
      <c r="AF42" s="205"/>
      <c r="AG42" s="650"/>
      <c r="AH42" s="650"/>
      <c r="AI42" s="205" t="str">
        <f>+IF(U42="","",IF(U42&gt;=[7]PARÁMETROS!$D$5,"CUMPLE","NO CUMPLE"))</f>
        <v/>
      </c>
      <c r="AJ42" s="143"/>
      <c r="AK42" s="112"/>
    </row>
    <row r="43" spans="1:37" s="79" customFormat="1" ht="30" customHeight="1" x14ac:dyDescent="0.25">
      <c r="A43" s="653"/>
      <c r="B43" s="63"/>
      <c r="C43" s="409"/>
      <c r="D43" s="65" t="str">
        <f>+IFERROR(INDEX([7]CONSOLIDADO!$D$4:$D$108,MATCH('EXP GEN. 9-16'!B43,[7]CONSOLIDADO!$C$4:$C$108,0)),"")</f>
        <v/>
      </c>
      <c r="E43" s="66"/>
      <c r="F43" s="66"/>
      <c r="G43" s="205"/>
      <c r="H43" s="205"/>
      <c r="I43" s="80"/>
      <c r="J43" s="70"/>
      <c r="K43" s="70"/>
      <c r="L43" s="71" t="str">
        <f t="shared" si="0"/>
        <v/>
      </c>
      <c r="M43" s="72" t="str">
        <f>+IFERROR(INDEX([7]PARÁMETROS!$B$11:$B$37,MATCH(L43,[7]PARÁMETROS!$A$11:$A$37,0)),"")</f>
        <v/>
      </c>
      <c r="N43" s="286"/>
      <c r="O43" s="72"/>
      <c r="P43" s="63"/>
      <c r="Q43" s="75"/>
      <c r="R43" s="76"/>
      <c r="S43" s="72" t="str">
        <f t="shared" si="1"/>
        <v/>
      </c>
      <c r="T43" s="60" t="str">
        <f t="shared" si="2"/>
        <v/>
      </c>
      <c r="U43" s="60" t="str">
        <f t="shared" si="3"/>
        <v/>
      </c>
      <c r="V43" s="201"/>
      <c r="W43" s="650"/>
      <c r="X43" s="650"/>
      <c r="Y43" s="650"/>
      <c r="Z43" s="650"/>
      <c r="AA43" s="650"/>
      <c r="AB43" s="650"/>
      <c r="AC43" s="650"/>
      <c r="AD43" s="650"/>
      <c r="AE43" s="650"/>
      <c r="AF43" s="205"/>
      <c r="AG43" s="650"/>
      <c r="AH43" s="650"/>
      <c r="AI43" s="205" t="str">
        <f>+IF(U43="","",IF(U43&gt;=[7]PARÁMETROS!$D$5,"CUMPLE","NO CUMPLE"))</f>
        <v/>
      </c>
      <c r="AJ43" s="143"/>
      <c r="AK43" s="112"/>
    </row>
    <row r="44" spans="1:37" s="79" customFormat="1" ht="30" customHeight="1" thickBot="1" x14ac:dyDescent="0.3">
      <c r="A44" s="654"/>
      <c r="B44" s="145"/>
      <c r="C44" s="411"/>
      <c r="D44" s="146" t="str">
        <f>+IFERROR(INDEX([7]CONSOLIDADO!$D$4:$D$108,MATCH('EXP GEN. 9-16'!B44,[7]CONSOLIDADO!$C$4:$C$108,0)),"")</f>
        <v/>
      </c>
      <c r="E44" s="147"/>
      <c r="F44" s="147"/>
      <c r="G44" s="208"/>
      <c r="H44" s="208"/>
      <c r="I44" s="172"/>
      <c r="J44" s="151"/>
      <c r="K44" s="151"/>
      <c r="L44" s="152" t="str">
        <f t="shared" si="0"/>
        <v/>
      </c>
      <c r="M44" s="153" t="str">
        <f>+IFERROR(INDEX([7]PARÁMETROS!$B$11:$B$37,MATCH(L44,[7]PARÁMETROS!$A$11:$A$37,0)),"")</f>
        <v/>
      </c>
      <c r="N44" s="295"/>
      <c r="O44" s="153"/>
      <c r="P44" s="145"/>
      <c r="Q44" s="156"/>
      <c r="R44" s="157"/>
      <c r="S44" s="153" t="str">
        <f t="shared" si="1"/>
        <v/>
      </c>
      <c r="T44" s="158" t="str">
        <f t="shared" si="2"/>
        <v/>
      </c>
      <c r="U44" s="158" t="str">
        <f t="shared" si="3"/>
        <v/>
      </c>
      <c r="V44" s="190"/>
      <c r="W44" s="651"/>
      <c r="X44" s="651"/>
      <c r="Y44" s="651"/>
      <c r="Z44" s="651"/>
      <c r="AA44" s="651"/>
      <c r="AB44" s="651"/>
      <c r="AC44" s="651"/>
      <c r="AD44" s="651"/>
      <c r="AE44" s="651"/>
      <c r="AF44" s="208"/>
      <c r="AG44" s="651"/>
      <c r="AH44" s="651"/>
      <c r="AI44" s="208" t="str">
        <f>+IF(U44="","",IF(U44&gt;=[7]PARÁMETROS!$D$5,"CUMPLE","NO CUMPLE"))</f>
        <v/>
      </c>
      <c r="AJ44" s="160"/>
      <c r="AK44" s="112"/>
    </row>
    <row r="45" spans="1:37" s="79" customFormat="1" ht="30" customHeight="1" x14ac:dyDescent="0.25">
      <c r="A45" s="652"/>
      <c r="B45" s="125"/>
      <c r="C45" s="408"/>
      <c r="D45" s="127" t="str">
        <f>+IFERROR(INDEX([7]CONSOLIDADO!$D$4:$D$108,MATCH('EXP GEN. 9-16'!B45,[7]CONSOLIDADO!$C$4:$C$108,0)),"")</f>
        <v/>
      </c>
      <c r="E45" s="128"/>
      <c r="F45" s="128"/>
      <c r="G45" s="207"/>
      <c r="H45" s="207"/>
      <c r="I45" s="170"/>
      <c r="J45" s="132"/>
      <c r="K45" s="132"/>
      <c r="L45" s="133" t="str">
        <f t="shared" si="0"/>
        <v/>
      </c>
      <c r="M45" s="134" t="str">
        <f>+IFERROR(INDEX([7]PARÁMETROS!$B$11:$B$37,MATCH(L45,[7]PARÁMETROS!$A$11:$A$37,0)),"")</f>
        <v/>
      </c>
      <c r="N45" s="294"/>
      <c r="O45" s="134"/>
      <c r="P45" s="125"/>
      <c r="Q45" s="137"/>
      <c r="R45" s="138"/>
      <c r="S45" s="134" t="str">
        <f t="shared" si="1"/>
        <v/>
      </c>
      <c r="T45" s="139" t="str">
        <f t="shared" si="2"/>
        <v/>
      </c>
      <c r="U45" s="139" t="str">
        <f t="shared" si="3"/>
        <v/>
      </c>
      <c r="V45" s="200"/>
      <c r="W45" s="649"/>
      <c r="X45" s="649"/>
      <c r="Y45" s="649"/>
      <c r="Z45" s="649"/>
      <c r="AA45" s="649"/>
      <c r="AB45" s="649"/>
      <c r="AC45" s="649"/>
      <c r="AD45" s="649"/>
      <c r="AE45" s="649"/>
      <c r="AF45" s="207"/>
      <c r="AG45" s="649" t="str">
        <f>IF(U45="","",IF(SUM(U45:U47)&gt;=[7]PARÁMETROS!$H$5,"CUMPLE","NO CUMPLE"))</f>
        <v/>
      </c>
      <c r="AH45" s="649" t="str">
        <f>IF(U45="","",IF(U45&gt;=[7]PARÁMETROS!$F$5,"HÁBIL","NO CUMPLE"))</f>
        <v/>
      </c>
      <c r="AI45" s="207" t="str">
        <f>+IF(U45="","",IF(U45&gt;=[7]PARÁMETROS!$D$5,"CUMPLE","NO CUMPLE"))</f>
        <v/>
      </c>
      <c r="AJ45" s="142"/>
      <c r="AK45" s="112"/>
    </row>
    <row r="46" spans="1:37" s="79" customFormat="1" ht="30" customHeight="1" x14ac:dyDescent="0.25">
      <c r="A46" s="653"/>
      <c r="B46" s="63"/>
      <c r="C46" s="409"/>
      <c r="D46" s="65" t="str">
        <f>+IFERROR(INDEX([7]CONSOLIDADO!$D$4:$D$108,MATCH('EXP GEN. 9-16'!B46,[7]CONSOLIDADO!$C$4:$C$108,0)),"")</f>
        <v/>
      </c>
      <c r="E46" s="66"/>
      <c r="F46" s="66"/>
      <c r="G46" s="205"/>
      <c r="H46" s="205"/>
      <c r="I46" s="80"/>
      <c r="J46" s="70"/>
      <c r="K46" s="70"/>
      <c r="L46" s="71" t="str">
        <f t="shared" si="0"/>
        <v/>
      </c>
      <c r="M46" s="72" t="str">
        <f>+IFERROR(INDEX([7]PARÁMETROS!$B$11:$B$37,MATCH(L46,[7]PARÁMETROS!$A$11:$A$37,0)),"")</f>
        <v/>
      </c>
      <c r="N46" s="286"/>
      <c r="O46" s="72"/>
      <c r="P46" s="63"/>
      <c r="Q46" s="75"/>
      <c r="R46" s="76"/>
      <c r="S46" s="72" t="str">
        <f t="shared" si="1"/>
        <v/>
      </c>
      <c r="T46" s="60" t="str">
        <f t="shared" si="2"/>
        <v/>
      </c>
      <c r="U46" s="60" t="str">
        <f t="shared" si="3"/>
        <v/>
      </c>
      <c r="V46" s="201"/>
      <c r="W46" s="650"/>
      <c r="X46" s="650"/>
      <c r="Y46" s="650"/>
      <c r="Z46" s="650"/>
      <c r="AA46" s="650"/>
      <c r="AB46" s="650"/>
      <c r="AC46" s="650"/>
      <c r="AD46" s="650"/>
      <c r="AE46" s="650"/>
      <c r="AF46" s="205"/>
      <c r="AG46" s="650"/>
      <c r="AH46" s="650"/>
      <c r="AI46" s="205" t="str">
        <f>+IF(U46="","",IF(U46&gt;=[7]PARÁMETROS!$D$5,"CUMPLE","NO CUMPLE"))</f>
        <v/>
      </c>
      <c r="AJ46" s="143"/>
      <c r="AK46" s="112"/>
    </row>
    <row r="47" spans="1:37" s="79" customFormat="1" ht="30" customHeight="1" x14ac:dyDescent="0.25">
      <c r="A47" s="653"/>
      <c r="B47" s="63"/>
      <c r="C47" s="409"/>
      <c r="D47" s="65" t="str">
        <f>+IFERROR(INDEX([7]CONSOLIDADO!$D$4:$D$108,MATCH('EXP GEN. 9-16'!B47,[7]CONSOLIDADO!$C$4:$C$108,0)),"")</f>
        <v/>
      </c>
      <c r="E47" s="66"/>
      <c r="F47" s="66"/>
      <c r="G47" s="205"/>
      <c r="H47" s="205"/>
      <c r="I47" s="80"/>
      <c r="J47" s="70"/>
      <c r="K47" s="70"/>
      <c r="L47" s="71" t="str">
        <f t="shared" si="0"/>
        <v/>
      </c>
      <c r="M47" s="72" t="str">
        <f>+IFERROR(INDEX([7]PARÁMETROS!$B$11:$B$37,MATCH(L47,[7]PARÁMETROS!$A$11:$A$37,0)),"")</f>
        <v/>
      </c>
      <c r="N47" s="286"/>
      <c r="O47" s="72"/>
      <c r="P47" s="63"/>
      <c r="Q47" s="75"/>
      <c r="R47" s="76"/>
      <c r="S47" s="72" t="str">
        <f t="shared" si="1"/>
        <v/>
      </c>
      <c r="T47" s="60" t="str">
        <f t="shared" si="2"/>
        <v/>
      </c>
      <c r="U47" s="60" t="str">
        <f t="shared" si="3"/>
        <v/>
      </c>
      <c r="V47" s="201"/>
      <c r="W47" s="650"/>
      <c r="X47" s="650"/>
      <c r="Y47" s="650"/>
      <c r="Z47" s="650"/>
      <c r="AA47" s="650"/>
      <c r="AB47" s="650"/>
      <c r="AC47" s="650"/>
      <c r="AD47" s="650"/>
      <c r="AE47" s="650"/>
      <c r="AF47" s="205"/>
      <c r="AG47" s="650"/>
      <c r="AH47" s="650"/>
      <c r="AI47" s="205" t="str">
        <f>+IF(U47="","",IF(U47&gt;=[7]PARÁMETROS!$D$5,"CUMPLE","NO CUMPLE"))</f>
        <v/>
      </c>
      <c r="AJ47" s="143"/>
      <c r="AK47" s="112"/>
    </row>
    <row r="48" spans="1:37" s="79" customFormat="1" ht="30" customHeight="1" x14ac:dyDescent="0.25">
      <c r="A48" s="653"/>
      <c r="B48" s="63"/>
      <c r="C48" s="409"/>
      <c r="D48" s="65" t="str">
        <f>+IFERROR(INDEX([7]CONSOLIDADO!$D$4:$D$108,MATCH('EXP GEN. 9-16'!B48,[7]CONSOLIDADO!$C$4:$C$108,0)),"")</f>
        <v/>
      </c>
      <c r="E48" s="66"/>
      <c r="F48" s="66"/>
      <c r="G48" s="205"/>
      <c r="H48" s="205"/>
      <c r="I48" s="80"/>
      <c r="J48" s="70"/>
      <c r="K48" s="70"/>
      <c r="L48" s="71" t="str">
        <f t="shared" si="0"/>
        <v/>
      </c>
      <c r="M48" s="72" t="str">
        <f>+IFERROR(INDEX([7]PARÁMETROS!$B$11:$B$37,MATCH(L48,[7]PARÁMETROS!$A$11:$A$37,0)),"")</f>
        <v/>
      </c>
      <c r="N48" s="286"/>
      <c r="O48" s="72"/>
      <c r="P48" s="63"/>
      <c r="Q48" s="75"/>
      <c r="R48" s="76"/>
      <c r="S48" s="72" t="str">
        <f t="shared" si="1"/>
        <v/>
      </c>
      <c r="T48" s="60" t="str">
        <f t="shared" si="2"/>
        <v/>
      </c>
      <c r="U48" s="60" t="str">
        <f t="shared" si="3"/>
        <v/>
      </c>
      <c r="V48" s="201"/>
      <c r="W48" s="650"/>
      <c r="X48" s="650"/>
      <c r="Y48" s="650"/>
      <c r="Z48" s="650"/>
      <c r="AA48" s="650"/>
      <c r="AB48" s="650"/>
      <c r="AC48" s="650"/>
      <c r="AD48" s="650"/>
      <c r="AE48" s="650"/>
      <c r="AF48" s="205"/>
      <c r="AG48" s="650"/>
      <c r="AH48" s="650"/>
      <c r="AI48" s="205" t="str">
        <f>+IF(U48="","",IF(U48&gt;=[7]PARÁMETROS!$D$5,"CUMPLE","NO CUMPLE"))</f>
        <v/>
      </c>
      <c r="AJ48" s="143"/>
      <c r="AK48" s="112"/>
    </row>
    <row r="49" spans="1:37" s="79" customFormat="1" ht="30" customHeight="1" x14ac:dyDescent="0.25">
      <c r="A49" s="653"/>
      <c r="B49" s="63"/>
      <c r="C49" s="409"/>
      <c r="D49" s="65" t="str">
        <f>+IFERROR(INDEX([7]CONSOLIDADO!$D$4:$D$108,MATCH('EXP GEN. 9-16'!B49,[7]CONSOLIDADO!$C$4:$C$108,0)),"")</f>
        <v/>
      </c>
      <c r="E49" s="66"/>
      <c r="F49" s="66"/>
      <c r="G49" s="205"/>
      <c r="H49" s="205"/>
      <c r="I49" s="80"/>
      <c r="J49" s="70"/>
      <c r="K49" s="70"/>
      <c r="L49" s="71" t="str">
        <f t="shared" si="0"/>
        <v/>
      </c>
      <c r="M49" s="72" t="str">
        <f>+IFERROR(INDEX([7]PARÁMETROS!$B$11:$B$37,MATCH(L49,[7]PARÁMETROS!$A$11:$A$37,0)),"")</f>
        <v/>
      </c>
      <c r="N49" s="286"/>
      <c r="O49" s="72"/>
      <c r="P49" s="63"/>
      <c r="Q49" s="75"/>
      <c r="R49" s="76"/>
      <c r="S49" s="72" t="str">
        <f t="shared" si="1"/>
        <v/>
      </c>
      <c r="T49" s="60" t="str">
        <f t="shared" si="2"/>
        <v/>
      </c>
      <c r="U49" s="60" t="str">
        <f t="shared" si="3"/>
        <v/>
      </c>
      <c r="V49" s="201"/>
      <c r="W49" s="650"/>
      <c r="X49" s="650"/>
      <c r="Y49" s="650"/>
      <c r="Z49" s="650"/>
      <c r="AA49" s="650"/>
      <c r="AB49" s="650"/>
      <c r="AC49" s="650"/>
      <c r="AD49" s="650"/>
      <c r="AE49" s="650"/>
      <c r="AF49" s="205"/>
      <c r="AG49" s="650"/>
      <c r="AH49" s="650"/>
      <c r="AI49" s="205" t="str">
        <f>+IF(U49="","",IF(U49&gt;=[7]PARÁMETROS!$D$5,"CUMPLE","NO CUMPLE"))</f>
        <v/>
      </c>
      <c r="AJ49" s="143"/>
      <c r="AK49" s="112"/>
    </row>
    <row r="50" spans="1:37" s="79" customFormat="1" ht="30" customHeight="1" thickBot="1" x14ac:dyDescent="0.3">
      <c r="A50" s="654"/>
      <c r="B50" s="145"/>
      <c r="C50" s="411"/>
      <c r="D50" s="146" t="str">
        <f>+IFERROR(INDEX([7]CONSOLIDADO!$D$4:$D$108,MATCH('EXP GEN. 9-16'!B50,[7]CONSOLIDADO!$C$4:$C$108,0)),"")</f>
        <v/>
      </c>
      <c r="E50" s="147"/>
      <c r="F50" s="147"/>
      <c r="G50" s="208"/>
      <c r="H50" s="208"/>
      <c r="I50" s="172"/>
      <c r="J50" s="151"/>
      <c r="K50" s="151"/>
      <c r="L50" s="152" t="str">
        <f t="shared" si="0"/>
        <v/>
      </c>
      <c r="M50" s="153" t="str">
        <f>+IFERROR(INDEX([7]PARÁMETROS!$B$11:$B$37,MATCH(L50,[7]PARÁMETROS!$A$11:$A$37,0)),"")</f>
        <v/>
      </c>
      <c r="N50" s="295"/>
      <c r="O50" s="153"/>
      <c r="P50" s="145"/>
      <c r="Q50" s="156"/>
      <c r="R50" s="157"/>
      <c r="S50" s="153" t="str">
        <f t="shared" si="1"/>
        <v/>
      </c>
      <c r="T50" s="158" t="str">
        <f t="shared" si="2"/>
        <v/>
      </c>
      <c r="U50" s="158" t="str">
        <f t="shared" si="3"/>
        <v/>
      </c>
      <c r="V50" s="190"/>
      <c r="W50" s="651"/>
      <c r="X50" s="651"/>
      <c r="Y50" s="651"/>
      <c r="Z50" s="651"/>
      <c r="AA50" s="651"/>
      <c r="AB50" s="651"/>
      <c r="AC50" s="651"/>
      <c r="AD50" s="651"/>
      <c r="AE50" s="651"/>
      <c r="AF50" s="208"/>
      <c r="AG50" s="651"/>
      <c r="AH50" s="651"/>
      <c r="AI50" s="208" t="str">
        <f>+IF(U50="","",IF(U50&gt;=[7]PARÁMETROS!$D$5,"CUMPLE","NO CUMPLE"))</f>
        <v/>
      </c>
      <c r="AJ50" s="160"/>
      <c r="AK50" s="112"/>
    </row>
    <row r="51" spans="1:37" s="79" customFormat="1" ht="30" customHeight="1" x14ac:dyDescent="0.25">
      <c r="A51" s="652"/>
      <c r="B51" s="125"/>
      <c r="C51" s="408"/>
      <c r="D51" s="127" t="str">
        <f>+IFERROR(INDEX([7]CONSOLIDADO!$D$4:$D$108,MATCH('EXP GEN. 9-16'!B51,[7]CONSOLIDADO!$C$4:$C$108,0)),"")</f>
        <v/>
      </c>
      <c r="E51" s="128"/>
      <c r="F51" s="128"/>
      <c r="G51" s="207"/>
      <c r="H51" s="207"/>
      <c r="I51" s="170"/>
      <c r="J51" s="132"/>
      <c r="K51" s="132"/>
      <c r="L51" s="133" t="str">
        <f t="shared" si="0"/>
        <v/>
      </c>
      <c r="M51" s="134" t="str">
        <f>+IFERROR(INDEX([7]PARÁMETROS!$B$11:$B$37,MATCH(L51,[7]PARÁMETROS!$A$11:$A$37,0)),"")</f>
        <v/>
      </c>
      <c r="N51" s="294"/>
      <c r="O51" s="134"/>
      <c r="P51" s="125"/>
      <c r="Q51" s="137"/>
      <c r="R51" s="138"/>
      <c r="S51" s="134" t="str">
        <f t="shared" si="1"/>
        <v/>
      </c>
      <c r="T51" s="139" t="str">
        <f t="shared" si="2"/>
        <v/>
      </c>
      <c r="U51" s="139" t="str">
        <f t="shared" si="3"/>
        <v/>
      </c>
      <c r="V51" s="200"/>
      <c r="W51" s="649"/>
      <c r="X51" s="649"/>
      <c r="Y51" s="649"/>
      <c r="Z51" s="649"/>
      <c r="AA51" s="649"/>
      <c r="AB51" s="649"/>
      <c r="AC51" s="649"/>
      <c r="AD51" s="649"/>
      <c r="AE51" s="649"/>
      <c r="AF51" s="207"/>
      <c r="AG51" s="649" t="str">
        <f>IF(U51="","",IF(SUM(U51:U53)&gt;=[7]PARÁMETROS!$H$5,"HÁBIL","NO CUMPLE"))</f>
        <v/>
      </c>
      <c r="AH51" s="649" t="str">
        <f>IF(U51="","",IF(U51&gt;=[7]PARÁMETROS!$F$5,"HÁBIL","NO CUMPLE"))</f>
        <v/>
      </c>
      <c r="AI51" s="207" t="str">
        <f>+IF(U51="","",IF(U51&gt;=[7]PARÁMETROS!$D$5,"CUMPLE","NO CUMPLE"))</f>
        <v/>
      </c>
      <c r="AJ51" s="142"/>
      <c r="AK51" s="112"/>
    </row>
    <row r="52" spans="1:37" s="79" customFormat="1" ht="30" customHeight="1" x14ac:dyDescent="0.25">
      <c r="A52" s="653"/>
      <c r="B52" s="63"/>
      <c r="C52" s="409"/>
      <c r="D52" s="65" t="str">
        <f>+IFERROR(INDEX([7]CONSOLIDADO!$D$4:$D$108,MATCH('EXP GEN. 9-16'!B52,[7]CONSOLIDADO!$C$4:$C$108,0)),"")</f>
        <v/>
      </c>
      <c r="E52" s="66"/>
      <c r="F52" s="66"/>
      <c r="G52" s="205"/>
      <c r="H52" s="205"/>
      <c r="I52" s="80"/>
      <c r="J52" s="70"/>
      <c r="K52" s="70"/>
      <c r="L52" s="71" t="str">
        <f t="shared" si="0"/>
        <v/>
      </c>
      <c r="M52" s="72" t="str">
        <f>+IFERROR(INDEX([7]PARÁMETROS!$B$11:$B$37,MATCH(L52,[7]PARÁMETROS!$A$11:$A$37,0)),"")</f>
        <v/>
      </c>
      <c r="N52" s="286"/>
      <c r="O52" s="72"/>
      <c r="P52" s="63"/>
      <c r="Q52" s="75"/>
      <c r="R52" s="76"/>
      <c r="S52" s="72" t="str">
        <f t="shared" si="1"/>
        <v/>
      </c>
      <c r="T52" s="60" t="str">
        <f t="shared" si="2"/>
        <v/>
      </c>
      <c r="U52" s="60" t="str">
        <f t="shared" si="3"/>
        <v/>
      </c>
      <c r="V52" s="201"/>
      <c r="W52" s="650"/>
      <c r="X52" s="650"/>
      <c r="Y52" s="650"/>
      <c r="Z52" s="650"/>
      <c r="AA52" s="650"/>
      <c r="AB52" s="650"/>
      <c r="AC52" s="650"/>
      <c r="AD52" s="650"/>
      <c r="AE52" s="650"/>
      <c r="AF52" s="205"/>
      <c r="AG52" s="650"/>
      <c r="AH52" s="650"/>
      <c r="AI52" s="205" t="str">
        <f>+IF(U52="","",IF(U52&gt;=[7]PARÁMETROS!$D$5,"CUMPLE","NO CUMPLE"))</f>
        <v/>
      </c>
      <c r="AJ52" s="143"/>
      <c r="AK52" s="112"/>
    </row>
    <row r="53" spans="1:37" s="79" customFormat="1" ht="30" customHeight="1" x14ac:dyDescent="0.25">
      <c r="A53" s="653"/>
      <c r="B53" s="63"/>
      <c r="C53" s="409"/>
      <c r="D53" s="65" t="str">
        <f>+IFERROR(INDEX([7]CONSOLIDADO!$D$4:$D$108,MATCH('EXP GEN. 9-16'!B53,[7]CONSOLIDADO!$C$4:$C$108,0)),"")</f>
        <v/>
      </c>
      <c r="E53" s="66"/>
      <c r="F53" s="66"/>
      <c r="G53" s="205"/>
      <c r="H53" s="205"/>
      <c r="I53" s="80"/>
      <c r="J53" s="70"/>
      <c r="K53" s="70"/>
      <c r="L53" s="71" t="str">
        <f t="shared" si="0"/>
        <v/>
      </c>
      <c r="M53" s="72" t="str">
        <f>+IFERROR(INDEX([7]PARÁMETROS!$B$11:$B$37,MATCH(L53,[7]PARÁMETROS!$A$11:$A$37,0)),"")</f>
        <v/>
      </c>
      <c r="N53" s="286"/>
      <c r="O53" s="72"/>
      <c r="P53" s="63"/>
      <c r="Q53" s="75"/>
      <c r="R53" s="76"/>
      <c r="S53" s="72" t="str">
        <f t="shared" si="1"/>
        <v/>
      </c>
      <c r="T53" s="60" t="str">
        <f t="shared" si="2"/>
        <v/>
      </c>
      <c r="U53" s="60" t="str">
        <f t="shared" si="3"/>
        <v/>
      </c>
      <c r="V53" s="201"/>
      <c r="W53" s="650"/>
      <c r="X53" s="650"/>
      <c r="Y53" s="650"/>
      <c r="Z53" s="650"/>
      <c r="AA53" s="650"/>
      <c r="AB53" s="650"/>
      <c r="AC53" s="650"/>
      <c r="AD53" s="650"/>
      <c r="AE53" s="650"/>
      <c r="AF53" s="205"/>
      <c r="AG53" s="650"/>
      <c r="AH53" s="650"/>
      <c r="AI53" s="205" t="str">
        <f>+IF(U53="","",IF(U53&gt;=[7]PARÁMETROS!$D$5,"CUMPLE","NO CUMPLE"))</f>
        <v/>
      </c>
      <c r="AJ53" s="143"/>
      <c r="AK53" s="112"/>
    </row>
    <row r="54" spans="1:37" s="79" customFormat="1" ht="30" customHeight="1" x14ac:dyDescent="0.25">
      <c r="A54" s="653"/>
      <c r="B54" s="63"/>
      <c r="C54" s="409"/>
      <c r="D54" s="65" t="str">
        <f>+IFERROR(INDEX([7]CONSOLIDADO!$D$4:$D$108,MATCH('EXP GEN. 9-16'!B54,[7]CONSOLIDADO!$C$4:$C$108,0)),"")</f>
        <v/>
      </c>
      <c r="E54" s="66"/>
      <c r="F54" s="66"/>
      <c r="G54" s="205"/>
      <c r="H54" s="205"/>
      <c r="I54" s="80"/>
      <c r="J54" s="70"/>
      <c r="K54" s="70"/>
      <c r="L54" s="71" t="str">
        <f t="shared" si="0"/>
        <v/>
      </c>
      <c r="M54" s="72" t="str">
        <f>+IFERROR(INDEX([7]PARÁMETROS!$B$11:$B$37,MATCH(L54,[7]PARÁMETROS!$A$11:$A$37,0)),"")</f>
        <v/>
      </c>
      <c r="N54" s="286"/>
      <c r="O54" s="72"/>
      <c r="P54" s="63"/>
      <c r="Q54" s="75"/>
      <c r="R54" s="76"/>
      <c r="S54" s="72" t="str">
        <f t="shared" si="1"/>
        <v/>
      </c>
      <c r="T54" s="60" t="str">
        <f t="shared" si="2"/>
        <v/>
      </c>
      <c r="U54" s="60" t="str">
        <f t="shared" si="3"/>
        <v/>
      </c>
      <c r="V54" s="201"/>
      <c r="W54" s="650"/>
      <c r="X54" s="650"/>
      <c r="Y54" s="650"/>
      <c r="Z54" s="650"/>
      <c r="AA54" s="650"/>
      <c r="AB54" s="650"/>
      <c r="AC54" s="650"/>
      <c r="AD54" s="650"/>
      <c r="AE54" s="650"/>
      <c r="AF54" s="205"/>
      <c r="AG54" s="650"/>
      <c r="AH54" s="650"/>
      <c r="AI54" s="205" t="str">
        <f>+IF(U54="","",IF(U54&gt;=[7]PARÁMETROS!$D$5,"CUMPLE","NO CUMPLE"))</f>
        <v/>
      </c>
      <c r="AJ54" s="143"/>
      <c r="AK54" s="112"/>
    </row>
    <row r="55" spans="1:37" s="79" customFormat="1" ht="30" customHeight="1" x14ac:dyDescent="0.25">
      <c r="A55" s="653"/>
      <c r="B55" s="63"/>
      <c r="C55" s="409"/>
      <c r="D55" s="65" t="str">
        <f>+IFERROR(INDEX([7]CONSOLIDADO!$D$4:$D$108,MATCH('EXP GEN. 9-16'!B55,[7]CONSOLIDADO!$C$4:$C$108,0)),"")</f>
        <v/>
      </c>
      <c r="E55" s="66"/>
      <c r="F55" s="66"/>
      <c r="G55" s="205"/>
      <c r="H55" s="205"/>
      <c r="I55" s="80"/>
      <c r="J55" s="70"/>
      <c r="K55" s="70"/>
      <c r="L55" s="71" t="str">
        <f t="shared" si="0"/>
        <v/>
      </c>
      <c r="M55" s="72" t="str">
        <f>+IFERROR(INDEX([7]PARÁMETROS!$B$11:$B$37,MATCH(L55,[7]PARÁMETROS!$A$11:$A$37,0)),"")</f>
        <v/>
      </c>
      <c r="N55" s="286"/>
      <c r="O55" s="72"/>
      <c r="P55" s="63"/>
      <c r="Q55" s="75"/>
      <c r="R55" s="76"/>
      <c r="S55" s="72" t="str">
        <f t="shared" si="1"/>
        <v/>
      </c>
      <c r="T55" s="60" t="str">
        <f t="shared" si="2"/>
        <v/>
      </c>
      <c r="U55" s="60" t="str">
        <f t="shared" si="3"/>
        <v/>
      </c>
      <c r="V55" s="201"/>
      <c r="W55" s="650"/>
      <c r="X55" s="650"/>
      <c r="Y55" s="650"/>
      <c r="Z55" s="650"/>
      <c r="AA55" s="650"/>
      <c r="AB55" s="650"/>
      <c r="AC55" s="650"/>
      <c r="AD55" s="650"/>
      <c r="AE55" s="650"/>
      <c r="AF55" s="205"/>
      <c r="AG55" s="650"/>
      <c r="AH55" s="650"/>
      <c r="AI55" s="205" t="str">
        <f>+IF(U55="","",IF(U55&gt;=[7]PARÁMETROS!$D$5,"CUMPLE","NO CUMPLE"))</f>
        <v/>
      </c>
      <c r="AJ55" s="143"/>
      <c r="AK55" s="112"/>
    </row>
    <row r="56" spans="1:37" s="79" customFormat="1" ht="30" customHeight="1" thickBot="1" x14ac:dyDescent="0.3">
      <c r="A56" s="654"/>
      <c r="B56" s="145"/>
      <c r="C56" s="411"/>
      <c r="D56" s="146" t="str">
        <f>+IFERROR(INDEX([7]CONSOLIDADO!$D$4:$D$108,MATCH('EXP GEN. 9-16'!B56,[7]CONSOLIDADO!$C$4:$C$108,0)),"")</f>
        <v/>
      </c>
      <c r="E56" s="147"/>
      <c r="F56" s="147"/>
      <c r="G56" s="208"/>
      <c r="H56" s="208"/>
      <c r="I56" s="172"/>
      <c r="J56" s="151"/>
      <c r="K56" s="151"/>
      <c r="L56" s="152" t="str">
        <f t="shared" si="0"/>
        <v/>
      </c>
      <c r="M56" s="153" t="str">
        <f>+IFERROR(INDEX([7]PARÁMETROS!$B$11:$B$37,MATCH(L56,[7]PARÁMETROS!$A$11:$A$37,0)),"")</f>
        <v/>
      </c>
      <c r="N56" s="295"/>
      <c r="O56" s="153"/>
      <c r="P56" s="145"/>
      <c r="Q56" s="156"/>
      <c r="R56" s="157"/>
      <c r="S56" s="153" t="str">
        <f t="shared" si="1"/>
        <v/>
      </c>
      <c r="T56" s="158" t="str">
        <f t="shared" si="2"/>
        <v/>
      </c>
      <c r="U56" s="158" t="str">
        <f t="shared" si="3"/>
        <v/>
      </c>
      <c r="V56" s="190"/>
      <c r="W56" s="651"/>
      <c r="X56" s="651"/>
      <c r="Y56" s="651"/>
      <c r="Z56" s="651"/>
      <c r="AA56" s="651"/>
      <c r="AB56" s="651"/>
      <c r="AC56" s="651"/>
      <c r="AD56" s="651"/>
      <c r="AE56" s="651"/>
      <c r="AF56" s="208"/>
      <c r="AG56" s="651"/>
      <c r="AH56" s="651"/>
      <c r="AI56" s="208" t="str">
        <f>+IF(U56="","",IF(U56&gt;=[7]PARÁMETROS!$D$5,"CUMPLE","NO CUMPLE"))</f>
        <v/>
      </c>
      <c r="AJ56" s="160"/>
      <c r="AK56" s="112"/>
    </row>
    <row r="57" spans="1:37" s="79" customFormat="1" ht="30" customHeight="1" x14ac:dyDescent="0.25">
      <c r="A57" s="652"/>
      <c r="B57" s="125"/>
      <c r="C57" s="408"/>
      <c r="D57" s="127" t="str">
        <f>+IFERROR(INDEX([7]CONSOLIDADO!$D$4:$D$108,MATCH('EXP GEN. 9-16'!B57,[7]CONSOLIDADO!$C$4:$C$108,0)),"")</f>
        <v/>
      </c>
      <c r="E57" s="128"/>
      <c r="F57" s="128"/>
      <c r="G57" s="207"/>
      <c r="H57" s="207"/>
      <c r="I57" s="170"/>
      <c r="J57" s="132"/>
      <c r="K57" s="132"/>
      <c r="L57" s="133" t="str">
        <f t="shared" si="0"/>
        <v/>
      </c>
      <c r="M57" s="134" t="str">
        <f>+IFERROR(INDEX([7]PARÁMETROS!$B$11:$B$37,MATCH(L57,[7]PARÁMETROS!$A$11:$A$37,0)),"")</f>
        <v/>
      </c>
      <c r="N57" s="294"/>
      <c r="O57" s="134"/>
      <c r="P57" s="125"/>
      <c r="Q57" s="137"/>
      <c r="R57" s="138"/>
      <c r="S57" s="134" t="str">
        <f t="shared" si="1"/>
        <v/>
      </c>
      <c r="T57" s="139" t="str">
        <f t="shared" si="2"/>
        <v/>
      </c>
      <c r="U57" s="139" t="str">
        <f t="shared" si="3"/>
        <v/>
      </c>
      <c r="V57" s="200"/>
      <c r="W57" s="649"/>
      <c r="X57" s="649"/>
      <c r="Y57" s="649"/>
      <c r="Z57" s="649"/>
      <c r="AA57" s="649"/>
      <c r="AB57" s="649"/>
      <c r="AC57" s="649"/>
      <c r="AD57" s="649"/>
      <c r="AE57" s="649"/>
      <c r="AF57" s="207"/>
      <c r="AG57" s="649" t="str">
        <f>IF(U57="","",IF(SUM(U57:U59)&gt;=[7]PARÁMETROS!$H$5,"HÁBIL","NO HÁBIL"))</f>
        <v/>
      </c>
      <c r="AH57" s="649" t="str">
        <f>IF(U57="","",IF(U57&gt;=[7]PARÁMETROS!$F$5,"HÁBIL","NO HÁBIL"))</f>
        <v/>
      </c>
      <c r="AI57" s="207" t="str">
        <f>+IF(U57="","",IF(U57&gt;=[7]PARÁMETROS!$D$5,"CUMPLE","NO CUMPLE"))</f>
        <v/>
      </c>
      <c r="AJ57" s="142"/>
      <c r="AK57" s="112"/>
    </row>
    <row r="58" spans="1:37" s="79" customFormat="1" ht="30" customHeight="1" x14ac:dyDescent="0.25">
      <c r="A58" s="653"/>
      <c r="B58" s="63"/>
      <c r="C58" s="409"/>
      <c r="D58" s="65" t="str">
        <f>+IFERROR(INDEX([7]CONSOLIDADO!$D$4:$D$108,MATCH('EXP GEN. 9-16'!B58,[7]CONSOLIDADO!$C$4:$C$108,0)),"")</f>
        <v/>
      </c>
      <c r="E58" s="66"/>
      <c r="F58" s="66"/>
      <c r="G58" s="205"/>
      <c r="H58" s="205"/>
      <c r="I58" s="80"/>
      <c r="J58" s="70"/>
      <c r="K58" s="70"/>
      <c r="L58" s="71" t="str">
        <f t="shared" si="0"/>
        <v/>
      </c>
      <c r="M58" s="72" t="str">
        <f>+IFERROR(INDEX([7]PARÁMETROS!$B$11:$B$37,MATCH(L58,[7]PARÁMETROS!$A$11:$A$37,0)),"")</f>
        <v/>
      </c>
      <c r="N58" s="286"/>
      <c r="O58" s="72"/>
      <c r="P58" s="63"/>
      <c r="Q58" s="75"/>
      <c r="R58" s="76"/>
      <c r="S58" s="72" t="str">
        <f t="shared" si="1"/>
        <v/>
      </c>
      <c r="T58" s="60" t="str">
        <f t="shared" si="2"/>
        <v/>
      </c>
      <c r="U58" s="60" t="str">
        <f t="shared" si="3"/>
        <v/>
      </c>
      <c r="V58" s="201"/>
      <c r="W58" s="650"/>
      <c r="X58" s="650"/>
      <c r="Y58" s="650"/>
      <c r="Z58" s="650"/>
      <c r="AA58" s="650"/>
      <c r="AB58" s="650"/>
      <c r="AC58" s="650"/>
      <c r="AD58" s="650"/>
      <c r="AE58" s="650"/>
      <c r="AF58" s="205"/>
      <c r="AG58" s="650"/>
      <c r="AH58" s="650"/>
      <c r="AI58" s="205" t="str">
        <f>+IF(U58="","",IF(U58&gt;=[7]PARÁMETROS!$D$5,"CUMPLE","NO CUMPLE"))</f>
        <v/>
      </c>
      <c r="AJ58" s="143"/>
      <c r="AK58" s="112"/>
    </row>
    <row r="59" spans="1:37" s="79" customFormat="1" ht="30" customHeight="1" x14ac:dyDescent="0.25">
      <c r="A59" s="653"/>
      <c r="B59" s="63"/>
      <c r="C59" s="409"/>
      <c r="D59" s="65" t="str">
        <f>+IFERROR(INDEX([7]CONSOLIDADO!$D$4:$D$108,MATCH('EXP GEN. 9-16'!B59,[7]CONSOLIDADO!$C$4:$C$108,0)),"")</f>
        <v/>
      </c>
      <c r="E59" s="66"/>
      <c r="F59" s="66"/>
      <c r="G59" s="205"/>
      <c r="H59" s="205"/>
      <c r="I59" s="80"/>
      <c r="J59" s="70"/>
      <c r="K59" s="70"/>
      <c r="L59" s="71" t="str">
        <f t="shared" si="0"/>
        <v/>
      </c>
      <c r="M59" s="72" t="str">
        <f>+IFERROR(INDEX([7]PARÁMETROS!$B$11:$B$37,MATCH(L59,[7]PARÁMETROS!$A$11:$A$37,0)),"")</f>
        <v/>
      </c>
      <c r="N59" s="286"/>
      <c r="O59" s="72"/>
      <c r="P59" s="63"/>
      <c r="Q59" s="75"/>
      <c r="R59" s="76"/>
      <c r="S59" s="72" t="str">
        <f t="shared" si="1"/>
        <v/>
      </c>
      <c r="T59" s="60" t="str">
        <f t="shared" si="2"/>
        <v/>
      </c>
      <c r="U59" s="60" t="str">
        <f t="shared" si="3"/>
        <v/>
      </c>
      <c r="V59" s="201"/>
      <c r="W59" s="650"/>
      <c r="X59" s="650"/>
      <c r="Y59" s="650"/>
      <c r="Z59" s="650"/>
      <c r="AA59" s="650"/>
      <c r="AB59" s="650"/>
      <c r="AC59" s="650"/>
      <c r="AD59" s="650"/>
      <c r="AE59" s="650"/>
      <c r="AF59" s="205"/>
      <c r="AG59" s="650"/>
      <c r="AH59" s="650"/>
      <c r="AI59" s="205" t="str">
        <f>+IF(U59="","",IF(U59&gt;=[7]PARÁMETROS!$D$5,"CUMPLE","NO CUMPLE"))</f>
        <v/>
      </c>
      <c r="AJ59" s="143"/>
      <c r="AK59" s="112"/>
    </row>
    <row r="60" spans="1:37" s="79" customFormat="1" ht="30" customHeight="1" x14ac:dyDescent="0.25">
      <c r="A60" s="653"/>
      <c r="B60" s="63"/>
      <c r="C60" s="409"/>
      <c r="D60" s="65" t="str">
        <f>+IFERROR(INDEX([7]CONSOLIDADO!$D$4:$D$108,MATCH('EXP GEN. 9-16'!B60,[7]CONSOLIDADO!$C$4:$C$108,0)),"")</f>
        <v/>
      </c>
      <c r="E60" s="66"/>
      <c r="F60" s="66"/>
      <c r="G60" s="205"/>
      <c r="H60" s="205"/>
      <c r="I60" s="80"/>
      <c r="J60" s="70"/>
      <c r="K60" s="70"/>
      <c r="L60" s="71" t="str">
        <f t="shared" si="0"/>
        <v/>
      </c>
      <c r="M60" s="72" t="str">
        <f>+IFERROR(INDEX([7]PARÁMETROS!$B$11:$B$37,MATCH(L60,[7]PARÁMETROS!$A$11:$A$37,0)),"")</f>
        <v/>
      </c>
      <c r="N60" s="286"/>
      <c r="O60" s="72"/>
      <c r="P60" s="63"/>
      <c r="Q60" s="75"/>
      <c r="R60" s="76"/>
      <c r="S60" s="72" t="str">
        <f t="shared" si="1"/>
        <v/>
      </c>
      <c r="T60" s="60" t="str">
        <f t="shared" si="2"/>
        <v/>
      </c>
      <c r="U60" s="60" t="str">
        <f t="shared" si="3"/>
        <v/>
      </c>
      <c r="V60" s="201"/>
      <c r="W60" s="650"/>
      <c r="X60" s="650"/>
      <c r="Y60" s="650"/>
      <c r="Z60" s="650"/>
      <c r="AA60" s="650"/>
      <c r="AB60" s="650"/>
      <c r="AC60" s="650"/>
      <c r="AD60" s="650"/>
      <c r="AE60" s="650"/>
      <c r="AF60" s="205"/>
      <c r="AG60" s="650"/>
      <c r="AH60" s="650"/>
      <c r="AI60" s="205" t="str">
        <f>+IF(U60="","",IF(U60&gt;=[7]PARÁMETROS!$D$5,"CUMPLE","NO CUMPLE"))</f>
        <v/>
      </c>
      <c r="AJ60" s="143"/>
      <c r="AK60" s="112"/>
    </row>
    <row r="61" spans="1:37" s="79" customFormat="1" ht="30" customHeight="1" x14ac:dyDescent="0.25">
      <c r="A61" s="653"/>
      <c r="B61" s="63"/>
      <c r="C61" s="409"/>
      <c r="D61" s="65" t="str">
        <f>+IFERROR(INDEX([7]CONSOLIDADO!$D$4:$D$108,MATCH('EXP GEN. 9-16'!B61,[7]CONSOLIDADO!$C$4:$C$108,0)),"")</f>
        <v/>
      </c>
      <c r="E61" s="66"/>
      <c r="F61" s="66"/>
      <c r="G61" s="205"/>
      <c r="H61" s="205"/>
      <c r="I61" s="80"/>
      <c r="J61" s="70"/>
      <c r="K61" s="70"/>
      <c r="L61" s="71" t="str">
        <f t="shared" si="0"/>
        <v/>
      </c>
      <c r="M61" s="72" t="str">
        <f>+IFERROR(INDEX([7]PARÁMETROS!$B$11:$B$37,MATCH(L61,[7]PARÁMETROS!$A$11:$A$37,0)),"")</f>
        <v/>
      </c>
      <c r="N61" s="286"/>
      <c r="O61" s="72"/>
      <c r="P61" s="63"/>
      <c r="Q61" s="75"/>
      <c r="R61" s="76"/>
      <c r="S61" s="72" t="str">
        <f t="shared" si="1"/>
        <v/>
      </c>
      <c r="T61" s="60" t="str">
        <f t="shared" si="2"/>
        <v/>
      </c>
      <c r="U61" s="60" t="str">
        <f t="shared" si="3"/>
        <v/>
      </c>
      <c r="V61" s="201"/>
      <c r="W61" s="650"/>
      <c r="X61" s="650"/>
      <c r="Y61" s="650"/>
      <c r="Z61" s="650"/>
      <c r="AA61" s="650"/>
      <c r="AB61" s="650"/>
      <c r="AC61" s="650"/>
      <c r="AD61" s="650"/>
      <c r="AE61" s="650"/>
      <c r="AF61" s="205"/>
      <c r="AG61" s="650"/>
      <c r="AH61" s="650"/>
      <c r="AI61" s="205" t="str">
        <f>+IF(U61="","",IF(U61&gt;=[7]PARÁMETROS!$D$5,"CUMPLE","NO CUMPLE"))</f>
        <v/>
      </c>
      <c r="AJ61" s="143"/>
      <c r="AK61" s="112"/>
    </row>
    <row r="62" spans="1:37" s="79" customFormat="1" ht="30" customHeight="1" thickBot="1" x14ac:dyDescent="0.3">
      <c r="A62" s="654"/>
      <c r="B62" s="145"/>
      <c r="C62" s="411"/>
      <c r="D62" s="146" t="str">
        <f>+IFERROR(INDEX([7]CONSOLIDADO!$D$4:$D$108,MATCH('EXP GEN. 9-16'!B62,[7]CONSOLIDADO!$C$4:$C$108,0)),"")</f>
        <v/>
      </c>
      <c r="E62" s="147"/>
      <c r="F62" s="147"/>
      <c r="G62" s="208"/>
      <c r="H62" s="208"/>
      <c r="I62" s="172"/>
      <c r="J62" s="151"/>
      <c r="K62" s="151"/>
      <c r="L62" s="152" t="str">
        <f>IF(K62="","",YEAR(K62))</f>
        <v/>
      </c>
      <c r="M62" s="153" t="str">
        <f>+IFERROR(INDEX([7]PARÁMETROS!$B$11:$B$37,MATCH(L62,[7]PARÁMETROS!$A$11:$A$37,0)),"")</f>
        <v/>
      </c>
      <c r="N62" s="295"/>
      <c r="O62" s="153"/>
      <c r="P62" s="145"/>
      <c r="Q62" s="156"/>
      <c r="R62" s="157"/>
      <c r="S62" s="153" t="str">
        <f>IF(R62&lt;&gt;"",N62*R62,"")</f>
        <v/>
      </c>
      <c r="T62" s="158" t="str">
        <f>+IFERROR(S62/M62,"")</f>
        <v/>
      </c>
      <c r="U62" s="158" t="str">
        <f>IFERROR(T62*I62,"")</f>
        <v/>
      </c>
      <c r="V62" s="190"/>
      <c r="W62" s="651"/>
      <c r="X62" s="651"/>
      <c r="Y62" s="651"/>
      <c r="Z62" s="651"/>
      <c r="AA62" s="651"/>
      <c r="AB62" s="651"/>
      <c r="AC62" s="651"/>
      <c r="AD62" s="651"/>
      <c r="AE62" s="651"/>
      <c r="AF62" s="208"/>
      <c r="AG62" s="651"/>
      <c r="AH62" s="651"/>
      <c r="AI62" s="208" t="str">
        <f>+IF(U62="","",IF(U62&gt;=[7]PARÁMETROS!$D$5,"CUMPLE","NO CUMPLE"))</f>
        <v/>
      </c>
      <c r="AJ62" s="160"/>
      <c r="AK62" s="112"/>
    </row>
    <row r="63" spans="1:37" s="79" customFormat="1" ht="30" customHeight="1" x14ac:dyDescent="0.25">
      <c r="A63" s="63"/>
      <c r="B63" s="63"/>
      <c r="C63" s="409"/>
      <c r="D63" s="65"/>
      <c r="E63" s="66"/>
      <c r="F63" s="66"/>
      <c r="G63" s="66"/>
      <c r="H63" s="66"/>
      <c r="I63" s="80"/>
      <c r="J63" s="70"/>
      <c r="K63" s="70"/>
      <c r="L63" s="71"/>
      <c r="M63" s="72"/>
      <c r="N63" s="286"/>
      <c r="O63" s="72"/>
      <c r="P63" s="63"/>
      <c r="Q63" s="75"/>
      <c r="R63" s="76"/>
      <c r="S63" s="72"/>
      <c r="T63" s="60"/>
      <c r="U63" s="60"/>
      <c r="V63" s="201"/>
      <c r="W63" s="205"/>
      <c r="X63" s="205"/>
      <c r="Y63" s="205"/>
      <c r="Z63" s="205"/>
      <c r="AA63" s="205"/>
      <c r="AB63" s="205"/>
      <c r="AC63" s="205"/>
      <c r="AD63" s="205"/>
      <c r="AE63" s="205"/>
      <c r="AF63" s="205"/>
      <c r="AG63" s="205"/>
      <c r="AH63" s="205"/>
      <c r="AI63" s="205"/>
      <c r="AJ63" s="66"/>
    </row>
    <row r="64" spans="1:37" s="79" customFormat="1" ht="30" customHeight="1" x14ac:dyDescent="0.25">
      <c r="A64" s="63"/>
      <c r="B64" s="63"/>
      <c r="C64" s="409"/>
      <c r="D64" s="65"/>
      <c r="E64" s="66"/>
      <c r="F64" s="66"/>
      <c r="G64" s="66"/>
      <c r="H64" s="66"/>
      <c r="I64" s="80"/>
      <c r="J64" s="70"/>
      <c r="K64" s="70"/>
      <c r="L64" s="71"/>
      <c r="M64" s="72"/>
      <c r="N64" s="286"/>
      <c r="O64" s="72"/>
      <c r="P64" s="63"/>
      <c r="Q64" s="75"/>
      <c r="R64" s="76"/>
      <c r="S64" s="72"/>
      <c r="T64" s="60"/>
      <c r="U64" s="60"/>
      <c r="V64" s="201"/>
      <c r="W64" s="205"/>
      <c r="X64" s="205"/>
      <c r="Y64" s="205"/>
      <c r="Z64" s="205"/>
      <c r="AA64" s="205"/>
      <c r="AB64" s="205"/>
      <c r="AC64" s="205"/>
      <c r="AD64" s="205"/>
      <c r="AE64" s="205"/>
      <c r="AF64" s="205"/>
      <c r="AG64" s="205"/>
      <c r="AH64" s="205"/>
      <c r="AI64" s="205"/>
      <c r="AJ64" s="66"/>
    </row>
    <row r="65" spans="1:36" s="79" customFormat="1" ht="30" customHeight="1" x14ac:dyDescent="0.25">
      <c r="A65" s="63"/>
      <c r="B65" s="63"/>
      <c r="C65" s="409"/>
      <c r="D65" s="65"/>
      <c r="E65" s="66"/>
      <c r="F65" s="66"/>
      <c r="G65" s="66"/>
      <c r="H65" s="66"/>
      <c r="I65" s="80"/>
      <c r="J65" s="70"/>
      <c r="K65" s="70"/>
      <c r="L65" s="71"/>
      <c r="M65" s="72"/>
      <c r="N65" s="286"/>
      <c r="O65" s="72"/>
      <c r="P65" s="63"/>
      <c r="Q65" s="75"/>
      <c r="R65" s="76"/>
      <c r="S65" s="72"/>
      <c r="T65" s="60"/>
      <c r="U65" s="60"/>
      <c r="V65" s="201"/>
      <c r="W65" s="205"/>
      <c r="X65" s="205"/>
      <c r="Y65" s="205"/>
      <c r="Z65" s="205"/>
      <c r="AA65" s="205"/>
      <c r="AB65" s="205"/>
      <c r="AC65" s="205"/>
      <c r="AD65" s="205"/>
      <c r="AE65" s="205"/>
      <c r="AF65" s="205"/>
      <c r="AG65" s="205"/>
      <c r="AH65" s="205"/>
      <c r="AI65" s="205"/>
      <c r="AJ65" s="66"/>
    </row>
    <row r="66" spans="1:36" s="79" customFormat="1" ht="30" customHeight="1" x14ac:dyDescent="0.25">
      <c r="A66" s="63"/>
      <c r="B66" s="63"/>
      <c r="C66" s="409"/>
      <c r="D66" s="65"/>
      <c r="E66" s="66"/>
      <c r="F66" s="66"/>
      <c r="G66" s="66"/>
      <c r="H66" s="66"/>
      <c r="I66" s="80"/>
      <c r="J66" s="70"/>
      <c r="K66" s="70"/>
      <c r="L66" s="71"/>
      <c r="M66" s="72"/>
      <c r="N66" s="286"/>
      <c r="O66" s="72"/>
      <c r="P66" s="63"/>
      <c r="Q66" s="75"/>
      <c r="R66" s="76"/>
      <c r="S66" s="72"/>
      <c r="T66" s="60"/>
      <c r="U66" s="60"/>
      <c r="V66" s="201"/>
      <c r="W66" s="205"/>
      <c r="X66" s="205"/>
      <c r="Y66" s="205"/>
      <c r="Z66" s="205"/>
      <c r="AA66" s="205"/>
      <c r="AB66" s="205"/>
      <c r="AC66" s="205"/>
      <c r="AD66" s="205"/>
      <c r="AE66" s="205"/>
      <c r="AF66" s="205"/>
      <c r="AG66" s="205"/>
      <c r="AH66" s="205"/>
      <c r="AI66" s="205"/>
      <c r="AJ66" s="66"/>
    </row>
    <row r="67" spans="1:36" s="79" customFormat="1" ht="30" customHeight="1" x14ac:dyDescent="0.25">
      <c r="A67" s="63"/>
      <c r="B67" s="63"/>
      <c r="C67" s="409"/>
      <c r="D67" s="65"/>
      <c r="E67" s="66"/>
      <c r="F67" s="66"/>
      <c r="G67" s="66"/>
      <c r="H67" s="66"/>
      <c r="I67" s="80"/>
      <c r="J67" s="70"/>
      <c r="K67" s="70"/>
      <c r="L67" s="71"/>
      <c r="M67" s="72"/>
      <c r="N67" s="286"/>
      <c r="O67" s="72"/>
      <c r="P67" s="63"/>
      <c r="Q67" s="75"/>
      <c r="R67" s="76"/>
      <c r="S67" s="72"/>
      <c r="T67" s="60"/>
      <c r="U67" s="60"/>
      <c r="V67" s="201"/>
      <c r="W67" s="205"/>
      <c r="X67" s="205"/>
      <c r="Y67" s="205"/>
      <c r="Z67" s="205"/>
      <c r="AA67" s="205"/>
      <c r="AB67" s="205"/>
      <c r="AC67" s="205"/>
      <c r="AD67" s="205"/>
      <c r="AE67" s="205"/>
      <c r="AF67" s="205"/>
      <c r="AG67" s="205"/>
      <c r="AH67" s="205"/>
      <c r="AI67" s="205"/>
      <c r="AJ67" s="66"/>
    </row>
    <row r="68" spans="1:36" s="79" customFormat="1" ht="30" customHeight="1" x14ac:dyDescent="0.25">
      <c r="A68" s="63"/>
      <c r="B68" s="63"/>
      <c r="C68" s="409"/>
      <c r="D68" s="65"/>
      <c r="E68" s="66"/>
      <c r="F68" s="66"/>
      <c r="G68" s="66"/>
      <c r="H68" s="66"/>
      <c r="I68" s="80"/>
      <c r="J68" s="70"/>
      <c r="K68" s="70"/>
      <c r="L68" s="71"/>
      <c r="M68" s="72"/>
      <c r="N68" s="286"/>
      <c r="O68" s="72"/>
      <c r="P68" s="63"/>
      <c r="Q68" s="75"/>
      <c r="R68" s="76"/>
      <c r="S68" s="72"/>
      <c r="T68" s="60"/>
      <c r="U68" s="60"/>
      <c r="V68" s="201"/>
      <c r="W68" s="205"/>
      <c r="X68" s="205"/>
      <c r="Y68" s="205"/>
      <c r="Z68" s="205"/>
      <c r="AA68" s="205"/>
      <c r="AB68" s="205"/>
      <c r="AC68" s="205"/>
      <c r="AD68" s="205"/>
      <c r="AE68" s="205"/>
      <c r="AF68" s="205"/>
      <c r="AG68" s="205"/>
      <c r="AH68" s="205"/>
      <c r="AI68" s="205"/>
      <c r="AJ68" s="66"/>
    </row>
    <row r="69" spans="1:36" s="79" customFormat="1" ht="30" customHeight="1" x14ac:dyDescent="0.25">
      <c r="A69" s="63"/>
      <c r="B69" s="63"/>
      <c r="C69" s="409"/>
      <c r="D69" s="65"/>
      <c r="E69" s="66"/>
      <c r="F69" s="66"/>
      <c r="G69" s="66"/>
      <c r="H69" s="66"/>
      <c r="I69" s="80"/>
      <c r="J69" s="70"/>
      <c r="K69" s="70"/>
      <c r="L69" s="71"/>
      <c r="M69" s="72"/>
      <c r="N69" s="286"/>
      <c r="O69" s="72"/>
      <c r="P69" s="63"/>
      <c r="Q69" s="75"/>
      <c r="R69" s="76"/>
      <c r="S69" s="72"/>
      <c r="T69" s="60"/>
      <c r="U69" s="60"/>
      <c r="V69" s="201"/>
      <c r="W69" s="205"/>
      <c r="X69" s="205"/>
      <c r="Y69" s="205"/>
      <c r="Z69" s="205"/>
      <c r="AA69" s="205"/>
      <c r="AB69" s="205"/>
      <c r="AC69" s="205"/>
      <c r="AD69" s="205"/>
      <c r="AE69" s="205"/>
      <c r="AF69" s="205"/>
      <c r="AG69" s="205"/>
      <c r="AH69" s="205"/>
      <c r="AI69" s="205"/>
      <c r="AJ69" s="66"/>
    </row>
    <row r="70" spans="1:36" s="79" customFormat="1" ht="30" customHeight="1" x14ac:dyDescent="0.25">
      <c r="A70" s="63"/>
      <c r="B70" s="63"/>
      <c r="C70" s="409"/>
      <c r="D70" s="65"/>
      <c r="E70" s="66"/>
      <c r="F70" s="66"/>
      <c r="G70" s="66"/>
      <c r="H70" s="66"/>
      <c r="I70" s="80"/>
      <c r="J70" s="70"/>
      <c r="K70" s="70"/>
      <c r="L70" s="71"/>
      <c r="M70" s="72"/>
      <c r="N70" s="286"/>
      <c r="O70" s="72"/>
      <c r="P70" s="63"/>
      <c r="Q70" s="75"/>
      <c r="R70" s="76"/>
      <c r="S70" s="72"/>
      <c r="T70" s="60"/>
      <c r="U70" s="60"/>
      <c r="V70" s="201"/>
      <c r="W70" s="205"/>
      <c r="X70" s="205"/>
      <c r="Y70" s="205"/>
      <c r="Z70" s="205"/>
      <c r="AA70" s="205"/>
      <c r="AB70" s="205"/>
      <c r="AC70" s="205"/>
      <c r="AD70" s="205"/>
      <c r="AE70" s="205"/>
      <c r="AF70" s="205"/>
      <c r="AG70" s="205"/>
      <c r="AH70" s="205"/>
      <c r="AI70" s="205"/>
      <c r="AJ70" s="66"/>
    </row>
    <row r="71" spans="1:36" s="79" customFormat="1" ht="30" customHeight="1" x14ac:dyDescent="0.25">
      <c r="A71" s="63"/>
      <c r="B71" s="63"/>
      <c r="C71" s="409"/>
      <c r="D71" s="65"/>
      <c r="E71" s="66"/>
      <c r="F71" s="66"/>
      <c r="G71" s="66"/>
      <c r="H71" s="66"/>
      <c r="I71" s="80"/>
      <c r="J71" s="70"/>
      <c r="K71" s="70"/>
      <c r="L71" s="71"/>
      <c r="M71" s="72"/>
      <c r="N71" s="286"/>
      <c r="O71" s="72"/>
      <c r="P71" s="63"/>
      <c r="Q71" s="75"/>
      <c r="R71" s="76"/>
      <c r="S71" s="72"/>
      <c r="T71" s="60"/>
      <c r="U71" s="60"/>
      <c r="V71" s="201"/>
      <c r="W71" s="205"/>
      <c r="X71" s="205"/>
      <c r="Y71" s="205"/>
      <c r="Z71" s="205"/>
      <c r="AA71" s="205"/>
      <c r="AB71" s="205"/>
      <c r="AC71" s="205"/>
      <c r="AD71" s="205"/>
      <c r="AE71" s="205"/>
      <c r="AF71" s="205"/>
      <c r="AG71" s="205"/>
      <c r="AH71" s="205"/>
      <c r="AI71" s="205"/>
      <c r="AJ71" s="66"/>
    </row>
    <row r="72" spans="1:36" s="79" customFormat="1" ht="30" customHeight="1" x14ac:dyDescent="0.25">
      <c r="A72" s="63"/>
      <c r="B72" s="63"/>
      <c r="C72" s="409"/>
      <c r="D72" s="65"/>
      <c r="E72" s="66"/>
      <c r="F72" s="66"/>
      <c r="G72" s="66"/>
      <c r="H72" s="66"/>
      <c r="I72" s="80"/>
      <c r="J72" s="70"/>
      <c r="K72" s="70"/>
      <c r="L72" s="71"/>
      <c r="M72" s="72"/>
      <c r="N72" s="286"/>
      <c r="O72" s="72"/>
      <c r="P72" s="63"/>
      <c r="Q72" s="75"/>
      <c r="R72" s="76"/>
      <c r="S72" s="72"/>
      <c r="T72" s="60"/>
      <c r="U72" s="60"/>
      <c r="V72" s="201"/>
      <c r="W72" s="205"/>
      <c r="X72" s="205"/>
      <c r="Y72" s="205"/>
      <c r="Z72" s="205"/>
      <c r="AA72" s="205"/>
      <c r="AB72" s="205"/>
      <c r="AC72" s="205"/>
      <c r="AD72" s="205"/>
      <c r="AE72" s="205"/>
      <c r="AF72" s="205"/>
      <c r="AG72" s="205"/>
      <c r="AH72" s="205"/>
      <c r="AI72" s="205"/>
      <c r="AJ72" s="66"/>
    </row>
    <row r="73" spans="1:36" s="79" customFormat="1" ht="30" customHeight="1" x14ac:dyDescent="0.25">
      <c r="A73" s="63"/>
      <c r="B73" s="63"/>
      <c r="C73" s="409"/>
      <c r="D73" s="65"/>
      <c r="E73" s="66"/>
      <c r="F73" s="66"/>
      <c r="G73" s="66"/>
      <c r="H73" s="66"/>
      <c r="I73" s="80"/>
      <c r="J73" s="70"/>
      <c r="K73" s="70"/>
      <c r="L73" s="71"/>
      <c r="M73" s="72"/>
      <c r="N73" s="286"/>
      <c r="O73" s="72"/>
      <c r="P73" s="63"/>
      <c r="Q73" s="75"/>
      <c r="R73" s="76"/>
      <c r="S73" s="72"/>
      <c r="T73" s="60"/>
      <c r="U73" s="60"/>
      <c r="V73" s="60"/>
      <c r="W73" s="205"/>
      <c r="X73" s="205"/>
      <c r="Y73" s="205"/>
      <c r="Z73" s="205"/>
      <c r="AA73" s="205"/>
      <c r="AB73" s="205"/>
      <c r="AC73" s="205"/>
      <c r="AD73" s="205"/>
      <c r="AE73" s="205"/>
      <c r="AF73" s="205"/>
      <c r="AG73" s="205"/>
      <c r="AH73" s="205"/>
      <c r="AI73" s="205"/>
      <c r="AJ73" s="66"/>
    </row>
    <row r="74" spans="1:36" s="79" customFormat="1" ht="30" customHeight="1" x14ac:dyDescent="0.25">
      <c r="A74" s="63"/>
      <c r="B74" s="63"/>
      <c r="C74" s="409"/>
      <c r="D74" s="65"/>
      <c r="E74" s="66"/>
      <c r="F74" s="66"/>
      <c r="G74" s="66"/>
      <c r="H74" s="66"/>
      <c r="I74" s="80"/>
      <c r="J74" s="70"/>
      <c r="K74" s="70"/>
      <c r="L74" s="71"/>
      <c r="M74" s="72"/>
      <c r="N74" s="286"/>
      <c r="O74" s="72"/>
      <c r="P74" s="63"/>
      <c r="Q74" s="75"/>
      <c r="R74" s="76"/>
      <c r="S74" s="72"/>
      <c r="T74" s="60"/>
      <c r="U74" s="60"/>
      <c r="V74" s="60"/>
      <c r="W74" s="205"/>
      <c r="X74" s="205"/>
      <c r="Y74" s="205"/>
      <c r="Z74" s="205"/>
      <c r="AA74" s="205"/>
      <c r="AB74" s="205"/>
      <c r="AC74" s="205"/>
      <c r="AD74" s="205"/>
      <c r="AE74" s="205"/>
      <c r="AF74" s="205"/>
      <c r="AG74" s="205"/>
      <c r="AH74" s="205"/>
      <c r="AI74" s="205"/>
      <c r="AJ74" s="66"/>
    </row>
    <row r="75" spans="1:36" s="103" customFormat="1" ht="30" customHeight="1" x14ac:dyDescent="0.25">
      <c r="A75" s="94"/>
      <c r="B75" s="94"/>
      <c r="C75" s="413"/>
      <c r="D75" s="95"/>
      <c r="E75" s="96"/>
      <c r="F75" s="96"/>
      <c r="G75" s="96"/>
      <c r="H75" s="96"/>
      <c r="I75" s="97"/>
      <c r="J75" s="98"/>
      <c r="K75" s="98"/>
      <c r="L75" s="99"/>
      <c r="M75" s="72"/>
      <c r="N75" s="296"/>
      <c r="O75" s="101"/>
      <c r="P75" s="63"/>
      <c r="Q75" s="75"/>
      <c r="R75" s="76"/>
      <c r="S75" s="72"/>
      <c r="T75" s="60"/>
      <c r="U75" s="60"/>
      <c r="V75" s="60"/>
      <c r="W75" s="102"/>
      <c r="X75" s="102"/>
      <c r="Y75" s="102"/>
      <c r="Z75" s="102"/>
      <c r="AA75" s="102"/>
      <c r="AB75" s="102"/>
      <c r="AC75" s="102"/>
      <c r="AD75" s="102"/>
      <c r="AE75" s="102"/>
      <c r="AF75" s="205"/>
      <c r="AG75" s="205"/>
      <c r="AH75" s="205"/>
      <c r="AI75" s="205"/>
      <c r="AJ75" s="96"/>
    </row>
    <row r="76" spans="1:36" s="103" customFormat="1" ht="30" customHeight="1" x14ac:dyDescent="0.25">
      <c r="A76" s="94"/>
      <c r="B76" s="94"/>
      <c r="C76" s="413"/>
      <c r="D76" s="95"/>
      <c r="E76" s="96"/>
      <c r="F76" s="96"/>
      <c r="G76" s="96"/>
      <c r="H76" s="96"/>
      <c r="I76" s="97"/>
      <c r="J76" s="98"/>
      <c r="K76" s="98"/>
      <c r="L76" s="99"/>
      <c r="M76" s="72"/>
      <c r="N76" s="296"/>
      <c r="O76" s="101"/>
      <c r="P76" s="63"/>
      <c r="Q76" s="75"/>
      <c r="R76" s="76"/>
      <c r="S76" s="72"/>
      <c r="T76" s="60"/>
      <c r="U76" s="60"/>
      <c r="V76" s="60"/>
      <c r="W76" s="102"/>
      <c r="X76" s="102"/>
      <c r="Y76" s="102"/>
      <c r="Z76" s="102"/>
      <c r="AA76" s="102"/>
      <c r="AB76" s="102"/>
      <c r="AC76" s="102"/>
      <c r="AD76" s="102"/>
      <c r="AE76" s="102"/>
      <c r="AF76" s="205"/>
      <c r="AG76" s="205"/>
      <c r="AH76" s="205"/>
      <c r="AI76" s="205"/>
      <c r="AJ76" s="96"/>
    </row>
    <row r="77" spans="1:36" s="103" customFormat="1" ht="30" customHeight="1" x14ac:dyDescent="0.25">
      <c r="A77" s="94"/>
      <c r="B77" s="94"/>
      <c r="C77" s="413"/>
      <c r="D77" s="95"/>
      <c r="E77" s="96"/>
      <c r="F77" s="96"/>
      <c r="G77" s="96"/>
      <c r="H77" s="96"/>
      <c r="I77" s="97"/>
      <c r="J77" s="98"/>
      <c r="K77" s="98"/>
      <c r="L77" s="99"/>
      <c r="M77" s="72"/>
      <c r="N77" s="296"/>
      <c r="O77" s="101"/>
      <c r="P77" s="63"/>
      <c r="Q77" s="75"/>
      <c r="R77" s="76"/>
      <c r="S77" s="72"/>
      <c r="T77" s="60"/>
      <c r="U77" s="60"/>
      <c r="V77" s="60"/>
      <c r="W77" s="102"/>
      <c r="X77" s="102"/>
      <c r="Y77" s="102"/>
      <c r="Z77" s="102"/>
      <c r="AA77" s="102"/>
      <c r="AB77" s="102"/>
      <c r="AC77" s="102"/>
      <c r="AD77" s="102"/>
      <c r="AE77" s="102"/>
      <c r="AF77" s="205"/>
      <c r="AG77" s="205"/>
      <c r="AH77" s="205"/>
      <c r="AI77" s="205"/>
      <c r="AJ77" s="96"/>
    </row>
    <row r="78" spans="1:36" s="103" customFormat="1" ht="30" customHeight="1" x14ac:dyDescent="0.25">
      <c r="A78" s="94"/>
      <c r="B78" s="94"/>
      <c r="C78" s="413"/>
      <c r="D78" s="95"/>
      <c r="E78" s="96"/>
      <c r="F78" s="96"/>
      <c r="G78" s="96"/>
      <c r="H78" s="96"/>
      <c r="I78" s="97"/>
      <c r="J78" s="98"/>
      <c r="K78" s="98"/>
      <c r="L78" s="99"/>
      <c r="M78" s="72"/>
      <c r="N78" s="296"/>
      <c r="O78" s="101"/>
      <c r="P78" s="63"/>
      <c r="Q78" s="75"/>
      <c r="R78" s="76"/>
      <c r="S78" s="72"/>
      <c r="T78" s="60"/>
      <c r="U78" s="60"/>
      <c r="V78" s="60"/>
      <c r="W78" s="102"/>
      <c r="X78" s="102"/>
      <c r="Y78" s="102"/>
      <c r="Z78" s="102"/>
      <c r="AA78" s="102"/>
      <c r="AB78" s="102"/>
      <c r="AC78" s="102"/>
      <c r="AD78" s="102"/>
      <c r="AE78" s="102"/>
      <c r="AF78" s="205"/>
      <c r="AG78" s="205"/>
      <c r="AH78" s="205"/>
      <c r="AI78" s="205"/>
      <c r="AJ78" s="96"/>
    </row>
    <row r="79" spans="1:36" s="103" customFormat="1" ht="30" customHeight="1" x14ac:dyDescent="0.25">
      <c r="A79" s="94"/>
      <c r="B79" s="94"/>
      <c r="C79" s="413"/>
      <c r="D79" s="95"/>
      <c r="E79" s="96"/>
      <c r="F79" s="96"/>
      <c r="G79" s="96"/>
      <c r="H79" s="96"/>
      <c r="I79" s="97"/>
      <c r="J79" s="98"/>
      <c r="K79" s="98"/>
      <c r="L79" s="99"/>
      <c r="M79" s="72"/>
      <c r="N79" s="296"/>
      <c r="O79" s="101"/>
      <c r="P79" s="63"/>
      <c r="Q79" s="75"/>
      <c r="R79" s="76"/>
      <c r="S79" s="72"/>
      <c r="T79" s="60"/>
      <c r="U79" s="60"/>
      <c r="V79" s="60"/>
      <c r="W79" s="102"/>
      <c r="X79" s="102"/>
      <c r="Y79" s="102"/>
      <c r="Z79" s="102"/>
      <c r="AA79" s="102"/>
      <c r="AB79" s="102"/>
      <c r="AC79" s="102"/>
      <c r="AD79" s="102"/>
      <c r="AE79" s="102"/>
      <c r="AF79" s="205"/>
      <c r="AG79" s="205"/>
      <c r="AH79" s="205"/>
      <c r="AI79" s="205"/>
      <c r="AJ79" s="96"/>
    </row>
    <row r="80" spans="1:36" s="103" customFormat="1" ht="30" customHeight="1" x14ac:dyDescent="0.25">
      <c r="A80" s="94"/>
      <c r="B80" s="94"/>
      <c r="C80" s="413"/>
      <c r="D80" s="95"/>
      <c r="E80" s="96"/>
      <c r="F80" s="96"/>
      <c r="G80" s="96"/>
      <c r="H80" s="96"/>
      <c r="I80" s="97"/>
      <c r="J80" s="98"/>
      <c r="K80" s="98"/>
      <c r="L80" s="99"/>
      <c r="M80" s="72"/>
      <c r="N80" s="296"/>
      <c r="O80" s="101"/>
      <c r="P80" s="63"/>
      <c r="Q80" s="75"/>
      <c r="R80" s="76"/>
      <c r="S80" s="72"/>
      <c r="T80" s="60"/>
      <c r="U80" s="60"/>
      <c r="V80" s="60"/>
      <c r="W80" s="102"/>
      <c r="X80" s="102"/>
      <c r="Y80" s="102"/>
      <c r="Z80" s="102"/>
      <c r="AA80" s="102"/>
      <c r="AB80" s="102"/>
      <c r="AC80" s="102"/>
      <c r="AD80" s="102"/>
      <c r="AE80" s="102"/>
      <c r="AF80" s="205"/>
      <c r="AG80" s="205"/>
      <c r="AH80" s="205"/>
      <c r="AI80" s="205"/>
      <c r="AJ80" s="96"/>
    </row>
    <row r="81" spans="1:36" s="103" customFormat="1" ht="30" customHeight="1" x14ac:dyDescent="0.25">
      <c r="A81" s="94"/>
      <c r="B81" s="94"/>
      <c r="C81" s="413"/>
      <c r="D81" s="95"/>
      <c r="E81" s="96"/>
      <c r="F81" s="96"/>
      <c r="G81" s="96"/>
      <c r="H81" s="96"/>
      <c r="I81" s="97"/>
      <c r="J81" s="98"/>
      <c r="K81" s="98"/>
      <c r="L81" s="99"/>
      <c r="M81" s="72"/>
      <c r="N81" s="296"/>
      <c r="O81" s="101"/>
      <c r="P81" s="63"/>
      <c r="Q81" s="75"/>
      <c r="R81" s="76"/>
      <c r="S81" s="72"/>
      <c r="T81" s="60"/>
      <c r="U81" s="60"/>
      <c r="V81" s="60"/>
      <c r="W81" s="102"/>
      <c r="X81" s="102"/>
      <c r="Y81" s="102"/>
      <c r="Z81" s="102"/>
      <c r="AA81" s="102"/>
      <c r="AB81" s="102"/>
      <c r="AC81" s="102"/>
      <c r="AD81" s="102"/>
      <c r="AE81" s="102"/>
      <c r="AF81" s="205"/>
      <c r="AG81" s="205"/>
      <c r="AH81" s="205"/>
      <c r="AI81" s="205"/>
      <c r="AJ81" s="96"/>
    </row>
    <row r="82" spans="1:36" s="103" customFormat="1" ht="30" customHeight="1" x14ac:dyDescent="0.25">
      <c r="A82" s="94"/>
      <c r="B82" s="94"/>
      <c r="C82" s="413"/>
      <c r="D82" s="95"/>
      <c r="E82" s="96"/>
      <c r="F82" s="96"/>
      <c r="G82" s="96"/>
      <c r="H82" s="96"/>
      <c r="I82" s="97"/>
      <c r="J82" s="98"/>
      <c r="K82" s="98"/>
      <c r="L82" s="99"/>
      <c r="M82" s="72"/>
      <c r="N82" s="296"/>
      <c r="O82" s="101"/>
      <c r="P82" s="63"/>
      <c r="Q82" s="75"/>
      <c r="R82" s="76"/>
      <c r="S82" s="72"/>
      <c r="T82" s="60"/>
      <c r="U82" s="60"/>
      <c r="V82" s="60"/>
      <c r="W82" s="102"/>
      <c r="X82" s="102"/>
      <c r="Y82" s="102"/>
      <c r="Z82" s="102"/>
      <c r="AA82" s="102"/>
      <c r="AB82" s="102"/>
      <c r="AC82" s="102"/>
      <c r="AD82" s="102"/>
      <c r="AE82" s="102"/>
      <c r="AF82" s="205"/>
      <c r="AG82" s="205"/>
      <c r="AH82" s="205"/>
      <c r="AI82" s="205"/>
      <c r="AJ82" s="96"/>
    </row>
    <row r="83" spans="1:36" s="103" customFormat="1" ht="30" customHeight="1" x14ac:dyDescent="0.25">
      <c r="A83" s="94"/>
      <c r="B83" s="94"/>
      <c r="C83" s="413"/>
      <c r="D83" s="95"/>
      <c r="E83" s="96"/>
      <c r="F83" s="96"/>
      <c r="G83" s="96"/>
      <c r="H83" s="96"/>
      <c r="I83" s="97"/>
      <c r="J83" s="98"/>
      <c r="K83" s="98"/>
      <c r="L83" s="99"/>
      <c r="M83" s="72"/>
      <c r="N83" s="296"/>
      <c r="O83" s="101"/>
      <c r="P83" s="63"/>
      <c r="Q83" s="75"/>
      <c r="R83" s="76"/>
      <c r="S83" s="72"/>
      <c r="T83" s="60"/>
      <c r="U83" s="60"/>
      <c r="V83" s="60"/>
      <c r="W83" s="102"/>
      <c r="X83" s="102"/>
      <c r="Y83" s="102"/>
      <c r="Z83" s="102"/>
      <c r="AA83" s="102"/>
      <c r="AB83" s="102"/>
      <c r="AC83" s="102"/>
      <c r="AD83" s="102"/>
      <c r="AE83" s="102"/>
      <c r="AF83" s="205"/>
      <c r="AG83" s="205"/>
      <c r="AH83" s="205"/>
      <c r="AI83" s="205"/>
      <c r="AJ83" s="96"/>
    </row>
    <row r="84" spans="1:36" s="103" customFormat="1" ht="30" customHeight="1" x14ac:dyDescent="0.25">
      <c r="A84" s="94"/>
      <c r="B84" s="94"/>
      <c r="C84" s="413"/>
      <c r="D84" s="95"/>
      <c r="E84" s="96"/>
      <c r="F84" s="96"/>
      <c r="G84" s="96"/>
      <c r="H84" s="96"/>
      <c r="I84" s="97"/>
      <c r="J84" s="98"/>
      <c r="K84" s="98"/>
      <c r="L84" s="99"/>
      <c r="M84" s="72"/>
      <c r="N84" s="296"/>
      <c r="O84" s="101"/>
      <c r="P84" s="63"/>
      <c r="Q84" s="75"/>
      <c r="R84" s="76"/>
      <c r="S84" s="72"/>
      <c r="T84" s="60"/>
      <c r="U84" s="60"/>
      <c r="V84" s="60"/>
      <c r="W84" s="102"/>
      <c r="X84" s="102"/>
      <c r="Y84" s="102"/>
      <c r="Z84" s="102"/>
      <c r="AA84" s="102"/>
      <c r="AB84" s="102"/>
      <c r="AC84" s="102"/>
      <c r="AD84" s="102"/>
      <c r="AE84" s="102"/>
      <c r="AF84" s="205"/>
      <c r="AG84" s="205"/>
      <c r="AH84" s="205"/>
      <c r="AI84" s="205"/>
      <c r="AJ84" s="96"/>
    </row>
    <row r="85" spans="1:36" s="103" customFormat="1" ht="30" customHeight="1" x14ac:dyDescent="0.25">
      <c r="A85" s="94"/>
      <c r="B85" s="94"/>
      <c r="C85" s="413"/>
      <c r="D85" s="95"/>
      <c r="E85" s="96"/>
      <c r="F85" s="96"/>
      <c r="G85" s="96"/>
      <c r="H85" s="96"/>
      <c r="I85" s="97"/>
      <c r="J85" s="98"/>
      <c r="K85" s="98"/>
      <c r="L85" s="99"/>
      <c r="M85" s="72"/>
      <c r="N85" s="296"/>
      <c r="O85" s="101"/>
      <c r="P85" s="63"/>
      <c r="Q85" s="75"/>
      <c r="R85" s="76"/>
      <c r="S85" s="72"/>
      <c r="T85" s="60"/>
      <c r="U85" s="60"/>
      <c r="V85" s="60"/>
      <c r="W85" s="102"/>
      <c r="X85" s="102"/>
      <c r="Y85" s="102"/>
      <c r="Z85" s="102"/>
      <c r="AA85" s="102"/>
      <c r="AB85" s="102"/>
      <c r="AC85" s="102"/>
      <c r="AD85" s="102"/>
      <c r="AE85" s="102"/>
      <c r="AF85" s="205"/>
      <c r="AG85" s="205"/>
      <c r="AH85" s="205"/>
      <c r="AI85" s="205"/>
      <c r="AJ85" s="96"/>
    </row>
    <row r="86" spans="1:36" s="103" customFormat="1" ht="30" customHeight="1" x14ac:dyDescent="0.25">
      <c r="A86" s="94"/>
      <c r="B86" s="94"/>
      <c r="C86" s="413"/>
      <c r="D86" s="95"/>
      <c r="E86" s="96"/>
      <c r="F86" s="96"/>
      <c r="G86" s="96"/>
      <c r="H86" s="96"/>
      <c r="I86" s="97"/>
      <c r="J86" s="98"/>
      <c r="K86" s="98"/>
      <c r="L86" s="99"/>
      <c r="M86" s="72"/>
      <c r="N86" s="296"/>
      <c r="O86" s="101"/>
      <c r="P86" s="63"/>
      <c r="Q86" s="75"/>
      <c r="R86" s="76"/>
      <c r="S86" s="72"/>
      <c r="T86" s="60"/>
      <c r="U86" s="60"/>
      <c r="V86" s="60"/>
      <c r="W86" s="102"/>
      <c r="X86" s="102"/>
      <c r="Y86" s="102"/>
      <c r="Z86" s="102"/>
      <c r="AA86" s="102"/>
      <c r="AB86" s="102"/>
      <c r="AC86" s="102"/>
      <c r="AD86" s="102"/>
      <c r="AE86" s="102"/>
      <c r="AF86" s="205"/>
      <c r="AG86" s="205"/>
      <c r="AH86" s="205"/>
      <c r="AI86" s="205"/>
      <c r="AJ86" s="96"/>
    </row>
    <row r="87" spans="1:36" s="103" customFormat="1" ht="30" customHeight="1" x14ac:dyDescent="0.25">
      <c r="A87" s="94"/>
      <c r="B87" s="94"/>
      <c r="C87" s="413"/>
      <c r="D87" s="95"/>
      <c r="E87" s="96"/>
      <c r="F87" s="96"/>
      <c r="G87" s="96"/>
      <c r="H87" s="96"/>
      <c r="I87" s="97"/>
      <c r="J87" s="98"/>
      <c r="K87" s="98"/>
      <c r="L87" s="99"/>
      <c r="M87" s="72"/>
      <c r="N87" s="296"/>
      <c r="O87" s="101"/>
      <c r="P87" s="63"/>
      <c r="Q87" s="75"/>
      <c r="R87" s="76"/>
      <c r="S87" s="72"/>
      <c r="T87" s="60"/>
      <c r="U87" s="60"/>
      <c r="V87" s="60"/>
      <c r="W87" s="102"/>
      <c r="X87" s="102"/>
      <c r="Y87" s="102"/>
      <c r="Z87" s="102"/>
      <c r="AA87" s="102"/>
      <c r="AB87" s="102"/>
      <c r="AC87" s="102"/>
      <c r="AD87" s="102"/>
      <c r="AE87" s="102"/>
      <c r="AF87" s="205"/>
      <c r="AG87" s="205"/>
      <c r="AH87" s="205"/>
      <c r="AI87" s="205"/>
      <c r="AJ87" s="96"/>
    </row>
    <row r="88" spans="1:36" s="103" customFormat="1" ht="30" customHeight="1" x14ac:dyDescent="0.25">
      <c r="A88" s="94"/>
      <c r="B88" s="94"/>
      <c r="C88" s="413"/>
      <c r="D88" s="95"/>
      <c r="E88" s="96"/>
      <c r="F88" s="96"/>
      <c r="G88" s="96"/>
      <c r="H88" s="96"/>
      <c r="I88" s="97"/>
      <c r="J88" s="98"/>
      <c r="K88" s="98"/>
      <c r="L88" s="99"/>
      <c r="M88" s="72"/>
      <c r="N88" s="296"/>
      <c r="O88" s="101"/>
      <c r="P88" s="63"/>
      <c r="Q88" s="75"/>
      <c r="R88" s="76"/>
      <c r="S88" s="72"/>
      <c r="T88" s="60"/>
      <c r="U88" s="60"/>
      <c r="V88" s="60"/>
      <c r="W88" s="102"/>
      <c r="X88" s="102"/>
      <c r="Y88" s="102"/>
      <c r="Z88" s="102"/>
      <c r="AA88" s="102"/>
      <c r="AB88" s="102"/>
      <c r="AC88" s="102"/>
      <c r="AD88" s="102"/>
      <c r="AE88" s="102"/>
      <c r="AF88" s="205"/>
      <c r="AG88" s="205"/>
      <c r="AH88" s="205"/>
      <c r="AI88" s="205"/>
      <c r="AJ88" s="96"/>
    </row>
    <row r="89" spans="1:36" s="103" customFormat="1" ht="30" customHeight="1" x14ac:dyDescent="0.25">
      <c r="A89" s="94"/>
      <c r="B89" s="94"/>
      <c r="C89" s="413"/>
      <c r="D89" s="95"/>
      <c r="E89" s="96"/>
      <c r="F89" s="96"/>
      <c r="G89" s="96"/>
      <c r="H89" s="96"/>
      <c r="I89" s="97"/>
      <c r="J89" s="98"/>
      <c r="K89" s="98"/>
      <c r="L89" s="99"/>
      <c r="M89" s="72"/>
      <c r="N89" s="296"/>
      <c r="O89" s="101"/>
      <c r="P89" s="63"/>
      <c r="Q89" s="75"/>
      <c r="R89" s="76"/>
      <c r="S89" s="72"/>
      <c r="T89" s="60"/>
      <c r="U89" s="60"/>
      <c r="V89" s="60"/>
      <c r="W89" s="102"/>
      <c r="X89" s="102"/>
      <c r="Y89" s="102"/>
      <c r="Z89" s="102"/>
      <c r="AA89" s="102"/>
      <c r="AB89" s="102"/>
      <c r="AC89" s="102"/>
      <c r="AD89" s="102"/>
      <c r="AE89" s="102"/>
      <c r="AF89" s="205"/>
      <c r="AG89" s="205"/>
      <c r="AH89" s="205"/>
      <c r="AI89" s="205"/>
      <c r="AJ89" s="96"/>
    </row>
    <row r="90" spans="1:36" s="103" customFormat="1" ht="30" customHeight="1" x14ac:dyDescent="0.25">
      <c r="A90" s="94"/>
      <c r="B90" s="94"/>
      <c r="C90" s="413"/>
      <c r="D90" s="95"/>
      <c r="E90" s="96"/>
      <c r="F90" s="96"/>
      <c r="G90" s="96"/>
      <c r="H90" s="96"/>
      <c r="I90" s="97"/>
      <c r="J90" s="98"/>
      <c r="K90" s="98"/>
      <c r="L90" s="99"/>
      <c r="M90" s="72"/>
      <c r="N90" s="296"/>
      <c r="O90" s="101"/>
      <c r="P90" s="63"/>
      <c r="Q90" s="75"/>
      <c r="R90" s="76"/>
      <c r="S90" s="72"/>
      <c r="T90" s="60"/>
      <c r="U90" s="60"/>
      <c r="V90" s="60"/>
      <c r="W90" s="102"/>
      <c r="X90" s="102"/>
      <c r="Y90" s="102"/>
      <c r="Z90" s="102"/>
      <c r="AA90" s="102"/>
      <c r="AB90" s="102"/>
      <c r="AC90" s="102"/>
      <c r="AD90" s="102"/>
      <c r="AE90" s="102"/>
      <c r="AF90" s="205"/>
      <c r="AG90" s="205"/>
      <c r="AH90" s="205"/>
      <c r="AI90" s="205"/>
      <c r="AJ90" s="96"/>
    </row>
    <row r="91" spans="1:36" s="103" customFormat="1" ht="30" customHeight="1" x14ac:dyDescent="0.25">
      <c r="A91" s="94"/>
      <c r="B91" s="94"/>
      <c r="C91" s="413"/>
      <c r="D91" s="95"/>
      <c r="E91" s="96"/>
      <c r="F91" s="96"/>
      <c r="G91" s="96"/>
      <c r="H91" s="96"/>
      <c r="I91" s="97"/>
      <c r="J91" s="98"/>
      <c r="K91" s="98"/>
      <c r="L91" s="99"/>
      <c r="M91" s="72"/>
      <c r="N91" s="296"/>
      <c r="O91" s="101"/>
      <c r="P91" s="63"/>
      <c r="Q91" s="75"/>
      <c r="R91" s="76"/>
      <c r="S91" s="72"/>
      <c r="T91" s="60"/>
      <c r="U91" s="60"/>
      <c r="V91" s="60"/>
      <c r="W91" s="102"/>
      <c r="X91" s="102"/>
      <c r="Y91" s="102"/>
      <c r="Z91" s="102"/>
      <c r="AA91" s="102"/>
      <c r="AB91" s="102"/>
      <c r="AC91" s="102"/>
      <c r="AD91" s="102"/>
      <c r="AE91" s="102"/>
      <c r="AF91" s="205"/>
      <c r="AG91" s="205"/>
      <c r="AH91" s="205"/>
      <c r="AI91" s="205"/>
      <c r="AJ91" s="96"/>
    </row>
    <row r="92" spans="1:36" s="103" customFormat="1" ht="30" customHeight="1" x14ac:dyDescent="0.25">
      <c r="A92" s="94"/>
      <c r="B92" s="94"/>
      <c r="C92" s="413"/>
      <c r="D92" s="95"/>
      <c r="E92" s="96"/>
      <c r="F92" s="96"/>
      <c r="G92" s="96"/>
      <c r="H92" s="96"/>
      <c r="I92" s="97"/>
      <c r="J92" s="98"/>
      <c r="K92" s="98"/>
      <c r="L92" s="99"/>
      <c r="M92" s="72"/>
      <c r="N92" s="296"/>
      <c r="O92" s="101"/>
      <c r="P92" s="63"/>
      <c r="Q92" s="75"/>
      <c r="R92" s="76"/>
      <c r="S92" s="72"/>
      <c r="T92" s="60"/>
      <c r="U92" s="60"/>
      <c r="V92" s="60"/>
      <c r="W92" s="102"/>
      <c r="X92" s="102"/>
      <c r="Y92" s="102"/>
      <c r="Z92" s="102"/>
      <c r="AA92" s="102"/>
      <c r="AB92" s="102"/>
      <c r="AC92" s="102"/>
      <c r="AD92" s="102"/>
      <c r="AE92" s="102"/>
      <c r="AF92" s="205"/>
      <c r="AG92" s="205"/>
      <c r="AH92" s="205"/>
      <c r="AI92" s="205"/>
      <c r="AJ92" s="96"/>
    </row>
    <row r="93" spans="1:36" s="103" customFormat="1" ht="30" customHeight="1" x14ac:dyDescent="0.25">
      <c r="A93" s="94"/>
      <c r="B93" s="94"/>
      <c r="C93" s="413"/>
      <c r="D93" s="95"/>
      <c r="E93" s="96"/>
      <c r="F93" s="96"/>
      <c r="G93" s="96"/>
      <c r="H93" s="96"/>
      <c r="I93" s="97"/>
      <c r="J93" s="98"/>
      <c r="K93" s="98"/>
      <c r="L93" s="99"/>
      <c r="M93" s="72"/>
      <c r="N93" s="296"/>
      <c r="O93" s="101"/>
      <c r="P93" s="63"/>
      <c r="Q93" s="75"/>
      <c r="R93" s="76"/>
      <c r="S93" s="72"/>
      <c r="T93" s="60"/>
      <c r="U93" s="60"/>
      <c r="V93" s="60"/>
      <c r="W93" s="102"/>
      <c r="X93" s="102"/>
      <c r="Y93" s="102"/>
      <c r="Z93" s="102"/>
      <c r="AA93" s="102"/>
      <c r="AB93" s="102"/>
      <c r="AC93" s="102"/>
      <c r="AD93" s="102"/>
      <c r="AE93" s="102"/>
      <c r="AF93" s="205"/>
      <c r="AG93" s="205"/>
      <c r="AH93" s="205"/>
      <c r="AI93" s="205"/>
      <c r="AJ93" s="96"/>
    </row>
    <row r="94" spans="1:36" s="103" customFormat="1" ht="30" customHeight="1" x14ac:dyDescent="0.25">
      <c r="A94" s="94"/>
      <c r="B94" s="94"/>
      <c r="C94" s="413"/>
      <c r="D94" s="95"/>
      <c r="E94" s="96"/>
      <c r="F94" s="96"/>
      <c r="G94" s="96"/>
      <c r="H94" s="96"/>
      <c r="I94" s="97"/>
      <c r="J94" s="98"/>
      <c r="K94" s="98"/>
      <c r="L94" s="99"/>
      <c r="M94" s="72"/>
      <c r="N94" s="100"/>
      <c r="O94" s="101"/>
      <c r="P94" s="63"/>
      <c r="Q94" s="75"/>
      <c r="R94" s="76"/>
      <c r="S94" s="72"/>
      <c r="T94" s="60"/>
      <c r="U94" s="60"/>
      <c r="V94" s="60"/>
      <c r="W94" s="102"/>
      <c r="X94" s="102"/>
      <c r="Y94" s="102"/>
      <c r="Z94" s="102"/>
      <c r="AA94" s="102"/>
      <c r="AB94" s="102"/>
      <c r="AC94" s="102"/>
      <c r="AD94" s="102"/>
      <c r="AE94" s="102"/>
      <c r="AF94" s="205"/>
      <c r="AG94" s="205"/>
      <c r="AH94" s="205"/>
      <c r="AI94" s="205"/>
      <c r="AJ94" s="96"/>
    </row>
    <row r="95" spans="1:36" s="103" customFormat="1" ht="30" customHeight="1" x14ac:dyDescent="0.25">
      <c r="A95" s="94"/>
      <c r="B95" s="94"/>
      <c r="C95" s="413"/>
      <c r="D95" s="95"/>
      <c r="E95" s="96"/>
      <c r="F95" s="96"/>
      <c r="G95" s="96"/>
      <c r="H95" s="96"/>
      <c r="I95" s="97"/>
      <c r="J95" s="98"/>
      <c r="K95" s="98"/>
      <c r="L95" s="99"/>
      <c r="M95" s="72"/>
      <c r="N95" s="100"/>
      <c r="O95" s="101"/>
      <c r="P95" s="63"/>
      <c r="Q95" s="75"/>
      <c r="R95" s="76"/>
      <c r="S95" s="72"/>
      <c r="T95" s="60"/>
      <c r="U95" s="60"/>
      <c r="V95" s="60"/>
      <c r="W95" s="102"/>
      <c r="X95" s="102"/>
      <c r="Y95" s="102"/>
      <c r="Z95" s="102"/>
      <c r="AA95" s="102"/>
      <c r="AB95" s="102"/>
      <c r="AC95" s="102"/>
      <c r="AD95" s="102"/>
      <c r="AE95" s="102"/>
      <c r="AF95" s="205"/>
      <c r="AG95" s="205"/>
      <c r="AH95" s="205"/>
      <c r="AI95" s="205"/>
      <c r="AJ95" s="96"/>
    </row>
    <row r="96" spans="1:36" s="103" customFormat="1" ht="30" customHeight="1" x14ac:dyDescent="0.25">
      <c r="A96" s="94"/>
      <c r="B96" s="94"/>
      <c r="C96" s="413"/>
      <c r="D96" s="95"/>
      <c r="E96" s="96"/>
      <c r="F96" s="96"/>
      <c r="G96" s="96"/>
      <c r="H96" s="96"/>
      <c r="I96" s="97"/>
      <c r="J96" s="98"/>
      <c r="K96" s="98"/>
      <c r="L96" s="99"/>
      <c r="M96" s="72"/>
      <c r="N96" s="100"/>
      <c r="O96" s="101"/>
      <c r="P96" s="63"/>
      <c r="Q96" s="75"/>
      <c r="R96" s="76"/>
      <c r="S96" s="72"/>
      <c r="T96" s="60"/>
      <c r="U96" s="60"/>
      <c r="V96" s="60"/>
      <c r="W96" s="102"/>
      <c r="X96" s="102"/>
      <c r="Y96" s="102"/>
      <c r="Z96" s="102"/>
      <c r="AA96" s="102"/>
      <c r="AB96" s="102"/>
      <c r="AC96" s="102"/>
      <c r="AD96" s="102"/>
      <c r="AE96" s="102"/>
      <c r="AF96" s="205"/>
      <c r="AG96" s="205"/>
      <c r="AH96" s="205"/>
      <c r="AI96" s="205"/>
      <c r="AJ96" s="96"/>
    </row>
    <row r="97" spans="1:36" s="103" customFormat="1" ht="30" customHeight="1" x14ac:dyDescent="0.25">
      <c r="A97" s="94"/>
      <c r="B97" s="94"/>
      <c r="C97" s="413"/>
      <c r="D97" s="95"/>
      <c r="E97" s="96"/>
      <c r="F97" s="96"/>
      <c r="G97" s="96"/>
      <c r="H97" s="96"/>
      <c r="I97" s="97"/>
      <c r="J97" s="98"/>
      <c r="K97" s="98"/>
      <c r="L97" s="99"/>
      <c r="M97" s="72"/>
      <c r="N97" s="100"/>
      <c r="O97" s="101"/>
      <c r="P97" s="63"/>
      <c r="Q97" s="75"/>
      <c r="R97" s="76"/>
      <c r="S97" s="72"/>
      <c r="T97" s="60"/>
      <c r="U97" s="60"/>
      <c r="V97" s="60"/>
      <c r="W97" s="102"/>
      <c r="X97" s="102"/>
      <c r="Y97" s="102"/>
      <c r="Z97" s="102"/>
      <c r="AA97" s="102"/>
      <c r="AB97" s="102"/>
      <c r="AC97" s="102"/>
      <c r="AD97" s="102"/>
      <c r="AE97" s="102"/>
      <c r="AF97" s="205"/>
      <c r="AG97" s="205"/>
      <c r="AH97" s="205"/>
      <c r="AI97" s="205"/>
      <c r="AJ97" s="96"/>
    </row>
    <row r="98" spans="1:36" s="103" customFormat="1" ht="30" customHeight="1" x14ac:dyDescent="0.25">
      <c r="A98" s="94"/>
      <c r="B98" s="94"/>
      <c r="C98" s="413"/>
      <c r="D98" s="95"/>
      <c r="E98" s="96"/>
      <c r="F98" s="96"/>
      <c r="G98" s="96"/>
      <c r="H98" s="96"/>
      <c r="I98" s="97"/>
      <c r="J98" s="98"/>
      <c r="K98" s="98"/>
      <c r="L98" s="99"/>
      <c r="M98" s="72"/>
      <c r="N98" s="100"/>
      <c r="O98" s="101"/>
      <c r="P98" s="63"/>
      <c r="Q98" s="75"/>
      <c r="R98" s="76"/>
      <c r="S98" s="72"/>
      <c r="T98" s="60"/>
      <c r="U98" s="60"/>
      <c r="V98" s="60"/>
      <c r="W98" s="102"/>
      <c r="X98" s="102"/>
      <c r="Y98" s="102"/>
      <c r="Z98" s="102"/>
      <c r="AA98" s="102"/>
      <c r="AB98" s="102"/>
      <c r="AC98" s="102"/>
      <c r="AD98" s="102"/>
      <c r="AE98" s="102"/>
      <c r="AF98" s="205"/>
      <c r="AG98" s="205"/>
      <c r="AH98" s="205"/>
      <c r="AI98" s="205"/>
      <c r="AJ98" s="96"/>
    </row>
    <row r="99" spans="1:36" s="103" customFormat="1" ht="30" customHeight="1" x14ac:dyDescent="0.25">
      <c r="A99" s="94"/>
      <c r="B99" s="94"/>
      <c r="C99" s="413"/>
      <c r="D99" s="95"/>
      <c r="E99" s="96"/>
      <c r="F99" s="96"/>
      <c r="G99" s="96"/>
      <c r="H99" s="96"/>
      <c r="I99" s="97"/>
      <c r="J99" s="98"/>
      <c r="K99" s="98"/>
      <c r="L99" s="99"/>
      <c r="M99" s="72"/>
      <c r="N99" s="100"/>
      <c r="O99" s="101"/>
      <c r="P99" s="63"/>
      <c r="Q99" s="75"/>
      <c r="R99" s="76"/>
      <c r="S99" s="72"/>
      <c r="T99" s="60"/>
      <c r="U99" s="60"/>
      <c r="V99" s="60"/>
      <c r="W99" s="102"/>
      <c r="X99" s="102"/>
      <c r="Y99" s="102"/>
      <c r="Z99" s="102"/>
      <c r="AA99" s="102"/>
      <c r="AB99" s="102"/>
      <c r="AC99" s="102"/>
      <c r="AD99" s="102"/>
      <c r="AE99" s="102"/>
      <c r="AF99" s="205"/>
      <c r="AG99" s="205"/>
      <c r="AH99" s="205"/>
      <c r="AI99" s="205"/>
      <c r="AJ99" s="96"/>
    </row>
    <row r="100" spans="1:36" s="103" customFormat="1" ht="30" customHeight="1" x14ac:dyDescent="0.25">
      <c r="A100" s="94"/>
      <c r="B100" s="94"/>
      <c r="C100" s="413"/>
      <c r="D100" s="95"/>
      <c r="E100" s="96"/>
      <c r="F100" s="96"/>
      <c r="G100" s="96"/>
      <c r="H100" s="96"/>
      <c r="I100" s="97"/>
      <c r="J100" s="98"/>
      <c r="K100" s="98"/>
      <c r="L100" s="99"/>
      <c r="M100" s="72"/>
      <c r="N100" s="100"/>
      <c r="O100" s="101"/>
      <c r="P100" s="63"/>
      <c r="Q100" s="75"/>
      <c r="R100" s="76"/>
      <c r="S100" s="72"/>
      <c r="T100" s="60"/>
      <c r="U100" s="60"/>
      <c r="V100" s="60"/>
      <c r="W100" s="102"/>
      <c r="X100" s="102"/>
      <c r="Y100" s="102"/>
      <c r="Z100" s="102"/>
      <c r="AA100" s="102"/>
      <c r="AB100" s="102"/>
      <c r="AC100" s="102"/>
      <c r="AD100" s="102"/>
      <c r="AE100" s="102"/>
      <c r="AF100" s="205"/>
      <c r="AG100" s="205"/>
      <c r="AH100" s="205"/>
      <c r="AI100" s="205"/>
      <c r="AJ100" s="96"/>
    </row>
    <row r="101" spans="1:36" s="103" customFormat="1" ht="30" customHeight="1" x14ac:dyDescent="0.25">
      <c r="A101" s="94"/>
      <c r="B101" s="94"/>
      <c r="C101" s="413"/>
      <c r="D101" s="95"/>
      <c r="E101" s="96"/>
      <c r="F101" s="96"/>
      <c r="G101" s="96"/>
      <c r="H101" s="96"/>
      <c r="I101" s="97"/>
      <c r="J101" s="98"/>
      <c r="K101" s="98"/>
      <c r="L101" s="99"/>
      <c r="M101" s="72"/>
      <c r="N101" s="100"/>
      <c r="O101" s="101"/>
      <c r="P101" s="63"/>
      <c r="Q101" s="75"/>
      <c r="R101" s="76"/>
      <c r="S101" s="72"/>
      <c r="T101" s="60"/>
      <c r="U101" s="60"/>
      <c r="V101" s="60"/>
      <c r="W101" s="102"/>
      <c r="X101" s="102"/>
      <c r="Y101" s="102"/>
      <c r="Z101" s="102"/>
      <c r="AA101" s="102"/>
      <c r="AB101" s="102"/>
      <c r="AC101" s="102"/>
      <c r="AD101" s="102"/>
      <c r="AE101" s="102"/>
      <c r="AF101" s="205"/>
      <c r="AG101" s="205"/>
      <c r="AH101" s="205"/>
      <c r="AI101" s="205"/>
      <c r="AJ101" s="96"/>
    </row>
    <row r="102" spans="1:36" s="103" customFormat="1" ht="30" customHeight="1" x14ac:dyDescent="0.25">
      <c r="A102" s="94"/>
      <c r="B102" s="94"/>
      <c r="C102" s="413"/>
      <c r="D102" s="95"/>
      <c r="E102" s="96"/>
      <c r="F102" s="96"/>
      <c r="G102" s="96"/>
      <c r="H102" s="96"/>
      <c r="I102" s="97"/>
      <c r="J102" s="98"/>
      <c r="K102" s="98"/>
      <c r="L102" s="99"/>
      <c r="M102" s="72"/>
      <c r="N102" s="100"/>
      <c r="O102" s="101"/>
      <c r="P102" s="63"/>
      <c r="Q102" s="75"/>
      <c r="R102" s="76"/>
      <c r="S102" s="72"/>
      <c r="T102" s="60"/>
      <c r="U102" s="60"/>
      <c r="V102" s="60"/>
      <c r="W102" s="102"/>
      <c r="X102" s="102"/>
      <c r="Y102" s="102"/>
      <c r="Z102" s="102"/>
      <c r="AA102" s="102"/>
      <c r="AB102" s="102"/>
      <c r="AC102" s="102"/>
      <c r="AD102" s="102"/>
      <c r="AE102" s="102"/>
      <c r="AF102" s="205"/>
      <c r="AG102" s="205"/>
      <c r="AH102" s="205"/>
      <c r="AI102" s="205"/>
      <c r="AJ102" s="96"/>
    </row>
    <row r="103" spans="1:36" s="103" customFormat="1" ht="30" customHeight="1" x14ac:dyDescent="0.25">
      <c r="A103" s="94"/>
      <c r="B103" s="94"/>
      <c r="C103" s="413"/>
      <c r="D103" s="95"/>
      <c r="E103" s="96"/>
      <c r="F103" s="96"/>
      <c r="G103" s="96"/>
      <c r="H103" s="96"/>
      <c r="I103" s="97"/>
      <c r="J103" s="98"/>
      <c r="K103" s="98"/>
      <c r="L103" s="99"/>
      <c r="M103" s="72"/>
      <c r="N103" s="100"/>
      <c r="O103" s="101"/>
      <c r="P103" s="63"/>
      <c r="Q103" s="75"/>
      <c r="R103" s="76"/>
      <c r="S103" s="72"/>
      <c r="T103" s="60"/>
      <c r="U103" s="60"/>
      <c r="V103" s="60"/>
      <c r="W103" s="102"/>
      <c r="X103" s="102"/>
      <c r="Y103" s="102"/>
      <c r="Z103" s="102"/>
      <c r="AA103" s="102"/>
      <c r="AB103" s="102"/>
      <c r="AC103" s="102"/>
      <c r="AD103" s="102"/>
      <c r="AE103" s="102"/>
      <c r="AF103" s="205"/>
      <c r="AG103" s="205"/>
      <c r="AH103" s="205"/>
      <c r="AI103" s="205"/>
      <c r="AJ103" s="96"/>
    </row>
    <row r="104" spans="1:36" s="103" customFormat="1" ht="30" customHeight="1" x14ac:dyDescent="0.25">
      <c r="A104" s="94"/>
      <c r="B104" s="94"/>
      <c r="C104" s="413"/>
      <c r="D104" s="95"/>
      <c r="E104" s="96"/>
      <c r="F104" s="96"/>
      <c r="G104" s="96"/>
      <c r="H104" s="96"/>
      <c r="I104" s="97"/>
      <c r="J104" s="98"/>
      <c r="K104" s="98"/>
      <c r="L104" s="99"/>
      <c r="M104" s="72"/>
      <c r="N104" s="100"/>
      <c r="O104" s="101"/>
      <c r="P104" s="63"/>
      <c r="Q104" s="75"/>
      <c r="R104" s="76"/>
      <c r="S104" s="72"/>
      <c r="T104" s="60"/>
      <c r="U104" s="60"/>
      <c r="V104" s="60"/>
      <c r="W104" s="102"/>
      <c r="X104" s="102"/>
      <c r="Y104" s="102"/>
      <c r="Z104" s="102"/>
      <c r="AA104" s="102"/>
      <c r="AB104" s="102"/>
      <c r="AC104" s="102"/>
      <c r="AD104" s="102"/>
      <c r="AE104" s="102"/>
      <c r="AF104" s="205"/>
      <c r="AG104" s="205"/>
      <c r="AH104" s="205"/>
      <c r="AI104" s="205"/>
      <c r="AJ104" s="96"/>
    </row>
    <row r="105" spans="1:36" s="103" customFormat="1" ht="30" customHeight="1" x14ac:dyDescent="0.25">
      <c r="A105" s="94"/>
      <c r="B105" s="94"/>
      <c r="C105" s="413"/>
      <c r="D105" s="95"/>
      <c r="E105" s="96"/>
      <c r="F105" s="96"/>
      <c r="G105" s="96"/>
      <c r="H105" s="96"/>
      <c r="I105" s="97"/>
      <c r="J105" s="98"/>
      <c r="K105" s="98"/>
      <c r="L105" s="99"/>
      <c r="M105" s="72"/>
      <c r="N105" s="100"/>
      <c r="O105" s="101"/>
      <c r="P105" s="63"/>
      <c r="Q105" s="75"/>
      <c r="R105" s="76"/>
      <c r="S105" s="72"/>
      <c r="T105" s="60"/>
      <c r="U105" s="60"/>
      <c r="V105" s="60"/>
      <c r="W105" s="102"/>
      <c r="X105" s="102"/>
      <c r="Y105" s="102"/>
      <c r="Z105" s="102"/>
      <c r="AA105" s="102"/>
      <c r="AB105" s="102"/>
      <c r="AC105" s="102"/>
      <c r="AD105" s="102"/>
      <c r="AE105" s="102"/>
      <c r="AF105" s="205"/>
      <c r="AG105" s="205"/>
      <c r="AH105" s="205"/>
      <c r="AI105" s="205"/>
      <c r="AJ105" s="96"/>
    </row>
    <row r="106" spans="1:36" s="103" customFormat="1" ht="30" customHeight="1" x14ac:dyDescent="0.25">
      <c r="A106" s="94"/>
      <c r="B106" s="94"/>
      <c r="C106" s="413"/>
      <c r="D106" s="95"/>
      <c r="E106" s="96"/>
      <c r="F106" s="96"/>
      <c r="G106" s="96"/>
      <c r="H106" s="96"/>
      <c r="I106" s="97"/>
      <c r="J106" s="98"/>
      <c r="K106" s="98"/>
      <c r="L106" s="99"/>
      <c r="M106" s="72"/>
      <c r="N106" s="100"/>
      <c r="O106" s="101"/>
      <c r="P106" s="63"/>
      <c r="Q106" s="75"/>
      <c r="R106" s="76"/>
      <c r="S106" s="72"/>
      <c r="T106" s="60"/>
      <c r="U106" s="60"/>
      <c r="V106" s="60"/>
      <c r="W106" s="102"/>
      <c r="X106" s="102"/>
      <c r="Y106" s="102"/>
      <c r="Z106" s="102"/>
      <c r="AA106" s="102"/>
      <c r="AB106" s="102"/>
      <c r="AC106" s="102"/>
      <c r="AD106" s="102"/>
      <c r="AE106" s="102"/>
      <c r="AF106" s="205"/>
      <c r="AG106" s="205"/>
      <c r="AH106" s="205"/>
      <c r="AI106" s="205"/>
      <c r="AJ106" s="96"/>
    </row>
    <row r="107" spans="1:36" s="103" customFormat="1" ht="30" customHeight="1" x14ac:dyDescent="0.25">
      <c r="A107" s="94"/>
      <c r="B107" s="94"/>
      <c r="C107" s="413"/>
      <c r="D107" s="95"/>
      <c r="E107" s="96"/>
      <c r="F107" s="96"/>
      <c r="G107" s="96"/>
      <c r="H107" s="96"/>
      <c r="I107" s="97"/>
      <c r="J107" s="98"/>
      <c r="K107" s="98"/>
      <c r="L107" s="99"/>
      <c r="M107" s="72"/>
      <c r="N107" s="100"/>
      <c r="O107" s="101"/>
      <c r="P107" s="63"/>
      <c r="Q107" s="75"/>
      <c r="R107" s="76"/>
      <c r="S107" s="72"/>
      <c r="T107" s="60"/>
      <c r="U107" s="60"/>
      <c r="V107" s="60"/>
      <c r="W107" s="102"/>
      <c r="X107" s="102"/>
      <c r="Y107" s="102"/>
      <c r="Z107" s="102"/>
      <c r="AA107" s="102"/>
      <c r="AB107" s="102"/>
      <c r="AC107" s="102"/>
      <c r="AD107" s="102"/>
      <c r="AE107" s="102"/>
      <c r="AF107" s="205"/>
      <c r="AG107" s="205"/>
      <c r="AH107" s="205"/>
      <c r="AI107" s="205"/>
      <c r="AJ107" s="96"/>
    </row>
    <row r="108" spans="1:36" s="103" customFormat="1" ht="30" customHeight="1" x14ac:dyDescent="0.25">
      <c r="A108" s="94"/>
      <c r="B108" s="94"/>
      <c r="C108" s="413"/>
      <c r="D108" s="95"/>
      <c r="E108" s="96"/>
      <c r="F108" s="96"/>
      <c r="G108" s="96"/>
      <c r="H108" s="96"/>
      <c r="I108" s="97"/>
      <c r="J108" s="98"/>
      <c r="K108" s="98"/>
      <c r="L108" s="99"/>
      <c r="M108" s="72"/>
      <c r="N108" s="100"/>
      <c r="O108" s="101"/>
      <c r="P108" s="63"/>
      <c r="Q108" s="75"/>
      <c r="R108" s="76"/>
      <c r="S108" s="72"/>
      <c r="T108" s="60"/>
      <c r="U108" s="60"/>
      <c r="V108" s="60"/>
      <c r="W108" s="102"/>
      <c r="X108" s="102"/>
      <c r="Y108" s="102"/>
      <c r="Z108" s="102"/>
      <c r="AA108" s="102"/>
      <c r="AB108" s="102"/>
      <c r="AC108" s="102"/>
      <c r="AD108" s="102"/>
      <c r="AE108" s="102"/>
      <c r="AF108" s="205"/>
      <c r="AG108" s="205"/>
      <c r="AH108" s="205"/>
      <c r="AI108" s="205"/>
      <c r="AJ108" s="96"/>
    </row>
    <row r="109" spans="1:36" s="103" customFormat="1" ht="30" customHeight="1" x14ac:dyDescent="0.25">
      <c r="A109" s="94"/>
      <c r="B109" s="94"/>
      <c r="C109" s="413"/>
      <c r="D109" s="95"/>
      <c r="E109" s="96"/>
      <c r="F109" s="96"/>
      <c r="G109" s="96"/>
      <c r="H109" s="96"/>
      <c r="I109" s="97"/>
      <c r="J109" s="98"/>
      <c r="K109" s="98"/>
      <c r="L109" s="99"/>
      <c r="M109" s="72"/>
      <c r="N109" s="100"/>
      <c r="O109" s="101"/>
      <c r="P109" s="63"/>
      <c r="Q109" s="75"/>
      <c r="R109" s="76"/>
      <c r="S109" s="72"/>
      <c r="T109" s="60"/>
      <c r="U109" s="60"/>
      <c r="V109" s="60"/>
      <c r="W109" s="102"/>
      <c r="X109" s="102"/>
      <c r="Y109" s="102"/>
      <c r="Z109" s="102"/>
      <c r="AA109" s="102"/>
      <c r="AB109" s="102"/>
      <c r="AC109" s="102"/>
      <c r="AD109" s="102"/>
      <c r="AE109" s="102"/>
      <c r="AF109" s="205"/>
      <c r="AG109" s="205"/>
      <c r="AH109" s="205"/>
      <c r="AI109" s="205"/>
      <c r="AJ109" s="96"/>
    </row>
    <row r="110" spans="1:36" s="103" customFormat="1" ht="30" customHeight="1" x14ac:dyDescent="0.25">
      <c r="A110" s="94"/>
      <c r="B110" s="94"/>
      <c r="C110" s="413"/>
      <c r="D110" s="95"/>
      <c r="E110" s="96"/>
      <c r="F110" s="96"/>
      <c r="G110" s="96"/>
      <c r="H110" s="96"/>
      <c r="I110" s="97"/>
      <c r="J110" s="98"/>
      <c r="K110" s="98"/>
      <c r="L110" s="99"/>
      <c r="M110" s="72"/>
      <c r="N110" s="100"/>
      <c r="O110" s="101"/>
      <c r="P110" s="63"/>
      <c r="Q110" s="75"/>
      <c r="R110" s="76"/>
      <c r="S110" s="72"/>
      <c r="T110" s="60"/>
      <c r="U110" s="60"/>
      <c r="V110" s="60"/>
      <c r="W110" s="102"/>
      <c r="X110" s="102"/>
      <c r="Y110" s="102"/>
      <c r="Z110" s="102"/>
      <c r="AA110" s="102"/>
      <c r="AB110" s="102"/>
      <c r="AC110" s="102"/>
      <c r="AD110" s="102"/>
      <c r="AE110" s="102"/>
      <c r="AF110" s="205"/>
      <c r="AG110" s="205"/>
      <c r="AH110" s="205"/>
      <c r="AI110" s="205"/>
      <c r="AJ110" s="96"/>
    </row>
    <row r="111" spans="1:36" s="103" customFormat="1" ht="30" customHeight="1" x14ac:dyDescent="0.25">
      <c r="A111" s="94"/>
      <c r="B111" s="94"/>
      <c r="C111" s="413"/>
      <c r="D111" s="95"/>
      <c r="E111" s="96"/>
      <c r="F111" s="96"/>
      <c r="G111" s="96"/>
      <c r="H111" s="96"/>
      <c r="I111" s="97"/>
      <c r="J111" s="98"/>
      <c r="K111" s="98"/>
      <c r="L111" s="99"/>
      <c r="M111" s="72"/>
      <c r="N111" s="100"/>
      <c r="O111" s="101"/>
      <c r="P111" s="63"/>
      <c r="Q111" s="75"/>
      <c r="R111" s="76"/>
      <c r="S111" s="72"/>
      <c r="T111" s="60"/>
      <c r="U111" s="60"/>
      <c r="V111" s="60"/>
      <c r="W111" s="102"/>
      <c r="X111" s="102"/>
      <c r="Y111" s="102"/>
      <c r="Z111" s="102"/>
      <c r="AA111" s="102"/>
      <c r="AB111" s="102"/>
      <c r="AC111" s="102"/>
      <c r="AD111" s="102"/>
      <c r="AE111" s="102"/>
      <c r="AF111" s="205"/>
      <c r="AG111" s="205"/>
      <c r="AH111" s="205"/>
      <c r="AI111" s="205"/>
      <c r="AJ111" s="96"/>
    </row>
    <row r="112" spans="1:36" s="103" customFormat="1" ht="30" customHeight="1" x14ac:dyDescent="0.25">
      <c r="A112" s="94"/>
      <c r="B112" s="94"/>
      <c r="C112" s="413"/>
      <c r="D112" s="95"/>
      <c r="E112" s="96"/>
      <c r="F112" s="96"/>
      <c r="G112" s="96"/>
      <c r="H112" s="96"/>
      <c r="I112" s="97"/>
      <c r="J112" s="98"/>
      <c r="K112" s="98"/>
      <c r="L112" s="99"/>
      <c r="M112" s="72"/>
      <c r="N112" s="100"/>
      <c r="O112" s="101"/>
      <c r="P112" s="63"/>
      <c r="Q112" s="75"/>
      <c r="R112" s="76"/>
      <c r="S112" s="72"/>
      <c r="T112" s="60"/>
      <c r="U112" s="60"/>
      <c r="V112" s="60"/>
      <c r="W112" s="102"/>
      <c r="X112" s="102"/>
      <c r="Y112" s="102"/>
      <c r="Z112" s="102"/>
      <c r="AA112" s="102"/>
      <c r="AB112" s="102"/>
      <c r="AC112" s="102"/>
      <c r="AD112" s="102"/>
      <c r="AE112" s="102"/>
      <c r="AF112" s="205"/>
      <c r="AG112" s="205"/>
      <c r="AH112" s="205"/>
      <c r="AI112" s="205"/>
      <c r="AJ112" s="96"/>
    </row>
    <row r="113" spans="1:36" s="103" customFormat="1" ht="30" customHeight="1" x14ac:dyDescent="0.25">
      <c r="A113" s="94"/>
      <c r="B113" s="94"/>
      <c r="C113" s="413"/>
      <c r="D113" s="95"/>
      <c r="E113" s="96"/>
      <c r="F113" s="96"/>
      <c r="G113" s="96"/>
      <c r="H113" s="96"/>
      <c r="I113" s="97"/>
      <c r="J113" s="98"/>
      <c r="K113" s="98"/>
      <c r="L113" s="99"/>
      <c r="M113" s="72"/>
      <c r="N113" s="100"/>
      <c r="O113" s="101"/>
      <c r="P113" s="63"/>
      <c r="Q113" s="75"/>
      <c r="R113" s="76"/>
      <c r="S113" s="72"/>
      <c r="T113" s="60"/>
      <c r="U113" s="60"/>
      <c r="V113" s="60"/>
      <c r="W113" s="102"/>
      <c r="X113" s="102"/>
      <c r="Y113" s="102"/>
      <c r="Z113" s="102"/>
      <c r="AA113" s="102"/>
      <c r="AB113" s="102"/>
      <c r="AC113" s="102"/>
      <c r="AD113" s="102"/>
      <c r="AE113" s="102"/>
      <c r="AF113" s="205"/>
      <c r="AG113" s="205"/>
      <c r="AH113" s="205"/>
      <c r="AI113" s="205"/>
      <c r="AJ113" s="96"/>
    </row>
    <row r="114" spans="1:36" s="103" customFormat="1" ht="30" customHeight="1" x14ac:dyDescent="0.25">
      <c r="A114" s="94"/>
      <c r="B114" s="94"/>
      <c r="C114" s="413"/>
      <c r="D114" s="95"/>
      <c r="E114" s="96"/>
      <c r="F114" s="96"/>
      <c r="G114" s="96"/>
      <c r="H114" s="96"/>
      <c r="I114" s="97"/>
      <c r="J114" s="98"/>
      <c r="K114" s="98"/>
      <c r="L114" s="99"/>
      <c r="M114" s="72"/>
      <c r="N114" s="100"/>
      <c r="O114" s="101"/>
      <c r="P114" s="63"/>
      <c r="Q114" s="75"/>
      <c r="R114" s="76"/>
      <c r="S114" s="72"/>
      <c r="T114" s="60"/>
      <c r="U114" s="60"/>
      <c r="V114" s="60"/>
      <c r="W114" s="102"/>
      <c r="X114" s="102"/>
      <c r="Y114" s="102"/>
      <c r="Z114" s="102"/>
      <c r="AA114" s="102"/>
      <c r="AB114" s="102"/>
      <c r="AC114" s="102"/>
      <c r="AD114" s="102"/>
      <c r="AE114" s="102"/>
      <c r="AF114" s="205"/>
      <c r="AG114" s="205"/>
      <c r="AH114" s="205"/>
      <c r="AI114" s="205"/>
      <c r="AJ114" s="96"/>
    </row>
    <row r="115" spans="1:36" s="103" customFormat="1" ht="30" customHeight="1" x14ac:dyDescent="0.25">
      <c r="A115" s="94"/>
      <c r="B115" s="94"/>
      <c r="C115" s="413"/>
      <c r="D115" s="95"/>
      <c r="E115" s="96"/>
      <c r="F115" s="96"/>
      <c r="G115" s="96"/>
      <c r="H115" s="96"/>
      <c r="I115" s="97"/>
      <c r="J115" s="98"/>
      <c r="K115" s="98"/>
      <c r="L115" s="99"/>
      <c r="M115" s="72"/>
      <c r="N115" s="100"/>
      <c r="O115" s="101"/>
      <c r="P115" s="63"/>
      <c r="Q115" s="75"/>
      <c r="R115" s="76"/>
      <c r="S115" s="72"/>
      <c r="T115" s="60"/>
      <c r="U115" s="60"/>
      <c r="V115" s="60"/>
      <c r="W115" s="102"/>
      <c r="X115" s="102"/>
      <c r="Y115" s="102"/>
      <c r="Z115" s="102"/>
      <c r="AA115" s="102"/>
      <c r="AB115" s="102"/>
      <c r="AC115" s="102"/>
      <c r="AD115" s="102"/>
      <c r="AE115" s="102"/>
      <c r="AF115" s="205"/>
      <c r="AG115" s="205"/>
      <c r="AH115" s="205"/>
      <c r="AI115" s="205"/>
      <c r="AJ115" s="96"/>
    </row>
    <row r="116" spans="1:36" s="103" customFormat="1" ht="30" customHeight="1" x14ac:dyDescent="0.25">
      <c r="A116" s="94"/>
      <c r="B116" s="94"/>
      <c r="C116" s="413"/>
      <c r="D116" s="95"/>
      <c r="E116" s="96"/>
      <c r="F116" s="96"/>
      <c r="G116" s="96"/>
      <c r="H116" s="96"/>
      <c r="I116" s="97"/>
      <c r="J116" s="98"/>
      <c r="K116" s="98"/>
      <c r="L116" s="99"/>
      <c r="M116" s="72"/>
      <c r="N116" s="100"/>
      <c r="O116" s="101"/>
      <c r="P116" s="63"/>
      <c r="Q116" s="75"/>
      <c r="R116" s="76"/>
      <c r="S116" s="72"/>
      <c r="T116" s="60"/>
      <c r="U116" s="60"/>
      <c r="V116" s="60"/>
      <c r="W116" s="102"/>
      <c r="X116" s="102"/>
      <c r="Y116" s="102"/>
      <c r="Z116" s="102"/>
      <c r="AA116" s="102"/>
      <c r="AB116" s="102"/>
      <c r="AC116" s="102"/>
      <c r="AD116" s="102"/>
      <c r="AE116" s="102"/>
      <c r="AF116" s="205"/>
      <c r="AG116" s="205"/>
      <c r="AH116" s="205"/>
      <c r="AI116" s="205"/>
      <c r="AJ116" s="96"/>
    </row>
    <row r="117" spans="1:36" s="103" customFormat="1" ht="30" customHeight="1" x14ac:dyDescent="0.25">
      <c r="A117" s="94"/>
      <c r="B117" s="94"/>
      <c r="C117" s="413"/>
      <c r="D117" s="95"/>
      <c r="E117" s="96"/>
      <c r="F117" s="96"/>
      <c r="G117" s="96"/>
      <c r="H117" s="96"/>
      <c r="I117" s="97"/>
      <c r="J117" s="98"/>
      <c r="K117" s="98"/>
      <c r="L117" s="99"/>
      <c r="M117" s="72"/>
      <c r="N117" s="100"/>
      <c r="O117" s="101"/>
      <c r="P117" s="63"/>
      <c r="Q117" s="75"/>
      <c r="R117" s="76"/>
      <c r="S117" s="72"/>
      <c r="T117" s="60"/>
      <c r="U117" s="60"/>
      <c r="V117" s="60"/>
      <c r="W117" s="102"/>
      <c r="X117" s="102"/>
      <c r="Y117" s="102"/>
      <c r="Z117" s="102"/>
      <c r="AA117" s="102"/>
      <c r="AB117" s="102"/>
      <c r="AC117" s="102"/>
      <c r="AD117" s="102"/>
      <c r="AE117" s="102"/>
      <c r="AF117" s="205"/>
      <c r="AG117" s="205"/>
      <c r="AH117" s="205"/>
      <c r="AI117" s="205"/>
      <c r="AJ117" s="96"/>
    </row>
    <row r="118" spans="1:36" s="103" customFormat="1" ht="65.099999999999994" customHeight="1" x14ac:dyDescent="0.25">
      <c r="A118" s="94"/>
      <c r="B118" s="94"/>
      <c r="C118" s="413"/>
      <c r="D118" s="95"/>
      <c r="E118" s="96"/>
      <c r="F118" s="96"/>
      <c r="G118" s="96"/>
      <c r="H118" s="96"/>
      <c r="I118" s="97"/>
      <c r="J118" s="98"/>
      <c r="K118" s="98"/>
      <c r="L118" s="99"/>
      <c r="M118" s="72"/>
      <c r="N118" s="100"/>
      <c r="O118" s="101"/>
      <c r="P118" s="63"/>
      <c r="Q118" s="75"/>
      <c r="R118" s="76"/>
      <c r="S118" s="72"/>
      <c r="T118" s="60"/>
      <c r="U118" s="60"/>
      <c r="V118" s="60"/>
      <c r="W118" s="102"/>
      <c r="X118" s="102"/>
      <c r="Y118" s="102"/>
      <c r="Z118" s="102"/>
      <c r="AA118" s="102"/>
      <c r="AB118" s="102"/>
      <c r="AC118" s="102"/>
      <c r="AD118" s="102"/>
      <c r="AE118" s="102"/>
      <c r="AF118" s="205"/>
      <c r="AG118" s="205"/>
      <c r="AH118" s="205"/>
      <c r="AI118" s="205"/>
      <c r="AJ118" s="96"/>
    </row>
    <row r="119" spans="1:36" s="103" customFormat="1" ht="65.099999999999994" customHeight="1" x14ac:dyDescent="0.25">
      <c r="A119" s="94"/>
      <c r="B119" s="94"/>
      <c r="C119" s="413"/>
      <c r="D119" s="95"/>
      <c r="E119" s="96"/>
      <c r="F119" s="96"/>
      <c r="G119" s="96"/>
      <c r="H119" s="96"/>
      <c r="I119" s="97"/>
      <c r="J119" s="98"/>
      <c r="K119" s="98"/>
      <c r="L119" s="99"/>
      <c r="M119" s="72"/>
      <c r="N119" s="100"/>
      <c r="O119" s="101"/>
      <c r="P119" s="63"/>
      <c r="Q119" s="75"/>
      <c r="R119" s="76"/>
      <c r="S119" s="72"/>
      <c r="T119" s="60"/>
      <c r="U119" s="60"/>
      <c r="V119" s="60"/>
      <c r="W119" s="102"/>
      <c r="X119" s="102"/>
      <c r="Y119" s="102"/>
      <c r="Z119" s="102"/>
      <c r="AA119" s="102"/>
      <c r="AB119" s="102"/>
      <c r="AC119" s="102"/>
      <c r="AD119" s="102"/>
      <c r="AE119" s="102"/>
      <c r="AF119" s="205"/>
      <c r="AG119" s="205"/>
      <c r="AH119" s="205"/>
      <c r="AI119" s="205"/>
      <c r="AJ119" s="96"/>
    </row>
    <row r="120" spans="1:36" s="103" customFormat="1" ht="65.099999999999994" customHeight="1" x14ac:dyDescent="0.25">
      <c r="A120" s="94"/>
      <c r="B120" s="94"/>
      <c r="C120" s="413"/>
      <c r="D120" s="95"/>
      <c r="E120" s="96"/>
      <c r="F120" s="96"/>
      <c r="G120" s="96"/>
      <c r="H120" s="96"/>
      <c r="I120" s="97"/>
      <c r="J120" s="98"/>
      <c r="K120" s="98"/>
      <c r="L120" s="99"/>
      <c r="M120" s="72"/>
      <c r="N120" s="100"/>
      <c r="O120" s="101"/>
      <c r="P120" s="63"/>
      <c r="Q120" s="75"/>
      <c r="R120" s="76"/>
      <c r="S120" s="72"/>
      <c r="T120" s="60"/>
      <c r="U120" s="60"/>
      <c r="V120" s="60"/>
      <c r="W120" s="102"/>
      <c r="X120" s="102"/>
      <c r="Y120" s="102"/>
      <c r="Z120" s="102"/>
      <c r="AA120" s="102"/>
      <c r="AB120" s="102"/>
      <c r="AC120" s="102"/>
      <c r="AD120" s="102"/>
      <c r="AE120" s="102"/>
      <c r="AF120" s="205"/>
      <c r="AG120" s="205"/>
      <c r="AH120" s="205"/>
      <c r="AI120" s="205"/>
      <c r="AJ120" s="96"/>
    </row>
    <row r="121" spans="1:36" s="103" customFormat="1" ht="65.099999999999994" customHeight="1" x14ac:dyDescent="0.25">
      <c r="A121" s="94"/>
      <c r="B121" s="94"/>
      <c r="C121" s="413"/>
      <c r="D121" s="95"/>
      <c r="E121" s="96"/>
      <c r="F121" s="96"/>
      <c r="G121" s="96"/>
      <c r="H121" s="96"/>
      <c r="I121" s="97"/>
      <c r="J121" s="98"/>
      <c r="K121" s="98"/>
      <c r="L121" s="99"/>
      <c r="M121" s="72"/>
      <c r="N121" s="100"/>
      <c r="O121" s="101"/>
      <c r="P121" s="63"/>
      <c r="Q121" s="75"/>
      <c r="R121" s="76"/>
      <c r="S121" s="72"/>
      <c r="T121" s="60"/>
      <c r="U121" s="60"/>
      <c r="V121" s="60"/>
      <c r="W121" s="102"/>
      <c r="X121" s="102"/>
      <c r="Y121" s="102"/>
      <c r="Z121" s="102"/>
      <c r="AA121" s="102"/>
      <c r="AB121" s="102"/>
      <c r="AC121" s="102"/>
      <c r="AD121" s="102"/>
      <c r="AE121" s="102"/>
      <c r="AF121" s="205"/>
      <c r="AG121" s="205"/>
      <c r="AH121" s="205"/>
      <c r="AI121" s="205"/>
      <c r="AJ121" s="96"/>
    </row>
    <row r="122" spans="1:36" s="103" customFormat="1" ht="65.099999999999994" customHeight="1" x14ac:dyDescent="0.25">
      <c r="A122" s="94"/>
      <c r="B122" s="94"/>
      <c r="C122" s="413"/>
      <c r="D122" s="95"/>
      <c r="E122" s="96"/>
      <c r="F122" s="96"/>
      <c r="G122" s="96"/>
      <c r="H122" s="96"/>
      <c r="I122" s="97"/>
      <c r="J122" s="98"/>
      <c r="K122" s="98"/>
      <c r="L122" s="99"/>
      <c r="M122" s="72"/>
      <c r="N122" s="100"/>
      <c r="O122" s="101"/>
      <c r="P122" s="63"/>
      <c r="Q122" s="75"/>
      <c r="R122" s="76"/>
      <c r="S122" s="72"/>
      <c r="T122" s="60"/>
      <c r="U122" s="60"/>
      <c r="V122" s="60"/>
      <c r="W122" s="102"/>
      <c r="X122" s="102"/>
      <c r="Y122" s="102"/>
      <c r="Z122" s="102"/>
      <c r="AA122" s="102"/>
      <c r="AB122" s="102"/>
      <c r="AC122" s="102"/>
      <c r="AD122" s="102"/>
      <c r="AE122" s="102"/>
      <c r="AF122" s="205"/>
      <c r="AG122" s="205"/>
      <c r="AH122" s="205"/>
      <c r="AI122" s="205"/>
      <c r="AJ122" s="96"/>
    </row>
    <row r="123" spans="1:36" s="103" customFormat="1" ht="65.099999999999994" customHeight="1" x14ac:dyDescent="0.25">
      <c r="A123" s="94"/>
      <c r="B123" s="94"/>
      <c r="C123" s="413"/>
      <c r="D123" s="95"/>
      <c r="E123" s="96"/>
      <c r="F123" s="96"/>
      <c r="G123" s="96"/>
      <c r="H123" s="96"/>
      <c r="I123" s="97"/>
      <c r="J123" s="98"/>
      <c r="K123" s="98"/>
      <c r="L123" s="99"/>
      <c r="M123" s="72"/>
      <c r="N123" s="100"/>
      <c r="O123" s="101"/>
      <c r="P123" s="63"/>
      <c r="Q123" s="75"/>
      <c r="R123" s="76"/>
      <c r="S123" s="72"/>
      <c r="T123" s="60"/>
      <c r="U123" s="60"/>
      <c r="V123" s="60"/>
      <c r="W123" s="102"/>
      <c r="X123" s="102"/>
      <c r="Y123" s="102"/>
      <c r="Z123" s="102"/>
      <c r="AA123" s="102"/>
      <c r="AB123" s="102"/>
      <c r="AC123" s="102"/>
      <c r="AD123" s="102"/>
      <c r="AE123" s="102"/>
      <c r="AF123" s="205"/>
      <c r="AG123" s="205"/>
      <c r="AH123" s="205"/>
      <c r="AI123" s="205"/>
      <c r="AJ123" s="96"/>
    </row>
    <row r="124" spans="1:36" s="103" customFormat="1" ht="65.099999999999994" customHeight="1" x14ac:dyDescent="0.25">
      <c r="A124" s="94"/>
      <c r="B124" s="94"/>
      <c r="C124" s="413"/>
      <c r="D124" s="95"/>
      <c r="E124" s="96"/>
      <c r="F124" s="96"/>
      <c r="G124" s="96"/>
      <c r="H124" s="96"/>
      <c r="I124" s="97"/>
      <c r="J124" s="98"/>
      <c r="K124" s="98"/>
      <c r="L124" s="99"/>
      <c r="M124" s="72"/>
      <c r="N124" s="100"/>
      <c r="O124" s="101"/>
      <c r="P124" s="63"/>
      <c r="Q124" s="75"/>
      <c r="R124" s="76"/>
      <c r="S124" s="72"/>
      <c r="T124" s="60"/>
      <c r="U124" s="60"/>
      <c r="V124" s="60"/>
      <c r="W124" s="102"/>
      <c r="X124" s="102"/>
      <c r="Y124" s="102"/>
      <c r="Z124" s="102"/>
      <c r="AA124" s="102"/>
      <c r="AB124" s="102"/>
      <c r="AC124" s="102"/>
      <c r="AD124" s="102"/>
      <c r="AE124" s="102"/>
      <c r="AF124" s="205"/>
      <c r="AG124" s="205"/>
      <c r="AH124" s="205"/>
      <c r="AI124" s="205"/>
      <c r="AJ124" s="96"/>
    </row>
    <row r="125" spans="1:36" s="103" customFormat="1" ht="65.099999999999994" customHeight="1" x14ac:dyDescent="0.25">
      <c r="A125" s="94"/>
      <c r="B125" s="94"/>
      <c r="C125" s="413"/>
      <c r="D125" s="95"/>
      <c r="E125" s="96"/>
      <c r="F125" s="96"/>
      <c r="G125" s="96"/>
      <c r="H125" s="96"/>
      <c r="I125" s="97"/>
      <c r="J125" s="98"/>
      <c r="K125" s="98"/>
      <c r="L125" s="99"/>
      <c r="M125" s="72"/>
      <c r="N125" s="100"/>
      <c r="O125" s="101"/>
      <c r="P125" s="63"/>
      <c r="Q125" s="75"/>
      <c r="R125" s="76"/>
      <c r="S125" s="72"/>
      <c r="T125" s="60"/>
      <c r="U125" s="60"/>
      <c r="V125" s="60"/>
      <c r="W125" s="102"/>
      <c r="X125" s="102"/>
      <c r="Y125" s="102"/>
      <c r="Z125" s="102"/>
      <c r="AA125" s="102"/>
      <c r="AB125" s="102"/>
      <c r="AC125" s="102"/>
      <c r="AD125" s="102"/>
      <c r="AE125" s="102"/>
      <c r="AF125" s="205"/>
      <c r="AG125" s="205"/>
      <c r="AH125" s="205"/>
      <c r="AI125" s="205"/>
      <c r="AJ125" s="96"/>
    </row>
    <row r="126" spans="1:36" s="103" customFormat="1" ht="65.099999999999994" customHeight="1" x14ac:dyDescent="0.25">
      <c r="A126" s="94"/>
      <c r="B126" s="94"/>
      <c r="C126" s="413"/>
      <c r="D126" s="95"/>
      <c r="E126" s="96"/>
      <c r="F126" s="96"/>
      <c r="G126" s="96"/>
      <c r="H126" s="96"/>
      <c r="I126" s="97"/>
      <c r="J126" s="98"/>
      <c r="K126" s="98"/>
      <c r="L126" s="99"/>
      <c r="M126" s="72"/>
      <c r="N126" s="100"/>
      <c r="O126" s="101"/>
      <c r="P126" s="63"/>
      <c r="Q126" s="75"/>
      <c r="R126" s="76"/>
      <c r="S126" s="72"/>
      <c r="T126" s="60"/>
      <c r="U126" s="60"/>
      <c r="V126" s="60"/>
      <c r="W126" s="102"/>
      <c r="X126" s="102"/>
      <c r="Y126" s="102"/>
      <c r="Z126" s="102"/>
      <c r="AA126" s="102"/>
      <c r="AB126" s="102"/>
      <c r="AC126" s="102"/>
      <c r="AD126" s="102"/>
      <c r="AE126" s="102"/>
      <c r="AF126" s="205"/>
      <c r="AG126" s="205"/>
      <c r="AH126" s="205"/>
      <c r="AI126" s="205"/>
      <c r="AJ126" s="96"/>
    </row>
    <row r="127" spans="1:36" s="103" customFormat="1" ht="65.099999999999994" customHeight="1" x14ac:dyDescent="0.25">
      <c r="A127" s="94"/>
      <c r="B127" s="94"/>
      <c r="C127" s="413"/>
      <c r="D127" s="95"/>
      <c r="E127" s="96"/>
      <c r="F127" s="96"/>
      <c r="G127" s="96"/>
      <c r="H127" s="96"/>
      <c r="I127" s="97"/>
      <c r="J127" s="98"/>
      <c r="K127" s="98"/>
      <c r="L127" s="99"/>
      <c r="M127" s="72"/>
      <c r="N127" s="100"/>
      <c r="O127" s="101"/>
      <c r="P127" s="63"/>
      <c r="Q127" s="75"/>
      <c r="R127" s="76"/>
      <c r="S127" s="72"/>
      <c r="T127" s="60"/>
      <c r="U127" s="60"/>
      <c r="V127" s="60"/>
      <c r="W127" s="102"/>
      <c r="X127" s="102"/>
      <c r="Y127" s="102"/>
      <c r="Z127" s="102"/>
      <c r="AA127" s="102"/>
      <c r="AB127" s="102"/>
      <c r="AC127" s="102"/>
      <c r="AD127" s="102"/>
      <c r="AE127" s="102"/>
      <c r="AF127" s="205"/>
      <c r="AG127" s="205"/>
      <c r="AH127" s="205"/>
      <c r="AI127" s="205"/>
      <c r="AJ127" s="96"/>
    </row>
    <row r="128" spans="1:36" s="103" customFormat="1" ht="65.099999999999994" customHeight="1" x14ac:dyDescent="0.25">
      <c r="A128" s="94"/>
      <c r="B128" s="94"/>
      <c r="C128" s="413"/>
      <c r="D128" s="95"/>
      <c r="E128" s="96"/>
      <c r="F128" s="96"/>
      <c r="G128" s="96"/>
      <c r="H128" s="96"/>
      <c r="I128" s="97"/>
      <c r="J128" s="98"/>
      <c r="K128" s="98"/>
      <c r="L128" s="99"/>
      <c r="M128" s="72"/>
      <c r="N128" s="100"/>
      <c r="O128" s="101"/>
      <c r="P128" s="63"/>
      <c r="Q128" s="75"/>
      <c r="R128" s="76"/>
      <c r="S128" s="72"/>
      <c r="T128" s="60"/>
      <c r="U128" s="60"/>
      <c r="V128" s="60"/>
      <c r="W128" s="102"/>
      <c r="X128" s="102"/>
      <c r="Y128" s="102"/>
      <c r="Z128" s="102"/>
      <c r="AA128" s="102"/>
      <c r="AB128" s="102"/>
      <c r="AC128" s="102"/>
      <c r="AD128" s="102"/>
      <c r="AE128" s="102"/>
      <c r="AF128" s="205"/>
      <c r="AG128" s="205"/>
      <c r="AH128" s="205"/>
      <c r="AI128" s="205"/>
      <c r="AJ128" s="96"/>
    </row>
    <row r="129" spans="1:36" s="103" customFormat="1" ht="65.099999999999994" customHeight="1" x14ac:dyDescent="0.25">
      <c r="A129" s="94"/>
      <c r="B129" s="94"/>
      <c r="C129" s="413"/>
      <c r="D129" s="95"/>
      <c r="E129" s="96"/>
      <c r="F129" s="96"/>
      <c r="G129" s="96"/>
      <c r="H129" s="96"/>
      <c r="I129" s="97"/>
      <c r="J129" s="98"/>
      <c r="K129" s="98"/>
      <c r="L129" s="99"/>
      <c r="M129" s="72"/>
      <c r="N129" s="100"/>
      <c r="O129" s="101"/>
      <c r="P129" s="63"/>
      <c r="Q129" s="75"/>
      <c r="R129" s="76"/>
      <c r="S129" s="72"/>
      <c r="T129" s="60"/>
      <c r="U129" s="60"/>
      <c r="V129" s="60"/>
      <c r="W129" s="102"/>
      <c r="X129" s="102"/>
      <c r="Y129" s="102"/>
      <c r="Z129" s="102"/>
      <c r="AA129" s="102"/>
      <c r="AB129" s="102"/>
      <c r="AC129" s="102"/>
      <c r="AD129" s="102"/>
      <c r="AE129" s="102"/>
      <c r="AF129" s="205"/>
      <c r="AG129" s="205"/>
      <c r="AH129" s="205"/>
      <c r="AI129" s="205"/>
      <c r="AJ129" s="96"/>
    </row>
    <row r="130" spans="1:36" s="103" customFormat="1" ht="65.099999999999994" customHeight="1" x14ac:dyDescent="0.25">
      <c r="A130" s="94"/>
      <c r="B130" s="94"/>
      <c r="C130" s="413"/>
      <c r="D130" s="95"/>
      <c r="E130" s="96"/>
      <c r="F130" s="96"/>
      <c r="G130" s="96"/>
      <c r="H130" s="96"/>
      <c r="I130" s="97"/>
      <c r="J130" s="98"/>
      <c r="K130" s="98"/>
      <c r="L130" s="99"/>
      <c r="M130" s="72"/>
      <c r="N130" s="100"/>
      <c r="O130" s="101"/>
      <c r="P130" s="63"/>
      <c r="Q130" s="75"/>
      <c r="R130" s="76"/>
      <c r="S130" s="72"/>
      <c r="T130" s="60"/>
      <c r="U130" s="60"/>
      <c r="V130" s="60"/>
      <c r="W130" s="102"/>
      <c r="X130" s="102"/>
      <c r="Y130" s="102"/>
      <c r="Z130" s="102"/>
      <c r="AA130" s="102"/>
      <c r="AB130" s="102"/>
      <c r="AC130" s="102"/>
      <c r="AD130" s="102"/>
      <c r="AE130" s="102"/>
      <c r="AF130" s="205"/>
      <c r="AG130" s="205"/>
      <c r="AH130" s="205"/>
      <c r="AI130" s="205"/>
      <c r="AJ130" s="96"/>
    </row>
    <row r="131" spans="1:36" s="103" customFormat="1" ht="65.099999999999994" customHeight="1" x14ac:dyDescent="0.25">
      <c r="A131" s="94"/>
      <c r="B131" s="94"/>
      <c r="C131" s="413"/>
      <c r="D131" s="95"/>
      <c r="E131" s="96"/>
      <c r="F131" s="96"/>
      <c r="G131" s="96"/>
      <c r="H131" s="96"/>
      <c r="I131" s="97"/>
      <c r="J131" s="98"/>
      <c r="K131" s="98"/>
      <c r="L131" s="99"/>
      <c r="M131" s="72"/>
      <c r="N131" s="100"/>
      <c r="O131" s="101"/>
      <c r="P131" s="63"/>
      <c r="Q131" s="75"/>
      <c r="R131" s="76"/>
      <c r="S131" s="72"/>
      <c r="T131" s="60"/>
      <c r="U131" s="60"/>
      <c r="V131" s="60"/>
      <c r="W131" s="102"/>
      <c r="X131" s="102"/>
      <c r="Y131" s="102"/>
      <c r="Z131" s="102"/>
      <c r="AA131" s="102"/>
      <c r="AB131" s="102"/>
      <c r="AC131" s="102"/>
      <c r="AD131" s="102"/>
      <c r="AE131" s="102"/>
      <c r="AF131" s="205"/>
      <c r="AG131" s="205"/>
      <c r="AH131" s="205"/>
      <c r="AI131" s="205"/>
      <c r="AJ131" s="96"/>
    </row>
    <row r="132" spans="1:36" s="103" customFormat="1" ht="65.099999999999994" customHeight="1" x14ac:dyDescent="0.25">
      <c r="A132" s="94"/>
      <c r="B132" s="94"/>
      <c r="C132" s="413"/>
      <c r="D132" s="95"/>
      <c r="E132" s="96"/>
      <c r="F132" s="96"/>
      <c r="G132" s="96"/>
      <c r="H132" s="96"/>
      <c r="I132" s="97"/>
      <c r="J132" s="98"/>
      <c r="K132" s="98"/>
      <c r="L132" s="99"/>
      <c r="M132" s="72"/>
      <c r="N132" s="100"/>
      <c r="O132" s="101"/>
      <c r="P132" s="63"/>
      <c r="Q132" s="75"/>
      <c r="R132" s="76"/>
      <c r="S132" s="72"/>
      <c r="T132" s="60"/>
      <c r="U132" s="60"/>
      <c r="V132" s="60"/>
      <c r="W132" s="102"/>
      <c r="X132" s="102"/>
      <c r="Y132" s="102"/>
      <c r="Z132" s="102"/>
      <c r="AA132" s="102"/>
      <c r="AB132" s="102"/>
      <c r="AC132" s="102"/>
      <c r="AD132" s="102"/>
      <c r="AE132" s="102"/>
      <c r="AF132" s="205"/>
      <c r="AG132" s="205"/>
      <c r="AH132" s="205"/>
      <c r="AI132" s="205"/>
      <c r="AJ132" s="96"/>
    </row>
    <row r="133" spans="1:36" s="103" customFormat="1" ht="65.099999999999994" customHeight="1" x14ac:dyDescent="0.25">
      <c r="A133" s="94"/>
      <c r="B133" s="94"/>
      <c r="C133" s="413"/>
      <c r="D133" s="95"/>
      <c r="E133" s="96"/>
      <c r="F133" s="96"/>
      <c r="G133" s="96"/>
      <c r="H133" s="96"/>
      <c r="I133" s="97"/>
      <c r="J133" s="98"/>
      <c r="K133" s="98"/>
      <c r="L133" s="99"/>
      <c r="M133" s="72"/>
      <c r="N133" s="100"/>
      <c r="O133" s="101"/>
      <c r="P133" s="63"/>
      <c r="Q133" s="75"/>
      <c r="R133" s="76"/>
      <c r="S133" s="72"/>
      <c r="T133" s="60"/>
      <c r="U133" s="60"/>
      <c r="V133" s="60"/>
      <c r="W133" s="102"/>
      <c r="X133" s="102"/>
      <c r="Y133" s="102"/>
      <c r="Z133" s="102"/>
      <c r="AA133" s="102"/>
      <c r="AB133" s="102"/>
      <c r="AC133" s="102"/>
      <c r="AD133" s="102"/>
      <c r="AE133" s="102"/>
      <c r="AF133" s="205"/>
      <c r="AG133" s="205"/>
      <c r="AH133" s="205"/>
      <c r="AI133" s="205"/>
      <c r="AJ133" s="96"/>
    </row>
    <row r="134" spans="1:36" s="103" customFormat="1" ht="65.099999999999994" customHeight="1" x14ac:dyDescent="0.25">
      <c r="A134" s="94"/>
      <c r="B134" s="94"/>
      <c r="C134" s="413"/>
      <c r="D134" s="95"/>
      <c r="E134" s="96"/>
      <c r="F134" s="96"/>
      <c r="G134" s="96"/>
      <c r="H134" s="96"/>
      <c r="I134" s="97"/>
      <c r="J134" s="98"/>
      <c r="K134" s="98"/>
      <c r="L134" s="99"/>
      <c r="M134" s="72"/>
      <c r="N134" s="100"/>
      <c r="O134" s="101"/>
      <c r="P134" s="63"/>
      <c r="Q134" s="75"/>
      <c r="R134" s="76"/>
      <c r="S134" s="72"/>
      <c r="T134" s="60"/>
      <c r="U134" s="60"/>
      <c r="V134" s="60"/>
      <c r="W134" s="102"/>
      <c r="X134" s="102"/>
      <c r="Y134" s="102"/>
      <c r="Z134" s="102"/>
      <c r="AA134" s="102"/>
      <c r="AB134" s="102"/>
      <c r="AC134" s="102"/>
      <c r="AD134" s="102"/>
      <c r="AE134" s="102"/>
      <c r="AF134" s="205"/>
      <c r="AG134" s="205"/>
      <c r="AH134" s="205"/>
      <c r="AI134" s="205"/>
      <c r="AJ134" s="96"/>
    </row>
    <row r="135" spans="1:36" s="103" customFormat="1" ht="65.099999999999994" customHeight="1" x14ac:dyDescent="0.25">
      <c r="A135" s="94"/>
      <c r="B135" s="94"/>
      <c r="C135" s="413"/>
      <c r="D135" s="95"/>
      <c r="E135" s="96"/>
      <c r="F135" s="96"/>
      <c r="G135" s="96"/>
      <c r="H135" s="96"/>
      <c r="I135" s="97"/>
      <c r="J135" s="98"/>
      <c r="K135" s="98"/>
      <c r="L135" s="99"/>
      <c r="M135" s="72"/>
      <c r="N135" s="100"/>
      <c r="O135" s="101"/>
      <c r="P135" s="63"/>
      <c r="Q135" s="75"/>
      <c r="R135" s="76"/>
      <c r="S135" s="72"/>
      <c r="T135" s="60"/>
      <c r="U135" s="60"/>
      <c r="V135" s="60"/>
      <c r="W135" s="102"/>
      <c r="X135" s="102"/>
      <c r="Y135" s="102"/>
      <c r="Z135" s="102"/>
      <c r="AA135" s="102"/>
      <c r="AB135" s="102"/>
      <c r="AC135" s="102"/>
      <c r="AD135" s="102"/>
      <c r="AE135" s="102"/>
      <c r="AF135" s="205"/>
      <c r="AG135" s="205"/>
      <c r="AH135" s="205"/>
      <c r="AI135" s="205"/>
      <c r="AJ135" s="96"/>
    </row>
    <row r="136" spans="1:36" s="103" customFormat="1" ht="65.099999999999994" customHeight="1" x14ac:dyDescent="0.25">
      <c r="A136" s="94"/>
      <c r="B136" s="94"/>
      <c r="C136" s="413"/>
      <c r="D136" s="95"/>
      <c r="E136" s="96"/>
      <c r="F136" s="96"/>
      <c r="G136" s="96"/>
      <c r="H136" s="96"/>
      <c r="I136" s="97"/>
      <c r="J136" s="98"/>
      <c r="K136" s="98"/>
      <c r="L136" s="99"/>
      <c r="M136" s="72"/>
      <c r="N136" s="100"/>
      <c r="O136" s="101"/>
      <c r="P136" s="63"/>
      <c r="Q136" s="75"/>
      <c r="R136" s="76"/>
      <c r="S136" s="72"/>
      <c r="T136" s="60"/>
      <c r="U136" s="60"/>
      <c r="V136" s="60"/>
      <c r="W136" s="102"/>
      <c r="X136" s="102"/>
      <c r="Y136" s="102"/>
      <c r="Z136" s="102"/>
      <c r="AA136" s="102"/>
      <c r="AB136" s="102"/>
      <c r="AC136" s="102"/>
      <c r="AD136" s="102"/>
      <c r="AE136" s="102"/>
      <c r="AF136" s="205"/>
      <c r="AG136" s="205"/>
      <c r="AH136" s="205"/>
      <c r="AI136" s="205"/>
      <c r="AJ136" s="96"/>
    </row>
    <row r="137" spans="1:36" s="103" customFormat="1" ht="65.099999999999994" customHeight="1" x14ac:dyDescent="0.25">
      <c r="A137" s="94"/>
      <c r="B137" s="94"/>
      <c r="C137" s="413"/>
      <c r="D137" s="95"/>
      <c r="E137" s="96"/>
      <c r="F137" s="96"/>
      <c r="G137" s="96"/>
      <c r="H137" s="96"/>
      <c r="I137" s="97"/>
      <c r="J137" s="98"/>
      <c r="K137" s="98"/>
      <c r="L137" s="99"/>
      <c r="M137" s="72"/>
      <c r="N137" s="100"/>
      <c r="O137" s="101"/>
      <c r="P137" s="63"/>
      <c r="Q137" s="75"/>
      <c r="R137" s="76"/>
      <c r="S137" s="72"/>
      <c r="T137" s="60"/>
      <c r="U137" s="60"/>
      <c r="V137" s="60"/>
      <c r="W137" s="102"/>
      <c r="X137" s="102"/>
      <c r="Y137" s="102"/>
      <c r="Z137" s="102"/>
      <c r="AA137" s="102"/>
      <c r="AB137" s="102"/>
      <c r="AC137" s="102"/>
      <c r="AD137" s="102"/>
      <c r="AE137" s="102"/>
      <c r="AF137" s="205"/>
      <c r="AG137" s="205"/>
      <c r="AH137" s="205"/>
      <c r="AI137" s="205"/>
      <c r="AJ137" s="96"/>
    </row>
    <row r="138" spans="1:36" s="103" customFormat="1" ht="65.099999999999994" customHeight="1" x14ac:dyDescent="0.25">
      <c r="A138" s="94"/>
      <c r="B138" s="94"/>
      <c r="C138" s="413"/>
      <c r="D138" s="95"/>
      <c r="E138" s="96"/>
      <c r="F138" s="96"/>
      <c r="G138" s="96"/>
      <c r="H138" s="96"/>
      <c r="I138" s="97"/>
      <c r="J138" s="98"/>
      <c r="K138" s="98"/>
      <c r="L138" s="99"/>
      <c r="M138" s="72"/>
      <c r="N138" s="100"/>
      <c r="O138" s="101"/>
      <c r="P138" s="63"/>
      <c r="Q138" s="75"/>
      <c r="R138" s="76"/>
      <c r="S138" s="72"/>
      <c r="T138" s="60"/>
      <c r="U138" s="60"/>
      <c r="V138" s="60"/>
      <c r="W138" s="102"/>
      <c r="X138" s="102"/>
      <c r="Y138" s="102"/>
      <c r="Z138" s="102"/>
      <c r="AA138" s="102"/>
      <c r="AB138" s="102"/>
      <c r="AC138" s="102"/>
      <c r="AD138" s="102"/>
      <c r="AE138" s="102"/>
      <c r="AF138" s="205"/>
      <c r="AG138" s="205"/>
      <c r="AH138" s="205"/>
      <c r="AI138" s="205"/>
      <c r="AJ138" s="96"/>
    </row>
    <row r="139" spans="1:36" s="103" customFormat="1" ht="65.099999999999994" customHeight="1" x14ac:dyDescent="0.25">
      <c r="A139" s="94"/>
      <c r="B139" s="94"/>
      <c r="C139" s="413"/>
      <c r="D139" s="95"/>
      <c r="E139" s="96"/>
      <c r="F139" s="96"/>
      <c r="G139" s="96"/>
      <c r="H139" s="96"/>
      <c r="I139" s="97"/>
      <c r="J139" s="98"/>
      <c r="K139" s="98"/>
      <c r="L139" s="99"/>
      <c r="M139" s="72"/>
      <c r="N139" s="100"/>
      <c r="O139" s="101"/>
      <c r="P139" s="63"/>
      <c r="Q139" s="75"/>
      <c r="R139" s="76"/>
      <c r="S139" s="72"/>
      <c r="T139" s="60"/>
      <c r="U139" s="60"/>
      <c r="V139" s="60"/>
      <c r="W139" s="102"/>
      <c r="X139" s="102"/>
      <c r="Y139" s="102"/>
      <c r="Z139" s="102"/>
      <c r="AA139" s="102"/>
      <c r="AB139" s="102"/>
      <c r="AC139" s="102"/>
      <c r="AD139" s="102"/>
      <c r="AE139" s="102"/>
      <c r="AF139" s="205"/>
      <c r="AG139" s="205"/>
      <c r="AH139" s="205"/>
      <c r="AI139" s="205"/>
      <c r="AJ139" s="96"/>
    </row>
    <row r="140" spans="1:36" s="103" customFormat="1" ht="65.099999999999994" customHeight="1" x14ac:dyDescent="0.25">
      <c r="A140" s="94"/>
      <c r="B140" s="94"/>
      <c r="C140" s="413"/>
      <c r="D140" s="95"/>
      <c r="E140" s="96"/>
      <c r="F140" s="96"/>
      <c r="G140" s="96"/>
      <c r="H140" s="96"/>
      <c r="I140" s="97"/>
      <c r="J140" s="98"/>
      <c r="K140" s="98"/>
      <c r="L140" s="99"/>
      <c r="M140" s="72"/>
      <c r="N140" s="100"/>
      <c r="O140" s="101"/>
      <c r="P140" s="63"/>
      <c r="Q140" s="75"/>
      <c r="R140" s="76"/>
      <c r="S140" s="72"/>
      <c r="T140" s="60"/>
      <c r="U140" s="60"/>
      <c r="V140" s="60"/>
      <c r="W140" s="102"/>
      <c r="X140" s="102"/>
      <c r="Y140" s="102"/>
      <c r="Z140" s="102"/>
      <c r="AA140" s="102"/>
      <c r="AB140" s="102"/>
      <c r="AC140" s="102"/>
      <c r="AD140" s="102"/>
      <c r="AE140" s="102"/>
      <c r="AF140" s="205"/>
      <c r="AG140" s="205"/>
      <c r="AH140" s="205"/>
      <c r="AI140" s="205"/>
      <c r="AJ140" s="96"/>
    </row>
    <row r="141" spans="1:36" s="103" customFormat="1" ht="65.099999999999994" customHeight="1" x14ac:dyDescent="0.25">
      <c r="A141" s="94"/>
      <c r="B141" s="94"/>
      <c r="C141" s="413"/>
      <c r="D141" s="95"/>
      <c r="E141" s="96"/>
      <c r="F141" s="96"/>
      <c r="G141" s="96"/>
      <c r="H141" s="96"/>
      <c r="I141" s="97"/>
      <c r="J141" s="98"/>
      <c r="K141" s="98"/>
      <c r="L141" s="99"/>
      <c r="M141" s="72"/>
      <c r="N141" s="100"/>
      <c r="O141" s="101"/>
      <c r="P141" s="63"/>
      <c r="Q141" s="75"/>
      <c r="R141" s="76"/>
      <c r="S141" s="72"/>
      <c r="T141" s="60"/>
      <c r="U141" s="60"/>
      <c r="V141" s="60"/>
      <c r="W141" s="102"/>
      <c r="X141" s="102"/>
      <c r="Y141" s="102"/>
      <c r="Z141" s="102"/>
      <c r="AA141" s="102"/>
      <c r="AB141" s="102"/>
      <c r="AC141" s="102"/>
      <c r="AD141" s="102"/>
      <c r="AE141" s="102"/>
      <c r="AF141" s="205"/>
      <c r="AG141" s="205"/>
      <c r="AH141" s="205"/>
      <c r="AI141" s="205"/>
      <c r="AJ141" s="96"/>
    </row>
    <row r="142" spans="1:36" s="103" customFormat="1" ht="65.099999999999994" customHeight="1" x14ac:dyDescent="0.25">
      <c r="A142" s="94"/>
      <c r="B142" s="94"/>
      <c r="C142" s="413"/>
      <c r="D142" s="95"/>
      <c r="E142" s="96"/>
      <c r="F142" s="96"/>
      <c r="G142" s="96"/>
      <c r="H142" s="96"/>
      <c r="I142" s="97"/>
      <c r="J142" s="98"/>
      <c r="K142" s="98"/>
      <c r="L142" s="99"/>
      <c r="M142" s="72"/>
      <c r="N142" s="100"/>
      <c r="O142" s="101"/>
      <c r="P142" s="63"/>
      <c r="Q142" s="75"/>
      <c r="R142" s="76"/>
      <c r="S142" s="72"/>
      <c r="T142" s="60"/>
      <c r="U142" s="60"/>
      <c r="V142" s="60"/>
      <c r="W142" s="102"/>
      <c r="X142" s="102"/>
      <c r="Y142" s="102"/>
      <c r="Z142" s="102"/>
      <c r="AA142" s="102"/>
      <c r="AB142" s="102"/>
      <c r="AC142" s="102"/>
      <c r="AD142" s="102"/>
      <c r="AE142" s="102"/>
      <c r="AF142" s="205"/>
      <c r="AG142" s="205"/>
      <c r="AH142" s="205"/>
      <c r="AI142" s="205"/>
      <c r="AJ142" s="96"/>
    </row>
    <row r="143" spans="1:36" s="103" customFormat="1" ht="65.099999999999994" customHeight="1" x14ac:dyDescent="0.25">
      <c r="A143" s="94"/>
      <c r="B143" s="94"/>
      <c r="C143" s="413"/>
      <c r="D143" s="95"/>
      <c r="E143" s="96"/>
      <c r="F143" s="96"/>
      <c r="G143" s="96"/>
      <c r="H143" s="96"/>
      <c r="I143" s="97"/>
      <c r="J143" s="98"/>
      <c r="K143" s="98"/>
      <c r="L143" s="99"/>
      <c r="M143" s="72"/>
      <c r="N143" s="100"/>
      <c r="O143" s="101"/>
      <c r="P143" s="63"/>
      <c r="Q143" s="75"/>
      <c r="R143" s="76"/>
      <c r="S143" s="72"/>
      <c r="T143" s="60"/>
      <c r="U143" s="60"/>
      <c r="V143" s="60"/>
      <c r="W143" s="102"/>
      <c r="X143" s="102"/>
      <c r="Y143" s="102"/>
      <c r="Z143" s="102"/>
      <c r="AA143" s="102"/>
      <c r="AB143" s="102"/>
      <c r="AC143" s="102"/>
      <c r="AD143" s="102"/>
      <c r="AE143" s="102"/>
      <c r="AF143" s="205"/>
      <c r="AG143" s="205"/>
      <c r="AH143" s="205"/>
      <c r="AI143" s="205"/>
      <c r="AJ143" s="96"/>
    </row>
    <row r="144" spans="1:36" s="103" customFormat="1" ht="65.099999999999994" customHeight="1" x14ac:dyDescent="0.25">
      <c r="A144" s="94"/>
      <c r="B144" s="94"/>
      <c r="C144" s="413"/>
      <c r="D144" s="95"/>
      <c r="E144" s="96"/>
      <c r="F144" s="96"/>
      <c r="G144" s="96"/>
      <c r="H144" s="96"/>
      <c r="I144" s="97"/>
      <c r="J144" s="98"/>
      <c r="K144" s="98"/>
      <c r="L144" s="99"/>
      <c r="M144" s="72"/>
      <c r="N144" s="100"/>
      <c r="O144" s="101"/>
      <c r="P144" s="63"/>
      <c r="Q144" s="75"/>
      <c r="R144" s="76"/>
      <c r="S144" s="72"/>
      <c r="T144" s="60"/>
      <c r="U144" s="60"/>
      <c r="V144" s="60"/>
      <c r="W144" s="102"/>
      <c r="X144" s="102"/>
      <c r="Y144" s="102"/>
      <c r="Z144" s="102"/>
      <c r="AA144" s="102"/>
      <c r="AB144" s="102"/>
      <c r="AC144" s="102"/>
      <c r="AD144" s="102"/>
      <c r="AE144" s="102"/>
      <c r="AF144" s="205"/>
      <c r="AG144" s="205"/>
      <c r="AH144" s="205"/>
      <c r="AI144" s="205"/>
      <c r="AJ144" s="96"/>
    </row>
    <row r="145" spans="1:36" s="103" customFormat="1" ht="65.099999999999994" customHeight="1" x14ac:dyDescent="0.25">
      <c r="A145" s="94"/>
      <c r="B145" s="94"/>
      <c r="C145" s="413"/>
      <c r="D145" s="95"/>
      <c r="E145" s="96"/>
      <c r="F145" s="96"/>
      <c r="G145" s="96"/>
      <c r="H145" s="96"/>
      <c r="I145" s="97"/>
      <c r="J145" s="98"/>
      <c r="K145" s="98"/>
      <c r="L145" s="99"/>
      <c r="M145" s="72"/>
      <c r="N145" s="100"/>
      <c r="O145" s="101"/>
      <c r="P145" s="63"/>
      <c r="Q145" s="75"/>
      <c r="R145" s="76"/>
      <c r="S145" s="72"/>
      <c r="T145" s="60"/>
      <c r="U145" s="60"/>
      <c r="V145" s="60"/>
      <c r="W145" s="102"/>
      <c r="X145" s="102"/>
      <c r="Y145" s="102"/>
      <c r="Z145" s="102"/>
      <c r="AA145" s="102"/>
      <c r="AB145" s="102"/>
      <c r="AC145" s="102"/>
      <c r="AD145" s="102"/>
      <c r="AE145" s="102"/>
      <c r="AF145" s="205"/>
      <c r="AG145" s="205"/>
      <c r="AH145" s="205"/>
      <c r="AI145" s="205"/>
      <c r="AJ145" s="96"/>
    </row>
    <row r="146" spans="1:36" s="103" customFormat="1" ht="65.099999999999994" customHeight="1" x14ac:dyDescent="0.25">
      <c r="A146" s="94"/>
      <c r="B146" s="94"/>
      <c r="C146" s="413"/>
      <c r="D146" s="95"/>
      <c r="E146" s="96"/>
      <c r="F146" s="96"/>
      <c r="G146" s="96"/>
      <c r="H146" s="96"/>
      <c r="I146" s="97"/>
      <c r="J146" s="98"/>
      <c r="K146" s="98"/>
      <c r="L146" s="99"/>
      <c r="M146" s="72"/>
      <c r="N146" s="100"/>
      <c r="O146" s="101"/>
      <c r="P146" s="63"/>
      <c r="Q146" s="75"/>
      <c r="R146" s="76"/>
      <c r="S146" s="72"/>
      <c r="T146" s="60"/>
      <c r="U146" s="60"/>
      <c r="V146" s="60"/>
      <c r="W146" s="102"/>
      <c r="X146" s="102"/>
      <c r="Y146" s="102"/>
      <c r="Z146" s="102"/>
      <c r="AA146" s="102"/>
      <c r="AB146" s="102"/>
      <c r="AC146" s="102"/>
      <c r="AD146" s="102"/>
      <c r="AE146" s="102"/>
      <c r="AF146" s="205"/>
      <c r="AG146" s="205"/>
      <c r="AH146" s="205"/>
      <c r="AI146" s="205"/>
      <c r="AJ146" s="96"/>
    </row>
    <row r="147" spans="1:36" s="103" customFormat="1" ht="65.099999999999994" customHeight="1" x14ac:dyDescent="0.25">
      <c r="A147" s="94"/>
      <c r="B147" s="94"/>
      <c r="C147" s="413"/>
      <c r="D147" s="95"/>
      <c r="E147" s="96"/>
      <c r="F147" s="96"/>
      <c r="G147" s="96"/>
      <c r="H147" s="96"/>
      <c r="I147" s="97"/>
      <c r="J147" s="98"/>
      <c r="K147" s="98"/>
      <c r="L147" s="99"/>
      <c r="M147" s="72"/>
      <c r="N147" s="100"/>
      <c r="O147" s="101"/>
      <c r="P147" s="63"/>
      <c r="Q147" s="75"/>
      <c r="R147" s="76"/>
      <c r="S147" s="72"/>
      <c r="T147" s="60"/>
      <c r="U147" s="60"/>
      <c r="V147" s="60"/>
      <c r="W147" s="102"/>
      <c r="X147" s="102"/>
      <c r="Y147" s="102"/>
      <c r="Z147" s="102"/>
      <c r="AA147" s="102"/>
      <c r="AB147" s="102"/>
      <c r="AC147" s="102"/>
      <c r="AD147" s="102"/>
      <c r="AE147" s="102"/>
      <c r="AF147" s="205"/>
      <c r="AG147" s="205"/>
      <c r="AH147" s="205"/>
      <c r="AI147" s="205"/>
      <c r="AJ147" s="96"/>
    </row>
    <row r="148" spans="1:36" s="103" customFormat="1" ht="65.099999999999994" customHeight="1" x14ac:dyDescent="0.25">
      <c r="A148" s="94"/>
      <c r="B148" s="94"/>
      <c r="C148" s="413"/>
      <c r="D148" s="95"/>
      <c r="E148" s="96"/>
      <c r="F148" s="96"/>
      <c r="G148" s="96"/>
      <c r="H148" s="96"/>
      <c r="I148" s="97"/>
      <c r="J148" s="98"/>
      <c r="K148" s="98"/>
      <c r="L148" s="99"/>
      <c r="M148" s="72"/>
      <c r="N148" s="100"/>
      <c r="O148" s="101"/>
      <c r="P148" s="63"/>
      <c r="Q148" s="75"/>
      <c r="R148" s="76"/>
      <c r="S148" s="72"/>
      <c r="T148" s="60"/>
      <c r="U148" s="60"/>
      <c r="V148" s="60"/>
      <c r="W148" s="102"/>
      <c r="X148" s="102"/>
      <c r="Y148" s="102"/>
      <c r="Z148" s="102"/>
      <c r="AA148" s="102"/>
      <c r="AB148" s="102"/>
      <c r="AC148" s="102"/>
      <c r="AD148" s="102"/>
      <c r="AE148" s="102"/>
      <c r="AF148" s="205"/>
      <c r="AG148" s="205"/>
      <c r="AH148" s="205"/>
      <c r="AI148" s="205"/>
      <c r="AJ148" s="96"/>
    </row>
    <row r="149" spans="1:36" s="103" customFormat="1" ht="65.099999999999994" customHeight="1" x14ac:dyDescent="0.25">
      <c r="A149" s="94"/>
      <c r="B149" s="94"/>
      <c r="C149" s="413"/>
      <c r="D149" s="95"/>
      <c r="E149" s="96"/>
      <c r="F149" s="96"/>
      <c r="G149" s="96"/>
      <c r="H149" s="96"/>
      <c r="I149" s="97"/>
      <c r="J149" s="98"/>
      <c r="K149" s="98"/>
      <c r="L149" s="99"/>
      <c r="M149" s="72"/>
      <c r="N149" s="100"/>
      <c r="O149" s="101"/>
      <c r="P149" s="63"/>
      <c r="Q149" s="75"/>
      <c r="R149" s="76"/>
      <c r="S149" s="72"/>
      <c r="T149" s="60"/>
      <c r="U149" s="60"/>
      <c r="V149" s="60"/>
      <c r="W149" s="102"/>
      <c r="X149" s="102"/>
      <c r="Y149" s="102"/>
      <c r="Z149" s="102"/>
      <c r="AA149" s="102"/>
      <c r="AB149" s="102"/>
      <c r="AC149" s="102"/>
      <c r="AD149" s="102"/>
      <c r="AE149" s="102"/>
      <c r="AF149" s="205"/>
      <c r="AG149" s="205"/>
      <c r="AH149" s="205"/>
      <c r="AI149" s="205"/>
      <c r="AJ149" s="96"/>
    </row>
    <row r="150" spans="1:36" s="103" customFormat="1" ht="65.099999999999994" customHeight="1" x14ac:dyDescent="0.25">
      <c r="A150" s="94"/>
      <c r="B150" s="94"/>
      <c r="C150" s="413"/>
      <c r="D150" s="95"/>
      <c r="E150" s="96"/>
      <c r="F150" s="96"/>
      <c r="G150" s="96"/>
      <c r="H150" s="96"/>
      <c r="I150" s="97"/>
      <c r="J150" s="98"/>
      <c r="K150" s="98"/>
      <c r="L150" s="99"/>
      <c r="M150" s="72"/>
      <c r="N150" s="100"/>
      <c r="O150" s="101"/>
      <c r="P150" s="63"/>
      <c r="Q150" s="75"/>
      <c r="R150" s="76"/>
      <c r="S150" s="72"/>
      <c r="T150" s="60"/>
      <c r="U150" s="60"/>
      <c r="V150" s="60"/>
      <c r="W150" s="102"/>
      <c r="X150" s="102"/>
      <c r="Y150" s="102"/>
      <c r="Z150" s="102"/>
      <c r="AA150" s="102"/>
      <c r="AB150" s="102"/>
      <c r="AC150" s="102"/>
      <c r="AD150" s="102"/>
      <c r="AE150" s="102"/>
      <c r="AF150" s="205"/>
      <c r="AG150" s="205"/>
      <c r="AH150" s="205"/>
      <c r="AI150" s="205"/>
      <c r="AJ150" s="96"/>
    </row>
    <row r="151" spans="1:36" s="103" customFormat="1" ht="65.099999999999994" customHeight="1" x14ac:dyDescent="0.25">
      <c r="A151" s="94"/>
      <c r="B151" s="94"/>
      <c r="C151" s="413"/>
      <c r="D151" s="95"/>
      <c r="E151" s="96"/>
      <c r="F151" s="96"/>
      <c r="G151" s="96"/>
      <c r="H151" s="96"/>
      <c r="I151" s="97"/>
      <c r="J151" s="98"/>
      <c r="K151" s="98"/>
      <c r="L151" s="99"/>
      <c r="M151" s="72"/>
      <c r="N151" s="100"/>
      <c r="O151" s="101"/>
      <c r="P151" s="63"/>
      <c r="Q151" s="75"/>
      <c r="R151" s="76"/>
      <c r="S151" s="72"/>
      <c r="T151" s="60"/>
      <c r="U151" s="60"/>
      <c r="V151" s="60"/>
      <c r="W151" s="102"/>
      <c r="X151" s="102"/>
      <c r="Y151" s="102"/>
      <c r="Z151" s="102"/>
      <c r="AA151" s="102"/>
      <c r="AB151" s="102"/>
      <c r="AC151" s="102"/>
      <c r="AD151" s="102"/>
      <c r="AE151" s="102"/>
      <c r="AF151" s="205"/>
      <c r="AG151" s="205"/>
      <c r="AH151" s="205"/>
      <c r="AI151" s="205"/>
      <c r="AJ151" s="96"/>
    </row>
    <row r="152" spans="1:36" s="103" customFormat="1" ht="65.099999999999994" customHeight="1" x14ac:dyDescent="0.25">
      <c r="A152" s="94"/>
      <c r="B152" s="94"/>
      <c r="C152" s="413"/>
      <c r="D152" s="95"/>
      <c r="E152" s="96"/>
      <c r="F152" s="96"/>
      <c r="G152" s="96"/>
      <c r="H152" s="96"/>
      <c r="I152" s="97"/>
      <c r="J152" s="98"/>
      <c r="K152" s="98"/>
      <c r="L152" s="99"/>
      <c r="M152" s="72"/>
      <c r="N152" s="100"/>
      <c r="O152" s="101"/>
      <c r="P152" s="63"/>
      <c r="Q152" s="75"/>
      <c r="R152" s="76"/>
      <c r="S152" s="72"/>
      <c r="T152" s="60"/>
      <c r="U152" s="60"/>
      <c r="V152" s="60"/>
      <c r="W152" s="102"/>
      <c r="X152" s="102"/>
      <c r="Y152" s="102"/>
      <c r="Z152" s="102"/>
      <c r="AA152" s="102"/>
      <c r="AB152" s="102"/>
      <c r="AC152" s="102"/>
      <c r="AD152" s="102"/>
      <c r="AE152" s="102"/>
      <c r="AF152" s="205"/>
      <c r="AG152" s="205"/>
      <c r="AH152" s="205"/>
      <c r="AI152" s="205"/>
      <c r="AJ152" s="96"/>
    </row>
    <row r="153" spans="1:36" s="103" customFormat="1" ht="65.099999999999994" customHeight="1" x14ac:dyDescent="0.25">
      <c r="A153" s="94"/>
      <c r="B153" s="94"/>
      <c r="C153" s="413"/>
      <c r="D153" s="95"/>
      <c r="E153" s="96"/>
      <c r="F153" s="96"/>
      <c r="G153" s="96"/>
      <c r="H153" s="96"/>
      <c r="I153" s="97"/>
      <c r="J153" s="98"/>
      <c r="K153" s="98"/>
      <c r="L153" s="99"/>
      <c r="M153" s="72"/>
      <c r="N153" s="100"/>
      <c r="O153" s="101"/>
      <c r="P153" s="63"/>
      <c r="Q153" s="75"/>
      <c r="R153" s="76"/>
      <c r="S153" s="72"/>
      <c r="T153" s="60"/>
      <c r="U153" s="60"/>
      <c r="V153" s="60"/>
      <c r="W153" s="102"/>
      <c r="X153" s="102"/>
      <c r="Y153" s="102"/>
      <c r="Z153" s="102"/>
      <c r="AA153" s="102"/>
      <c r="AB153" s="102"/>
      <c r="AC153" s="102"/>
      <c r="AD153" s="102"/>
      <c r="AE153" s="102"/>
      <c r="AF153" s="205"/>
      <c r="AG153" s="205"/>
      <c r="AH153" s="205"/>
      <c r="AI153" s="205"/>
      <c r="AJ153" s="96"/>
    </row>
    <row r="154" spans="1:36" s="103" customFormat="1" ht="65.099999999999994" customHeight="1" x14ac:dyDescent="0.25">
      <c r="A154" s="94"/>
      <c r="B154" s="94"/>
      <c r="C154" s="413"/>
      <c r="D154" s="95"/>
      <c r="E154" s="96"/>
      <c r="F154" s="96"/>
      <c r="G154" s="96"/>
      <c r="H154" s="96"/>
      <c r="I154" s="97"/>
      <c r="J154" s="98"/>
      <c r="K154" s="98"/>
      <c r="L154" s="99"/>
      <c r="M154" s="72"/>
      <c r="N154" s="100"/>
      <c r="O154" s="101"/>
      <c r="P154" s="63"/>
      <c r="Q154" s="75"/>
      <c r="R154" s="76"/>
      <c r="S154" s="72"/>
      <c r="T154" s="60"/>
      <c r="U154" s="60"/>
      <c r="V154" s="60"/>
      <c r="W154" s="102"/>
      <c r="X154" s="102"/>
      <c r="Y154" s="102"/>
      <c r="Z154" s="102"/>
      <c r="AA154" s="102"/>
      <c r="AB154" s="102"/>
      <c r="AC154" s="102"/>
      <c r="AD154" s="102"/>
      <c r="AE154" s="102"/>
      <c r="AF154" s="205"/>
      <c r="AG154" s="205"/>
      <c r="AH154" s="205"/>
      <c r="AI154" s="205"/>
      <c r="AJ154" s="96"/>
    </row>
    <row r="155" spans="1:36" s="103" customFormat="1" ht="65.099999999999994" customHeight="1" x14ac:dyDescent="0.25">
      <c r="A155" s="94"/>
      <c r="B155" s="94"/>
      <c r="C155" s="413"/>
      <c r="D155" s="95"/>
      <c r="E155" s="96"/>
      <c r="F155" s="96"/>
      <c r="G155" s="96"/>
      <c r="H155" s="96"/>
      <c r="I155" s="97"/>
      <c r="J155" s="98"/>
      <c r="K155" s="98"/>
      <c r="L155" s="99"/>
      <c r="M155" s="72"/>
      <c r="N155" s="100"/>
      <c r="O155" s="101"/>
      <c r="P155" s="63"/>
      <c r="Q155" s="75"/>
      <c r="R155" s="76"/>
      <c r="S155" s="72"/>
      <c r="T155" s="60"/>
      <c r="U155" s="60"/>
      <c r="V155" s="60"/>
      <c r="W155" s="102"/>
      <c r="X155" s="102"/>
      <c r="Y155" s="102"/>
      <c r="Z155" s="102"/>
      <c r="AA155" s="102"/>
      <c r="AB155" s="102"/>
      <c r="AC155" s="102"/>
      <c r="AD155" s="102"/>
      <c r="AE155" s="102"/>
      <c r="AF155" s="205"/>
      <c r="AG155" s="205"/>
      <c r="AH155" s="205"/>
      <c r="AI155" s="205"/>
      <c r="AJ155" s="96"/>
    </row>
    <row r="156" spans="1:36" s="103" customFormat="1" ht="65.099999999999994" customHeight="1" x14ac:dyDescent="0.25">
      <c r="A156" s="94"/>
      <c r="B156" s="94"/>
      <c r="C156" s="413"/>
      <c r="D156" s="95"/>
      <c r="E156" s="96"/>
      <c r="F156" s="96"/>
      <c r="G156" s="96"/>
      <c r="H156" s="96"/>
      <c r="I156" s="97"/>
      <c r="J156" s="98"/>
      <c r="K156" s="98"/>
      <c r="L156" s="99"/>
      <c r="M156" s="72"/>
      <c r="N156" s="100"/>
      <c r="O156" s="101"/>
      <c r="P156" s="63"/>
      <c r="Q156" s="75"/>
      <c r="R156" s="76"/>
      <c r="S156" s="72"/>
      <c r="T156" s="60"/>
      <c r="U156" s="60"/>
      <c r="V156" s="60"/>
      <c r="W156" s="102"/>
      <c r="X156" s="102"/>
      <c r="Y156" s="102"/>
      <c r="Z156" s="102"/>
      <c r="AA156" s="102"/>
      <c r="AB156" s="102"/>
      <c r="AC156" s="102"/>
      <c r="AD156" s="102"/>
      <c r="AE156" s="102"/>
      <c r="AF156" s="205"/>
      <c r="AG156" s="205"/>
      <c r="AH156" s="205"/>
      <c r="AI156" s="205"/>
      <c r="AJ156" s="96"/>
    </row>
    <row r="157" spans="1:36" s="103" customFormat="1" ht="65.099999999999994" customHeight="1" x14ac:dyDescent="0.25">
      <c r="A157" s="94"/>
      <c r="B157" s="94"/>
      <c r="C157" s="413"/>
      <c r="D157" s="95"/>
      <c r="E157" s="96"/>
      <c r="F157" s="96"/>
      <c r="G157" s="96"/>
      <c r="H157" s="96"/>
      <c r="I157" s="97"/>
      <c r="J157" s="98"/>
      <c r="K157" s="98"/>
      <c r="L157" s="99"/>
      <c r="M157" s="72"/>
      <c r="N157" s="100"/>
      <c r="O157" s="101"/>
      <c r="P157" s="63"/>
      <c r="Q157" s="75"/>
      <c r="R157" s="76"/>
      <c r="S157" s="72"/>
      <c r="T157" s="60"/>
      <c r="U157" s="60"/>
      <c r="V157" s="60"/>
      <c r="W157" s="102"/>
      <c r="X157" s="102"/>
      <c r="Y157" s="102"/>
      <c r="Z157" s="102"/>
      <c r="AA157" s="102"/>
      <c r="AB157" s="102"/>
      <c r="AC157" s="102"/>
      <c r="AD157" s="102"/>
      <c r="AE157" s="102"/>
      <c r="AF157" s="205"/>
      <c r="AG157" s="205"/>
      <c r="AH157" s="205"/>
      <c r="AI157" s="205"/>
      <c r="AJ157" s="96"/>
    </row>
    <row r="158" spans="1:36" s="103" customFormat="1" ht="65.099999999999994" customHeight="1" x14ac:dyDescent="0.25">
      <c r="A158" s="94"/>
      <c r="B158" s="94"/>
      <c r="C158" s="413"/>
      <c r="D158" s="95"/>
      <c r="E158" s="96"/>
      <c r="F158" s="96"/>
      <c r="G158" s="96"/>
      <c r="H158" s="96"/>
      <c r="I158" s="97"/>
      <c r="J158" s="98"/>
      <c r="K158" s="98"/>
      <c r="L158" s="99"/>
      <c r="M158" s="72"/>
      <c r="N158" s="100"/>
      <c r="O158" s="101"/>
      <c r="P158" s="63"/>
      <c r="Q158" s="75"/>
      <c r="R158" s="76"/>
      <c r="S158" s="72"/>
      <c r="T158" s="60"/>
      <c r="U158" s="60"/>
      <c r="V158" s="60"/>
      <c r="W158" s="102"/>
      <c r="X158" s="102"/>
      <c r="Y158" s="102"/>
      <c r="Z158" s="102"/>
      <c r="AA158" s="102"/>
      <c r="AB158" s="102"/>
      <c r="AC158" s="102"/>
      <c r="AD158" s="102"/>
      <c r="AE158" s="102"/>
      <c r="AF158" s="205"/>
      <c r="AG158" s="205"/>
      <c r="AH158" s="205"/>
      <c r="AI158" s="205"/>
      <c r="AJ158" s="96"/>
    </row>
    <row r="159" spans="1:36" s="103" customFormat="1" ht="65.099999999999994" customHeight="1" x14ac:dyDescent="0.25">
      <c r="A159" s="94"/>
      <c r="B159" s="94"/>
      <c r="C159" s="413"/>
      <c r="D159" s="95"/>
      <c r="E159" s="96"/>
      <c r="F159" s="96"/>
      <c r="G159" s="96"/>
      <c r="H159" s="96"/>
      <c r="I159" s="97"/>
      <c r="J159" s="98"/>
      <c r="K159" s="98"/>
      <c r="L159" s="99"/>
      <c r="M159" s="72"/>
      <c r="N159" s="100"/>
      <c r="O159" s="101"/>
      <c r="P159" s="63"/>
      <c r="Q159" s="75"/>
      <c r="R159" s="76"/>
      <c r="S159" s="72"/>
      <c r="T159" s="60"/>
      <c r="U159" s="60"/>
      <c r="V159" s="60"/>
      <c r="W159" s="102"/>
      <c r="X159" s="102"/>
      <c r="Y159" s="102"/>
      <c r="Z159" s="102"/>
      <c r="AA159" s="102"/>
      <c r="AB159" s="102"/>
      <c r="AC159" s="102"/>
      <c r="AD159" s="102"/>
      <c r="AE159" s="102"/>
      <c r="AF159" s="205"/>
      <c r="AG159" s="205"/>
      <c r="AH159" s="205"/>
      <c r="AI159" s="205"/>
      <c r="AJ159" s="96"/>
    </row>
    <row r="160" spans="1:36" s="103" customFormat="1" ht="65.099999999999994" customHeight="1" x14ac:dyDescent="0.25">
      <c r="A160" s="94"/>
      <c r="B160" s="94"/>
      <c r="C160" s="413"/>
      <c r="D160" s="95"/>
      <c r="E160" s="96"/>
      <c r="F160" s="96"/>
      <c r="G160" s="96"/>
      <c r="H160" s="96"/>
      <c r="I160" s="97"/>
      <c r="J160" s="98"/>
      <c r="K160" s="98"/>
      <c r="L160" s="99"/>
      <c r="M160" s="72"/>
      <c r="N160" s="100"/>
      <c r="O160" s="101"/>
      <c r="P160" s="63"/>
      <c r="Q160" s="75"/>
      <c r="R160" s="76"/>
      <c r="S160" s="72"/>
      <c r="T160" s="60"/>
      <c r="U160" s="60"/>
      <c r="V160" s="60"/>
      <c r="W160" s="102"/>
      <c r="X160" s="102"/>
      <c r="Y160" s="102"/>
      <c r="Z160" s="102"/>
      <c r="AA160" s="102"/>
      <c r="AB160" s="102"/>
      <c r="AC160" s="102"/>
      <c r="AD160" s="102"/>
      <c r="AE160" s="102"/>
      <c r="AF160" s="205"/>
      <c r="AG160" s="205"/>
      <c r="AH160" s="205"/>
      <c r="AI160" s="205"/>
      <c r="AJ160" s="96"/>
    </row>
    <row r="161" spans="1:36" s="103" customFormat="1" ht="65.099999999999994" customHeight="1" x14ac:dyDescent="0.25">
      <c r="A161" s="94"/>
      <c r="B161" s="94"/>
      <c r="C161" s="413"/>
      <c r="D161" s="95"/>
      <c r="E161" s="96"/>
      <c r="F161" s="96"/>
      <c r="G161" s="96"/>
      <c r="H161" s="96"/>
      <c r="I161" s="97"/>
      <c r="J161" s="98"/>
      <c r="K161" s="98"/>
      <c r="L161" s="99"/>
      <c r="M161" s="72"/>
      <c r="N161" s="100"/>
      <c r="O161" s="101"/>
      <c r="P161" s="63"/>
      <c r="Q161" s="75"/>
      <c r="R161" s="76"/>
      <c r="S161" s="72"/>
      <c r="T161" s="60"/>
      <c r="U161" s="60"/>
      <c r="V161" s="60"/>
      <c r="W161" s="102"/>
      <c r="X161" s="102"/>
      <c r="Y161" s="102"/>
      <c r="Z161" s="102"/>
      <c r="AA161" s="102"/>
      <c r="AB161" s="102"/>
      <c r="AC161" s="102"/>
      <c r="AD161" s="102"/>
      <c r="AE161" s="102"/>
      <c r="AF161" s="205"/>
      <c r="AG161" s="205"/>
      <c r="AH161" s="205"/>
      <c r="AI161" s="205"/>
      <c r="AJ161" s="96"/>
    </row>
    <row r="162" spans="1:36" s="103" customFormat="1" ht="65.099999999999994" customHeight="1" x14ac:dyDescent="0.25">
      <c r="A162" s="94"/>
      <c r="B162" s="94"/>
      <c r="C162" s="413"/>
      <c r="D162" s="95"/>
      <c r="E162" s="96"/>
      <c r="F162" s="96"/>
      <c r="G162" s="96"/>
      <c r="H162" s="96"/>
      <c r="I162" s="97"/>
      <c r="J162" s="98"/>
      <c r="K162" s="98"/>
      <c r="L162" s="99"/>
      <c r="M162" s="72"/>
      <c r="N162" s="100"/>
      <c r="O162" s="101"/>
      <c r="P162" s="63"/>
      <c r="Q162" s="75"/>
      <c r="R162" s="76"/>
      <c r="S162" s="72"/>
      <c r="T162" s="60"/>
      <c r="U162" s="60"/>
      <c r="V162" s="60"/>
      <c r="W162" s="102"/>
      <c r="X162" s="102"/>
      <c r="Y162" s="102"/>
      <c r="Z162" s="102"/>
      <c r="AA162" s="102"/>
      <c r="AB162" s="102"/>
      <c r="AC162" s="102"/>
      <c r="AD162" s="102"/>
      <c r="AE162" s="102"/>
      <c r="AF162" s="205"/>
      <c r="AG162" s="205"/>
      <c r="AH162" s="205"/>
      <c r="AI162" s="205"/>
      <c r="AJ162" s="96"/>
    </row>
    <row r="163" spans="1:36" s="103" customFormat="1" ht="65.099999999999994" customHeight="1" x14ac:dyDescent="0.25">
      <c r="A163" s="94"/>
      <c r="B163" s="94"/>
      <c r="C163" s="413"/>
      <c r="D163" s="95"/>
      <c r="E163" s="96"/>
      <c r="F163" s="96"/>
      <c r="G163" s="96"/>
      <c r="H163" s="96"/>
      <c r="I163" s="97"/>
      <c r="J163" s="98"/>
      <c r="K163" s="98"/>
      <c r="L163" s="99"/>
      <c r="M163" s="72"/>
      <c r="N163" s="100"/>
      <c r="O163" s="101"/>
      <c r="P163" s="63"/>
      <c r="Q163" s="75"/>
      <c r="R163" s="76"/>
      <c r="S163" s="72"/>
      <c r="T163" s="60"/>
      <c r="U163" s="60"/>
      <c r="V163" s="60"/>
      <c r="W163" s="102"/>
      <c r="X163" s="102"/>
      <c r="Y163" s="102"/>
      <c r="Z163" s="102"/>
      <c r="AA163" s="102"/>
      <c r="AB163" s="102"/>
      <c r="AC163" s="102"/>
      <c r="AD163" s="102"/>
      <c r="AE163" s="102"/>
      <c r="AF163" s="205"/>
      <c r="AG163" s="205"/>
      <c r="AH163" s="205"/>
      <c r="AI163" s="205"/>
      <c r="AJ163" s="96"/>
    </row>
    <row r="164" spans="1:36" s="103" customFormat="1" ht="65.099999999999994" customHeight="1" x14ac:dyDescent="0.25">
      <c r="A164" s="94"/>
      <c r="B164" s="94"/>
      <c r="C164" s="413"/>
      <c r="D164" s="95"/>
      <c r="E164" s="96"/>
      <c r="F164" s="96"/>
      <c r="G164" s="96"/>
      <c r="H164" s="96"/>
      <c r="I164" s="97"/>
      <c r="J164" s="98"/>
      <c r="K164" s="98"/>
      <c r="L164" s="99"/>
      <c r="M164" s="72"/>
      <c r="N164" s="100"/>
      <c r="O164" s="101"/>
      <c r="P164" s="63"/>
      <c r="Q164" s="75"/>
      <c r="R164" s="76"/>
      <c r="S164" s="72"/>
      <c r="T164" s="60"/>
      <c r="U164" s="60"/>
      <c r="V164" s="60"/>
      <c r="W164" s="102"/>
      <c r="X164" s="102"/>
      <c r="Y164" s="102"/>
      <c r="Z164" s="102"/>
      <c r="AA164" s="102"/>
      <c r="AB164" s="102"/>
      <c r="AC164" s="102"/>
      <c r="AD164" s="102"/>
      <c r="AE164" s="102"/>
      <c r="AF164" s="205"/>
      <c r="AG164" s="205"/>
      <c r="AH164" s="205"/>
      <c r="AI164" s="205"/>
      <c r="AJ164" s="96"/>
    </row>
    <row r="165" spans="1:36" s="103" customFormat="1" ht="65.099999999999994" customHeight="1" x14ac:dyDescent="0.25">
      <c r="A165" s="94"/>
      <c r="B165" s="94"/>
      <c r="C165" s="413"/>
      <c r="D165" s="95"/>
      <c r="E165" s="96"/>
      <c r="F165" s="96"/>
      <c r="G165" s="96"/>
      <c r="H165" s="96"/>
      <c r="I165" s="97"/>
      <c r="J165" s="98"/>
      <c r="K165" s="98"/>
      <c r="L165" s="99"/>
      <c r="M165" s="72"/>
      <c r="N165" s="100"/>
      <c r="O165" s="101"/>
      <c r="P165" s="63"/>
      <c r="Q165" s="75"/>
      <c r="R165" s="76"/>
      <c r="S165" s="72"/>
      <c r="T165" s="60"/>
      <c r="U165" s="60"/>
      <c r="V165" s="60"/>
      <c r="W165" s="102"/>
      <c r="X165" s="102"/>
      <c r="Y165" s="102"/>
      <c r="Z165" s="102"/>
      <c r="AA165" s="102"/>
      <c r="AB165" s="102"/>
      <c r="AC165" s="102"/>
      <c r="AD165" s="102"/>
      <c r="AE165" s="102"/>
      <c r="AF165" s="205"/>
      <c r="AG165" s="205"/>
      <c r="AH165" s="205"/>
      <c r="AI165" s="205"/>
      <c r="AJ165" s="96"/>
    </row>
    <row r="166" spans="1:36" s="103" customFormat="1" ht="65.099999999999994" customHeight="1" x14ac:dyDescent="0.25">
      <c r="A166" s="94"/>
      <c r="B166" s="94"/>
      <c r="C166" s="413"/>
      <c r="D166" s="95"/>
      <c r="E166" s="96"/>
      <c r="F166" s="96"/>
      <c r="G166" s="96"/>
      <c r="H166" s="96"/>
      <c r="I166" s="97"/>
      <c r="J166" s="98"/>
      <c r="K166" s="98"/>
      <c r="L166" s="99"/>
      <c r="M166" s="72"/>
      <c r="N166" s="100"/>
      <c r="O166" s="101"/>
      <c r="P166" s="63"/>
      <c r="Q166" s="75"/>
      <c r="R166" s="76"/>
      <c r="S166" s="72"/>
      <c r="T166" s="60"/>
      <c r="U166" s="60"/>
      <c r="V166" s="60"/>
      <c r="W166" s="102"/>
      <c r="X166" s="102"/>
      <c r="Y166" s="102"/>
      <c r="Z166" s="102"/>
      <c r="AA166" s="102"/>
      <c r="AB166" s="102"/>
      <c r="AC166" s="102"/>
      <c r="AD166" s="102"/>
      <c r="AE166" s="102"/>
      <c r="AF166" s="205"/>
      <c r="AG166" s="205"/>
      <c r="AH166" s="205"/>
      <c r="AI166" s="205"/>
      <c r="AJ166" s="96"/>
    </row>
    <row r="167" spans="1:36" s="103" customFormat="1" ht="65.099999999999994" customHeight="1" x14ac:dyDescent="0.25">
      <c r="A167" s="94"/>
      <c r="B167" s="94"/>
      <c r="C167" s="413"/>
      <c r="D167" s="95"/>
      <c r="E167" s="96"/>
      <c r="F167" s="96"/>
      <c r="G167" s="96"/>
      <c r="H167" s="96"/>
      <c r="I167" s="97"/>
      <c r="J167" s="98"/>
      <c r="K167" s="98"/>
      <c r="L167" s="99"/>
      <c r="M167" s="72"/>
      <c r="N167" s="100"/>
      <c r="O167" s="101"/>
      <c r="P167" s="63"/>
      <c r="Q167" s="75"/>
      <c r="R167" s="76"/>
      <c r="S167" s="72"/>
      <c r="T167" s="60"/>
      <c r="U167" s="60"/>
      <c r="V167" s="60"/>
      <c r="W167" s="102"/>
      <c r="X167" s="102"/>
      <c r="Y167" s="102"/>
      <c r="Z167" s="102"/>
      <c r="AA167" s="102"/>
      <c r="AB167" s="102"/>
      <c r="AC167" s="102"/>
      <c r="AD167" s="102"/>
      <c r="AE167" s="102"/>
      <c r="AF167" s="205"/>
      <c r="AG167" s="205"/>
      <c r="AH167" s="205"/>
      <c r="AI167" s="205"/>
      <c r="AJ167" s="96"/>
    </row>
    <row r="168" spans="1:36" s="103" customFormat="1" ht="65.099999999999994" customHeight="1" x14ac:dyDescent="0.25">
      <c r="A168" s="94"/>
      <c r="B168" s="94"/>
      <c r="C168" s="413"/>
      <c r="D168" s="95"/>
      <c r="E168" s="96"/>
      <c r="F168" s="96"/>
      <c r="G168" s="96"/>
      <c r="H168" s="96"/>
      <c r="I168" s="97"/>
      <c r="J168" s="98"/>
      <c r="K168" s="98"/>
      <c r="L168" s="99"/>
      <c r="M168" s="72"/>
      <c r="N168" s="100"/>
      <c r="O168" s="101"/>
      <c r="P168" s="63"/>
      <c r="Q168" s="75"/>
      <c r="R168" s="76"/>
      <c r="S168" s="72"/>
      <c r="T168" s="60"/>
      <c r="U168" s="60"/>
      <c r="V168" s="60"/>
      <c r="W168" s="102"/>
      <c r="X168" s="102"/>
      <c r="Y168" s="102"/>
      <c r="Z168" s="102"/>
      <c r="AA168" s="102"/>
      <c r="AB168" s="102"/>
      <c r="AC168" s="102"/>
      <c r="AD168" s="102"/>
      <c r="AE168" s="102"/>
      <c r="AF168" s="205"/>
      <c r="AG168" s="205"/>
      <c r="AH168" s="205"/>
      <c r="AI168" s="205"/>
      <c r="AJ168" s="96"/>
    </row>
    <row r="169" spans="1:36" s="103" customFormat="1" ht="65.099999999999994" customHeight="1" x14ac:dyDescent="0.25">
      <c r="A169" s="94"/>
      <c r="B169" s="94"/>
      <c r="C169" s="413"/>
      <c r="D169" s="95"/>
      <c r="E169" s="96"/>
      <c r="F169" s="96"/>
      <c r="G169" s="96"/>
      <c r="H169" s="96"/>
      <c r="I169" s="97"/>
      <c r="J169" s="98"/>
      <c r="K169" s="98"/>
      <c r="L169" s="99"/>
      <c r="M169" s="72"/>
      <c r="N169" s="100"/>
      <c r="O169" s="101"/>
      <c r="P169" s="63"/>
      <c r="Q169" s="75"/>
      <c r="R169" s="76"/>
      <c r="S169" s="72"/>
      <c r="T169" s="60"/>
      <c r="U169" s="60"/>
      <c r="V169" s="60"/>
      <c r="W169" s="102"/>
      <c r="X169" s="102"/>
      <c r="Y169" s="102"/>
      <c r="Z169" s="102"/>
      <c r="AA169" s="102"/>
      <c r="AB169" s="102"/>
      <c r="AC169" s="102"/>
      <c r="AD169" s="102"/>
      <c r="AE169" s="102"/>
      <c r="AF169" s="205"/>
      <c r="AG169" s="205"/>
      <c r="AH169" s="205"/>
      <c r="AI169" s="205"/>
      <c r="AJ169" s="96"/>
    </row>
    <row r="170" spans="1:36" s="103" customFormat="1" ht="65.099999999999994" customHeight="1" x14ac:dyDescent="0.25">
      <c r="A170" s="94"/>
      <c r="B170" s="94"/>
      <c r="C170" s="413"/>
      <c r="D170" s="95"/>
      <c r="E170" s="96"/>
      <c r="F170" s="96"/>
      <c r="G170" s="96"/>
      <c r="H170" s="96"/>
      <c r="I170" s="97"/>
      <c r="J170" s="98"/>
      <c r="K170" s="98"/>
      <c r="L170" s="99"/>
      <c r="M170" s="72"/>
      <c r="N170" s="100"/>
      <c r="O170" s="101"/>
      <c r="P170" s="63"/>
      <c r="Q170" s="75"/>
      <c r="R170" s="76"/>
      <c r="S170" s="72"/>
      <c r="T170" s="60"/>
      <c r="U170" s="60"/>
      <c r="V170" s="60"/>
      <c r="W170" s="102"/>
      <c r="X170" s="102"/>
      <c r="Y170" s="102"/>
      <c r="Z170" s="102"/>
      <c r="AA170" s="102"/>
      <c r="AB170" s="102"/>
      <c r="AC170" s="102"/>
      <c r="AD170" s="102"/>
      <c r="AE170" s="102"/>
      <c r="AF170" s="205"/>
      <c r="AG170" s="205"/>
      <c r="AH170" s="205"/>
      <c r="AI170" s="205"/>
      <c r="AJ170" s="96"/>
    </row>
    <row r="171" spans="1:36" s="103" customFormat="1" ht="65.099999999999994" customHeight="1" x14ac:dyDescent="0.25">
      <c r="A171" s="94"/>
      <c r="B171" s="94"/>
      <c r="C171" s="413"/>
      <c r="D171" s="95"/>
      <c r="E171" s="96"/>
      <c r="F171" s="96"/>
      <c r="G171" s="96"/>
      <c r="H171" s="96"/>
      <c r="I171" s="97"/>
      <c r="J171" s="98"/>
      <c r="K171" s="98"/>
      <c r="L171" s="99"/>
      <c r="M171" s="72"/>
      <c r="N171" s="100"/>
      <c r="O171" s="101"/>
      <c r="P171" s="63"/>
      <c r="Q171" s="75"/>
      <c r="R171" s="76"/>
      <c r="S171" s="72"/>
      <c r="T171" s="60"/>
      <c r="U171" s="60"/>
      <c r="V171" s="60"/>
      <c r="W171" s="102"/>
      <c r="X171" s="102"/>
      <c r="Y171" s="102"/>
      <c r="Z171" s="102"/>
      <c r="AA171" s="102"/>
      <c r="AB171" s="102"/>
      <c r="AC171" s="102"/>
      <c r="AD171" s="102"/>
      <c r="AE171" s="102"/>
      <c r="AF171" s="205"/>
      <c r="AG171" s="205"/>
      <c r="AH171" s="205"/>
      <c r="AI171" s="205"/>
      <c r="AJ171" s="96"/>
    </row>
    <row r="172" spans="1:36" s="103" customFormat="1" ht="65.099999999999994" customHeight="1" x14ac:dyDescent="0.25">
      <c r="A172" s="94"/>
      <c r="B172" s="94"/>
      <c r="C172" s="413"/>
      <c r="D172" s="95"/>
      <c r="E172" s="96"/>
      <c r="F172" s="96"/>
      <c r="G172" s="96"/>
      <c r="H172" s="96"/>
      <c r="I172" s="97"/>
      <c r="J172" s="98"/>
      <c r="K172" s="98"/>
      <c r="L172" s="99"/>
      <c r="M172" s="72"/>
      <c r="N172" s="100"/>
      <c r="O172" s="101"/>
      <c r="P172" s="63"/>
      <c r="Q172" s="75"/>
      <c r="R172" s="76"/>
      <c r="S172" s="72"/>
      <c r="T172" s="60"/>
      <c r="U172" s="60"/>
      <c r="V172" s="60"/>
      <c r="W172" s="102"/>
      <c r="X172" s="102"/>
      <c r="Y172" s="102"/>
      <c r="Z172" s="102"/>
      <c r="AA172" s="102"/>
      <c r="AB172" s="102"/>
      <c r="AC172" s="102"/>
      <c r="AD172" s="102"/>
      <c r="AE172" s="102"/>
      <c r="AF172" s="205"/>
      <c r="AG172" s="205"/>
      <c r="AH172" s="205"/>
      <c r="AI172" s="205"/>
      <c r="AJ172" s="96"/>
    </row>
    <row r="173" spans="1:36" s="103" customFormat="1" ht="65.099999999999994" customHeight="1" x14ac:dyDescent="0.25">
      <c r="A173" s="94"/>
      <c r="B173" s="94"/>
      <c r="C173" s="413"/>
      <c r="D173" s="95"/>
      <c r="E173" s="96"/>
      <c r="F173" s="96"/>
      <c r="G173" s="96"/>
      <c r="H173" s="96"/>
      <c r="I173" s="97"/>
      <c r="J173" s="98"/>
      <c r="K173" s="98"/>
      <c r="L173" s="99"/>
      <c r="M173" s="72"/>
      <c r="N173" s="100"/>
      <c r="O173" s="101"/>
      <c r="P173" s="63"/>
      <c r="Q173" s="75"/>
      <c r="R173" s="76"/>
      <c r="S173" s="72"/>
      <c r="T173" s="60"/>
      <c r="U173" s="60"/>
      <c r="V173" s="60"/>
      <c r="W173" s="102"/>
      <c r="X173" s="102"/>
      <c r="Y173" s="102"/>
      <c r="Z173" s="102"/>
      <c r="AA173" s="102"/>
      <c r="AB173" s="102"/>
      <c r="AC173" s="102"/>
      <c r="AD173" s="102"/>
      <c r="AE173" s="102"/>
      <c r="AF173" s="205"/>
      <c r="AG173" s="205"/>
      <c r="AH173" s="205"/>
      <c r="AI173" s="205"/>
      <c r="AJ173" s="96"/>
    </row>
    <row r="174" spans="1:36" s="103" customFormat="1" ht="65.099999999999994" customHeight="1" x14ac:dyDescent="0.25">
      <c r="A174" s="94"/>
      <c r="B174" s="94"/>
      <c r="C174" s="413"/>
      <c r="D174" s="95"/>
      <c r="E174" s="96"/>
      <c r="F174" s="96"/>
      <c r="G174" s="96"/>
      <c r="H174" s="96"/>
      <c r="I174" s="97"/>
      <c r="J174" s="98"/>
      <c r="K174" s="98"/>
      <c r="L174" s="99"/>
      <c r="M174" s="72"/>
      <c r="N174" s="100"/>
      <c r="O174" s="101"/>
      <c r="P174" s="63"/>
      <c r="Q174" s="75"/>
      <c r="R174" s="76"/>
      <c r="S174" s="72"/>
      <c r="T174" s="60"/>
      <c r="U174" s="60"/>
      <c r="V174" s="60"/>
      <c r="W174" s="102"/>
      <c r="X174" s="102"/>
      <c r="Y174" s="102"/>
      <c r="Z174" s="102"/>
      <c r="AA174" s="102"/>
      <c r="AB174" s="102"/>
      <c r="AC174" s="102"/>
      <c r="AD174" s="102"/>
      <c r="AE174" s="102"/>
      <c r="AF174" s="205"/>
      <c r="AG174" s="205"/>
      <c r="AH174" s="205"/>
      <c r="AI174" s="205"/>
      <c r="AJ174" s="96"/>
    </row>
    <row r="175" spans="1:36" s="103" customFormat="1" ht="65.099999999999994" customHeight="1" x14ac:dyDescent="0.25">
      <c r="A175" s="94"/>
      <c r="B175" s="94"/>
      <c r="C175" s="413"/>
      <c r="D175" s="95"/>
      <c r="E175" s="96"/>
      <c r="F175" s="96"/>
      <c r="G175" s="96"/>
      <c r="H175" s="96"/>
      <c r="I175" s="97"/>
      <c r="J175" s="98"/>
      <c r="K175" s="98"/>
      <c r="L175" s="99"/>
      <c r="M175" s="72"/>
      <c r="N175" s="100"/>
      <c r="O175" s="101"/>
      <c r="P175" s="63"/>
      <c r="Q175" s="75"/>
      <c r="R175" s="76"/>
      <c r="S175" s="72"/>
      <c r="T175" s="60"/>
      <c r="U175" s="60"/>
      <c r="V175" s="60"/>
      <c r="W175" s="102"/>
      <c r="X175" s="102"/>
      <c r="Y175" s="102"/>
      <c r="Z175" s="102"/>
      <c r="AA175" s="102"/>
      <c r="AB175" s="102"/>
      <c r="AC175" s="102"/>
      <c r="AD175" s="102"/>
      <c r="AE175" s="102"/>
      <c r="AF175" s="205"/>
      <c r="AG175" s="205"/>
      <c r="AH175" s="205"/>
      <c r="AI175" s="205"/>
      <c r="AJ175" s="96"/>
    </row>
    <row r="176" spans="1:36" s="103" customFormat="1" ht="65.099999999999994" customHeight="1" x14ac:dyDescent="0.25">
      <c r="A176" s="94"/>
      <c r="B176" s="94"/>
      <c r="C176" s="413"/>
      <c r="D176" s="95"/>
      <c r="E176" s="96"/>
      <c r="F176" s="96"/>
      <c r="G176" s="96"/>
      <c r="H176" s="96"/>
      <c r="I176" s="97"/>
      <c r="J176" s="98"/>
      <c r="K176" s="98"/>
      <c r="L176" s="99"/>
      <c r="M176" s="72"/>
      <c r="N176" s="100"/>
      <c r="O176" s="101"/>
      <c r="P176" s="63"/>
      <c r="Q176" s="75"/>
      <c r="R176" s="76"/>
      <c r="S176" s="72"/>
      <c r="T176" s="60"/>
      <c r="U176" s="60"/>
      <c r="V176" s="60"/>
      <c r="W176" s="102"/>
      <c r="X176" s="102"/>
      <c r="Y176" s="102"/>
      <c r="Z176" s="102"/>
      <c r="AA176" s="102"/>
      <c r="AB176" s="102"/>
      <c r="AC176" s="102"/>
      <c r="AD176" s="102"/>
      <c r="AE176" s="102"/>
      <c r="AF176" s="205"/>
      <c r="AG176" s="205"/>
      <c r="AH176" s="205"/>
      <c r="AI176" s="205"/>
      <c r="AJ176" s="96"/>
    </row>
    <row r="177" spans="1:36" s="103" customFormat="1" ht="65.099999999999994" customHeight="1" x14ac:dyDescent="0.25">
      <c r="A177" s="94"/>
      <c r="B177" s="94"/>
      <c r="C177" s="413"/>
      <c r="D177" s="95"/>
      <c r="E177" s="96"/>
      <c r="F177" s="96"/>
      <c r="G177" s="96"/>
      <c r="H177" s="96"/>
      <c r="I177" s="97"/>
      <c r="J177" s="98"/>
      <c r="K177" s="98"/>
      <c r="L177" s="99"/>
      <c r="M177" s="72"/>
      <c r="N177" s="100"/>
      <c r="O177" s="101"/>
      <c r="P177" s="63"/>
      <c r="Q177" s="75"/>
      <c r="R177" s="76"/>
      <c r="S177" s="72"/>
      <c r="T177" s="60"/>
      <c r="U177" s="60"/>
      <c r="V177" s="60"/>
      <c r="W177" s="102"/>
      <c r="X177" s="102"/>
      <c r="Y177" s="102"/>
      <c r="Z177" s="102"/>
      <c r="AA177" s="102"/>
      <c r="AB177" s="102"/>
      <c r="AC177" s="102"/>
      <c r="AD177" s="102"/>
      <c r="AE177" s="102"/>
      <c r="AF177" s="205"/>
      <c r="AG177" s="205"/>
      <c r="AH177" s="205"/>
      <c r="AI177" s="205"/>
      <c r="AJ177" s="96"/>
    </row>
    <row r="178" spans="1:36" s="103" customFormat="1" ht="65.099999999999994" customHeight="1" x14ac:dyDescent="0.25">
      <c r="A178" s="94"/>
      <c r="B178" s="94"/>
      <c r="C178" s="413"/>
      <c r="D178" s="95"/>
      <c r="E178" s="96"/>
      <c r="F178" s="96"/>
      <c r="G178" s="96"/>
      <c r="H178" s="96"/>
      <c r="I178" s="97"/>
      <c r="J178" s="98"/>
      <c r="K178" s="98"/>
      <c r="L178" s="99"/>
      <c r="M178" s="72"/>
      <c r="N178" s="100"/>
      <c r="O178" s="101"/>
      <c r="P178" s="63"/>
      <c r="Q178" s="75"/>
      <c r="R178" s="76"/>
      <c r="S178" s="72"/>
      <c r="T178" s="60"/>
      <c r="U178" s="60"/>
      <c r="V178" s="60"/>
      <c r="W178" s="102"/>
      <c r="X178" s="102"/>
      <c r="Y178" s="102"/>
      <c r="Z178" s="102"/>
      <c r="AA178" s="102"/>
      <c r="AB178" s="102"/>
      <c r="AC178" s="102"/>
      <c r="AD178" s="102"/>
      <c r="AE178" s="102"/>
      <c r="AF178" s="205"/>
      <c r="AG178" s="205"/>
      <c r="AH178" s="205"/>
      <c r="AI178" s="205"/>
      <c r="AJ178" s="96"/>
    </row>
    <row r="179" spans="1:36" s="103" customFormat="1" ht="65.099999999999994" customHeight="1" x14ac:dyDescent="0.25">
      <c r="A179" s="94"/>
      <c r="B179" s="94"/>
      <c r="C179" s="413"/>
      <c r="D179" s="95"/>
      <c r="E179" s="96"/>
      <c r="F179" s="96"/>
      <c r="G179" s="96"/>
      <c r="H179" s="96"/>
      <c r="I179" s="97"/>
      <c r="J179" s="98"/>
      <c r="K179" s="98"/>
      <c r="L179" s="99"/>
      <c r="M179" s="72"/>
      <c r="N179" s="100"/>
      <c r="O179" s="101"/>
      <c r="P179" s="63"/>
      <c r="Q179" s="75"/>
      <c r="R179" s="76"/>
      <c r="S179" s="72"/>
      <c r="T179" s="60"/>
      <c r="U179" s="60"/>
      <c r="V179" s="60"/>
      <c r="W179" s="102"/>
      <c r="X179" s="102"/>
      <c r="Y179" s="102"/>
      <c r="Z179" s="102"/>
      <c r="AA179" s="102"/>
      <c r="AB179" s="102"/>
      <c r="AC179" s="102"/>
      <c r="AD179" s="102"/>
      <c r="AE179" s="102"/>
      <c r="AF179" s="205"/>
      <c r="AG179" s="205"/>
      <c r="AH179" s="205"/>
      <c r="AI179" s="205"/>
      <c r="AJ179" s="96"/>
    </row>
    <row r="180" spans="1:36" s="103" customFormat="1" ht="65.099999999999994" customHeight="1" x14ac:dyDescent="0.25">
      <c r="A180" s="94"/>
      <c r="B180" s="94"/>
      <c r="C180" s="413"/>
      <c r="D180" s="95"/>
      <c r="E180" s="96"/>
      <c r="F180" s="96"/>
      <c r="G180" s="96"/>
      <c r="H180" s="96"/>
      <c r="I180" s="97"/>
      <c r="J180" s="98"/>
      <c r="K180" s="98"/>
      <c r="L180" s="99"/>
      <c r="M180" s="72"/>
      <c r="N180" s="100"/>
      <c r="O180" s="101"/>
      <c r="P180" s="63"/>
      <c r="Q180" s="75"/>
      <c r="R180" s="76"/>
      <c r="S180" s="72"/>
      <c r="T180" s="60"/>
      <c r="U180" s="60"/>
      <c r="V180" s="60"/>
      <c r="W180" s="102"/>
      <c r="X180" s="102"/>
      <c r="Y180" s="102"/>
      <c r="Z180" s="102"/>
      <c r="AA180" s="102"/>
      <c r="AB180" s="102"/>
      <c r="AC180" s="102"/>
      <c r="AD180" s="102"/>
      <c r="AE180" s="102"/>
      <c r="AF180" s="205"/>
      <c r="AG180" s="205"/>
      <c r="AH180" s="205"/>
      <c r="AI180" s="205"/>
      <c r="AJ180" s="96"/>
    </row>
    <row r="181" spans="1:36" s="103" customFormat="1" ht="65.099999999999994" customHeight="1" x14ac:dyDescent="0.25">
      <c r="A181" s="94"/>
      <c r="B181" s="94"/>
      <c r="C181" s="413"/>
      <c r="D181" s="95"/>
      <c r="E181" s="96"/>
      <c r="F181" s="96"/>
      <c r="G181" s="96"/>
      <c r="H181" s="96"/>
      <c r="I181" s="97"/>
      <c r="J181" s="98"/>
      <c r="K181" s="98"/>
      <c r="L181" s="99"/>
      <c r="M181" s="72"/>
      <c r="N181" s="100"/>
      <c r="O181" s="101"/>
      <c r="P181" s="63"/>
      <c r="Q181" s="75"/>
      <c r="R181" s="76"/>
      <c r="S181" s="72"/>
      <c r="T181" s="60"/>
      <c r="U181" s="60"/>
      <c r="V181" s="60"/>
      <c r="W181" s="102"/>
      <c r="X181" s="102"/>
      <c r="Y181" s="102"/>
      <c r="Z181" s="102"/>
      <c r="AA181" s="102"/>
      <c r="AB181" s="102"/>
      <c r="AC181" s="102"/>
      <c r="AD181" s="102"/>
      <c r="AE181" s="102"/>
      <c r="AF181" s="205"/>
      <c r="AG181" s="205"/>
      <c r="AH181" s="205"/>
      <c r="AI181" s="205"/>
      <c r="AJ181" s="96"/>
    </row>
    <row r="182" spans="1:36" s="103" customFormat="1" ht="65.099999999999994" customHeight="1" x14ac:dyDescent="0.25">
      <c r="A182" s="94"/>
      <c r="B182" s="94"/>
      <c r="C182" s="413"/>
      <c r="D182" s="95"/>
      <c r="E182" s="96"/>
      <c r="F182" s="96"/>
      <c r="G182" s="96"/>
      <c r="H182" s="96"/>
      <c r="I182" s="97"/>
      <c r="J182" s="98"/>
      <c r="K182" s="98"/>
      <c r="L182" s="99"/>
      <c r="M182" s="72"/>
      <c r="N182" s="100"/>
      <c r="O182" s="101"/>
      <c r="P182" s="63"/>
      <c r="Q182" s="75"/>
      <c r="R182" s="76"/>
      <c r="S182" s="72"/>
      <c r="T182" s="60"/>
      <c r="U182" s="60"/>
      <c r="V182" s="60"/>
      <c r="W182" s="102"/>
      <c r="X182" s="102"/>
      <c r="Y182" s="102"/>
      <c r="Z182" s="102"/>
      <c r="AA182" s="102"/>
      <c r="AB182" s="102"/>
      <c r="AC182" s="102"/>
      <c r="AD182" s="102"/>
      <c r="AE182" s="102"/>
      <c r="AF182" s="205"/>
      <c r="AG182" s="205"/>
      <c r="AH182" s="205"/>
      <c r="AI182" s="205"/>
      <c r="AJ182" s="96"/>
    </row>
    <row r="183" spans="1:36" s="103" customFormat="1" ht="65.099999999999994" customHeight="1" x14ac:dyDescent="0.25">
      <c r="A183" s="94"/>
      <c r="B183" s="94"/>
      <c r="C183" s="413"/>
      <c r="D183" s="95"/>
      <c r="E183" s="96"/>
      <c r="F183" s="96"/>
      <c r="G183" s="96"/>
      <c r="H183" s="96"/>
      <c r="I183" s="97"/>
      <c r="J183" s="98"/>
      <c r="K183" s="98"/>
      <c r="L183" s="99"/>
      <c r="M183" s="72"/>
      <c r="N183" s="100"/>
      <c r="O183" s="101"/>
      <c r="P183" s="63"/>
      <c r="Q183" s="75"/>
      <c r="R183" s="76"/>
      <c r="S183" s="72"/>
      <c r="T183" s="60"/>
      <c r="U183" s="60"/>
      <c r="V183" s="60"/>
      <c r="W183" s="102"/>
      <c r="X183" s="102"/>
      <c r="Y183" s="102"/>
      <c r="Z183" s="102"/>
      <c r="AA183" s="102"/>
      <c r="AB183" s="102"/>
      <c r="AC183" s="102"/>
      <c r="AD183" s="102"/>
      <c r="AE183" s="102"/>
      <c r="AF183" s="205"/>
      <c r="AG183" s="205"/>
      <c r="AH183" s="205"/>
      <c r="AI183" s="205"/>
      <c r="AJ183" s="96"/>
    </row>
    <row r="184" spans="1:36" s="103" customFormat="1" ht="65.099999999999994" customHeight="1" x14ac:dyDescent="0.25">
      <c r="A184" s="94"/>
      <c r="B184" s="94"/>
      <c r="C184" s="413"/>
      <c r="D184" s="95"/>
      <c r="E184" s="96"/>
      <c r="F184" s="96"/>
      <c r="G184" s="96"/>
      <c r="H184" s="96"/>
      <c r="I184" s="97"/>
      <c r="J184" s="98"/>
      <c r="K184" s="98"/>
      <c r="L184" s="99"/>
      <c r="M184" s="72"/>
      <c r="N184" s="100"/>
      <c r="O184" s="101"/>
      <c r="P184" s="63"/>
      <c r="Q184" s="75"/>
      <c r="R184" s="76"/>
      <c r="S184" s="72"/>
      <c r="T184" s="60"/>
      <c r="U184" s="60"/>
      <c r="V184" s="60"/>
      <c r="W184" s="102"/>
      <c r="X184" s="102"/>
      <c r="Y184" s="102"/>
      <c r="Z184" s="102"/>
      <c r="AA184" s="102"/>
      <c r="AB184" s="102"/>
      <c r="AC184" s="102"/>
      <c r="AD184" s="102"/>
      <c r="AE184" s="102"/>
      <c r="AF184" s="205"/>
      <c r="AG184" s="205"/>
      <c r="AH184" s="205"/>
      <c r="AI184" s="205"/>
      <c r="AJ184" s="96"/>
    </row>
    <row r="185" spans="1:36" s="103" customFormat="1" ht="65.099999999999994" customHeight="1" x14ac:dyDescent="0.25">
      <c r="A185" s="94"/>
      <c r="B185" s="94"/>
      <c r="C185" s="413"/>
      <c r="D185" s="95"/>
      <c r="E185" s="96"/>
      <c r="F185" s="96"/>
      <c r="G185" s="96"/>
      <c r="H185" s="96"/>
      <c r="I185" s="97"/>
      <c r="J185" s="98"/>
      <c r="K185" s="98"/>
      <c r="L185" s="99"/>
      <c r="M185" s="72"/>
      <c r="N185" s="100"/>
      <c r="O185" s="101"/>
      <c r="P185" s="63"/>
      <c r="Q185" s="75"/>
      <c r="R185" s="76"/>
      <c r="S185" s="72"/>
      <c r="T185" s="60"/>
      <c r="U185" s="60"/>
      <c r="V185" s="60"/>
      <c r="W185" s="102"/>
      <c r="X185" s="102"/>
      <c r="Y185" s="102"/>
      <c r="Z185" s="102"/>
      <c r="AA185" s="102"/>
      <c r="AB185" s="102"/>
      <c r="AC185" s="102"/>
      <c r="AD185" s="102"/>
      <c r="AE185" s="102"/>
      <c r="AF185" s="205"/>
      <c r="AG185" s="205"/>
      <c r="AH185" s="205"/>
      <c r="AI185" s="205"/>
      <c r="AJ185" s="96"/>
    </row>
    <row r="186" spans="1:36" s="103" customFormat="1" ht="65.099999999999994" customHeight="1" x14ac:dyDescent="0.25">
      <c r="A186" s="94"/>
      <c r="B186" s="94"/>
      <c r="C186" s="413"/>
      <c r="D186" s="95"/>
      <c r="E186" s="96"/>
      <c r="F186" s="96"/>
      <c r="G186" s="96"/>
      <c r="H186" s="96"/>
      <c r="I186" s="97"/>
      <c r="J186" s="98"/>
      <c r="K186" s="98"/>
      <c r="L186" s="99"/>
      <c r="M186" s="72"/>
      <c r="N186" s="100"/>
      <c r="O186" s="101"/>
      <c r="P186" s="63"/>
      <c r="Q186" s="75"/>
      <c r="R186" s="76"/>
      <c r="S186" s="72"/>
      <c r="T186" s="60"/>
      <c r="U186" s="60"/>
      <c r="V186" s="60"/>
      <c r="W186" s="102"/>
      <c r="X186" s="102"/>
      <c r="Y186" s="102"/>
      <c r="Z186" s="102"/>
      <c r="AA186" s="102"/>
      <c r="AB186" s="102"/>
      <c r="AC186" s="102"/>
      <c r="AD186" s="102"/>
      <c r="AE186" s="102"/>
      <c r="AF186" s="205"/>
      <c r="AG186" s="205"/>
      <c r="AH186" s="205"/>
      <c r="AI186" s="205"/>
      <c r="AJ186" s="96"/>
    </row>
    <row r="187" spans="1:36" s="103" customFormat="1" ht="65.099999999999994" customHeight="1" x14ac:dyDescent="0.25">
      <c r="A187" s="94"/>
      <c r="B187" s="94"/>
      <c r="C187" s="413"/>
      <c r="D187" s="95"/>
      <c r="E187" s="96"/>
      <c r="F187" s="96"/>
      <c r="G187" s="96"/>
      <c r="H187" s="96"/>
      <c r="I187" s="97"/>
      <c r="J187" s="98"/>
      <c r="K187" s="98"/>
      <c r="L187" s="99"/>
      <c r="M187" s="72"/>
      <c r="N187" s="100"/>
      <c r="O187" s="101"/>
      <c r="P187" s="63"/>
      <c r="Q187" s="75"/>
      <c r="R187" s="76"/>
      <c r="S187" s="72"/>
      <c r="T187" s="60"/>
      <c r="U187" s="60"/>
      <c r="V187" s="60"/>
      <c r="W187" s="102"/>
      <c r="X187" s="102"/>
      <c r="Y187" s="102"/>
      <c r="Z187" s="102"/>
      <c r="AA187" s="102"/>
      <c r="AB187" s="102"/>
      <c r="AC187" s="102"/>
      <c r="AD187" s="102"/>
      <c r="AE187" s="102"/>
      <c r="AF187" s="205"/>
      <c r="AG187" s="205"/>
      <c r="AH187" s="205"/>
      <c r="AI187" s="205"/>
      <c r="AJ187" s="96"/>
    </row>
    <row r="188" spans="1:36" s="103" customFormat="1" ht="65.099999999999994" customHeight="1" x14ac:dyDescent="0.25">
      <c r="A188" s="94"/>
      <c r="B188" s="94"/>
      <c r="C188" s="413"/>
      <c r="D188" s="95"/>
      <c r="E188" s="96"/>
      <c r="F188" s="96"/>
      <c r="G188" s="96"/>
      <c r="H188" s="96"/>
      <c r="I188" s="97"/>
      <c r="J188" s="98"/>
      <c r="K188" s="98"/>
      <c r="L188" s="99"/>
      <c r="M188" s="72"/>
      <c r="N188" s="100"/>
      <c r="O188" s="101"/>
      <c r="P188" s="63"/>
      <c r="Q188" s="75"/>
      <c r="R188" s="76"/>
      <c r="S188" s="72"/>
      <c r="T188" s="60"/>
      <c r="U188" s="60"/>
      <c r="V188" s="60"/>
      <c r="W188" s="102"/>
      <c r="X188" s="102"/>
      <c r="Y188" s="102"/>
      <c r="Z188" s="102"/>
      <c r="AA188" s="102"/>
      <c r="AB188" s="102"/>
      <c r="AC188" s="102"/>
      <c r="AD188" s="102"/>
      <c r="AE188" s="102"/>
      <c r="AF188" s="205"/>
      <c r="AG188" s="205"/>
      <c r="AH188" s="205"/>
      <c r="AI188" s="205"/>
      <c r="AJ188" s="96"/>
    </row>
    <row r="189" spans="1:36" s="103" customFormat="1" ht="65.099999999999994" customHeight="1" x14ac:dyDescent="0.25">
      <c r="A189" s="94"/>
      <c r="B189" s="94"/>
      <c r="C189" s="413"/>
      <c r="D189" s="95"/>
      <c r="E189" s="96"/>
      <c r="F189" s="96"/>
      <c r="G189" s="96"/>
      <c r="H189" s="96"/>
      <c r="I189" s="97"/>
      <c r="J189" s="98"/>
      <c r="K189" s="98"/>
      <c r="L189" s="99"/>
      <c r="M189" s="72"/>
      <c r="N189" s="100"/>
      <c r="O189" s="101"/>
      <c r="P189" s="63"/>
      <c r="Q189" s="75"/>
      <c r="R189" s="76"/>
      <c r="S189" s="72"/>
      <c r="T189" s="60"/>
      <c r="U189" s="60"/>
      <c r="V189" s="60"/>
      <c r="W189" s="102"/>
      <c r="X189" s="102"/>
      <c r="Y189" s="102"/>
      <c r="Z189" s="102"/>
      <c r="AA189" s="102"/>
      <c r="AB189" s="102"/>
      <c r="AC189" s="102"/>
      <c r="AD189" s="102"/>
      <c r="AE189" s="102"/>
      <c r="AF189" s="205"/>
      <c r="AG189" s="205"/>
      <c r="AH189" s="205"/>
      <c r="AI189" s="205"/>
      <c r="AJ189" s="96"/>
    </row>
    <row r="190" spans="1:36" s="103" customFormat="1" ht="65.099999999999994" customHeight="1" x14ac:dyDescent="0.25">
      <c r="A190" s="94"/>
      <c r="B190" s="94"/>
      <c r="C190" s="413"/>
      <c r="D190" s="95"/>
      <c r="E190" s="96"/>
      <c r="F190" s="96"/>
      <c r="G190" s="96"/>
      <c r="H190" s="96"/>
      <c r="I190" s="97"/>
      <c r="J190" s="98"/>
      <c r="K190" s="98"/>
      <c r="L190" s="99"/>
      <c r="M190" s="72"/>
      <c r="N190" s="100"/>
      <c r="O190" s="101"/>
      <c r="P190" s="63"/>
      <c r="Q190" s="75"/>
      <c r="R190" s="76"/>
      <c r="S190" s="72"/>
      <c r="T190" s="60"/>
      <c r="U190" s="60"/>
      <c r="V190" s="60"/>
      <c r="W190" s="102"/>
      <c r="X190" s="102"/>
      <c r="Y190" s="102"/>
      <c r="Z190" s="102"/>
      <c r="AA190" s="102"/>
      <c r="AB190" s="102"/>
      <c r="AC190" s="102"/>
      <c r="AD190" s="102"/>
      <c r="AE190" s="102"/>
      <c r="AF190" s="205"/>
      <c r="AG190" s="205"/>
      <c r="AH190" s="205"/>
      <c r="AI190" s="205"/>
      <c r="AJ190" s="96"/>
    </row>
    <row r="191" spans="1:36" s="103" customFormat="1" ht="65.099999999999994" customHeight="1" x14ac:dyDescent="0.25">
      <c r="A191" s="94"/>
      <c r="B191" s="94"/>
      <c r="C191" s="413"/>
      <c r="D191" s="95"/>
      <c r="E191" s="96"/>
      <c r="F191" s="96"/>
      <c r="G191" s="96"/>
      <c r="H191" s="96"/>
      <c r="I191" s="97"/>
      <c r="J191" s="98"/>
      <c r="K191" s="98"/>
      <c r="L191" s="99"/>
      <c r="M191" s="72"/>
      <c r="N191" s="100"/>
      <c r="O191" s="101"/>
      <c r="P191" s="63"/>
      <c r="Q191" s="75"/>
      <c r="R191" s="76"/>
      <c r="S191" s="72"/>
      <c r="T191" s="60"/>
      <c r="U191" s="60"/>
      <c r="V191" s="60"/>
      <c r="W191" s="102"/>
      <c r="X191" s="102"/>
      <c r="Y191" s="102"/>
      <c r="Z191" s="102"/>
      <c r="AA191" s="102"/>
      <c r="AB191" s="102"/>
      <c r="AC191" s="102"/>
      <c r="AD191" s="102"/>
      <c r="AE191" s="102"/>
      <c r="AF191" s="205"/>
      <c r="AG191" s="205"/>
      <c r="AH191" s="205"/>
      <c r="AI191" s="205"/>
      <c r="AJ191" s="96"/>
    </row>
    <row r="192" spans="1:36" s="103" customFormat="1" ht="65.099999999999994" customHeight="1" x14ac:dyDescent="0.25">
      <c r="A192" s="94"/>
      <c r="B192" s="94"/>
      <c r="C192" s="413"/>
      <c r="D192" s="95"/>
      <c r="E192" s="96"/>
      <c r="F192" s="96"/>
      <c r="G192" s="96"/>
      <c r="H192" s="96"/>
      <c r="I192" s="97"/>
      <c r="J192" s="98"/>
      <c r="K192" s="98"/>
      <c r="L192" s="99"/>
      <c r="M192" s="72"/>
      <c r="N192" s="100"/>
      <c r="O192" s="101"/>
      <c r="P192" s="63"/>
      <c r="Q192" s="75"/>
      <c r="R192" s="76"/>
      <c r="S192" s="72"/>
      <c r="T192" s="60"/>
      <c r="U192" s="60"/>
      <c r="V192" s="60"/>
      <c r="W192" s="102"/>
      <c r="X192" s="102"/>
      <c r="Y192" s="102"/>
      <c r="Z192" s="102"/>
      <c r="AA192" s="102"/>
      <c r="AB192" s="102"/>
      <c r="AC192" s="102"/>
      <c r="AD192" s="102"/>
      <c r="AE192" s="102"/>
      <c r="AF192" s="205"/>
      <c r="AG192" s="205"/>
      <c r="AH192" s="205"/>
      <c r="AI192" s="205"/>
      <c r="AJ192" s="96"/>
    </row>
    <row r="193" spans="1:36" s="103" customFormat="1" ht="65.099999999999994" customHeight="1" x14ac:dyDescent="0.25">
      <c r="A193" s="94"/>
      <c r="B193" s="94"/>
      <c r="C193" s="413"/>
      <c r="D193" s="95"/>
      <c r="E193" s="96"/>
      <c r="F193" s="96"/>
      <c r="G193" s="96"/>
      <c r="H193" s="96"/>
      <c r="I193" s="97"/>
      <c r="J193" s="98"/>
      <c r="K193" s="98"/>
      <c r="L193" s="99"/>
      <c r="M193" s="72"/>
      <c r="N193" s="100"/>
      <c r="O193" s="101"/>
      <c r="P193" s="63"/>
      <c r="Q193" s="75"/>
      <c r="R193" s="76"/>
      <c r="S193" s="72"/>
      <c r="T193" s="60"/>
      <c r="U193" s="60"/>
      <c r="V193" s="60"/>
      <c r="W193" s="102"/>
      <c r="X193" s="102"/>
      <c r="Y193" s="102"/>
      <c r="Z193" s="102"/>
      <c r="AA193" s="102"/>
      <c r="AB193" s="102"/>
      <c r="AC193" s="102"/>
      <c r="AD193" s="102"/>
      <c r="AE193" s="102"/>
      <c r="AF193" s="205"/>
      <c r="AG193" s="205"/>
      <c r="AH193" s="205"/>
      <c r="AI193" s="205"/>
      <c r="AJ193" s="96"/>
    </row>
    <row r="194" spans="1:36" s="103" customFormat="1" ht="65.099999999999994" customHeight="1" x14ac:dyDescent="0.25">
      <c r="A194" s="94"/>
      <c r="B194" s="94"/>
      <c r="C194" s="413"/>
      <c r="D194" s="95"/>
      <c r="E194" s="96"/>
      <c r="F194" s="96"/>
      <c r="G194" s="96"/>
      <c r="H194" s="96"/>
      <c r="I194" s="97"/>
      <c r="J194" s="98"/>
      <c r="K194" s="98"/>
      <c r="L194" s="99"/>
      <c r="M194" s="72"/>
      <c r="N194" s="100"/>
      <c r="O194" s="101"/>
      <c r="P194" s="63"/>
      <c r="Q194" s="75"/>
      <c r="R194" s="76"/>
      <c r="S194" s="72"/>
      <c r="T194" s="60"/>
      <c r="U194" s="60"/>
      <c r="V194" s="60"/>
      <c r="W194" s="102"/>
      <c r="X194" s="102"/>
      <c r="Y194" s="102"/>
      <c r="Z194" s="102"/>
      <c r="AA194" s="102"/>
      <c r="AB194" s="102"/>
      <c r="AC194" s="102"/>
      <c r="AD194" s="102"/>
      <c r="AE194" s="102"/>
      <c r="AF194" s="205"/>
      <c r="AG194" s="205"/>
      <c r="AH194" s="205"/>
      <c r="AI194" s="205"/>
      <c r="AJ194" s="96"/>
    </row>
    <row r="195" spans="1:36" s="103" customFormat="1" ht="65.099999999999994" customHeight="1" x14ac:dyDescent="0.25">
      <c r="A195" s="94"/>
      <c r="B195" s="94"/>
      <c r="C195" s="413"/>
      <c r="D195" s="95"/>
      <c r="E195" s="96"/>
      <c r="F195" s="96"/>
      <c r="G195" s="96"/>
      <c r="H195" s="96"/>
      <c r="I195" s="97"/>
      <c r="J195" s="98"/>
      <c r="K195" s="98"/>
      <c r="L195" s="99"/>
      <c r="M195" s="72"/>
      <c r="N195" s="100"/>
      <c r="O195" s="101"/>
      <c r="P195" s="63"/>
      <c r="Q195" s="75"/>
      <c r="R195" s="76"/>
      <c r="S195" s="72"/>
      <c r="T195" s="60"/>
      <c r="U195" s="60"/>
      <c r="V195" s="60"/>
      <c r="W195" s="102"/>
      <c r="X195" s="102"/>
      <c r="Y195" s="102"/>
      <c r="Z195" s="102"/>
      <c r="AA195" s="102"/>
      <c r="AB195" s="102"/>
      <c r="AC195" s="102"/>
      <c r="AD195" s="102"/>
      <c r="AE195" s="102"/>
      <c r="AF195" s="205"/>
      <c r="AG195" s="205"/>
      <c r="AH195" s="205"/>
      <c r="AI195" s="205"/>
      <c r="AJ195" s="96"/>
    </row>
    <row r="196" spans="1:36" s="103" customFormat="1" ht="65.099999999999994" customHeight="1" x14ac:dyDescent="0.25">
      <c r="A196" s="94"/>
      <c r="B196" s="94"/>
      <c r="C196" s="413"/>
      <c r="D196" s="95"/>
      <c r="E196" s="96"/>
      <c r="F196" s="96"/>
      <c r="G196" s="96"/>
      <c r="H196" s="96"/>
      <c r="I196" s="97"/>
      <c r="J196" s="98"/>
      <c r="K196" s="98"/>
      <c r="L196" s="99"/>
      <c r="M196" s="72"/>
      <c r="N196" s="100"/>
      <c r="O196" s="101"/>
      <c r="P196" s="63"/>
      <c r="Q196" s="75"/>
      <c r="R196" s="76"/>
      <c r="S196" s="72"/>
      <c r="T196" s="60"/>
      <c r="U196" s="60"/>
      <c r="V196" s="60"/>
      <c r="W196" s="102"/>
      <c r="X196" s="102"/>
      <c r="Y196" s="102"/>
      <c r="Z196" s="102"/>
      <c r="AA196" s="102"/>
      <c r="AB196" s="102"/>
      <c r="AC196" s="102"/>
      <c r="AD196" s="102"/>
      <c r="AE196" s="102"/>
      <c r="AF196" s="205"/>
      <c r="AG196" s="205"/>
      <c r="AH196" s="205"/>
      <c r="AI196" s="205"/>
      <c r="AJ196" s="96"/>
    </row>
    <row r="197" spans="1:36" s="103" customFormat="1" ht="65.099999999999994" customHeight="1" x14ac:dyDescent="0.25">
      <c r="A197" s="94"/>
      <c r="B197" s="94"/>
      <c r="C197" s="413"/>
      <c r="D197" s="95"/>
      <c r="E197" s="96"/>
      <c r="F197" s="96"/>
      <c r="G197" s="96"/>
      <c r="H197" s="96"/>
      <c r="I197" s="97"/>
      <c r="J197" s="98"/>
      <c r="K197" s="98"/>
      <c r="L197" s="99"/>
      <c r="M197" s="72"/>
      <c r="N197" s="100"/>
      <c r="O197" s="101"/>
      <c r="P197" s="63"/>
      <c r="Q197" s="75"/>
      <c r="R197" s="76"/>
      <c r="S197" s="72"/>
      <c r="T197" s="60"/>
      <c r="U197" s="60"/>
      <c r="V197" s="60"/>
      <c r="W197" s="102"/>
      <c r="X197" s="102"/>
      <c r="Y197" s="102"/>
      <c r="Z197" s="102"/>
      <c r="AA197" s="102"/>
      <c r="AB197" s="102"/>
      <c r="AC197" s="102"/>
      <c r="AD197" s="102"/>
      <c r="AE197" s="102"/>
      <c r="AF197" s="205"/>
      <c r="AG197" s="205"/>
      <c r="AH197" s="205"/>
      <c r="AI197" s="205"/>
      <c r="AJ197" s="96"/>
    </row>
    <row r="198" spans="1:36" s="103" customFormat="1" ht="65.099999999999994" customHeight="1" x14ac:dyDescent="0.25">
      <c r="A198" s="94"/>
      <c r="B198" s="94"/>
      <c r="C198" s="413"/>
      <c r="D198" s="95"/>
      <c r="E198" s="96"/>
      <c r="F198" s="96"/>
      <c r="G198" s="96"/>
      <c r="H198" s="96"/>
      <c r="I198" s="97"/>
      <c r="J198" s="98"/>
      <c r="K198" s="98"/>
      <c r="L198" s="99"/>
      <c r="M198" s="72"/>
      <c r="N198" s="100"/>
      <c r="O198" s="101"/>
      <c r="P198" s="63"/>
      <c r="Q198" s="75"/>
      <c r="R198" s="76"/>
      <c r="S198" s="72"/>
      <c r="T198" s="60"/>
      <c r="U198" s="60"/>
      <c r="V198" s="60"/>
      <c r="W198" s="102"/>
      <c r="X198" s="102"/>
      <c r="Y198" s="102"/>
      <c r="Z198" s="102"/>
      <c r="AA198" s="102"/>
      <c r="AB198" s="102"/>
      <c r="AC198" s="102"/>
      <c r="AD198" s="102"/>
      <c r="AE198" s="102"/>
      <c r="AF198" s="205"/>
      <c r="AG198" s="205"/>
      <c r="AH198" s="205"/>
      <c r="AI198" s="205"/>
      <c r="AJ198" s="96"/>
    </row>
    <row r="199" spans="1:36" s="103" customFormat="1" ht="65.099999999999994" customHeight="1" x14ac:dyDescent="0.25">
      <c r="A199" s="94"/>
      <c r="B199" s="94"/>
      <c r="C199" s="413"/>
      <c r="D199" s="95"/>
      <c r="E199" s="96"/>
      <c r="F199" s="96"/>
      <c r="G199" s="96"/>
      <c r="H199" s="96"/>
      <c r="I199" s="97"/>
      <c r="J199" s="98"/>
      <c r="K199" s="98"/>
      <c r="L199" s="99"/>
      <c r="M199" s="72"/>
      <c r="N199" s="100"/>
      <c r="O199" s="101"/>
      <c r="P199" s="63"/>
      <c r="Q199" s="75"/>
      <c r="R199" s="76"/>
      <c r="S199" s="72"/>
      <c r="T199" s="60"/>
      <c r="U199" s="60"/>
      <c r="V199" s="60"/>
      <c r="W199" s="102"/>
      <c r="X199" s="102"/>
      <c r="Y199" s="102"/>
      <c r="Z199" s="102"/>
      <c r="AA199" s="102"/>
      <c r="AB199" s="102"/>
      <c r="AC199" s="102"/>
      <c r="AD199" s="102"/>
      <c r="AE199" s="102"/>
      <c r="AF199" s="205"/>
      <c r="AG199" s="205"/>
      <c r="AH199" s="205"/>
      <c r="AI199" s="205"/>
      <c r="AJ199" s="96"/>
    </row>
    <row r="200" spans="1:36" s="103" customFormat="1" ht="65.099999999999994" customHeight="1" x14ac:dyDescent="0.25">
      <c r="A200" s="94"/>
      <c r="B200" s="94"/>
      <c r="C200" s="413"/>
      <c r="D200" s="95"/>
      <c r="E200" s="96"/>
      <c r="F200" s="96"/>
      <c r="G200" s="96"/>
      <c r="H200" s="96"/>
      <c r="I200" s="97"/>
      <c r="J200" s="98"/>
      <c r="K200" s="98"/>
      <c r="L200" s="99"/>
      <c r="M200" s="72"/>
      <c r="N200" s="100"/>
      <c r="O200" s="101"/>
      <c r="P200" s="63"/>
      <c r="Q200" s="75"/>
      <c r="R200" s="76"/>
      <c r="S200" s="72"/>
      <c r="T200" s="60"/>
      <c r="U200" s="60"/>
      <c r="V200" s="60"/>
      <c r="W200" s="102"/>
      <c r="X200" s="102"/>
      <c r="Y200" s="102"/>
      <c r="Z200" s="102"/>
      <c r="AA200" s="102"/>
      <c r="AB200" s="102"/>
      <c r="AC200" s="102"/>
      <c r="AD200" s="102"/>
      <c r="AE200" s="102"/>
      <c r="AF200" s="205"/>
      <c r="AG200" s="205"/>
      <c r="AH200" s="205"/>
      <c r="AI200" s="205"/>
      <c r="AJ200" s="96"/>
    </row>
    <row r="201" spans="1:36" s="103" customFormat="1" ht="65.099999999999994" customHeight="1" x14ac:dyDescent="0.25">
      <c r="A201" s="94"/>
      <c r="B201" s="94"/>
      <c r="C201" s="413"/>
      <c r="D201" s="95"/>
      <c r="E201" s="96"/>
      <c r="F201" s="96"/>
      <c r="G201" s="96"/>
      <c r="H201" s="96"/>
      <c r="I201" s="97"/>
      <c r="J201" s="98"/>
      <c r="K201" s="98"/>
      <c r="L201" s="99"/>
      <c r="M201" s="72"/>
      <c r="N201" s="100"/>
      <c r="O201" s="101"/>
      <c r="P201" s="63"/>
      <c r="Q201" s="75"/>
      <c r="R201" s="76"/>
      <c r="S201" s="72"/>
      <c r="T201" s="60"/>
      <c r="U201" s="60"/>
      <c r="V201" s="60"/>
      <c r="W201" s="102"/>
      <c r="X201" s="102"/>
      <c r="Y201" s="102"/>
      <c r="Z201" s="102"/>
      <c r="AA201" s="102"/>
      <c r="AB201" s="102"/>
      <c r="AC201" s="102"/>
      <c r="AD201" s="102"/>
      <c r="AE201" s="102"/>
      <c r="AF201" s="205"/>
      <c r="AG201" s="205"/>
      <c r="AH201" s="205"/>
      <c r="AI201" s="205"/>
      <c r="AJ201" s="96"/>
    </row>
    <row r="202" spans="1:36" s="103" customFormat="1" ht="65.099999999999994" customHeight="1" x14ac:dyDescent="0.25">
      <c r="A202" s="94"/>
      <c r="B202" s="94"/>
      <c r="C202" s="413"/>
      <c r="D202" s="95"/>
      <c r="E202" s="96"/>
      <c r="F202" s="96"/>
      <c r="G202" s="96"/>
      <c r="H202" s="96"/>
      <c r="I202" s="97"/>
      <c r="J202" s="98"/>
      <c r="K202" s="98"/>
      <c r="L202" s="99"/>
      <c r="M202" s="72"/>
      <c r="N202" s="100"/>
      <c r="O202" s="101"/>
      <c r="P202" s="63"/>
      <c r="Q202" s="75"/>
      <c r="R202" s="76"/>
      <c r="S202" s="72"/>
      <c r="T202" s="60"/>
      <c r="U202" s="60"/>
      <c r="V202" s="60"/>
      <c r="W202" s="102"/>
      <c r="X202" s="102"/>
      <c r="Y202" s="102"/>
      <c r="Z202" s="102"/>
      <c r="AA202" s="102"/>
      <c r="AB202" s="102"/>
      <c r="AC202" s="102"/>
      <c r="AD202" s="102"/>
      <c r="AE202" s="102"/>
      <c r="AF202" s="205"/>
      <c r="AG202" s="205"/>
      <c r="AH202" s="205"/>
      <c r="AI202" s="205"/>
      <c r="AJ202" s="96"/>
    </row>
    <row r="203" spans="1:36" s="103" customFormat="1" ht="65.099999999999994" customHeight="1" x14ac:dyDescent="0.25">
      <c r="A203" s="94"/>
      <c r="B203" s="94"/>
      <c r="C203" s="413"/>
      <c r="D203" s="95"/>
      <c r="E203" s="96"/>
      <c r="F203" s="96"/>
      <c r="G203" s="96"/>
      <c r="H203" s="96"/>
      <c r="I203" s="97"/>
      <c r="J203" s="98"/>
      <c r="K203" s="98"/>
      <c r="L203" s="99"/>
      <c r="M203" s="72"/>
      <c r="N203" s="100"/>
      <c r="O203" s="101"/>
      <c r="P203" s="63"/>
      <c r="Q203" s="75"/>
      <c r="R203" s="76"/>
      <c r="S203" s="72"/>
      <c r="T203" s="60"/>
      <c r="U203" s="60"/>
      <c r="V203" s="60"/>
      <c r="W203" s="102"/>
      <c r="X203" s="102"/>
      <c r="Y203" s="102"/>
      <c r="Z203" s="102"/>
      <c r="AA203" s="102"/>
      <c r="AB203" s="102"/>
      <c r="AC203" s="102"/>
      <c r="AD203" s="102"/>
      <c r="AE203" s="102"/>
      <c r="AF203" s="205"/>
      <c r="AG203" s="205"/>
      <c r="AH203" s="205"/>
      <c r="AI203" s="205"/>
      <c r="AJ203" s="96"/>
    </row>
    <row r="204" spans="1:36" s="103" customFormat="1" ht="65.099999999999994" customHeight="1" x14ac:dyDescent="0.25">
      <c r="A204" s="94"/>
      <c r="B204" s="94"/>
      <c r="C204" s="413"/>
      <c r="D204" s="95"/>
      <c r="E204" s="96"/>
      <c r="F204" s="96"/>
      <c r="G204" s="96"/>
      <c r="H204" s="96"/>
      <c r="I204" s="97"/>
      <c r="J204" s="98"/>
      <c r="K204" s="98"/>
      <c r="L204" s="99"/>
      <c r="M204" s="72"/>
      <c r="N204" s="100"/>
      <c r="O204" s="101"/>
      <c r="P204" s="63"/>
      <c r="Q204" s="75"/>
      <c r="R204" s="76"/>
      <c r="S204" s="72"/>
      <c r="T204" s="60"/>
      <c r="U204" s="60"/>
      <c r="V204" s="60"/>
      <c r="W204" s="102"/>
      <c r="X204" s="102"/>
      <c r="Y204" s="102"/>
      <c r="Z204" s="102"/>
      <c r="AA204" s="102"/>
      <c r="AB204" s="102"/>
      <c r="AC204" s="102"/>
      <c r="AD204" s="102"/>
      <c r="AE204" s="102"/>
      <c r="AF204" s="205"/>
      <c r="AG204" s="205"/>
      <c r="AH204" s="205"/>
      <c r="AI204" s="205"/>
      <c r="AJ204" s="96"/>
    </row>
    <row r="205" spans="1:36" s="103" customFormat="1" ht="65.099999999999994" customHeight="1" x14ac:dyDescent="0.25">
      <c r="A205" s="94"/>
      <c r="B205" s="94"/>
      <c r="C205" s="413"/>
      <c r="D205" s="95"/>
      <c r="E205" s="96"/>
      <c r="F205" s="96"/>
      <c r="G205" s="96"/>
      <c r="H205" s="96"/>
      <c r="I205" s="97"/>
      <c r="J205" s="98"/>
      <c r="K205" s="98"/>
      <c r="L205" s="99"/>
      <c r="M205" s="72"/>
      <c r="N205" s="100"/>
      <c r="O205" s="101"/>
      <c r="P205" s="63"/>
      <c r="Q205" s="75"/>
      <c r="R205" s="76"/>
      <c r="S205" s="72"/>
      <c r="T205" s="60"/>
      <c r="U205" s="60"/>
      <c r="V205" s="60"/>
      <c r="W205" s="102"/>
      <c r="X205" s="102"/>
      <c r="Y205" s="102"/>
      <c r="Z205" s="102"/>
      <c r="AA205" s="102"/>
      <c r="AB205" s="102"/>
      <c r="AC205" s="102"/>
      <c r="AD205" s="102"/>
      <c r="AE205" s="102"/>
      <c r="AF205" s="205"/>
      <c r="AG205" s="205"/>
      <c r="AH205" s="205"/>
      <c r="AI205" s="205"/>
      <c r="AJ205" s="96"/>
    </row>
    <row r="206" spans="1:36" s="103" customFormat="1" ht="65.099999999999994" customHeight="1" x14ac:dyDescent="0.25">
      <c r="A206" s="94"/>
      <c r="B206" s="94"/>
      <c r="C206" s="413"/>
      <c r="D206" s="95"/>
      <c r="E206" s="96"/>
      <c r="F206" s="96"/>
      <c r="G206" s="96"/>
      <c r="H206" s="96"/>
      <c r="I206" s="97"/>
      <c r="J206" s="98"/>
      <c r="K206" s="98"/>
      <c r="L206" s="99"/>
      <c r="M206" s="72"/>
      <c r="N206" s="100"/>
      <c r="O206" s="101"/>
      <c r="P206" s="63"/>
      <c r="Q206" s="75"/>
      <c r="R206" s="76"/>
      <c r="S206" s="72"/>
      <c r="T206" s="60"/>
      <c r="U206" s="60"/>
      <c r="V206" s="60"/>
      <c r="W206" s="102"/>
      <c r="X206" s="102"/>
      <c r="Y206" s="102"/>
      <c r="Z206" s="102"/>
      <c r="AA206" s="102"/>
      <c r="AB206" s="102"/>
      <c r="AC206" s="102"/>
      <c r="AD206" s="102"/>
      <c r="AE206" s="102"/>
      <c r="AF206" s="205"/>
      <c r="AG206" s="205"/>
      <c r="AH206" s="205"/>
      <c r="AI206" s="205"/>
      <c r="AJ206" s="96"/>
    </row>
  </sheetData>
  <autoFilter ref="A1:AJ19">
    <filterColumn colId="22" showButton="0"/>
    <filterColumn colId="23" showButton="0"/>
    <filterColumn colId="25" showButton="0"/>
    <filterColumn colId="26" showButton="0"/>
  </autoFilter>
  <mergeCells count="246">
    <mergeCell ref="Q1:Q2"/>
    <mergeCell ref="R1:R2"/>
    <mergeCell ref="G1:G2"/>
    <mergeCell ref="H1:H2"/>
    <mergeCell ref="I1:I2"/>
    <mergeCell ref="J1:J2"/>
    <mergeCell ref="K1:K2"/>
    <mergeCell ref="L1:L2"/>
    <mergeCell ref="A1:A2"/>
    <mergeCell ref="B1:B2"/>
    <mergeCell ref="C1:C2"/>
    <mergeCell ref="D1:D2"/>
    <mergeCell ref="E1:E2"/>
    <mergeCell ref="F1:F2"/>
    <mergeCell ref="AJ1:AJ2"/>
    <mergeCell ref="A3:A5"/>
    <mergeCell ref="W3:Y3"/>
    <mergeCell ref="Z3:AB3"/>
    <mergeCell ref="AC3:AE3"/>
    <mergeCell ref="AG3:AG5"/>
    <mergeCell ref="AH3:AH5"/>
    <mergeCell ref="W4:Y4"/>
    <mergeCell ref="Z4:AB4"/>
    <mergeCell ref="AC1:AE1"/>
    <mergeCell ref="AF1:AF2"/>
    <mergeCell ref="AG1:AG2"/>
    <mergeCell ref="AH1:AH2"/>
    <mergeCell ref="AI1:AI2"/>
    <mergeCell ref="S1:S2"/>
    <mergeCell ref="T1:T2"/>
    <mergeCell ref="U1:U2"/>
    <mergeCell ref="V1:V2"/>
    <mergeCell ref="W1:Y1"/>
    <mergeCell ref="Z1:AB1"/>
    <mergeCell ref="M1:M2"/>
    <mergeCell ref="N1:N2"/>
    <mergeCell ref="O1:O2"/>
    <mergeCell ref="P1:P2"/>
    <mergeCell ref="A6:A11"/>
    <mergeCell ref="W6:Y6"/>
    <mergeCell ref="Z6:AB6"/>
    <mergeCell ref="AC6:AE6"/>
    <mergeCell ref="AG6:AG11"/>
    <mergeCell ref="Z9:AB9"/>
    <mergeCell ref="AC9:AE9"/>
    <mergeCell ref="W10:Y10"/>
    <mergeCell ref="AC4:AE4"/>
    <mergeCell ref="W5:Y5"/>
    <mergeCell ref="Z5:AB5"/>
    <mergeCell ref="AC5:AE5"/>
    <mergeCell ref="Z10:AB10"/>
    <mergeCell ref="AC10:AE10"/>
    <mergeCell ref="W11:Y11"/>
    <mergeCell ref="Z11:AB11"/>
    <mergeCell ref="AC11:AE11"/>
    <mergeCell ref="AH6:AH11"/>
    <mergeCell ref="W7:Y7"/>
    <mergeCell ref="Z7:AB7"/>
    <mergeCell ref="AC7:AE7"/>
    <mergeCell ref="W8:Y8"/>
    <mergeCell ref="Z8:AB8"/>
    <mergeCell ref="AC8:AE8"/>
    <mergeCell ref="W9:Y9"/>
    <mergeCell ref="A17:A19"/>
    <mergeCell ref="W17:Y17"/>
    <mergeCell ref="Z17:AB17"/>
    <mergeCell ref="AC17:AE17"/>
    <mergeCell ref="AH12:AH16"/>
    <mergeCell ref="W13:Y13"/>
    <mergeCell ref="Z13:AB13"/>
    <mergeCell ref="AC13:AE13"/>
    <mergeCell ref="W14:Y14"/>
    <mergeCell ref="Z14:AB14"/>
    <mergeCell ref="AC14:AE14"/>
    <mergeCell ref="W15:Y15"/>
    <mergeCell ref="A12:A16"/>
    <mergeCell ref="W12:Y12"/>
    <mergeCell ref="Z12:AB12"/>
    <mergeCell ref="AC12:AE12"/>
    <mergeCell ref="AG12:AG16"/>
    <mergeCell ref="Z15:AB15"/>
    <mergeCell ref="AC15:AE15"/>
    <mergeCell ref="W16:Y16"/>
    <mergeCell ref="AG17:AG19"/>
    <mergeCell ref="AH17:AH19"/>
    <mergeCell ref="W18:Y18"/>
    <mergeCell ref="Z18:AB18"/>
    <mergeCell ref="AC18:AE18"/>
    <mergeCell ref="W19:Y19"/>
    <mergeCell ref="Z19:AB19"/>
    <mergeCell ref="AC19:AE19"/>
    <mergeCell ref="Z16:AB16"/>
    <mergeCell ref="AC16:AE16"/>
    <mergeCell ref="AH20:AH25"/>
    <mergeCell ref="W21:Y21"/>
    <mergeCell ref="Z21:AB21"/>
    <mergeCell ref="AC21:AE21"/>
    <mergeCell ref="W22:Y22"/>
    <mergeCell ref="Z22:AB22"/>
    <mergeCell ref="AC22:AE22"/>
    <mergeCell ref="W23:Y23"/>
    <mergeCell ref="A20:A25"/>
    <mergeCell ref="W20:Y20"/>
    <mergeCell ref="Z20:AB20"/>
    <mergeCell ref="AC20:AE20"/>
    <mergeCell ref="AG20:AG25"/>
    <mergeCell ref="Z23:AB23"/>
    <mergeCell ref="AC23:AE23"/>
    <mergeCell ref="W24:Y24"/>
    <mergeCell ref="A26:A31"/>
    <mergeCell ref="W26:Y26"/>
    <mergeCell ref="Z26:AB26"/>
    <mergeCell ref="AC26:AE26"/>
    <mergeCell ref="AG26:AG31"/>
    <mergeCell ref="Z29:AB29"/>
    <mergeCell ref="AC29:AE29"/>
    <mergeCell ref="W30:Y30"/>
    <mergeCell ref="Z24:AB24"/>
    <mergeCell ref="AC24:AE24"/>
    <mergeCell ref="W25:Y25"/>
    <mergeCell ref="Z25:AB25"/>
    <mergeCell ref="AC25:AE25"/>
    <mergeCell ref="Z30:AB30"/>
    <mergeCell ref="AC30:AE30"/>
    <mergeCell ref="W31:Y31"/>
    <mergeCell ref="Z31:AB31"/>
    <mergeCell ref="AC31:AE31"/>
    <mergeCell ref="AH26:AH31"/>
    <mergeCell ref="W27:Y27"/>
    <mergeCell ref="Z27:AB27"/>
    <mergeCell ref="AC27:AE27"/>
    <mergeCell ref="W28:Y28"/>
    <mergeCell ref="Z28:AB28"/>
    <mergeCell ref="AC28:AE28"/>
    <mergeCell ref="W29:Y29"/>
    <mergeCell ref="Z36:AB36"/>
    <mergeCell ref="AC36:AE36"/>
    <mergeCell ref="A37:A38"/>
    <mergeCell ref="W37:Y37"/>
    <mergeCell ref="Z37:AB37"/>
    <mergeCell ref="AC37:AE37"/>
    <mergeCell ref="AH32:AH36"/>
    <mergeCell ref="W33:Y33"/>
    <mergeCell ref="Z33:AB33"/>
    <mergeCell ref="AC33:AE33"/>
    <mergeCell ref="W34:Y34"/>
    <mergeCell ref="Z34:AB34"/>
    <mergeCell ref="AC34:AE34"/>
    <mergeCell ref="W35:Y35"/>
    <mergeCell ref="A32:A36"/>
    <mergeCell ref="W32:Y32"/>
    <mergeCell ref="Z32:AB32"/>
    <mergeCell ref="AC32:AE32"/>
    <mergeCell ref="AG32:AG36"/>
    <mergeCell ref="Z35:AB35"/>
    <mergeCell ref="AC35:AE35"/>
    <mergeCell ref="W36:Y36"/>
    <mergeCell ref="AG37:AG38"/>
    <mergeCell ref="AH39:AH44"/>
    <mergeCell ref="W40:Y40"/>
    <mergeCell ref="Z40:AB40"/>
    <mergeCell ref="AC40:AE40"/>
    <mergeCell ref="W41:Y41"/>
    <mergeCell ref="Z41:AB41"/>
    <mergeCell ref="AC41:AE41"/>
    <mergeCell ref="W42:Y42"/>
    <mergeCell ref="AH37:AH38"/>
    <mergeCell ref="W38:Y38"/>
    <mergeCell ref="Z38:AB38"/>
    <mergeCell ref="AC38:AE38"/>
    <mergeCell ref="A39:A44"/>
    <mergeCell ref="W39:Y39"/>
    <mergeCell ref="Z39:AB39"/>
    <mergeCell ref="AC39:AE39"/>
    <mergeCell ref="AG39:AG44"/>
    <mergeCell ref="Z42:AB42"/>
    <mergeCell ref="AC42:AE42"/>
    <mergeCell ref="W43:Y43"/>
    <mergeCell ref="A45:A50"/>
    <mergeCell ref="W45:Y45"/>
    <mergeCell ref="Z45:AB45"/>
    <mergeCell ref="AC45:AE45"/>
    <mergeCell ref="AG45:AG50"/>
    <mergeCell ref="Z48:AB48"/>
    <mergeCell ref="AC48:AE48"/>
    <mergeCell ref="W49:Y49"/>
    <mergeCell ref="Z43:AB43"/>
    <mergeCell ref="AC43:AE43"/>
    <mergeCell ref="W44:Y44"/>
    <mergeCell ref="Z44:AB44"/>
    <mergeCell ref="AC44:AE44"/>
    <mergeCell ref="Z49:AB49"/>
    <mergeCell ref="AC49:AE49"/>
    <mergeCell ref="W50:Y50"/>
    <mergeCell ref="Z50:AB50"/>
    <mergeCell ref="AC50:AE50"/>
    <mergeCell ref="AH45:AH50"/>
    <mergeCell ref="W46:Y46"/>
    <mergeCell ref="Z46:AB46"/>
    <mergeCell ref="AC46:AE46"/>
    <mergeCell ref="W47:Y47"/>
    <mergeCell ref="Z47:AB47"/>
    <mergeCell ref="AC47:AE47"/>
    <mergeCell ref="W48:Y48"/>
    <mergeCell ref="A51:A56"/>
    <mergeCell ref="W51:Y51"/>
    <mergeCell ref="Z51:AB51"/>
    <mergeCell ref="AC51:AE51"/>
    <mergeCell ref="AG51:AG56"/>
    <mergeCell ref="Z54:AB54"/>
    <mergeCell ref="AC54:AE54"/>
    <mergeCell ref="W55:Y55"/>
    <mergeCell ref="Z55:AB55"/>
    <mergeCell ref="AC55:AE55"/>
    <mergeCell ref="W56:Y56"/>
    <mergeCell ref="Z56:AB56"/>
    <mergeCell ref="AC56:AE56"/>
    <mergeCell ref="AH57:AH62"/>
    <mergeCell ref="W58:Y58"/>
    <mergeCell ref="Z58:AB58"/>
    <mergeCell ref="AC58:AE58"/>
    <mergeCell ref="W59:Y59"/>
    <mergeCell ref="Z59:AB59"/>
    <mergeCell ref="AC59:AE59"/>
    <mergeCell ref="W60:Y60"/>
    <mergeCell ref="AH51:AH56"/>
    <mergeCell ref="W52:Y52"/>
    <mergeCell ref="Z52:AB52"/>
    <mergeCell ref="AC52:AE52"/>
    <mergeCell ref="W53:Y53"/>
    <mergeCell ref="Z53:AB53"/>
    <mergeCell ref="AC53:AE53"/>
    <mergeCell ref="W54:Y54"/>
    <mergeCell ref="A57:A62"/>
    <mergeCell ref="W57:Y57"/>
    <mergeCell ref="Z57:AB57"/>
    <mergeCell ref="AC57:AE57"/>
    <mergeCell ref="AG57:AG62"/>
    <mergeCell ref="Z60:AB60"/>
    <mergeCell ref="AC60:AE60"/>
    <mergeCell ref="W61:Y61"/>
    <mergeCell ref="Z61:AB61"/>
    <mergeCell ref="AC61:AE61"/>
    <mergeCell ref="W62:Y62"/>
    <mergeCell ref="Z62:AB62"/>
    <mergeCell ref="AC62:AE62"/>
  </mergeCells>
  <conditionalFormatting sqref="AF4:AF62 G3:H62">
    <cfRule type="containsText" dxfId="63" priority="3" operator="containsText" text="NO">
      <formula>NOT(ISERROR(SEARCH("NO",G3)))</formula>
    </cfRule>
  </conditionalFormatting>
  <conditionalFormatting sqref="AF3:AH3 AG6:AH6 AG12:AH12 AG17:AH17 AG20:AH20 AG26:AH26 AG32:AH32 AG37 AG39:AH39 AG45:AH45 AG51:AH51 AG57:AH57">
    <cfRule type="containsText" dxfId="62" priority="2" operator="containsText" text="NO">
      <formula>NOT(ISERROR(SEARCH("NO",AF3)))</formula>
    </cfRule>
  </conditionalFormatting>
  <dataValidations count="1">
    <dataValidation type="list" allowBlank="1" showInputMessage="1" showErrorMessage="1" sqref="W3:Y11 Z3:AE23 Z25:AE62 G3:H62 AF3:AF62">
      <formula1>$AL$1:$AM$1</formula1>
    </dataValidation>
  </dataValidations>
  <pageMargins left="0.75" right="0.75" top="1" bottom="1" header="0.5" footer="0.5"/>
  <pageSetup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B198"/>
  <sheetViews>
    <sheetView zoomScale="55" zoomScaleNormal="55" zoomScalePageLayoutView="75" workbookViewId="0">
      <pane xSplit="1" ySplit="2" topLeftCell="P33" activePane="bottomRight" state="frozen"/>
      <selection pane="topRight" activeCell="B1" sqref="B1"/>
      <selection pane="bottomLeft" activeCell="A3" sqref="A3"/>
      <selection pane="bottomRight" activeCell="Y33" sqref="Y33"/>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20.875" style="104" customWidth="1"/>
    <col min="9" max="9" width="11" style="104" customWidth="1"/>
    <col min="10" max="10" width="18.875" style="104" customWidth="1"/>
    <col min="11" max="11" width="13.625" style="105" customWidth="1"/>
    <col min="12" max="12" width="10.625" style="106" customWidth="1"/>
    <col min="13" max="13" width="11" style="107" customWidth="1"/>
    <col min="14" max="14" width="11" style="108" customWidth="1"/>
    <col min="15" max="15" width="11" style="74" customWidth="1"/>
    <col min="16" max="16" width="18.5" style="109" customWidth="1"/>
    <col min="17" max="17" width="8.75" style="109" customWidth="1"/>
    <col min="18" max="18" width="9.5" style="74" bestFit="1" customWidth="1"/>
    <col min="19" max="19" width="12.5" style="74" customWidth="1"/>
    <col min="20" max="20" width="9.625" style="74" bestFit="1" customWidth="1"/>
    <col min="21" max="22" width="15.5" style="74" customWidth="1"/>
    <col min="23" max="23" width="18.375" style="87" customWidth="1"/>
    <col min="24" max="24" width="19.5" style="63" customWidth="1"/>
    <col min="25" max="25" width="59.125" style="96" customWidth="1"/>
    <col min="26" max="28" width="10.875" style="111"/>
    <col min="29" max="30" width="15.125" style="111" bestFit="1" customWidth="1"/>
    <col min="31" max="16384" width="10.875" style="111"/>
  </cols>
  <sheetData>
    <row r="1" spans="1:28" s="61" customFormat="1" ht="15" customHeight="1" x14ac:dyDescent="0.25">
      <c r="A1" s="661" t="s">
        <v>2</v>
      </c>
      <c r="B1" s="661" t="s">
        <v>1</v>
      </c>
      <c r="C1" s="676" t="s">
        <v>369</v>
      </c>
      <c r="D1" s="661" t="s">
        <v>7</v>
      </c>
      <c r="E1" s="661" t="s">
        <v>8</v>
      </c>
      <c r="F1" s="661" t="s">
        <v>9</v>
      </c>
      <c r="G1" s="662" t="s">
        <v>382</v>
      </c>
      <c r="H1" s="686" t="s">
        <v>857</v>
      </c>
      <c r="I1" s="663" t="s">
        <v>383</v>
      </c>
      <c r="J1" s="663" t="s">
        <v>18</v>
      </c>
      <c r="K1" s="670" t="s">
        <v>56</v>
      </c>
      <c r="L1" s="672" t="s">
        <v>10</v>
      </c>
      <c r="M1" s="672" t="s">
        <v>443</v>
      </c>
      <c r="N1" s="674" t="s">
        <v>65</v>
      </c>
      <c r="O1" s="661" t="s">
        <v>64</v>
      </c>
      <c r="P1" s="661" t="s">
        <v>11</v>
      </c>
      <c r="Q1" s="661" t="s">
        <v>12</v>
      </c>
      <c r="R1" s="662" t="s">
        <v>13</v>
      </c>
      <c r="S1" s="662" t="s">
        <v>14</v>
      </c>
      <c r="T1" s="662" t="s">
        <v>15</v>
      </c>
      <c r="U1" s="662" t="s">
        <v>16</v>
      </c>
      <c r="V1" s="661" t="s">
        <v>17</v>
      </c>
      <c r="W1" s="662" t="s">
        <v>385</v>
      </c>
      <c r="X1" s="664" t="s">
        <v>375</v>
      </c>
      <c r="Y1" s="659" t="s">
        <v>0</v>
      </c>
      <c r="AA1" s="62" t="s">
        <v>5</v>
      </c>
      <c r="AB1" s="62" t="s">
        <v>6</v>
      </c>
    </row>
    <row r="2" spans="1:28" s="61" customFormat="1" ht="125.25" customHeight="1" thickBot="1" x14ac:dyDescent="0.3">
      <c r="A2" s="667"/>
      <c r="B2" s="667"/>
      <c r="C2" s="677"/>
      <c r="D2" s="667"/>
      <c r="E2" s="667"/>
      <c r="F2" s="667"/>
      <c r="G2" s="663"/>
      <c r="H2" s="687"/>
      <c r="I2" s="688"/>
      <c r="J2" s="688"/>
      <c r="K2" s="671"/>
      <c r="L2" s="673"/>
      <c r="M2" s="673"/>
      <c r="N2" s="675"/>
      <c r="O2" s="667"/>
      <c r="P2" s="667"/>
      <c r="Q2" s="667"/>
      <c r="R2" s="663"/>
      <c r="S2" s="663"/>
      <c r="T2" s="663"/>
      <c r="U2" s="663"/>
      <c r="V2" s="667"/>
      <c r="W2" s="663"/>
      <c r="X2" s="665"/>
      <c r="Y2" s="660"/>
    </row>
    <row r="3" spans="1:28" s="79" customFormat="1" ht="125.25" customHeight="1" x14ac:dyDescent="0.25">
      <c r="A3" s="652" t="s">
        <v>74</v>
      </c>
      <c r="B3" s="125" t="s">
        <v>256</v>
      </c>
      <c r="C3" s="126">
        <v>6</v>
      </c>
      <c r="D3" s="127" t="str">
        <f>+IFERROR(INDEX([7]CONSOLIDADO!$D$4:$D$108,MATCH('EXP ESPEC. 9 - 16'!B3,[7]CONSOLIDADO!$C$4:$C$108,0)),"")</f>
        <v>ARREDONDO MADRID INGENIEROS CIVILES (AIM ) LIMITADA</v>
      </c>
      <c r="E3" s="128" t="s">
        <v>539</v>
      </c>
      <c r="F3" s="129" t="s">
        <v>540</v>
      </c>
      <c r="G3" s="207" t="s">
        <v>5</v>
      </c>
      <c r="H3" s="207" t="s">
        <v>6</v>
      </c>
      <c r="I3" s="207" t="s">
        <v>5</v>
      </c>
      <c r="J3" s="207" t="s">
        <v>6</v>
      </c>
      <c r="K3" s="131">
        <v>1</v>
      </c>
      <c r="L3" s="132">
        <v>35006</v>
      </c>
      <c r="M3" s="132">
        <v>35828</v>
      </c>
      <c r="N3" s="133">
        <f>IF(M3="","",YEAR(M3))</f>
        <v>1998</v>
      </c>
      <c r="O3" s="134">
        <f>+IFERROR(INDEX([7]PARÁMETROS!$B$11:$B$37,MATCH(N3,[7]PARÁMETROS!$A$11:$A$37,0)),"")</f>
        <v>203826</v>
      </c>
      <c r="P3" s="135">
        <v>943132057</v>
      </c>
      <c r="Q3" s="136" t="s">
        <v>20</v>
      </c>
      <c r="R3" s="125" t="s">
        <v>54</v>
      </c>
      <c r="S3" s="137" t="s">
        <v>54</v>
      </c>
      <c r="T3" s="138">
        <v>1</v>
      </c>
      <c r="U3" s="134">
        <f>IF(T3&lt;&gt;"",P3*T3,"")</f>
        <v>943132057</v>
      </c>
      <c r="V3" s="139">
        <f>+IFERROR(U3/O3,"")</f>
        <v>4627.1430386702386</v>
      </c>
      <c r="W3" s="139">
        <f>IFERROR(V3*K3,"")</f>
        <v>4627.1430386702386</v>
      </c>
      <c r="X3" s="176" t="str">
        <f>+IF(W3="","",IF(W3&gt;=[7]PARÁMETROS!$J$5,"CUMPLE","NO CUMPLE"))</f>
        <v>CUMPLE</v>
      </c>
      <c r="Y3" s="142"/>
      <c r="Z3" s="112"/>
    </row>
    <row r="4" spans="1:28" s="79" customFormat="1" ht="72.75" customHeight="1" x14ac:dyDescent="0.25">
      <c r="A4" s="653"/>
      <c r="B4" s="63" t="s">
        <v>256</v>
      </c>
      <c r="C4" s="64">
        <v>10</v>
      </c>
      <c r="D4" s="65" t="str">
        <f>+IFERROR(INDEX([7]CONSOLIDADO!$D$4:$D$108,MATCH('EXP ESPEC. 9 - 16'!B4,[7]CONSOLIDADO!$C$4:$C$108,0)),"")</f>
        <v>ARREDONDO MADRID INGENIEROS CIVILES (AIM ) LIMITADA</v>
      </c>
      <c r="E4" s="66" t="s">
        <v>19</v>
      </c>
      <c r="F4" s="67" t="s">
        <v>601</v>
      </c>
      <c r="G4" s="205" t="s">
        <v>5</v>
      </c>
      <c r="H4" s="205" t="s">
        <v>5</v>
      </c>
      <c r="I4" s="205" t="s">
        <v>5</v>
      </c>
      <c r="J4" s="205" t="s">
        <v>6</v>
      </c>
      <c r="K4" s="80">
        <v>1</v>
      </c>
      <c r="L4" s="70">
        <v>37186</v>
      </c>
      <c r="M4" s="70">
        <v>38373</v>
      </c>
      <c r="N4" s="71">
        <f t="shared" ref="N4:N54" si="0">IF(M4="","",YEAR(M4))</f>
        <v>2005</v>
      </c>
      <c r="O4" s="72">
        <f>+IFERROR(INDEX([7]PARÁMETROS!$B$11:$B$37,MATCH(N4,[7]PARÁMETROS!$A$11:$A$37,0)),"")</f>
        <v>381500</v>
      </c>
      <c r="P4" s="73">
        <v>1557666575</v>
      </c>
      <c r="Q4" s="72" t="s">
        <v>20</v>
      </c>
      <c r="R4" s="63" t="s">
        <v>54</v>
      </c>
      <c r="S4" s="75" t="s">
        <v>54</v>
      </c>
      <c r="T4" s="76">
        <v>1</v>
      </c>
      <c r="U4" s="72">
        <f t="shared" ref="U4:U54" si="1">IF(T4&lt;&gt;"",P4*T4,"")</f>
        <v>1557666575</v>
      </c>
      <c r="V4" s="60">
        <f t="shared" ref="V4:V54" si="2">+IFERROR(U4/O4,"")</f>
        <v>4083.0054390563564</v>
      </c>
      <c r="W4" s="60">
        <f t="shared" ref="W4:W54" si="3">IFERROR(V4*K4,"")</f>
        <v>4083.0054390563564</v>
      </c>
      <c r="X4" s="205" t="str">
        <f>+IF(W4="","",IF(W4&gt;=[7]PARÁMETROS!$J$5,"CUMPLE","NO CUMPLE"))</f>
        <v>CUMPLE</v>
      </c>
      <c r="Y4" s="143"/>
      <c r="Z4" s="112"/>
    </row>
    <row r="5" spans="1:28" s="79" customFormat="1" ht="65.099999999999994" customHeight="1" x14ac:dyDescent="0.25">
      <c r="A5" s="653"/>
      <c r="B5" s="63" t="s">
        <v>256</v>
      </c>
      <c r="C5" s="64">
        <v>14</v>
      </c>
      <c r="D5" s="65" t="str">
        <f>+IFERROR(INDEX([7]CONSOLIDADO!$D$4:$D$108,MATCH('EXP ESPEC. 9 - 16'!B5,[7]CONSOLIDADO!$C$4:$C$108,0)),"")</f>
        <v>ARREDONDO MADRID INGENIEROS CIVILES (AIM ) LIMITADA</v>
      </c>
      <c r="E5" s="66" t="s">
        <v>19</v>
      </c>
      <c r="F5" s="67" t="s">
        <v>602</v>
      </c>
      <c r="G5" s="205" t="s">
        <v>5</v>
      </c>
      <c r="H5" s="205" t="s">
        <v>6</v>
      </c>
      <c r="I5" s="205" t="s">
        <v>5</v>
      </c>
      <c r="J5" s="205" t="s">
        <v>6</v>
      </c>
      <c r="K5" s="69">
        <v>1</v>
      </c>
      <c r="L5" s="70">
        <v>38385</v>
      </c>
      <c r="M5" s="70">
        <v>39814</v>
      </c>
      <c r="N5" s="71">
        <f t="shared" si="0"/>
        <v>2009</v>
      </c>
      <c r="O5" s="72">
        <f>+IFERROR(INDEX([7]PARÁMETROS!$B$11:$B$37,MATCH(N5,[7]PARÁMETROS!$A$11:$A$37,0)),"")</f>
        <v>496900</v>
      </c>
      <c r="P5" s="73">
        <v>2250917484</v>
      </c>
      <c r="Q5" s="74" t="s">
        <v>20</v>
      </c>
      <c r="R5" s="63" t="s">
        <v>54</v>
      </c>
      <c r="S5" s="75" t="s">
        <v>54</v>
      </c>
      <c r="T5" s="76">
        <v>1</v>
      </c>
      <c r="U5" s="72">
        <f t="shared" si="1"/>
        <v>2250917484</v>
      </c>
      <c r="V5" s="60">
        <f t="shared" si="2"/>
        <v>4529.9204749446571</v>
      </c>
      <c r="W5" s="60">
        <f t="shared" si="3"/>
        <v>4529.9204749446571</v>
      </c>
      <c r="X5" s="205" t="str">
        <f>+IF(W5="","",IF(W5&gt;=[7]PARÁMETROS!$J$5,"CUMPLE","NO CUMPLE"))</f>
        <v>CUMPLE</v>
      </c>
      <c r="Y5" s="144"/>
      <c r="Z5" s="112"/>
    </row>
    <row r="6" spans="1:28" s="79" customFormat="1" ht="65.099999999999994" customHeight="1" thickBot="1" x14ac:dyDescent="0.3">
      <c r="A6" s="654"/>
      <c r="B6" s="145" t="s">
        <v>281</v>
      </c>
      <c r="C6" s="177">
        <v>19</v>
      </c>
      <c r="D6" s="146" t="str">
        <f>+IFERROR(INDEX([7]CONSOLIDADO!$D$4:$D$108,MATCH('EXP ESPEC. 9 - 16'!B6,[7]CONSOLIDADO!$C$4:$C$108,0)),"")</f>
        <v>INGENIERIA INTEGRAL DE OBRAS INGEOBRAS S.A.S.</v>
      </c>
      <c r="E6" s="147" t="s">
        <v>542</v>
      </c>
      <c r="F6" s="148" t="s">
        <v>543</v>
      </c>
      <c r="G6" s="208" t="s">
        <v>5</v>
      </c>
      <c r="H6" s="208" t="s">
        <v>6</v>
      </c>
      <c r="I6" s="208" t="s">
        <v>5</v>
      </c>
      <c r="J6" s="208" t="s">
        <v>6</v>
      </c>
      <c r="K6" s="150">
        <v>1</v>
      </c>
      <c r="L6" s="151">
        <v>41295</v>
      </c>
      <c r="M6" s="151">
        <v>41841</v>
      </c>
      <c r="N6" s="152">
        <f t="shared" si="0"/>
        <v>2014</v>
      </c>
      <c r="O6" s="153">
        <f>+IFERROR(INDEX([7]PARÁMETROS!$B$11:$B$37,MATCH(N6,[7]PARÁMETROS!$A$11:$A$37,0)),"")</f>
        <v>616000</v>
      </c>
      <c r="P6" s="154">
        <v>3203004883</v>
      </c>
      <c r="Q6" s="155" t="s">
        <v>20</v>
      </c>
      <c r="R6" s="145" t="s">
        <v>54</v>
      </c>
      <c r="S6" s="156" t="s">
        <v>54</v>
      </c>
      <c r="T6" s="157">
        <v>1</v>
      </c>
      <c r="U6" s="153">
        <f t="shared" si="1"/>
        <v>3203004883</v>
      </c>
      <c r="V6" s="158">
        <f t="shared" si="2"/>
        <v>5199.6832516233762</v>
      </c>
      <c r="W6" s="158">
        <f t="shared" si="3"/>
        <v>5199.6832516233762</v>
      </c>
      <c r="X6" s="208" t="str">
        <f>+IF(W6="","",IF(W6&gt;=[7]PARÁMETROS!$D$5,"CUMPLE","NO CUMPLE"))</f>
        <v>CUMPLE</v>
      </c>
      <c r="Y6" s="178"/>
      <c r="Z6" s="112"/>
    </row>
    <row r="7" spans="1:28" s="79" customFormat="1" ht="30" customHeight="1" x14ac:dyDescent="0.25">
      <c r="A7" s="683" t="s">
        <v>75</v>
      </c>
      <c r="B7" s="113" t="s">
        <v>283</v>
      </c>
      <c r="C7" s="414">
        <v>5</v>
      </c>
      <c r="D7" s="114" t="str">
        <f>+IFERROR(INDEX([7]CONSOLIDADO!$D$4:$D$108,MATCH('EXP ESPEC. 9 - 16'!B7,[7]CONSOLIDADO!$C$4:$C$108,0)),"")</f>
        <v xml:space="preserve">EUROESTUDIOS INGENIEROS DE CONSULTA S.A.S. </v>
      </c>
      <c r="E7" s="66" t="s">
        <v>22</v>
      </c>
      <c r="F7" s="67" t="s">
        <v>603</v>
      </c>
      <c r="G7" s="124" t="s">
        <v>604</v>
      </c>
      <c r="H7" s="124" t="s">
        <v>5</v>
      </c>
      <c r="I7" s="124" t="s">
        <v>5</v>
      </c>
      <c r="J7" s="124" t="s">
        <v>6</v>
      </c>
      <c r="K7" s="117">
        <v>0.75</v>
      </c>
      <c r="L7" s="70">
        <v>39521</v>
      </c>
      <c r="M7" s="70">
        <v>40999</v>
      </c>
      <c r="N7" s="168">
        <f t="shared" si="0"/>
        <v>2012</v>
      </c>
      <c r="O7" s="119">
        <f>+IFERROR(INDEX([7]PARÁMETROS!$B$11:$B$37,MATCH(N7,[7]PARÁMETROS!$A$11:$A$37,0)),"")</f>
        <v>566700</v>
      </c>
      <c r="P7" s="73">
        <v>7072964150</v>
      </c>
      <c r="Q7" s="74" t="s">
        <v>20</v>
      </c>
      <c r="R7" s="63" t="s">
        <v>54</v>
      </c>
      <c r="S7" s="75" t="s">
        <v>54</v>
      </c>
      <c r="T7" s="76">
        <v>1</v>
      </c>
      <c r="U7" s="119">
        <f t="shared" si="1"/>
        <v>7072964150</v>
      </c>
      <c r="V7" s="123">
        <f>+IFERROR(U7/O7,"")</f>
        <v>12480.967266631375</v>
      </c>
      <c r="W7" s="123">
        <f>IFERROR(V7*K7,"")</f>
        <v>9360.7254499735318</v>
      </c>
      <c r="X7" s="274" t="str">
        <f>+IF(W7="","",IF(W7&gt;=[7]PARÁMETROS!$D$5,"CUMPLE","NO CUMPLE"))</f>
        <v>CUMPLE</v>
      </c>
      <c r="Y7" s="175"/>
      <c r="Z7" s="112"/>
    </row>
    <row r="8" spans="1:28" s="79" customFormat="1" ht="30" customHeight="1" x14ac:dyDescent="0.25">
      <c r="A8" s="653"/>
      <c r="B8" s="63" t="s">
        <v>283</v>
      </c>
      <c r="C8" s="409">
        <v>24</v>
      </c>
      <c r="D8" s="65" t="str">
        <f>+IFERROR(INDEX([7]CONSOLIDADO!$D$4:$D$108,MATCH('EXP ESPEC. 9 - 16'!B8,[7]CONSOLIDADO!$C$4:$C$108,0)),"")</f>
        <v xml:space="preserve">EUROESTUDIOS INGENIEROS DE CONSULTA S.A.S. </v>
      </c>
      <c r="E8" s="66" t="s">
        <v>544</v>
      </c>
      <c r="F8" s="67" t="s">
        <v>605</v>
      </c>
      <c r="G8" s="205" t="s">
        <v>5</v>
      </c>
      <c r="H8" s="205" t="s">
        <v>6</v>
      </c>
      <c r="I8" s="205" t="s">
        <v>5</v>
      </c>
      <c r="J8" s="205" t="s">
        <v>6</v>
      </c>
      <c r="K8" s="69">
        <v>1</v>
      </c>
      <c r="L8" s="70">
        <v>38834</v>
      </c>
      <c r="M8" s="70">
        <v>39805</v>
      </c>
      <c r="N8" s="71">
        <f t="shared" si="0"/>
        <v>2008</v>
      </c>
      <c r="O8" s="72">
        <f>+IFERROR(INDEX([7]PARÁMETROS!$B$11:$B$37,MATCH(N8,[7]PARÁMETROS!$A$11:$A$37,0)),"")</f>
        <v>461500</v>
      </c>
      <c r="P8" s="285">
        <v>1240314.52</v>
      </c>
      <c r="Q8" s="74" t="s">
        <v>546</v>
      </c>
      <c r="R8" s="63">
        <v>1.39802</v>
      </c>
      <c r="S8" s="75">
        <f>+P8*R8</f>
        <v>1733984.5052504002</v>
      </c>
      <c r="T8" s="76">
        <v>2169.83</v>
      </c>
      <c r="U8" s="72">
        <f>IF(T8&lt;&gt;"",S8*T8,"")</f>
        <v>3762451599.0274758</v>
      </c>
      <c r="V8" s="60">
        <f t="shared" si="2"/>
        <v>8152.6578527139236</v>
      </c>
      <c r="W8" s="60">
        <f t="shared" si="3"/>
        <v>8152.6578527139236</v>
      </c>
      <c r="X8" s="205" t="str">
        <f>+IF(W8="","",IF(W8&gt;=[7]PARÁMETROS!$D$5,"CUMPLE","NO CUMPLE"))</f>
        <v>CUMPLE</v>
      </c>
      <c r="Y8" s="143"/>
      <c r="Z8" s="112"/>
    </row>
    <row r="9" spans="1:28" s="79" customFormat="1" ht="30" customHeight="1" x14ac:dyDescent="0.25">
      <c r="A9" s="653"/>
      <c r="B9" s="63" t="s">
        <v>282</v>
      </c>
      <c r="C9" s="409">
        <v>29</v>
      </c>
      <c r="D9" s="65" t="str">
        <f>+IFERROR(INDEX([7]CONSOLIDADO!$D$4:$D$108,MATCH('EXP ESPEC. 9 - 16'!B9,[7]CONSOLIDADO!$C$4:$C$108,0)),"")</f>
        <v xml:space="preserve">GETINSA INGENIERIA SL SUCURSAL COLOMBIA </v>
      </c>
      <c r="E9" s="66" t="s">
        <v>544</v>
      </c>
      <c r="F9" s="67" t="s">
        <v>549</v>
      </c>
      <c r="G9" s="205" t="s">
        <v>5</v>
      </c>
      <c r="H9" s="205" t="s">
        <v>6</v>
      </c>
      <c r="I9" s="205" t="s">
        <v>5</v>
      </c>
      <c r="J9" s="205" t="s">
        <v>6</v>
      </c>
      <c r="K9" s="69">
        <v>1</v>
      </c>
      <c r="L9" s="70">
        <v>38681</v>
      </c>
      <c r="M9" s="70">
        <v>39777</v>
      </c>
      <c r="N9" s="71">
        <f t="shared" si="0"/>
        <v>2008</v>
      </c>
      <c r="O9" s="72">
        <f>+IFERROR(INDEX([7]PARÁMETROS!$B$11:$B$37,MATCH(N9,[7]PARÁMETROS!$A$11:$A$37,0)),"")</f>
        <v>461500</v>
      </c>
      <c r="P9" s="285">
        <v>763582.06</v>
      </c>
      <c r="Q9" s="74" t="s">
        <v>546</v>
      </c>
      <c r="R9" s="63">
        <v>1.2687600000000001</v>
      </c>
      <c r="S9" s="75">
        <f>+P9*R9</f>
        <v>968802.3744456002</v>
      </c>
      <c r="T9" s="76">
        <v>2314.7199999999998</v>
      </c>
      <c r="U9" s="72">
        <f>IF(T9&lt;&gt;"",S9*T9,"")</f>
        <v>2242506232.1767197</v>
      </c>
      <c r="V9" s="60">
        <f t="shared" si="2"/>
        <v>4859.168433752372</v>
      </c>
      <c r="W9" s="60">
        <f t="shared" si="3"/>
        <v>4859.168433752372</v>
      </c>
      <c r="X9" s="205" t="str">
        <f>+IF(W9="","",IF(W9&gt;=[7]PARÁMETROS!$D$5,"CUMPLE","NO CUMPLE"))</f>
        <v>CUMPLE</v>
      </c>
      <c r="Y9" s="143"/>
      <c r="Z9" s="112"/>
    </row>
    <row r="10" spans="1:28" s="79" customFormat="1" ht="30" customHeight="1" thickBot="1" x14ac:dyDescent="0.3">
      <c r="A10" s="685"/>
      <c r="B10" s="210" t="s">
        <v>282</v>
      </c>
      <c r="C10" s="410">
        <v>36</v>
      </c>
      <c r="D10" s="211" t="str">
        <f>+IFERROR(INDEX([7]CONSOLIDADO!$D$4:$D$108,MATCH('EXP ESPEC. 9 - 16'!B10,[7]CONSOLIDADO!$C$4:$C$108,0)),"")</f>
        <v xml:space="preserve">GETINSA INGENIERIA SL SUCURSAL COLOMBIA </v>
      </c>
      <c r="E10" s="212" t="s">
        <v>544</v>
      </c>
      <c r="F10" s="213" t="s">
        <v>547</v>
      </c>
      <c r="G10" s="214" t="s">
        <v>5</v>
      </c>
      <c r="H10" s="214" t="s">
        <v>6</v>
      </c>
      <c r="I10" s="214" t="s">
        <v>5</v>
      </c>
      <c r="J10" s="214" t="s">
        <v>6</v>
      </c>
      <c r="K10" s="215">
        <v>1</v>
      </c>
      <c r="L10" s="216">
        <v>39087</v>
      </c>
      <c r="M10" s="216">
        <v>40334</v>
      </c>
      <c r="N10" s="217">
        <f t="shared" si="0"/>
        <v>2010</v>
      </c>
      <c r="O10" s="202">
        <f>+IFERROR(INDEX([7]PARÁMETROS!$B$11:$B$37,MATCH(N10,[7]PARÁMETROS!$A$11:$A$37,0)),"")</f>
        <v>515000</v>
      </c>
      <c r="P10" s="297">
        <v>1306037.8500000001</v>
      </c>
      <c r="Q10" s="203" t="s">
        <v>546</v>
      </c>
      <c r="R10" s="210">
        <v>1.2085600000000001</v>
      </c>
      <c r="S10" s="220">
        <f>+P10*R10</f>
        <v>1578425.1039960003</v>
      </c>
      <c r="T10" s="220">
        <v>1965.83</v>
      </c>
      <c r="U10" s="202">
        <f>IF(T10&lt;&gt;"",S10*T10,"")</f>
        <v>3102915422.188457</v>
      </c>
      <c r="V10" s="204">
        <f t="shared" si="2"/>
        <v>6025.0784896863242</v>
      </c>
      <c r="W10" s="204">
        <f t="shared" si="3"/>
        <v>6025.0784896863242</v>
      </c>
      <c r="X10" s="214" t="str">
        <f>+IF(W10="","",IF(W10&gt;=[7]PARÁMETROS!$D$5,"CUMPLE","NO CUMPLE"))</f>
        <v>CUMPLE</v>
      </c>
      <c r="Y10" s="221"/>
      <c r="Z10" s="112"/>
    </row>
    <row r="11" spans="1:28" s="79" customFormat="1" ht="30" customHeight="1" x14ac:dyDescent="0.25">
      <c r="A11" s="652" t="s">
        <v>181</v>
      </c>
      <c r="B11" s="125" t="s">
        <v>284</v>
      </c>
      <c r="C11" s="408">
        <v>5</v>
      </c>
      <c r="D11" s="127" t="str">
        <f>+IFERROR(INDEX([7]CONSOLIDADO!$D$4:$D$108,MATCH('EXP ESPEC. 9 - 16'!B11,[7]CONSOLIDADO!$C$4:$C$108,0)),"")</f>
        <v>INGENIERIA Y CONSULTORIA INGECON S.A.S.</v>
      </c>
      <c r="E11" s="128" t="s">
        <v>606</v>
      </c>
      <c r="F11" s="129" t="s">
        <v>607</v>
      </c>
      <c r="G11" s="207" t="s">
        <v>5</v>
      </c>
      <c r="H11" s="207" t="s">
        <v>6</v>
      </c>
      <c r="I11" s="207" t="s">
        <v>5</v>
      </c>
      <c r="J11" s="207" t="s">
        <v>6</v>
      </c>
      <c r="K11" s="131">
        <v>1</v>
      </c>
      <c r="L11" s="132">
        <v>39083</v>
      </c>
      <c r="M11" s="132">
        <v>40086</v>
      </c>
      <c r="N11" s="133">
        <f t="shared" si="0"/>
        <v>2009</v>
      </c>
      <c r="O11" s="134">
        <f>+IFERROR(INDEX([7]PARÁMETROS!$B$11:$B$37,MATCH(N11,[7]PARÁMETROS!$A$11:$A$37,0)),"")</f>
        <v>496900</v>
      </c>
      <c r="P11" s="249">
        <v>2052203069.46</v>
      </c>
      <c r="Q11" s="136" t="s">
        <v>20</v>
      </c>
      <c r="R11" s="125" t="s">
        <v>54</v>
      </c>
      <c r="S11" s="137" t="s">
        <v>54</v>
      </c>
      <c r="T11" s="138">
        <v>1</v>
      </c>
      <c r="U11" s="134">
        <f t="shared" si="1"/>
        <v>2052203069.46</v>
      </c>
      <c r="V11" s="139">
        <f t="shared" si="2"/>
        <v>4130.0122146508356</v>
      </c>
      <c r="W11" s="139">
        <f t="shared" si="3"/>
        <v>4130.0122146508356</v>
      </c>
      <c r="X11" s="207" t="str">
        <f>+IF(W11="","",IF(W11&gt;=[7]PARÁMETROS!$D$5,"CUMPLE","NO CUMPLE"))</f>
        <v>CUMPLE</v>
      </c>
      <c r="Y11" s="142"/>
      <c r="Z11" s="112"/>
    </row>
    <row r="12" spans="1:28" s="79" customFormat="1" ht="57.75" customHeight="1" x14ac:dyDescent="0.25">
      <c r="A12" s="653"/>
      <c r="B12" s="63" t="s">
        <v>284</v>
      </c>
      <c r="C12" s="409">
        <v>29</v>
      </c>
      <c r="D12" s="65" t="str">
        <f>+IFERROR(INDEX([7]CONSOLIDADO!$D$4:$D$108,MATCH('EXP ESPEC. 9 - 16'!B12,[7]CONSOLIDADO!$C$4:$C$108,0)),"")</f>
        <v>INGENIERIA Y CONSULTORIA INGECON S.A.S.</v>
      </c>
      <c r="E12" s="66" t="s">
        <v>554</v>
      </c>
      <c r="F12" s="66" t="s">
        <v>608</v>
      </c>
      <c r="G12" s="205" t="s">
        <v>5</v>
      </c>
      <c r="H12" s="205" t="s">
        <v>5</v>
      </c>
      <c r="I12" s="205" t="s">
        <v>5</v>
      </c>
      <c r="J12" s="205" t="s">
        <v>6</v>
      </c>
      <c r="K12" s="80">
        <v>0.65</v>
      </c>
      <c r="L12" s="70">
        <v>37838</v>
      </c>
      <c r="M12" s="70">
        <v>38612</v>
      </c>
      <c r="N12" s="71">
        <f t="shared" si="0"/>
        <v>2005</v>
      </c>
      <c r="O12" s="72">
        <f>+IFERROR(INDEX([7]PARÁMETROS!$B$11:$B$37,MATCH(N12,[7]PARÁMETROS!$A$11:$A$37,0)),"")</f>
        <v>381500</v>
      </c>
      <c r="P12" s="286">
        <v>6190975758</v>
      </c>
      <c r="Q12" s="72" t="s">
        <v>20</v>
      </c>
      <c r="R12" s="63" t="s">
        <v>54</v>
      </c>
      <c r="S12" s="75" t="s">
        <v>54</v>
      </c>
      <c r="T12" s="76">
        <v>1</v>
      </c>
      <c r="U12" s="72">
        <f t="shared" si="1"/>
        <v>6190975758</v>
      </c>
      <c r="V12" s="60">
        <f t="shared" si="2"/>
        <v>16227.983638269987</v>
      </c>
      <c r="W12" s="60">
        <f t="shared" si="3"/>
        <v>10548.189364875492</v>
      </c>
      <c r="X12" s="205" t="str">
        <f>+IF(W12="","",IF(W12&gt;=[7]PARÁMETROS!$D$5,"CUMPLE","NO CUMPLE"))</f>
        <v>CUMPLE</v>
      </c>
      <c r="Y12" s="143"/>
      <c r="Z12" s="112"/>
    </row>
    <row r="13" spans="1:28" s="79" customFormat="1" ht="45" customHeight="1" x14ac:dyDescent="0.25">
      <c r="A13" s="653"/>
      <c r="B13" s="63" t="s">
        <v>285</v>
      </c>
      <c r="C13" s="409">
        <v>77</v>
      </c>
      <c r="D13" s="65" t="str">
        <f>+IFERROR(INDEX([7]CONSOLIDADO!$D$4:$D$108,MATCH('EXP ESPEC. 9 - 16'!B13,[7]CONSOLIDADO!$C$4:$C$108,0)),"")</f>
        <v>CONSULTORIA INTEGRAL EN INGENIERIA S.A. DE CV</v>
      </c>
      <c r="E13" s="66" t="s">
        <v>557</v>
      </c>
      <c r="F13" s="67" t="s">
        <v>609</v>
      </c>
      <c r="G13" s="205" t="s">
        <v>5</v>
      </c>
      <c r="H13" s="205" t="s">
        <v>6</v>
      </c>
      <c r="I13" s="205" t="s">
        <v>5</v>
      </c>
      <c r="J13" s="205" t="s">
        <v>6</v>
      </c>
      <c r="K13" s="69">
        <v>1</v>
      </c>
      <c r="L13" s="70">
        <v>38974</v>
      </c>
      <c r="M13" s="70">
        <v>39478</v>
      </c>
      <c r="N13" s="71">
        <f t="shared" si="0"/>
        <v>2008</v>
      </c>
      <c r="O13" s="72">
        <f>+IFERROR(INDEX([7]PARÁMETROS!$B$11:$B$37,MATCH(N13,[7]PARÁMETROS!$A$11:$A$37,0)),"")</f>
        <v>461500</v>
      </c>
      <c r="P13" s="250">
        <v>12952658.279999999</v>
      </c>
      <c r="Q13" s="72" t="s">
        <v>559</v>
      </c>
      <c r="R13" s="63">
        <v>9.2179999999999998E-2</v>
      </c>
      <c r="S13" s="75">
        <f>+P13*R13</f>
        <v>1193976.0402503998</v>
      </c>
      <c r="T13" s="76">
        <v>1939.6</v>
      </c>
      <c r="U13" s="72">
        <f>IF(T13&lt;&gt;"",S13*T13,"")</f>
        <v>2315835927.6696754</v>
      </c>
      <c r="V13" s="60">
        <f t="shared" si="2"/>
        <v>5018.0626818411165</v>
      </c>
      <c r="W13" s="60">
        <f t="shared" si="3"/>
        <v>5018.0626818411165</v>
      </c>
      <c r="X13" s="205" t="str">
        <f>+IF(W13="","",IF(W13&gt;=[7]PARÁMETROS!$D$5,"CUMPLE","NO CUMPLE"))</f>
        <v>CUMPLE</v>
      </c>
      <c r="Y13" s="143"/>
      <c r="Z13" s="112"/>
    </row>
    <row r="14" spans="1:28" s="79" customFormat="1" ht="30" customHeight="1" thickBot="1" x14ac:dyDescent="0.3">
      <c r="A14" s="685"/>
      <c r="B14" s="210" t="s">
        <v>285</v>
      </c>
      <c r="C14" s="410">
        <v>105</v>
      </c>
      <c r="D14" s="211" t="str">
        <f>+IFERROR(INDEX([7]CONSOLIDADO!$D$4:$D$108,MATCH('EXP ESPEC. 9 - 16'!B14,[7]CONSOLIDADO!$C$4:$C$108,0)),"")</f>
        <v>CONSULTORIA INTEGRAL EN INGENIERIA S.A. DE CV</v>
      </c>
      <c r="E14" s="212" t="s">
        <v>557</v>
      </c>
      <c r="F14" s="298" t="s">
        <v>610</v>
      </c>
      <c r="G14" s="214" t="s">
        <v>5</v>
      </c>
      <c r="H14" s="214" t="s">
        <v>6</v>
      </c>
      <c r="I14" s="214" t="s">
        <v>5</v>
      </c>
      <c r="J14" s="214" t="s">
        <v>6</v>
      </c>
      <c r="K14" s="215">
        <v>1</v>
      </c>
      <c r="L14" s="216">
        <v>37495</v>
      </c>
      <c r="M14" s="216">
        <v>37863</v>
      </c>
      <c r="N14" s="217">
        <f t="shared" si="0"/>
        <v>2003</v>
      </c>
      <c r="O14" s="202">
        <f>+IFERROR(INDEX([7]PARÁMETROS!$B$11:$B$37,MATCH(N14,[7]PARÁMETROS!$A$11:$A$37,0)),"")</f>
        <v>332000</v>
      </c>
      <c r="P14" s="299">
        <v>23799200.760000002</v>
      </c>
      <c r="Q14" s="202" t="s">
        <v>559</v>
      </c>
      <c r="R14" s="210">
        <v>9.0289999999999995E-2</v>
      </c>
      <c r="S14" s="219">
        <f>+P14*R14</f>
        <v>2148829.8366204002</v>
      </c>
      <c r="T14" s="220">
        <v>2832.94</v>
      </c>
      <c r="U14" s="202">
        <f>IF(T14&lt;&gt;"",S14*T14,"")</f>
        <v>6087505997.3553963</v>
      </c>
      <c r="V14" s="204">
        <f t="shared" si="2"/>
        <v>18335.861437817457</v>
      </c>
      <c r="W14" s="204">
        <f>IFERROR(V14*K14,"")</f>
        <v>18335.861437817457</v>
      </c>
      <c r="X14" s="214" t="str">
        <f>+IF(W14="","",IF(W14&gt;=[7]PARÁMETROS!$D$5,"CUMPLE","NO CUMPLE"))</f>
        <v>CUMPLE</v>
      </c>
      <c r="Y14" s="221"/>
      <c r="Z14" s="112"/>
    </row>
    <row r="15" spans="1:28" s="79" customFormat="1" ht="30" customHeight="1" x14ac:dyDescent="0.25">
      <c r="A15" s="652" t="s">
        <v>185</v>
      </c>
      <c r="B15" s="125" t="s">
        <v>286</v>
      </c>
      <c r="C15" s="408">
        <v>3</v>
      </c>
      <c r="D15" s="127" t="str">
        <f>+IFERROR(INDEX([7]CONSOLIDADO!$D$4:$D$108,MATCH('EXP ESPEC. 9 - 16'!B15,[7]CONSOLIDADO!$C$4:$C$108,0)),"")</f>
        <v>PROYECTOS E INTERVENTORIAS LIMITADA</v>
      </c>
      <c r="E15" s="128" t="s">
        <v>563</v>
      </c>
      <c r="F15" s="129" t="s">
        <v>564</v>
      </c>
      <c r="G15" s="207" t="s">
        <v>5</v>
      </c>
      <c r="H15" s="207" t="s">
        <v>6</v>
      </c>
      <c r="I15" s="207" t="s">
        <v>5</v>
      </c>
      <c r="J15" s="207" t="s">
        <v>6</v>
      </c>
      <c r="K15" s="131">
        <v>1</v>
      </c>
      <c r="L15" s="132">
        <v>39804</v>
      </c>
      <c r="M15" s="132">
        <v>40390</v>
      </c>
      <c r="N15" s="133">
        <f t="shared" si="0"/>
        <v>2010</v>
      </c>
      <c r="O15" s="134">
        <f>+IFERROR(INDEX([7]PARÁMETROS!$B$11:$B$37,MATCH(N15,[7]PARÁMETROS!$A$11:$A$37,0)),"")</f>
        <v>515000</v>
      </c>
      <c r="P15" s="249">
        <v>2584495082</v>
      </c>
      <c r="Q15" s="134" t="s">
        <v>20</v>
      </c>
      <c r="R15" s="125" t="s">
        <v>54</v>
      </c>
      <c r="S15" s="137" t="s">
        <v>54</v>
      </c>
      <c r="T15" s="138">
        <v>1</v>
      </c>
      <c r="U15" s="134">
        <f t="shared" si="1"/>
        <v>2584495082</v>
      </c>
      <c r="V15" s="139">
        <f t="shared" si="2"/>
        <v>5018.4370524271844</v>
      </c>
      <c r="W15" s="139">
        <f t="shared" si="3"/>
        <v>5018.4370524271844</v>
      </c>
      <c r="X15" s="207" t="str">
        <f>+IF(W15="","",IF(W15&gt;=[7]PARÁMETROS!$D$5,"CUMPLE","NO CUMPLE"))</f>
        <v>CUMPLE</v>
      </c>
      <c r="Y15" s="142"/>
      <c r="Z15" s="112"/>
    </row>
    <row r="16" spans="1:28" s="79" customFormat="1" ht="53.25" customHeight="1" x14ac:dyDescent="0.25">
      <c r="A16" s="653"/>
      <c r="B16" s="63" t="s">
        <v>286</v>
      </c>
      <c r="C16" s="409">
        <v>35</v>
      </c>
      <c r="D16" s="65" t="str">
        <f>+IFERROR(INDEX([7]CONSOLIDADO!$D$4:$D$108,MATCH('EXP ESPEC. 9 - 16'!B16,[7]CONSOLIDADO!$C$4:$C$108,0)),"")</f>
        <v>PROYECTOS E INTERVENTORIAS LIMITADA</v>
      </c>
      <c r="E16" s="66" t="s">
        <v>19</v>
      </c>
      <c r="F16" s="67" t="s">
        <v>611</v>
      </c>
      <c r="G16" s="205" t="s">
        <v>5</v>
      </c>
      <c r="H16" s="205" t="s">
        <v>5</v>
      </c>
      <c r="I16" s="205" t="s">
        <v>5</v>
      </c>
      <c r="J16" s="205" t="s">
        <v>6</v>
      </c>
      <c r="K16" s="69">
        <v>0.25</v>
      </c>
      <c r="L16" s="70">
        <v>39521</v>
      </c>
      <c r="M16" s="70">
        <v>40999</v>
      </c>
      <c r="N16" s="71">
        <f t="shared" si="0"/>
        <v>2012</v>
      </c>
      <c r="O16" s="72">
        <f>+IFERROR(INDEX([7]PARÁMETROS!$B$11:$B$37,MATCH(N16,[7]PARÁMETROS!$A$11:$A$37,0)),"")</f>
        <v>566700</v>
      </c>
      <c r="P16" s="250">
        <v>7072964150</v>
      </c>
      <c r="Q16" s="74" t="s">
        <v>20</v>
      </c>
      <c r="R16" s="63" t="s">
        <v>54</v>
      </c>
      <c r="S16" s="75" t="s">
        <v>54</v>
      </c>
      <c r="T16" s="76">
        <v>1</v>
      </c>
      <c r="U16" s="72">
        <f t="shared" si="1"/>
        <v>7072964150</v>
      </c>
      <c r="V16" s="60">
        <f t="shared" si="2"/>
        <v>12480.967266631375</v>
      </c>
      <c r="W16" s="60">
        <f t="shared" si="3"/>
        <v>3120.2418166578436</v>
      </c>
      <c r="X16" s="205" t="str">
        <f>+IF(W16="","",IF(W16&gt;=[7]PARÁMETROS!$D$5,"CUMPLE","NO CUMPLE"))</f>
        <v>CUMPLE</v>
      </c>
      <c r="Y16" s="143"/>
      <c r="Z16" s="112"/>
    </row>
    <row r="17" spans="1:26" s="79" customFormat="1" ht="30" customHeight="1" x14ac:dyDescent="0.25">
      <c r="A17" s="653"/>
      <c r="B17" s="63" t="s">
        <v>286</v>
      </c>
      <c r="C17" s="409">
        <v>82</v>
      </c>
      <c r="D17" s="65" t="str">
        <f>+IFERROR(INDEX([7]CONSOLIDADO!$D$4:$D$108,MATCH('EXP ESPEC. 9 - 16'!B17,[7]CONSOLIDADO!$C$4:$C$108,0)),"")</f>
        <v>PROYECTOS E INTERVENTORIAS LIMITADA</v>
      </c>
      <c r="E17" s="66" t="s">
        <v>554</v>
      </c>
      <c r="F17" s="67" t="s">
        <v>562</v>
      </c>
      <c r="G17" s="205" t="s">
        <v>5</v>
      </c>
      <c r="H17" s="205" t="s">
        <v>6</v>
      </c>
      <c r="I17" s="205" t="s">
        <v>5</v>
      </c>
      <c r="J17" s="205" t="s">
        <v>6</v>
      </c>
      <c r="K17" s="69">
        <v>0.7</v>
      </c>
      <c r="L17" s="70">
        <v>39860</v>
      </c>
      <c r="M17" s="70">
        <v>41337</v>
      </c>
      <c r="N17" s="71">
        <f t="shared" si="0"/>
        <v>2013</v>
      </c>
      <c r="O17" s="72">
        <f>+IFERROR(INDEX([7]PARÁMETROS!$B$11:$B$37,MATCH(N17,[7]PARÁMETROS!$A$11:$A$37,0)),"")</f>
        <v>589500</v>
      </c>
      <c r="P17" s="250">
        <v>13157956981</v>
      </c>
      <c r="Q17" s="72" t="s">
        <v>20</v>
      </c>
      <c r="R17" s="63" t="s">
        <v>54</v>
      </c>
      <c r="S17" s="75" t="s">
        <v>54</v>
      </c>
      <c r="T17" s="76">
        <v>1</v>
      </c>
      <c r="U17" s="72">
        <f t="shared" si="1"/>
        <v>13157956981</v>
      </c>
      <c r="V17" s="60">
        <f t="shared" si="2"/>
        <v>22320.537711620018</v>
      </c>
      <c r="W17" s="60">
        <f t="shared" si="3"/>
        <v>15624.376398134011</v>
      </c>
      <c r="X17" s="205" t="str">
        <f>+IF(W17="","",IF(W17&gt;=[7]PARÁMETROS!$D$5,"CUMPLE","NO CUMPLE"))</f>
        <v>CUMPLE</v>
      </c>
      <c r="Y17" s="143"/>
      <c r="Z17" s="112"/>
    </row>
    <row r="18" spans="1:26" s="79" customFormat="1" ht="30" customHeight="1" thickBot="1" x14ac:dyDescent="0.3">
      <c r="A18" s="685"/>
      <c r="B18" s="210" t="s">
        <v>287</v>
      </c>
      <c r="C18" s="410">
        <v>157</v>
      </c>
      <c r="D18" s="211" t="str">
        <f>+IFERROR(INDEX([7]CONSOLIDADO!$D$4:$D$108,MATCH('EXP ESPEC. 9 - 16'!B18,[7]CONSOLIDADO!$C$4:$C$108,0)),"")</f>
        <v>INENIERA DE ESTUDIOS Y ASESORIAS S.A.S. INESAS</v>
      </c>
      <c r="E18" s="212" t="s">
        <v>565</v>
      </c>
      <c r="F18" s="213" t="s">
        <v>566</v>
      </c>
      <c r="G18" s="214" t="s">
        <v>5</v>
      </c>
      <c r="H18" s="214" t="s">
        <v>6</v>
      </c>
      <c r="I18" s="214" t="s">
        <v>5</v>
      </c>
      <c r="J18" s="214" t="s">
        <v>6</v>
      </c>
      <c r="K18" s="215">
        <v>0.75</v>
      </c>
      <c r="L18" s="216">
        <v>38343</v>
      </c>
      <c r="M18" s="216">
        <v>40512</v>
      </c>
      <c r="N18" s="217">
        <f t="shared" si="0"/>
        <v>2010</v>
      </c>
      <c r="O18" s="202">
        <f>+IFERROR(INDEX([7]PARÁMETROS!$B$11:$B$37,MATCH(N18,[7]PARÁMETROS!$A$11:$A$37,0)),"")</f>
        <v>515000</v>
      </c>
      <c r="P18" s="299">
        <v>5720807974</v>
      </c>
      <c r="Q18" s="202" t="s">
        <v>20</v>
      </c>
      <c r="R18" s="210" t="s">
        <v>54</v>
      </c>
      <c r="S18" s="219" t="s">
        <v>54</v>
      </c>
      <c r="T18" s="220">
        <v>1</v>
      </c>
      <c r="U18" s="202">
        <f t="shared" si="1"/>
        <v>5720807974</v>
      </c>
      <c r="V18" s="204">
        <f t="shared" si="2"/>
        <v>11108.364998058252</v>
      </c>
      <c r="W18" s="204">
        <f t="shared" si="3"/>
        <v>8331.2737485436883</v>
      </c>
      <c r="X18" s="214" t="str">
        <f>+IF(W18="","",IF(W18&gt;=[7]PARÁMETROS!$D$5,"CUMPLE","NO CUMPLE"))</f>
        <v>CUMPLE</v>
      </c>
      <c r="Y18" s="221"/>
      <c r="Z18" s="112"/>
    </row>
    <row r="19" spans="1:26" s="79" customFormat="1" ht="35.25" customHeight="1" x14ac:dyDescent="0.25">
      <c r="A19" s="652" t="s">
        <v>189</v>
      </c>
      <c r="B19" s="125" t="s">
        <v>288</v>
      </c>
      <c r="C19" s="408">
        <v>264</v>
      </c>
      <c r="D19" s="127" t="str">
        <f>+IFERROR(INDEX([7]CONSOLIDADO!$D$4:$D$108,MATCH('EXP ESPEC. 9 - 16'!B19,[7]CONSOLIDADO!$C$4:$C$108,0)),"")</f>
        <v>COMPAÑÍA COLOMBIANA DE CONSULTORES S.A.S. (CCC)</v>
      </c>
      <c r="E19" s="128" t="s">
        <v>539</v>
      </c>
      <c r="F19" s="129" t="s">
        <v>567</v>
      </c>
      <c r="G19" s="207" t="s">
        <v>5</v>
      </c>
      <c r="H19" s="207" t="s">
        <v>6</v>
      </c>
      <c r="I19" s="207" t="s">
        <v>5</v>
      </c>
      <c r="J19" s="207" t="s">
        <v>6</v>
      </c>
      <c r="K19" s="131">
        <v>1</v>
      </c>
      <c r="L19" s="132">
        <v>34991</v>
      </c>
      <c r="M19" s="132">
        <v>35919</v>
      </c>
      <c r="N19" s="133">
        <f t="shared" si="0"/>
        <v>1998</v>
      </c>
      <c r="O19" s="134">
        <f>+IFERROR(INDEX([7]PARÁMETROS!$B$11:$B$37,MATCH(N19,[7]PARÁMETROS!$A$11:$A$37,0)),"")</f>
        <v>203826</v>
      </c>
      <c r="P19" s="249">
        <v>2786155923</v>
      </c>
      <c r="Q19" s="134" t="s">
        <v>20</v>
      </c>
      <c r="R19" s="125" t="s">
        <v>54</v>
      </c>
      <c r="S19" s="137" t="s">
        <v>54</v>
      </c>
      <c r="T19" s="138">
        <v>1</v>
      </c>
      <c r="U19" s="134">
        <f t="shared" si="1"/>
        <v>2786155923</v>
      </c>
      <c r="V19" s="139">
        <f t="shared" si="2"/>
        <v>13669.28617055724</v>
      </c>
      <c r="W19" s="139">
        <f t="shared" si="3"/>
        <v>13669.28617055724</v>
      </c>
      <c r="X19" s="207" t="str">
        <f>+IF(W19="","",IF(W19&gt;=[7]PARÁMETROS!$D$5,"CUMPLE","NO CUMPLE"))</f>
        <v>CUMPLE</v>
      </c>
      <c r="Y19" s="142"/>
      <c r="Z19" s="112"/>
    </row>
    <row r="20" spans="1:26" s="79" customFormat="1" ht="45.75" customHeight="1" x14ac:dyDescent="0.25">
      <c r="A20" s="653"/>
      <c r="B20" s="63" t="s">
        <v>289</v>
      </c>
      <c r="C20" s="409">
        <v>268</v>
      </c>
      <c r="D20" s="65" t="str">
        <f>+IFERROR(INDEX([7]CONSOLIDADO!$D$4:$D$108,MATCH('EXP ESPEC. 9 - 16'!B20,[7]CONSOLIDADO!$C$4:$C$108,0)),"")</f>
        <v>CONSULTORES EN INGENIERIA S.A.S.</v>
      </c>
      <c r="E20" s="66" t="s">
        <v>565</v>
      </c>
      <c r="F20" s="67" t="s">
        <v>570</v>
      </c>
      <c r="G20" s="205" t="s">
        <v>5</v>
      </c>
      <c r="H20" s="205" t="s">
        <v>5</v>
      </c>
      <c r="I20" s="205" t="s">
        <v>5</v>
      </c>
      <c r="J20" s="205" t="s">
        <v>6</v>
      </c>
      <c r="K20" s="84">
        <v>1</v>
      </c>
      <c r="L20" s="85">
        <v>35019</v>
      </c>
      <c r="M20" s="86">
        <v>36114</v>
      </c>
      <c r="N20" s="71">
        <f t="shared" si="0"/>
        <v>1998</v>
      </c>
      <c r="O20" s="72">
        <f>+IFERROR(INDEX([7]PARÁMETROS!$B$11:$B$37,MATCH(N20,[7]PARÁMETROS!$A$11:$A$37,0)),"")</f>
        <v>203826</v>
      </c>
      <c r="P20" s="288">
        <v>1910421539</v>
      </c>
      <c r="Q20" s="72" t="s">
        <v>20</v>
      </c>
      <c r="R20" s="63" t="s">
        <v>54</v>
      </c>
      <c r="S20" s="75" t="s">
        <v>54</v>
      </c>
      <c r="T20" s="76">
        <v>1</v>
      </c>
      <c r="U20" s="72">
        <f t="shared" si="1"/>
        <v>1910421539</v>
      </c>
      <c r="V20" s="60">
        <f t="shared" si="2"/>
        <v>9372.805917792628</v>
      </c>
      <c r="W20" s="60">
        <f t="shared" si="3"/>
        <v>9372.805917792628</v>
      </c>
      <c r="X20" s="205" t="str">
        <f>+IF(W20="","",IF(W20&gt;=[7]PARÁMETROS!$D$5,"CUMPLE","NO CUMPLE"))</f>
        <v>CUMPLE</v>
      </c>
      <c r="Y20" s="143" t="s">
        <v>571</v>
      </c>
      <c r="Z20" s="112"/>
    </row>
    <row r="21" spans="1:26" s="79" customFormat="1" ht="45.75" customHeight="1" x14ac:dyDescent="0.25">
      <c r="A21" s="653"/>
      <c r="B21" s="63" t="s">
        <v>289</v>
      </c>
      <c r="C21" s="409">
        <v>272</v>
      </c>
      <c r="D21" s="65" t="str">
        <f>+IFERROR(INDEX([7]CONSOLIDADO!$D$4:$D$108,MATCH('EXP ESPEC. 9 - 16'!B21,[7]CONSOLIDADO!$C$4:$C$108,0)),"")</f>
        <v>CONSULTORES EN INGENIERIA S.A.S.</v>
      </c>
      <c r="E21" s="66" t="s">
        <v>565</v>
      </c>
      <c r="F21" s="67" t="s">
        <v>576</v>
      </c>
      <c r="G21" s="205" t="s">
        <v>5</v>
      </c>
      <c r="H21" s="205" t="s">
        <v>6</v>
      </c>
      <c r="I21" s="205" t="s">
        <v>5</v>
      </c>
      <c r="J21" s="205" t="s">
        <v>6</v>
      </c>
      <c r="K21" s="84">
        <v>0.81799999999999995</v>
      </c>
      <c r="L21" s="85">
        <v>35507</v>
      </c>
      <c r="M21" s="86">
        <v>36543</v>
      </c>
      <c r="N21" s="71">
        <f>IF(M21="","",YEAR(M21))</f>
        <v>2000</v>
      </c>
      <c r="O21" s="72">
        <f>+IFERROR(INDEX([7]PARÁMETROS!$B$11:$B$37,MATCH(N21,[7]PARÁMETROS!$A$11:$A$37,0)),"")</f>
        <v>260100</v>
      </c>
      <c r="P21" s="288">
        <v>4449058497.6599998</v>
      </c>
      <c r="Q21" s="72" t="s">
        <v>20</v>
      </c>
      <c r="R21" s="63" t="s">
        <v>54</v>
      </c>
      <c r="S21" s="75" t="s">
        <v>54</v>
      </c>
      <c r="T21" s="76">
        <v>1</v>
      </c>
      <c r="U21" s="72">
        <f t="shared" si="1"/>
        <v>4449058497.6599998</v>
      </c>
      <c r="V21" s="60">
        <f t="shared" si="2"/>
        <v>17105.184535409458</v>
      </c>
      <c r="W21" s="60">
        <f t="shared" si="3"/>
        <v>13992.040949964936</v>
      </c>
      <c r="X21" s="205" t="str">
        <f>+IF(W21="","",IF(W21&gt;=[7]PARÁMETROS!$D$5,"CUMPLE","NO CUMPLE"))</f>
        <v>CUMPLE</v>
      </c>
      <c r="Y21" s="174" t="s">
        <v>571</v>
      </c>
      <c r="Z21" s="112"/>
    </row>
    <row r="22" spans="1:26" s="88" customFormat="1" ht="63" customHeight="1" thickBot="1" x14ac:dyDescent="0.3">
      <c r="A22" s="685"/>
      <c r="B22" s="210" t="s">
        <v>289</v>
      </c>
      <c r="C22" s="410">
        <v>275</v>
      </c>
      <c r="D22" s="211" t="str">
        <f>+IFERROR(INDEX([7]CONSOLIDADO!$D$4:$D$108,MATCH('EXP ESPEC. 9 - 16'!B22,[7]CONSOLIDADO!$C$4:$C$108,0)),"")</f>
        <v>CONSULTORES EN INGENIERIA S.A.S.</v>
      </c>
      <c r="E22" s="212" t="s">
        <v>550</v>
      </c>
      <c r="F22" s="213" t="s">
        <v>572</v>
      </c>
      <c r="G22" s="214" t="s">
        <v>5</v>
      </c>
      <c r="H22" s="214" t="s">
        <v>5</v>
      </c>
      <c r="I22" s="214" t="s">
        <v>5</v>
      </c>
      <c r="J22" s="214" t="s">
        <v>6</v>
      </c>
      <c r="K22" s="215">
        <v>0.4</v>
      </c>
      <c r="L22" s="216">
        <v>41012</v>
      </c>
      <c r="M22" s="216" t="s">
        <v>573</v>
      </c>
      <c r="N22" s="217">
        <v>2015</v>
      </c>
      <c r="O22" s="202">
        <f>+IFERROR(INDEX([7]PARÁMETROS!$B$11:$B$37,MATCH(N22,[7]PARÁMETROS!$A$11:$A$37,0)),"")</f>
        <v>644350</v>
      </c>
      <c r="P22" s="299">
        <v>24067899117</v>
      </c>
      <c r="Q22" s="202" t="s">
        <v>20</v>
      </c>
      <c r="R22" s="210" t="s">
        <v>54</v>
      </c>
      <c r="S22" s="219" t="s">
        <v>54</v>
      </c>
      <c r="T22" s="220">
        <v>1</v>
      </c>
      <c r="U22" s="202">
        <f t="shared" si="1"/>
        <v>24067899117</v>
      </c>
      <c r="V22" s="204">
        <f t="shared" si="2"/>
        <v>37352.214040505933</v>
      </c>
      <c r="W22" s="204">
        <f t="shared" si="3"/>
        <v>14940.885616202373</v>
      </c>
      <c r="X22" s="214" t="str">
        <f>+IF(W22="","",IF(W22&gt;=[7]PARÁMETROS!$D$5,"CUMPLE","NO CUMPLE"))</f>
        <v>CUMPLE</v>
      </c>
      <c r="Y22" s="221" t="s">
        <v>571</v>
      </c>
      <c r="Z22" s="166"/>
    </row>
    <row r="23" spans="1:26" s="79" customFormat="1" ht="57.75" customHeight="1" x14ac:dyDescent="0.25">
      <c r="A23" s="652" t="s">
        <v>193</v>
      </c>
      <c r="B23" s="125" t="s">
        <v>291</v>
      </c>
      <c r="C23" s="408">
        <v>5</v>
      </c>
      <c r="D23" s="127" t="str">
        <f>+IFERROR(INDEX([7]CONSOLIDADO!$D$4:$D$108,MATCH('EXP ESPEC. 9 - 16'!B23,[7]CONSOLIDADO!$C$4:$C$108,0)),"")</f>
        <v>CB INGENIEROS</v>
      </c>
      <c r="E23" s="128" t="s">
        <v>565</v>
      </c>
      <c r="F23" s="129" t="s">
        <v>582</v>
      </c>
      <c r="G23" s="207" t="s">
        <v>5</v>
      </c>
      <c r="H23" s="207" t="s">
        <v>6</v>
      </c>
      <c r="I23" s="207" t="s">
        <v>5</v>
      </c>
      <c r="J23" s="207" t="s">
        <v>6</v>
      </c>
      <c r="K23" s="131">
        <v>0.2</v>
      </c>
      <c r="L23" s="132">
        <v>40079</v>
      </c>
      <c r="M23" s="132">
        <v>42094</v>
      </c>
      <c r="N23" s="133">
        <f t="shared" ref="N23:N29" si="4">IF(M23="","",YEAR(M23))</f>
        <v>2015</v>
      </c>
      <c r="O23" s="134">
        <f>+IFERROR(INDEX([7]PARÁMETROS!$B$11:$B$37,MATCH(N23,[7]PARÁMETROS!$A$11:$A$37,0)),"")</f>
        <v>644350</v>
      </c>
      <c r="P23" s="249">
        <v>14008976863</v>
      </c>
      <c r="Q23" s="136" t="s">
        <v>20</v>
      </c>
      <c r="R23" s="125" t="s">
        <v>54</v>
      </c>
      <c r="S23" s="137" t="s">
        <v>54</v>
      </c>
      <c r="T23" s="138">
        <v>1</v>
      </c>
      <c r="U23" s="134">
        <f t="shared" si="1"/>
        <v>14008976863</v>
      </c>
      <c r="V23" s="139">
        <f t="shared" si="2"/>
        <v>21741.253764258556</v>
      </c>
      <c r="W23" s="139">
        <f t="shared" si="3"/>
        <v>4348.2507528517117</v>
      </c>
      <c r="X23" s="207" t="str">
        <f>+IF(W23="","",IF(W23&gt;=[7]PARÁMETROS!$D$5,"CUMPLE","NO CUMPLE"))</f>
        <v>CUMPLE</v>
      </c>
      <c r="Y23" s="142"/>
      <c r="Z23" s="112"/>
    </row>
    <row r="24" spans="1:26" s="79" customFormat="1" ht="47.25" customHeight="1" x14ac:dyDescent="0.25">
      <c r="A24" s="653"/>
      <c r="B24" s="63" t="s">
        <v>290</v>
      </c>
      <c r="C24" s="409">
        <v>9</v>
      </c>
      <c r="D24" s="65" t="str">
        <f>+IFERROR(INDEX([7]CONSOLIDADO!$D$4:$D$108,MATCH('EXP ESPEC. 9 - 16'!B24,[7]CONSOLIDADO!$C$4:$C$108,0)),"")</f>
        <v>SEDIC</v>
      </c>
      <c r="E24" s="66" t="s">
        <v>578</v>
      </c>
      <c r="F24" s="67" t="s">
        <v>579</v>
      </c>
      <c r="G24" s="205" t="s">
        <v>5</v>
      </c>
      <c r="H24" s="205" t="s">
        <v>5</v>
      </c>
      <c r="I24" s="205" t="s">
        <v>5</v>
      </c>
      <c r="J24" s="205" t="s">
        <v>6</v>
      </c>
      <c r="K24" s="69">
        <v>1</v>
      </c>
      <c r="L24" s="70">
        <v>36298</v>
      </c>
      <c r="M24" s="70">
        <v>37425</v>
      </c>
      <c r="N24" s="71">
        <f t="shared" si="4"/>
        <v>2002</v>
      </c>
      <c r="O24" s="72">
        <f>+IFERROR(INDEX([7]PARÁMETROS!$B$11:$B$37,MATCH(N24,[7]PARÁMETROS!$A$11:$A$37,0)),"")</f>
        <v>309000</v>
      </c>
      <c r="P24" s="250">
        <v>3800380053</v>
      </c>
      <c r="Q24" s="74" t="s">
        <v>20</v>
      </c>
      <c r="R24" s="63" t="s">
        <v>54</v>
      </c>
      <c r="S24" s="75" t="s">
        <v>54</v>
      </c>
      <c r="T24" s="76">
        <v>1</v>
      </c>
      <c r="U24" s="72">
        <f t="shared" si="1"/>
        <v>3800380053</v>
      </c>
      <c r="V24" s="60">
        <f t="shared" si="2"/>
        <v>12298.964572815534</v>
      </c>
      <c r="W24" s="60">
        <f t="shared" si="3"/>
        <v>12298.964572815534</v>
      </c>
      <c r="X24" s="205" t="str">
        <f>+IF(W24="","",IF(W24&gt;=[7]PARÁMETROS!$D$5,"CUMPLE","NO CUMPLE"))</f>
        <v>CUMPLE</v>
      </c>
      <c r="Y24" s="143"/>
      <c r="Z24" s="112"/>
    </row>
    <row r="25" spans="1:26" s="79" customFormat="1" ht="42.75" customHeight="1" x14ac:dyDescent="0.25">
      <c r="A25" s="653"/>
      <c r="B25" s="63" t="s">
        <v>290</v>
      </c>
      <c r="C25" s="409">
        <v>20</v>
      </c>
      <c r="D25" s="65" t="str">
        <f>+IFERROR(INDEX([7]CONSOLIDADO!$D$4:$D$108,MATCH('EXP ESPEC. 9 - 16'!B25,[7]CONSOLIDADO!$C$4:$C$108,0)),"")</f>
        <v>SEDIC</v>
      </c>
      <c r="E25" s="66" t="s">
        <v>539</v>
      </c>
      <c r="F25" s="67" t="s">
        <v>577</v>
      </c>
      <c r="G25" s="205" t="s">
        <v>5</v>
      </c>
      <c r="H25" s="205" t="s">
        <v>6</v>
      </c>
      <c r="I25" s="205" t="s">
        <v>5</v>
      </c>
      <c r="J25" s="205" t="s">
        <v>6</v>
      </c>
      <c r="K25" s="69">
        <v>1</v>
      </c>
      <c r="L25" s="70">
        <v>34358</v>
      </c>
      <c r="M25" s="70">
        <v>35828</v>
      </c>
      <c r="N25" s="71">
        <f t="shared" si="4"/>
        <v>1998</v>
      </c>
      <c r="O25" s="72">
        <f>+IFERROR(INDEX([7]PARÁMETROS!$B$11:$B$37,MATCH(N25,[7]PARÁMETROS!$A$11:$A$37,0)),"")</f>
        <v>203826</v>
      </c>
      <c r="P25" s="250">
        <v>2834448285</v>
      </c>
      <c r="Q25" s="74" t="s">
        <v>20</v>
      </c>
      <c r="R25" s="63" t="s">
        <v>54</v>
      </c>
      <c r="S25" s="75" t="s">
        <v>54</v>
      </c>
      <c r="T25" s="76">
        <v>1</v>
      </c>
      <c r="U25" s="72">
        <f t="shared" si="1"/>
        <v>2834448285</v>
      </c>
      <c r="V25" s="60">
        <f t="shared" si="2"/>
        <v>13906.215522062936</v>
      </c>
      <c r="W25" s="60">
        <f t="shared" si="3"/>
        <v>13906.215522062936</v>
      </c>
      <c r="X25" s="205" t="str">
        <f>+IF(W25="","",IF(W25&gt;=[7]PARÁMETROS!$D$5,"CUMPLE","NO CUMPLE"))</f>
        <v>CUMPLE</v>
      </c>
      <c r="Y25" s="143"/>
      <c r="Z25" s="112"/>
    </row>
    <row r="26" spans="1:26" s="79" customFormat="1" ht="48" customHeight="1" thickBot="1" x14ac:dyDescent="0.3">
      <c r="A26" s="654"/>
      <c r="B26" s="145" t="s">
        <v>290</v>
      </c>
      <c r="C26" s="411">
        <v>22</v>
      </c>
      <c r="D26" s="146" t="str">
        <f>+IFERROR(INDEX([7]CONSOLIDADO!$D$4:$D$108,MATCH('EXP ESPEC. 9 - 16'!B26,[7]CONSOLIDADO!$C$4:$C$108,0)),"")</f>
        <v>SEDIC</v>
      </c>
      <c r="E26" s="147" t="s">
        <v>565</v>
      </c>
      <c r="F26" s="148" t="s">
        <v>580</v>
      </c>
      <c r="G26" s="208" t="s">
        <v>5</v>
      </c>
      <c r="H26" s="208" t="s">
        <v>6</v>
      </c>
      <c r="I26" s="208" t="s">
        <v>5</v>
      </c>
      <c r="J26" s="208" t="s">
        <v>6</v>
      </c>
      <c r="K26" s="150">
        <v>1</v>
      </c>
      <c r="L26" s="151">
        <v>33161</v>
      </c>
      <c r="M26" s="151">
        <v>35550</v>
      </c>
      <c r="N26" s="152">
        <f t="shared" si="4"/>
        <v>1997</v>
      </c>
      <c r="O26" s="153">
        <f>+IFERROR(INDEX([7]PARÁMETROS!$B$11:$B$37,MATCH(N26,[7]PARÁMETROS!$A$11:$A$37,0)),"")</f>
        <v>172005</v>
      </c>
      <c r="P26" s="291">
        <v>1546808187</v>
      </c>
      <c r="Q26" s="155" t="s">
        <v>20</v>
      </c>
      <c r="R26" s="145" t="s">
        <v>54</v>
      </c>
      <c r="S26" s="156" t="s">
        <v>54</v>
      </c>
      <c r="T26" s="157">
        <v>1</v>
      </c>
      <c r="U26" s="153">
        <f t="shared" si="1"/>
        <v>1546808187</v>
      </c>
      <c r="V26" s="158">
        <f t="shared" si="2"/>
        <v>8992.8094357722166</v>
      </c>
      <c r="W26" s="158">
        <f t="shared" si="3"/>
        <v>8992.8094357722166</v>
      </c>
      <c r="X26" s="208" t="str">
        <f>+IF(W26="","",IF(W26&gt;=[7]PARÁMETROS!$D$5,"CUMPLE","NO CUMPLE"))</f>
        <v>CUMPLE</v>
      </c>
      <c r="Y26" s="160"/>
      <c r="Z26" s="112"/>
    </row>
    <row r="27" spans="1:26" s="79" customFormat="1" ht="30" customHeight="1" x14ac:dyDescent="0.25">
      <c r="A27" s="683" t="s">
        <v>197</v>
      </c>
      <c r="B27" s="113" t="s">
        <v>292</v>
      </c>
      <c r="C27" s="414">
        <v>6</v>
      </c>
      <c r="D27" s="114" t="str">
        <f>+IFERROR(INDEX([7]CONSOLIDADO!$D$4:$D$108,MATCH('EXP ESPEC. 9 - 16'!B27,[7]CONSOLIDADO!$C$4:$C$108,0)),"")</f>
        <v>CEMOSA (COLOMBIA)</v>
      </c>
      <c r="E27" s="128" t="s">
        <v>584</v>
      </c>
      <c r="F27" s="129" t="s">
        <v>585</v>
      </c>
      <c r="G27" s="124" t="s">
        <v>5</v>
      </c>
      <c r="H27" s="124" t="s">
        <v>6</v>
      </c>
      <c r="I27" s="124" t="s">
        <v>5</v>
      </c>
      <c r="J27" s="124" t="s">
        <v>6</v>
      </c>
      <c r="K27" s="131">
        <v>1</v>
      </c>
      <c r="L27" s="132">
        <v>39525</v>
      </c>
      <c r="M27" s="132">
        <v>41580</v>
      </c>
      <c r="N27" s="133">
        <f t="shared" si="4"/>
        <v>2013</v>
      </c>
      <c r="O27" s="134">
        <f>+IFERROR(INDEX([7]PARÁMETROS!$B$11:$B$37,MATCH(N27,[7]PARÁMETROS!$A$11:$A$37,0)),"")</f>
        <v>589500</v>
      </c>
      <c r="P27" s="292">
        <v>1562052.61</v>
      </c>
      <c r="Q27" s="265" t="s">
        <v>546</v>
      </c>
      <c r="R27" s="125">
        <v>1.3530599999999999</v>
      </c>
      <c r="S27" s="137">
        <f>+P27*R27</f>
        <v>2113550.9044865998</v>
      </c>
      <c r="T27" s="138">
        <v>1901.22</v>
      </c>
      <c r="U27" s="119">
        <f>IF(T27&lt;&gt;"",S27*T27,"")</f>
        <v>4018325250.6280136</v>
      </c>
      <c r="V27" s="123">
        <f t="shared" si="2"/>
        <v>6816.4974565360708</v>
      </c>
      <c r="W27" s="123">
        <f t="shared" si="3"/>
        <v>6816.4974565360708</v>
      </c>
      <c r="X27" s="274" t="str">
        <f>+IF(W27="","",IF(W27&gt;=[7]PARÁMETROS!$D$5,"CUMPLE","NO CUMPLE"))</f>
        <v>CUMPLE</v>
      </c>
      <c r="Y27" s="175"/>
      <c r="Z27" s="112"/>
    </row>
    <row r="28" spans="1:26" s="79" customFormat="1" ht="54.75" customHeight="1" x14ac:dyDescent="0.25">
      <c r="A28" s="653"/>
      <c r="B28" s="63" t="s">
        <v>292</v>
      </c>
      <c r="C28" s="409">
        <v>13</v>
      </c>
      <c r="D28" s="65" t="str">
        <f>+IFERROR(INDEX([7]CONSOLIDADO!$D$4:$D$108,MATCH('EXP ESPEC. 9 - 16'!B28,[7]CONSOLIDADO!$C$4:$C$108,0)),"")</f>
        <v>CEMOSA (COLOMBIA)</v>
      </c>
      <c r="E28" s="66" t="s">
        <v>584</v>
      </c>
      <c r="F28" s="67" t="s">
        <v>586</v>
      </c>
      <c r="G28" s="205" t="s">
        <v>5</v>
      </c>
      <c r="H28" s="205" t="s">
        <v>6</v>
      </c>
      <c r="I28" s="205" t="s">
        <v>5</v>
      </c>
      <c r="J28" s="205" t="s">
        <v>6</v>
      </c>
      <c r="K28" s="69">
        <v>1</v>
      </c>
      <c r="L28" s="70">
        <v>37201</v>
      </c>
      <c r="M28" s="70">
        <v>38173</v>
      </c>
      <c r="N28" s="71">
        <f t="shared" si="4"/>
        <v>2004</v>
      </c>
      <c r="O28" s="72">
        <f>+IFERROR(INDEX([7]PARÁMETROS!$B$11:$B$37,MATCH(N28,[7]PARÁMETROS!$A$11:$A$37,0)),"")</f>
        <v>358000</v>
      </c>
      <c r="P28" s="285">
        <v>1561333.21</v>
      </c>
      <c r="Q28" s="74" t="s">
        <v>546</v>
      </c>
      <c r="R28" s="63">
        <v>1.2318</v>
      </c>
      <c r="S28" s="75">
        <f>+P28*R28</f>
        <v>1923250.248078</v>
      </c>
      <c r="T28" s="76">
        <v>2674.1</v>
      </c>
      <c r="U28" s="72">
        <f>IF(T28&lt;&gt;"",S28*T28,"")</f>
        <v>5142963488.3853798</v>
      </c>
      <c r="V28" s="60">
        <f t="shared" si="2"/>
        <v>14365.819799959161</v>
      </c>
      <c r="W28" s="60">
        <f t="shared" si="3"/>
        <v>14365.819799959161</v>
      </c>
      <c r="X28" s="205" t="str">
        <f>+IF(W28="","",IF(W28&gt;=[7]PARÁMETROS!$D$5,"CUMPLE","NO CUMPLE"))</f>
        <v>CUMPLE</v>
      </c>
      <c r="Y28" s="143"/>
      <c r="Z28" s="112"/>
    </row>
    <row r="29" spans="1:26" s="79" customFormat="1" ht="60" customHeight="1" x14ac:dyDescent="0.25">
      <c r="A29" s="653"/>
      <c r="B29" s="63" t="s">
        <v>293</v>
      </c>
      <c r="C29" s="409">
        <v>24</v>
      </c>
      <c r="D29" s="65" t="str">
        <f>+IFERROR(INDEX([7]CONSOLIDADO!$D$4:$D$108,MATCH('EXP ESPEC. 9 - 16'!B29,[7]CONSOLIDADO!$C$4:$C$108,0)),"")</f>
        <v>INGENIERIA Y DESARROLLO XIMA DE COLOMBIA S.A.S.</v>
      </c>
      <c r="E29" s="66" t="s">
        <v>584</v>
      </c>
      <c r="F29" s="67" t="s">
        <v>590</v>
      </c>
      <c r="G29" s="205" t="s">
        <v>5</v>
      </c>
      <c r="H29" s="205" t="s">
        <v>6</v>
      </c>
      <c r="I29" s="205" t="s">
        <v>5</v>
      </c>
      <c r="J29" s="205" t="s">
        <v>6</v>
      </c>
      <c r="K29" s="69">
        <v>0.5</v>
      </c>
      <c r="L29" s="70">
        <v>35586</v>
      </c>
      <c r="M29" s="70">
        <v>37053</v>
      </c>
      <c r="N29" s="71">
        <f t="shared" si="4"/>
        <v>2001</v>
      </c>
      <c r="O29" s="72">
        <f>+IFERROR(INDEX([7]PARÁMETROS!$B$11:$B$37,MATCH(N29,[7]PARÁMETROS!$A$11:$A$37,0)),"")</f>
        <v>286000</v>
      </c>
      <c r="P29" s="285">
        <v>2678981.19</v>
      </c>
      <c r="Q29" s="74" t="s">
        <v>546</v>
      </c>
      <c r="R29" s="63">
        <v>0.84975000000000001</v>
      </c>
      <c r="S29" s="75">
        <f>+P29*R29</f>
        <v>2276464.2662025001</v>
      </c>
      <c r="T29" s="76">
        <v>2296.31</v>
      </c>
      <c r="U29" s="72">
        <f>IF(T29&lt;&gt;"",S29*T29,"")</f>
        <v>5227467659.1234627</v>
      </c>
      <c r="V29" s="60">
        <f t="shared" si="2"/>
        <v>18277.858947984136</v>
      </c>
      <c r="W29" s="60">
        <f t="shared" si="3"/>
        <v>9138.9294739920679</v>
      </c>
      <c r="X29" s="205" t="str">
        <f>+IF(W29="","",IF(W29&gt;=[7]PARÁMETROS!$D$5,"CUMPLE","NO CUMPLE"))</f>
        <v>CUMPLE</v>
      </c>
      <c r="Y29" s="143" t="s">
        <v>589</v>
      </c>
      <c r="Z29" s="112"/>
    </row>
    <row r="30" spans="1:26" s="243" customFormat="1" ht="111" customHeight="1" thickBot="1" x14ac:dyDescent="0.3">
      <c r="A30" s="653"/>
      <c r="B30" s="210" t="s">
        <v>293</v>
      </c>
      <c r="C30" s="410">
        <v>32</v>
      </c>
      <c r="D30" s="211" t="str">
        <f>+IFERROR(INDEX([7]CONSOLIDADO!$D$4:$D$108,MATCH('EXP ESPEC. 9 - 16'!B30,[7]CONSOLIDADO!$C$4:$C$108,0)),"")</f>
        <v>INGENIERIA Y DESARROLLO XIMA DE COLOMBIA S.A.S.</v>
      </c>
      <c r="E30" s="277" t="s">
        <v>19</v>
      </c>
      <c r="F30" s="278" t="s">
        <v>612</v>
      </c>
      <c r="G30" s="214" t="s">
        <v>5</v>
      </c>
      <c r="H30" s="214" t="s">
        <v>5</v>
      </c>
      <c r="I30" s="214" t="s">
        <v>5</v>
      </c>
      <c r="J30" s="214" t="s">
        <v>6</v>
      </c>
      <c r="K30" s="279">
        <v>0.49</v>
      </c>
      <c r="L30" s="280">
        <v>41901</v>
      </c>
      <c r="M30" s="280">
        <v>42490</v>
      </c>
      <c r="N30" s="217">
        <f t="shared" si="0"/>
        <v>2016</v>
      </c>
      <c r="O30" s="202">
        <f>+IFERROR(INDEX([7]PARÁMETROS!$B$11:$B$37,MATCH(N30,[7]PARÁMETROS!$A$11:$A$37,0)),"")</f>
        <v>689554</v>
      </c>
      <c r="P30" s="300">
        <v>4556804783</v>
      </c>
      <c r="Q30" s="301" t="s">
        <v>20</v>
      </c>
      <c r="R30" s="210" t="s">
        <v>54</v>
      </c>
      <c r="S30" s="219" t="s">
        <v>54</v>
      </c>
      <c r="T30" s="220">
        <v>1</v>
      </c>
      <c r="U30" s="202">
        <f>IF(T30&lt;&gt;"",P30*T30,"")</f>
        <v>4556804783</v>
      </c>
      <c r="V30" s="204">
        <f t="shared" si="2"/>
        <v>6608.3363782966962</v>
      </c>
      <c r="W30" s="204">
        <f t="shared" si="3"/>
        <v>3238.0848253653812</v>
      </c>
      <c r="X30" s="214" t="str">
        <f>+IF(W30="","",IF(W30&gt;=[7]PARÁMETROS!$D$5,"CUMPLE","NO CUMPLE"))</f>
        <v>CUMPLE</v>
      </c>
      <c r="Y30" s="302"/>
      <c r="Z30" s="276"/>
    </row>
    <row r="31" spans="1:26" s="237" customFormat="1" ht="69.75" customHeight="1" x14ac:dyDescent="0.25">
      <c r="A31" s="652" t="s">
        <v>200</v>
      </c>
      <c r="B31" s="125" t="s">
        <v>294</v>
      </c>
      <c r="C31" s="408">
        <v>4</v>
      </c>
      <c r="D31" s="127" t="str">
        <f>+IFERROR(INDEX([7]CONSOLIDADO!$D$4:$D$108,MATCH('EXP ESPEC. 9 - 16'!B31,[7]CONSOLIDADO!$C$4:$C$108,0)),"")</f>
        <v>SUPERING S.A.S.</v>
      </c>
      <c r="E31" s="128" t="s">
        <v>613</v>
      </c>
      <c r="F31" s="129" t="s">
        <v>593</v>
      </c>
      <c r="G31" s="207" t="s">
        <v>5</v>
      </c>
      <c r="H31" s="207" t="s">
        <v>6</v>
      </c>
      <c r="I31" s="207" t="s">
        <v>5</v>
      </c>
      <c r="J31" s="207" t="s">
        <v>6</v>
      </c>
      <c r="K31" s="131">
        <v>1</v>
      </c>
      <c r="L31" s="132">
        <v>38807</v>
      </c>
      <c r="M31" s="132">
        <v>39813</v>
      </c>
      <c r="N31" s="133">
        <f t="shared" si="0"/>
        <v>2008</v>
      </c>
      <c r="O31" s="134">
        <f>+IFERROR(INDEX([7]PARÁMETROS!$B$11:$B$37,MATCH(N31,[7]PARÁMETROS!$A$11:$A$37,0)),"")</f>
        <v>461500</v>
      </c>
      <c r="P31" s="249">
        <v>47481903.439999998</v>
      </c>
      <c r="Q31" s="134" t="s">
        <v>559</v>
      </c>
      <c r="R31" s="125">
        <v>7.2569999999999996E-2</v>
      </c>
      <c r="S31" s="137">
        <f>+P31*R31</f>
        <v>3445761.7326407996</v>
      </c>
      <c r="T31" s="138">
        <v>2243.59</v>
      </c>
      <c r="U31" s="134">
        <f>IF(T31&lt;&gt;"",S31*T31,"")</f>
        <v>7730876565.7355719</v>
      </c>
      <c r="V31" s="139">
        <f t="shared" si="2"/>
        <v>16751.62852813775</v>
      </c>
      <c r="W31" s="139">
        <f t="shared" si="3"/>
        <v>16751.62852813775</v>
      </c>
      <c r="X31" s="207" t="str">
        <f>+IF(W31="","",IF(W31&gt;=[7]PARÁMETROS!$D$5,"CUMPLE","NO CUMPLE"))</f>
        <v>CUMPLE</v>
      </c>
      <c r="Y31" s="142"/>
      <c r="Z31" s="303"/>
    </row>
    <row r="32" spans="1:26" s="79" customFormat="1" ht="42.75" x14ac:dyDescent="0.25">
      <c r="A32" s="653"/>
      <c r="B32" s="587" t="s">
        <v>294</v>
      </c>
      <c r="C32" s="409">
        <v>8</v>
      </c>
      <c r="D32" s="65" t="str">
        <f>+IFERROR(INDEX([7]CONSOLIDADO!$D$4:$D$108,MATCH('EXP ESPEC. 9 - 16'!B32,[7]CONSOLIDADO!$C$4:$C$108,0)),"")</f>
        <v>SUPERING S.A.S.</v>
      </c>
      <c r="E32" s="66" t="s">
        <v>614</v>
      </c>
      <c r="F32" s="67" t="s">
        <v>615</v>
      </c>
      <c r="G32" s="205" t="s">
        <v>5</v>
      </c>
      <c r="H32" s="205" t="s">
        <v>6</v>
      </c>
      <c r="I32" s="205" t="s">
        <v>5</v>
      </c>
      <c r="J32" s="205" t="s">
        <v>6</v>
      </c>
      <c r="K32" s="69">
        <v>1</v>
      </c>
      <c r="L32" s="70">
        <v>39692</v>
      </c>
      <c r="M32" s="70">
        <v>40724</v>
      </c>
      <c r="N32" s="71">
        <f t="shared" si="0"/>
        <v>2011</v>
      </c>
      <c r="O32" s="72">
        <f>+IFERROR(INDEX([7]PARÁMETROS!$B$11:$B$37,MATCH(N32,[7]PARÁMETROS!$A$11:$A$37,0)),"")</f>
        <v>535600</v>
      </c>
      <c r="P32" s="73">
        <v>38398960</v>
      </c>
      <c r="Q32" s="72" t="s">
        <v>559</v>
      </c>
      <c r="R32" s="63">
        <v>8.4720000000000004E-2</v>
      </c>
      <c r="S32" s="75">
        <f>+P32*R32</f>
        <v>3253159.8912</v>
      </c>
      <c r="T32" s="76">
        <v>1780.16</v>
      </c>
      <c r="U32" s="72">
        <f>IF(T32&lt;&gt;"",S32*T32,"")</f>
        <v>5791145111.9185925</v>
      </c>
      <c r="V32" s="60">
        <f t="shared" si="2"/>
        <v>10812.444197010069</v>
      </c>
      <c r="W32" s="60">
        <f t="shared" si="3"/>
        <v>10812.444197010069</v>
      </c>
      <c r="X32" s="205" t="str">
        <f>+IF(W32="","",IF(W32&gt;=[7]PARÁMETROS!$D$5,"CUMPLE","NO CUMPLE"))</f>
        <v>CUMPLE</v>
      </c>
      <c r="Y32" s="143"/>
      <c r="Z32" s="112"/>
    </row>
    <row r="33" spans="1:26" s="79" customFormat="1" ht="114" x14ac:dyDescent="0.25">
      <c r="A33" s="653"/>
      <c r="B33" s="587" t="s">
        <v>294</v>
      </c>
      <c r="C33" s="409">
        <v>11</v>
      </c>
      <c r="D33" s="65" t="str">
        <f>+IFERROR(INDEX([7]CONSOLIDADO!$D$4:$D$108,MATCH('EXP ESPEC. 9 - 16'!B33,[7]CONSOLIDADO!$C$4:$C$108,0)),"")</f>
        <v>SUPERING S.A.S.</v>
      </c>
      <c r="E33" s="89" t="s">
        <v>19</v>
      </c>
      <c r="F33" s="67" t="s">
        <v>616</v>
      </c>
      <c r="G33" s="205" t="s">
        <v>5</v>
      </c>
      <c r="H33" s="205" t="s">
        <v>5</v>
      </c>
      <c r="I33" s="205" t="s">
        <v>5</v>
      </c>
      <c r="J33" s="205" t="s">
        <v>6</v>
      </c>
      <c r="K33" s="69">
        <v>0.75</v>
      </c>
      <c r="L33" s="70">
        <v>37790</v>
      </c>
      <c r="M33" s="304">
        <v>38612</v>
      </c>
      <c r="N33" s="305">
        <f t="shared" si="0"/>
        <v>2005</v>
      </c>
      <c r="O33" s="72">
        <f>+IFERROR(INDEX([7]PARÁMETROS!$B$11:$B$37,MATCH(N33,[7]PARÁMETROS!$A$11:$A$37,0)),"")</f>
        <v>381500</v>
      </c>
      <c r="P33" s="73">
        <v>2363195725</v>
      </c>
      <c r="Q33" s="74" t="s">
        <v>20</v>
      </c>
      <c r="R33" s="63" t="s">
        <v>54</v>
      </c>
      <c r="S33" s="75" t="s">
        <v>54</v>
      </c>
      <c r="T33" s="76">
        <v>1</v>
      </c>
      <c r="U33" s="72">
        <f t="shared" si="1"/>
        <v>2363195725</v>
      </c>
      <c r="V33" s="60">
        <f t="shared" si="2"/>
        <v>6194.4842070773266</v>
      </c>
      <c r="W33" s="60">
        <f t="shared" si="3"/>
        <v>4645.8631553079949</v>
      </c>
      <c r="X33" s="205" t="str">
        <f>+IF(W33="","",IF(W33&gt;=[7]PARÁMETROS!$D$5,"CUMPLE","NO CUMPLE"))</f>
        <v>CUMPLE</v>
      </c>
      <c r="Y33" s="143" t="s">
        <v>878</v>
      </c>
      <c r="Z33" s="112"/>
    </row>
    <row r="34" spans="1:26" s="243" customFormat="1" ht="57.75" thickBot="1" x14ac:dyDescent="0.3">
      <c r="A34" s="653"/>
      <c r="B34" s="458" t="s">
        <v>294</v>
      </c>
      <c r="C34" s="410">
        <v>13</v>
      </c>
      <c r="D34" s="211" t="str">
        <f>+IFERROR(INDEX([7]CONSOLIDADO!$D$4:$D$108,MATCH('EXP ESPEC. 9 - 16'!B34,[7]CONSOLIDADO!$C$4:$C$108,0)),"")</f>
        <v>SUPERING S.A.S.</v>
      </c>
      <c r="E34" s="277" t="s">
        <v>19</v>
      </c>
      <c r="F34" s="212" t="s">
        <v>591</v>
      </c>
      <c r="G34" s="214" t="s">
        <v>5</v>
      </c>
      <c r="H34" s="214" t="s">
        <v>5</v>
      </c>
      <c r="I34" s="214" t="s">
        <v>5</v>
      </c>
      <c r="J34" s="214" t="s">
        <v>6</v>
      </c>
      <c r="K34" s="215">
        <v>0.3</v>
      </c>
      <c r="L34" s="216">
        <v>37229</v>
      </c>
      <c r="M34" s="216">
        <v>40168</v>
      </c>
      <c r="N34" s="217">
        <f t="shared" si="0"/>
        <v>2009</v>
      </c>
      <c r="O34" s="202">
        <f>+IFERROR(INDEX([8]PARÁMETROS!$B$11:$B$37,MATCH(N34,[8]PARÁMETROS!$A$11:$A$37,0)),"")</f>
        <v>496900</v>
      </c>
      <c r="P34" s="218">
        <v>23197769047.380001</v>
      </c>
      <c r="Q34" s="203" t="s">
        <v>20</v>
      </c>
      <c r="R34" s="210" t="s">
        <v>54</v>
      </c>
      <c r="S34" s="219" t="s">
        <v>54</v>
      </c>
      <c r="T34" s="220">
        <v>1</v>
      </c>
      <c r="U34" s="202">
        <f t="shared" si="1"/>
        <v>23197769047.380001</v>
      </c>
      <c r="V34" s="204">
        <f t="shared" si="2"/>
        <v>46684.985001770983</v>
      </c>
      <c r="W34" s="204">
        <f t="shared" si="3"/>
        <v>14005.495500531295</v>
      </c>
      <c r="X34" s="214" t="str">
        <f>+IF(W34="","",IF(W34&gt;=[7]PARÁMETROS!$D$5,"CUMPLE","NO CUMPLE"))</f>
        <v>CUMPLE</v>
      </c>
      <c r="Y34" s="221"/>
      <c r="Z34" s="276"/>
    </row>
    <row r="35" spans="1:26" s="237" customFormat="1" x14ac:dyDescent="0.25">
      <c r="A35" s="684"/>
      <c r="B35" s="125"/>
      <c r="C35" s="408"/>
      <c r="D35" s="127"/>
      <c r="E35" s="128"/>
      <c r="F35" s="128"/>
      <c r="G35" s="207"/>
      <c r="H35" s="207"/>
      <c r="I35" s="207"/>
      <c r="J35" s="207"/>
      <c r="K35" s="170"/>
      <c r="L35" s="132"/>
      <c r="M35" s="132"/>
      <c r="N35" s="133"/>
      <c r="O35" s="134"/>
      <c r="P35" s="294"/>
      <c r="Q35" s="134"/>
      <c r="R35" s="125"/>
      <c r="S35" s="137"/>
      <c r="T35" s="138"/>
      <c r="U35" s="134"/>
      <c r="V35" s="139"/>
      <c r="W35" s="139"/>
      <c r="X35" s="207"/>
      <c r="Y35" s="128"/>
    </row>
    <row r="36" spans="1:26" s="79" customFormat="1" x14ac:dyDescent="0.25">
      <c r="A36" s="684"/>
      <c r="B36" s="63"/>
      <c r="C36" s="409"/>
      <c r="D36" s="65"/>
      <c r="E36" s="66"/>
      <c r="F36" s="66"/>
      <c r="G36" s="205"/>
      <c r="H36" s="205"/>
      <c r="I36" s="205"/>
      <c r="J36" s="205"/>
      <c r="K36" s="80"/>
      <c r="L36" s="70"/>
      <c r="M36" s="70"/>
      <c r="N36" s="71"/>
      <c r="O36" s="72"/>
      <c r="P36" s="286"/>
      <c r="Q36" s="72"/>
      <c r="R36" s="63"/>
      <c r="S36" s="75"/>
      <c r="T36" s="76"/>
      <c r="U36" s="72"/>
      <c r="V36" s="60"/>
      <c r="W36" s="60"/>
      <c r="X36" s="205"/>
      <c r="Y36" s="66"/>
    </row>
    <row r="37" spans="1:26" s="79" customFormat="1" ht="30" customHeight="1" x14ac:dyDescent="0.25">
      <c r="A37" s="684"/>
      <c r="B37" s="63"/>
      <c r="C37" s="409"/>
      <c r="D37" s="65"/>
      <c r="E37" s="66"/>
      <c r="F37" s="66"/>
      <c r="G37" s="205"/>
      <c r="H37" s="205"/>
      <c r="I37" s="205"/>
      <c r="J37" s="205"/>
      <c r="K37" s="80"/>
      <c r="L37" s="70"/>
      <c r="M37" s="70"/>
      <c r="N37" s="71"/>
      <c r="O37" s="72"/>
      <c r="P37" s="286"/>
      <c r="Q37" s="72"/>
      <c r="R37" s="63"/>
      <c r="S37" s="75"/>
      <c r="T37" s="76"/>
      <c r="U37" s="72"/>
      <c r="V37" s="60"/>
      <c r="W37" s="60"/>
      <c r="X37" s="205"/>
      <c r="Y37" s="66"/>
    </row>
    <row r="38" spans="1:26" s="252" customFormat="1" ht="16.5" thickBot="1" x14ac:dyDescent="0.3">
      <c r="A38" s="684"/>
      <c r="B38" s="145"/>
      <c r="C38" s="411"/>
      <c r="D38" s="146"/>
      <c r="E38" s="306"/>
      <c r="F38" s="148"/>
      <c r="G38" s="208"/>
      <c r="H38" s="208"/>
      <c r="I38" s="208"/>
      <c r="J38" s="208"/>
      <c r="K38" s="172"/>
      <c r="L38" s="151"/>
      <c r="M38" s="151"/>
      <c r="N38" s="152"/>
      <c r="O38" s="153"/>
      <c r="P38" s="173"/>
      <c r="Q38" s="153"/>
      <c r="R38" s="145"/>
      <c r="S38" s="156"/>
      <c r="T38" s="157"/>
      <c r="U38" s="153"/>
      <c r="V38" s="158"/>
      <c r="W38" s="158"/>
      <c r="X38" s="208"/>
      <c r="Y38" s="147"/>
    </row>
    <row r="39" spans="1:26" s="266" customFormat="1" ht="30" customHeight="1" x14ac:dyDescent="0.25">
      <c r="A39" s="652"/>
      <c r="B39" s="113"/>
      <c r="C39" s="414"/>
      <c r="D39" s="114" t="str">
        <f>+IFERROR(INDEX([7]CONSOLIDADO!$D$4:$D$108,MATCH('EXP ESPEC. 9 - 16'!B39,[7]CONSOLIDADO!$C$4:$C$108,0)),"")</f>
        <v/>
      </c>
      <c r="E39" s="115"/>
      <c r="F39" s="115"/>
      <c r="G39" s="124"/>
      <c r="H39" s="124"/>
      <c r="I39" s="124"/>
      <c r="J39" s="124"/>
      <c r="K39" s="167"/>
      <c r="L39" s="118"/>
      <c r="M39" s="118"/>
      <c r="N39" s="168" t="str">
        <f t="shared" si="0"/>
        <v/>
      </c>
      <c r="O39" s="119" t="str">
        <f>+IFERROR(INDEX([7]PARÁMETROS!$B$11:$B$37,MATCH(N39,[7]PARÁMETROS!$A$11:$A$37,0)),"")</f>
        <v/>
      </c>
      <c r="P39" s="169"/>
      <c r="Q39" s="119"/>
      <c r="R39" s="113"/>
      <c r="S39" s="121"/>
      <c r="T39" s="122"/>
      <c r="U39" s="119" t="str">
        <f t="shared" si="1"/>
        <v/>
      </c>
      <c r="V39" s="123" t="str">
        <f t="shared" si="2"/>
        <v/>
      </c>
      <c r="W39" s="123" t="str">
        <f t="shared" si="3"/>
        <v/>
      </c>
      <c r="X39" s="274" t="str">
        <f>+IF(W39="","",IF(W39&gt;=[7]PARÁMETROS!$D$5,"CUMPLE","NO CUMPLE"))</f>
        <v/>
      </c>
      <c r="Y39" s="175"/>
      <c r="Z39" s="275"/>
    </row>
    <row r="40" spans="1:26" s="79" customFormat="1" ht="30" customHeight="1" x14ac:dyDescent="0.25">
      <c r="A40" s="653"/>
      <c r="B40" s="63"/>
      <c r="C40" s="409"/>
      <c r="D40" s="65" t="str">
        <f>+IFERROR(INDEX([7]CONSOLIDADO!$D$4:$D$108,MATCH('EXP ESPEC. 9 - 16'!B40,[7]CONSOLIDADO!$C$4:$C$108,0)),"")</f>
        <v/>
      </c>
      <c r="E40" s="66"/>
      <c r="F40" s="66"/>
      <c r="G40" s="205"/>
      <c r="H40" s="205"/>
      <c r="I40" s="205"/>
      <c r="J40" s="205"/>
      <c r="K40" s="80"/>
      <c r="L40" s="70"/>
      <c r="M40" s="70"/>
      <c r="N40" s="71" t="str">
        <f t="shared" si="0"/>
        <v/>
      </c>
      <c r="O40" s="72" t="str">
        <f>+IFERROR(INDEX([7]PARÁMETROS!$B$11:$B$37,MATCH(N40,[7]PARÁMETROS!$A$11:$A$37,0)),"")</f>
        <v/>
      </c>
      <c r="P40" s="81"/>
      <c r="Q40" s="72"/>
      <c r="R40" s="63"/>
      <c r="S40" s="75"/>
      <c r="T40" s="76"/>
      <c r="U40" s="72" t="str">
        <f t="shared" si="1"/>
        <v/>
      </c>
      <c r="V40" s="60" t="str">
        <f t="shared" si="2"/>
        <v/>
      </c>
      <c r="W40" s="60" t="str">
        <f t="shared" si="3"/>
        <v/>
      </c>
      <c r="X40" s="205" t="str">
        <f>+IF(W40="","",IF(W40&gt;=[7]PARÁMETROS!$D$5,"CUMPLE","NO CUMPLE"))</f>
        <v/>
      </c>
      <c r="Y40" s="143"/>
      <c r="Z40" s="112"/>
    </row>
    <row r="41" spans="1:26" s="79" customFormat="1" ht="30" customHeight="1" x14ac:dyDescent="0.25">
      <c r="A41" s="653"/>
      <c r="B41" s="63"/>
      <c r="C41" s="409"/>
      <c r="D41" s="65" t="str">
        <f>+IFERROR(INDEX([7]CONSOLIDADO!$D$4:$D$108,MATCH('EXP ESPEC. 9 - 16'!B41,[7]CONSOLIDADO!$C$4:$C$108,0)),"")</f>
        <v/>
      </c>
      <c r="E41" s="66"/>
      <c r="F41" s="66"/>
      <c r="G41" s="205"/>
      <c r="H41" s="205"/>
      <c r="I41" s="205"/>
      <c r="J41" s="205"/>
      <c r="K41" s="80"/>
      <c r="L41" s="70"/>
      <c r="M41" s="70"/>
      <c r="N41" s="71" t="str">
        <f t="shared" si="0"/>
        <v/>
      </c>
      <c r="O41" s="72" t="str">
        <f>+IFERROR(INDEX([7]PARÁMETROS!$B$11:$B$37,MATCH(N41,[7]PARÁMETROS!$A$11:$A$37,0)),"")</f>
        <v/>
      </c>
      <c r="P41" s="81"/>
      <c r="Q41" s="72"/>
      <c r="R41" s="63"/>
      <c r="S41" s="75"/>
      <c r="T41" s="76"/>
      <c r="U41" s="72" t="str">
        <f t="shared" si="1"/>
        <v/>
      </c>
      <c r="V41" s="60" t="str">
        <f t="shared" si="2"/>
        <v/>
      </c>
      <c r="W41" s="60" t="str">
        <f t="shared" si="3"/>
        <v/>
      </c>
      <c r="X41" s="205" t="str">
        <f>+IF(W41="","",IF(W41&gt;=[7]PARÁMETROS!$D$5,"CUMPLE","NO CUMPLE"))</f>
        <v/>
      </c>
      <c r="Y41" s="143"/>
      <c r="Z41" s="112"/>
    </row>
    <row r="42" spans="1:26" s="79" customFormat="1" ht="30" customHeight="1" thickBot="1" x14ac:dyDescent="0.3">
      <c r="A42" s="653"/>
      <c r="B42" s="63"/>
      <c r="C42" s="409"/>
      <c r="D42" s="65" t="str">
        <f>+IFERROR(INDEX([7]CONSOLIDADO!$D$4:$D$108,MATCH('EXP ESPEC. 9 - 16'!B42,[7]CONSOLIDADO!$C$4:$C$108,0)),"")</f>
        <v/>
      </c>
      <c r="E42" s="66"/>
      <c r="F42" s="66"/>
      <c r="G42" s="205"/>
      <c r="H42" s="205"/>
      <c r="I42" s="205"/>
      <c r="J42" s="205"/>
      <c r="K42" s="80"/>
      <c r="L42" s="70"/>
      <c r="M42" s="70"/>
      <c r="N42" s="71" t="str">
        <f t="shared" si="0"/>
        <v/>
      </c>
      <c r="O42" s="72" t="str">
        <f>+IFERROR(INDEX([7]PARÁMETROS!$B$11:$B$37,MATCH(N42,[7]PARÁMETROS!$A$11:$A$37,0)),"")</f>
        <v/>
      </c>
      <c r="P42" s="81"/>
      <c r="Q42" s="72"/>
      <c r="R42" s="63"/>
      <c r="S42" s="75"/>
      <c r="T42" s="76"/>
      <c r="U42" s="72" t="str">
        <f t="shared" si="1"/>
        <v/>
      </c>
      <c r="V42" s="60" t="str">
        <f t="shared" si="2"/>
        <v/>
      </c>
      <c r="W42" s="60" t="str">
        <f t="shared" si="3"/>
        <v/>
      </c>
      <c r="X42" s="208" t="str">
        <f>+IF(W42="","",IF(W42&gt;=[7]PARÁMETROS!$D$5,"CUMPLE","NO CUMPLE"))</f>
        <v/>
      </c>
      <c r="Y42" s="143"/>
      <c r="Z42" s="112"/>
    </row>
    <row r="43" spans="1:26" s="79" customFormat="1" ht="30" customHeight="1" x14ac:dyDescent="0.25">
      <c r="A43" s="652"/>
      <c r="B43" s="125"/>
      <c r="C43" s="408"/>
      <c r="D43" s="127" t="str">
        <f>+IFERROR(INDEX([7]CONSOLIDADO!$D$4:$D$108,MATCH('EXP ESPEC. 9 - 16'!B43,[7]CONSOLIDADO!$C$4:$C$108,0)),"")</f>
        <v/>
      </c>
      <c r="E43" s="128"/>
      <c r="F43" s="128"/>
      <c r="G43" s="207"/>
      <c r="H43" s="207"/>
      <c r="I43" s="207"/>
      <c r="J43" s="207"/>
      <c r="K43" s="170"/>
      <c r="L43" s="132"/>
      <c r="M43" s="132"/>
      <c r="N43" s="133" t="str">
        <f t="shared" si="0"/>
        <v/>
      </c>
      <c r="O43" s="134" t="str">
        <f>+IFERROR(INDEX([7]PARÁMETROS!$B$11:$B$37,MATCH(N43,[7]PARÁMETROS!$A$11:$A$37,0)),"")</f>
        <v/>
      </c>
      <c r="P43" s="171"/>
      <c r="Q43" s="134"/>
      <c r="R43" s="125"/>
      <c r="S43" s="137"/>
      <c r="T43" s="138"/>
      <c r="U43" s="134" t="str">
        <f t="shared" si="1"/>
        <v/>
      </c>
      <c r="V43" s="139" t="str">
        <f t="shared" si="2"/>
        <v/>
      </c>
      <c r="W43" s="139" t="str">
        <f t="shared" si="3"/>
        <v/>
      </c>
      <c r="X43" s="176" t="str">
        <f>+IF(W43="","",IF(W43&gt;=[7]PARÁMETROS!$D$5,"CUMPLE","NO CUMPLE"))</f>
        <v/>
      </c>
      <c r="Y43" s="142"/>
      <c r="Z43" s="112"/>
    </row>
    <row r="44" spans="1:26" s="79" customFormat="1" ht="30" customHeight="1" x14ac:dyDescent="0.25">
      <c r="A44" s="653"/>
      <c r="B44" s="63"/>
      <c r="C44" s="409"/>
      <c r="D44" s="65" t="str">
        <f>+IFERROR(INDEX([7]CONSOLIDADO!$D$4:$D$108,MATCH('EXP ESPEC. 9 - 16'!B44,[7]CONSOLIDADO!$C$4:$C$108,0)),"")</f>
        <v/>
      </c>
      <c r="E44" s="66"/>
      <c r="F44" s="66"/>
      <c r="G44" s="205"/>
      <c r="H44" s="205"/>
      <c r="I44" s="205"/>
      <c r="J44" s="205"/>
      <c r="K44" s="80"/>
      <c r="L44" s="70"/>
      <c r="M44" s="70"/>
      <c r="N44" s="71" t="str">
        <f t="shared" si="0"/>
        <v/>
      </c>
      <c r="O44" s="72" t="str">
        <f>+IFERROR(INDEX([7]PARÁMETROS!$B$11:$B$37,MATCH(N44,[7]PARÁMETROS!$A$11:$A$37,0)),"")</f>
        <v/>
      </c>
      <c r="P44" s="81"/>
      <c r="Q44" s="72"/>
      <c r="R44" s="63"/>
      <c r="S44" s="75"/>
      <c r="T44" s="76"/>
      <c r="U44" s="72" t="str">
        <f t="shared" si="1"/>
        <v/>
      </c>
      <c r="V44" s="60" t="str">
        <f t="shared" si="2"/>
        <v/>
      </c>
      <c r="W44" s="60" t="str">
        <f t="shared" si="3"/>
        <v/>
      </c>
      <c r="X44" s="205" t="str">
        <f>+IF(W44="","",IF(W44&gt;=[7]PARÁMETROS!$D$5,"CUMPLE","NO CUMPLE"))</f>
        <v/>
      </c>
      <c r="Y44" s="143"/>
      <c r="Z44" s="112"/>
    </row>
    <row r="45" spans="1:26" s="79" customFormat="1" ht="30" customHeight="1" x14ac:dyDescent="0.25">
      <c r="A45" s="653"/>
      <c r="B45" s="63"/>
      <c r="C45" s="409"/>
      <c r="D45" s="65" t="str">
        <f>+IFERROR(INDEX([7]CONSOLIDADO!$D$4:$D$108,MATCH('EXP ESPEC. 9 - 16'!B45,[7]CONSOLIDADO!$C$4:$C$108,0)),"")</f>
        <v/>
      </c>
      <c r="E45" s="66"/>
      <c r="F45" s="66"/>
      <c r="G45" s="205"/>
      <c r="H45" s="205"/>
      <c r="I45" s="205"/>
      <c r="J45" s="205"/>
      <c r="K45" s="80"/>
      <c r="L45" s="70"/>
      <c r="M45" s="70"/>
      <c r="N45" s="71" t="str">
        <f t="shared" si="0"/>
        <v/>
      </c>
      <c r="O45" s="72" t="str">
        <f>+IFERROR(INDEX([7]PARÁMETROS!$B$11:$B$37,MATCH(N45,[7]PARÁMETROS!$A$11:$A$37,0)),"")</f>
        <v/>
      </c>
      <c r="P45" s="81"/>
      <c r="Q45" s="72"/>
      <c r="R45" s="63"/>
      <c r="S45" s="75"/>
      <c r="T45" s="76"/>
      <c r="U45" s="72" t="str">
        <f t="shared" si="1"/>
        <v/>
      </c>
      <c r="V45" s="60" t="str">
        <f t="shared" si="2"/>
        <v/>
      </c>
      <c r="W45" s="60" t="str">
        <f t="shared" si="3"/>
        <v/>
      </c>
      <c r="X45" s="205" t="str">
        <f>+IF(W45="","",IF(W45&gt;=[7]PARÁMETROS!$D$5,"CUMPLE","NO CUMPLE"))</f>
        <v/>
      </c>
      <c r="Y45" s="143"/>
      <c r="Z45" s="112"/>
    </row>
    <row r="46" spans="1:26" s="79" customFormat="1" ht="30" customHeight="1" thickBot="1" x14ac:dyDescent="0.3">
      <c r="A46" s="653"/>
      <c r="B46" s="63"/>
      <c r="C46" s="409"/>
      <c r="D46" s="65" t="str">
        <f>+IFERROR(INDEX([7]CONSOLIDADO!$D$4:$D$108,MATCH('EXP ESPEC. 9 - 16'!B46,[7]CONSOLIDADO!$C$4:$C$108,0)),"")</f>
        <v/>
      </c>
      <c r="E46" s="66"/>
      <c r="F46" s="66"/>
      <c r="G46" s="205"/>
      <c r="H46" s="205"/>
      <c r="I46" s="205"/>
      <c r="J46" s="205"/>
      <c r="K46" s="80"/>
      <c r="L46" s="70"/>
      <c r="M46" s="70"/>
      <c r="N46" s="71" t="str">
        <f t="shared" si="0"/>
        <v/>
      </c>
      <c r="O46" s="72" t="str">
        <f>+IFERROR(INDEX([7]PARÁMETROS!$B$11:$B$37,MATCH(N46,[7]PARÁMETROS!$A$11:$A$37,0)),"")</f>
        <v/>
      </c>
      <c r="P46" s="81"/>
      <c r="Q46" s="72"/>
      <c r="R46" s="63"/>
      <c r="S46" s="75"/>
      <c r="T46" s="76"/>
      <c r="U46" s="72" t="str">
        <f t="shared" si="1"/>
        <v/>
      </c>
      <c r="V46" s="60" t="str">
        <f t="shared" si="2"/>
        <v/>
      </c>
      <c r="W46" s="60" t="str">
        <f t="shared" si="3"/>
        <v/>
      </c>
      <c r="X46" s="208" t="str">
        <f>+IF(W46="","",IF(W46&gt;=[7]PARÁMETROS!$D$5,"CUMPLE","NO CUMPLE"))</f>
        <v/>
      </c>
      <c r="Y46" s="143"/>
      <c r="Z46" s="112"/>
    </row>
    <row r="47" spans="1:26" s="79" customFormat="1" ht="30" customHeight="1" x14ac:dyDescent="0.25">
      <c r="A47" s="652"/>
      <c r="B47" s="125"/>
      <c r="C47" s="408"/>
      <c r="D47" s="127" t="str">
        <f>+IFERROR(INDEX([7]CONSOLIDADO!$D$4:$D$108,MATCH('EXP ESPEC. 9 - 16'!B47,[7]CONSOLIDADO!$C$4:$C$108,0)),"")</f>
        <v/>
      </c>
      <c r="E47" s="128"/>
      <c r="F47" s="128"/>
      <c r="G47" s="207"/>
      <c r="H47" s="207"/>
      <c r="I47" s="207"/>
      <c r="J47" s="207"/>
      <c r="K47" s="170"/>
      <c r="L47" s="132"/>
      <c r="M47" s="132"/>
      <c r="N47" s="133" t="str">
        <f t="shared" si="0"/>
        <v/>
      </c>
      <c r="O47" s="134" t="str">
        <f>+IFERROR(INDEX([7]PARÁMETROS!$B$11:$B$37,MATCH(N47,[7]PARÁMETROS!$A$11:$A$37,0)),"")</f>
        <v/>
      </c>
      <c r="P47" s="171"/>
      <c r="Q47" s="134"/>
      <c r="R47" s="125"/>
      <c r="S47" s="137"/>
      <c r="T47" s="138"/>
      <c r="U47" s="134" t="str">
        <f t="shared" si="1"/>
        <v/>
      </c>
      <c r="V47" s="139" t="str">
        <f t="shared" si="2"/>
        <v/>
      </c>
      <c r="W47" s="139" t="str">
        <f t="shared" si="3"/>
        <v/>
      </c>
      <c r="X47" s="176" t="str">
        <f>+IF(W47="","",IF(W47&gt;=[7]PARÁMETROS!$D$5,"CUMPLE","NO CUMPLE"))</f>
        <v/>
      </c>
      <c r="Y47" s="142"/>
      <c r="Z47" s="112"/>
    </row>
    <row r="48" spans="1:26" s="79" customFormat="1" ht="30" customHeight="1" x14ac:dyDescent="0.25">
      <c r="A48" s="653"/>
      <c r="B48" s="63"/>
      <c r="C48" s="409"/>
      <c r="D48" s="65" t="str">
        <f>+IFERROR(INDEX([7]CONSOLIDADO!$D$4:$D$108,MATCH('EXP ESPEC. 9 - 16'!B48,[7]CONSOLIDADO!$C$4:$C$108,0)),"")</f>
        <v/>
      </c>
      <c r="E48" s="66"/>
      <c r="F48" s="66"/>
      <c r="G48" s="205"/>
      <c r="H48" s="205"/>
      <c r="I48" s="205"/>
      <c r="J48" s="205"/>
      <c r="K48" s="80"/>
      <c r="L48" s="70"/>
      <c r="M48" s="70"/>
      <c r="N48" s="71" t="str">
        <f t="shared" si="0"/>
        <v/>
      </c>
      <c r="O48" s="72" t="str">
        <f>+IFERROR(INDEX([7]PARÁMETROS!$B$11:$B$37,MATCH(N48,[7]PARÁMETROS!$A$11:$A$37,0)),"")</f>
        <v/>
      </c>
      <c r="P48" s="81"/>
      <c r="Q48" s="72"/>
      <c r="R48" s="63"/>
      <c r="S48" s="75"/>
      <c r="T48" s="76"/>
      <c r="U48" s="72" t="str">
        <f t="shared" si="1"/>
        <v/>
      </c>
      <c r="V48" s="60" t="str">
        <f t="shared" si="2"/>
        <v/>
      </c>
      <c r="W48" s="60" t="str">
        <f t="shared" si="3"/>
        <v/>
      </c>
      <c r="X48" s="205" t="str">
        <f>+IF(W48="","",IF(W48&gt;=[7]PARÁMETROS!$D$5,"CUMPLE","NO CUMPLE"))</f>
        <v/>
      </c>
      <c r="Y48" s="143"/>
      <c r="Z48" s="112"/>
    </row>
    <row r="49" spans="1:26" s="79" customFormat="1" ht="30" customHeight="1" x14ac:dyDescent="0.25">
      <c r="A49" s="653"/>
      <c r="B49" s="63"/>
      <c r="C49" s="409"/>
      <c r="D49" s="65" t="str">
        <f>+IFERROR(INDEX([7]CONSOLIDADO!$D$4:$D$108,MATCH('EXP ESPEC. 9 - 16'!B49,[7]CONSOLIDADO!$C$4:$C$108,0)),"")</f>
        <v/>
      </c>
      <c r="E49" s="66"/>
      <c r="F49" s="66"/>
      <c r="G49" s="205"/>
      <c r="H49" s="205"/>
      <c r="I49" s="205"/>
      <c r="J49" s="205"/>
      <c r="K49" s="80"/>
      <c r="L49" s="70"/>
      <c r="M49" s="70"/>
      <c r="N49" s="71" t="str">
        <f t="shared" si="0"/>
        <v/>
      </c>
      <c r="O49" s="72" t="str">
        <f>+IFERROR(INDEX([7]PARÁMETROS!$B$11:$B$37,MATCH(N49,[7]PARÁMETROS!$A$11:$A$37,0)),"")</f>
        <v/>
      </c>
      <c r="P49" s="81"/>
      <c r="Q49" s="72"/>
      <c r="R49" s="63"/>
      <c r="S49" s="75"/>
      <c r="T49" s="76"/>
      <c r="U49" s="72" t="str">
        <f t="shared" si="1"/>
        <v/>
      </c>
      <c r="V49" s="60" t="str">
        <f t="shared" si="2"/>
        <v/>
      </c>
      <c r="W49" s="60" t="str">
        <f t="shared" si="3"/>
        <v/>
      </c>
      <c r="X49" s="205" t="str">
        <f>+IF(W49="","",IF(W49&gt;=[7]PARÁMETROS!$D$5,"CUMPLE","NO CUMPLE"))</f>
        <v/>
      </c>
      <c r="Y49" s="143"/>
      <c r="Z49" s="112"/>
    </row>
    <row r="50" spans="1:26" s="79" customFormat="1" ht="30" customHeight="1" thickBot="1" x14ac:dyDescent="0.3">
      <c r="A50" s="653"/>
      <c r="B50" s="63"/>
      <c r="C50" s="409"/>
      <c r="D50" s="65" t="str">
        <f>+IFERROR(INDEX([7]CONSOLIDADO!$D$4:$D$108,MATCH('EXP ESPEC. 9 - 16'!B50,[7]CONSOLIDADO!$C$4:$C$108,0)),"")</f>
        <v/>
      </c>
      <c r="E50" s="66"/>
      <c r="F50" s="66"/>
      <c r="G50" s="205"/>
      <c r="H50" s="205"/>
      <c r="I50" s="205"/>
      <c r="J50" s="205"/>
      <c r="K50" s="80"/>
      <c r="L50" s="70"/>
      <c r="M50" s="70"/>
      <c r="N50" s="71" t="str">
        <f t="shared" si="0"/>
        <v/>
      </c>
      <c r="O50" s="72" t="str">
        <f>+IFERROR(INDEX([7]PARÁMETROS!$B$11:$B$37,MATCH(N50,[7]PARÁMETROS!$A$11:$A$37,0)),"")</f>
        <v/>
      </c>
      <c r="P50" s="81"/>
      <c r="Q50" s="72"/>
      <c r="R50" s="63"/>
      <c r="S50" s="75"/>
      <c r="T50" s="76"/>
      <c r="U50" s="72" t="str">
        <f t="shared" si="1"/>
        <v/>
      </c>
      <c r="V50" s="60" t="str">
        <f t="shared" si="2"/>
        <v/>
      </c>
      <c r="W50" s="60" t="str">
        <f t="shared" si="3"/>
        <v/>
      </c>
      <c r="X50" s="208" t="str">
        <f>+IF(W50="","",IF(W50&gt;=[7]PARÁMETROS!$D$5,"CUMPLE","NO CUMPLE"))</f>
        <v/>
      </c>
      <c r="Y50" s="143"/>
      <c r="Z50" s="112"/>
    </row>
    <row r="51" spans="1:26" s="79" customFormat="1" ht="30" customHeight="1" x14ac:dyDescent="0.25">
      <c r="A51" s="652"/>
      <c r="B51" s="125"/>
      <c r="C51" s="408"/>
      <c r="D51" s="127" t="str">
        <f>+IFERROR(INDEX([7]CONSOLIDADO!$D$4:$D$108,MATCH('EXP ESPEC. 9 - 16'!B51,[7]CONSOLIDADO!$C$4:$C$108,0)),"")</f>
        <v/>
      </c>
      <c r="E51" s="128"/>
      <c r="F51" s="128"/>
      <c r="G51" s="207"/>
      <c r="H51" s="207"/>
      <c r="I51" s="207"/>
      <c r="J51" s="207"/>
      <c r="K51" s="170"/>
      <c r="L51" s="132"/>
      <c r="M51" s="132"/>
      <c r="N51" s="133" t="str">
        <f t="shared" si="0"/>
        <v/>
      </c>
      <c r="O51" s="134" t="str">
        <f>+IFERROR(INDEX([7]PARÁMETROS!$B$11:$B$37,MATCH(N51,[7]PARÁMETROS!$A$11:$A$37,0)),"")</f>
        <v/>
      </c>
      <c r="P51" s="171"/>
      <c r="Q51" s="134"/>
      <c r="R51" s="125"/>
      <c r="S51" s="137"/>
      <c r="T51" s="138"/>
      <c r="U51" s="134" t="str">
        <f t="shared" si="1"/>
        <v/>
      </c>
      <c r="V51" s="139" t="str">
        <f t="shared" si="2"/>
        <v/>
      </c>
      <c r="W51" s="139" t="str">
        <f t="shared" si="3"/>
        <v/>
      </c>
      <c r="X51" s="176" t="str">
        <f>+IF(W51="","",IF(W51&gt;=[7]PARÁMETROS!$D$5,"CUMPLE","NO CUMPLE"))</f>
        <v/>
      </c>
      <c r="Y51" s="142"/>
      <c r="Z51" s="112"/>
    </row>
    <row r="52" spans="1:26" s="79" customFormat="1" ht="30" customHeight="1" x14ac:dyDescent="0.25">
      <c r="A52" s="653"/>
      <c r="B52" s="63"/>
      <c r="C52" s="409"/>
      <c r="D52" s="65" t="str">
        <f>+IFERROR(INDEX([7]CONSOLIDADO!$D$4:$D$108,MATCH('EXP ESPEC. 9 - 16'!B52,[7]CONSOLIDADO!$C$4:$C$108,0)),"")</f>
        <v/>
      </c>
      <c r="E52" s="66"/>
      <c r="F52" s="66"/>
      <c r="G52" s="205"/>
      <c r="H52" s="205"/>
      <c r="I52" s="205"/>
      <c r="J52" s="205"/>
      <c r="K52" s="80"/>
      <c r="L52" s="70"/>
      <c r="M52" s="70"/>
      <c r="N52" s="71" t="str">
        <f t="shared" si="0"/>
        <v/>
      </c>
      <c r="O52" s="72" t="str">
        <f>+IFERROR(INDEX([7]PARÁMETROS!$B$11:$B$37,MATCH(N52,[7]PARÁMETROS!$A$11:$A$37,0)),"")</f>
        <v/>
      </c>
      <c r="P52" s="81"/>
      <c r="Q52" s="72"/>
      <c r="R52" s="63"/>
      <c r="S52" s="75"/>
      <c r="T52" s="76"/>
      <c r="U52" s="72" t="str">
        <f t="shared" si="1"/>
        <v/>
      </c>
      <c r="V52" s="60" t="str">
        <f t="shared" si="2"/>
        <v/>
      </c>
      <c r="W52" s="60" t="str">
        <f t="shared" si="3"/>
        <v/>
      </c>
      <c r="X52" s="205" t="str">
        <f>+IF(W52="","",IF(W52&gt;=[7]PARÁMETROS!$D$5,"CUMPLE","NO CUMPLE"))</f>
        <v/>
      </c>
      <c r="Y52" s="143"/>
      <c r="Z52" s="112"/>
    </row>
    <row r="53" spans="1:26" s="79" customFormat="1" ht="30" customHeight="1" x14ac:dyDescent="0.25">
      <c r="A53" s="653"/>
      <c r="B53" s="63"/>
      <c r="C53" s="409"/>
      <c r="D53" s="65" t="str">
        <f>+IFERROR(INDEX([7]CONSOLIDADO!$D$4:$D$108,MATCH('EXP ESPEC. 9 - 16'!B53,[7]CONSOLIDADO!$C$4:$C$108,0)),"")</f>
        <v/>
      </c>
      <c r="E53" s="66"/>
      <c r="F53" s="66"/>
      <c r="G53" s="205"/>
      <c r="H53" s="205"/>
      <c r="I53" s="205"/>
      <c r="J53" s="205"/>
      <c r="K53" s="80"/>
      <c r="L53" s="70"/>
      <c r="M53" s="70"/>
      <c r="N53" s="71" t="str">
        <f t="shared" si="0"/>
        <v/>
      </c>
      <c r="O53" s="72" t="str">
        <f>+IFERROR(INDEX([7]PARÁMETROS!$B$11:$B$37,MATCH(N53,[7]PARÁMETROS!$A$11:$A$37,0)),"")</f>
        <v/>
      </c>
      <c r="P53" s="81"/>
      <c r="Q53" s="72"/>
      <c r="R53" s="63"/>
      <c r="S53" s="75"/>
      <c r="T53" s="76"/>
      <c r="U53" s="72" t="str">
        <f t="shared" si="1"/>
        <v/>
      </c>
      <c r="V53" s="60" t="str">
        <f t="shared" si="2"/>
        <v/>
      </c>
      <c r="W53" s="60" t="str">
        <f t="shared" si="3"/>
        <v/>
      </c>
      <c r="X53" s="205" t="str">
        <f>+IF(W53="","",IF(W53&gt;=[7]PARÁMETROS!$D$5,"CUMPLE","NO CUMPLE"))</f>
        <v/>
      </c>
      <c r="Y53" s="143"/>
      <c r="Z53" s="112"/>
    </row>
    <row r="54" spans="1:26" s="79" customFormat="1" ht="30" customHeight="1" thickBot="1" x14ac:dyDescent="0.3">
      <c r="A54" s="654"/>
      <c r="B54" s="145"/>
      <c r="C54" s="411"/>
      <c r="D54" s="146" t="str">
        <f>+IFERROR(INDEX([7]CONSOLIDADO!$D$4:$D$108,MATCH('EXP ESPEC. 9 - 16'!B54,[7]CONSOLIDADO!$C$4:$C$108,0)),"")</f>
        <v/>
      </c>
      <c r="E54" s="147"/>
      <c r="F54" s="147"/>
      <c r="G54" s="208"/>
      <c r="H54" s="208"/>
      <c r="I54" s="208"/>
      <c r="J54" s="208"/>
      <c r="K54" s="172"/>
      <c r="L54" s="151"/>
      <c r="M54" s="151"/>
      <c r="N54" s="152" t="str">
        <f t="shared" si="0"/>
        <v/>
      </c>
      <c r="O54" s="153" t="str">
        <f>+IFERROR(INDEX([7]PARÁMETROS!$B$11:$B$37,MATCH(N54,[7]PARÁMETROS!$A$11:$A$37,0)),"")</f>
        <v/>
      </c>
      <c r="P54" s="173"/>
      <c r="Q54" s="153"/>
      <c r="R54" s="145"/>
      <c r="S54" s="156"/>
      <c r="T54" s="157"/>
      <c r="U54" s="153" t="str">
        <f t="shared" si="1"/>
        <v/>
      </c>
      <c r="V54" s="158" t="str">
        <f t="shared" si="2"/>
        <v/>
      </c>
      <c r="W54" s="158" t="str">
        <f t="shared" si="3"/>
        <v/>
      </c>
      <c r="X54" s="208" t="str">
        <f>+IF(W54="","",IF(W54&gt;=[7]PARÁMETROS!$D$5,"CUMPLE","NO CUMPLE"))</f>
        <v/>
      </c>
      <c r="Y54" s="160"/>
      <c r="Z54" s="112"/>
    </row>
    <row r="55" spans="1:26" s="79" customFormat="1" ht="30" customHeight="1" x14ac:dyDescent="0.25">
      <c r="A55" s="113"/>
      <c r="B55" s="113"/>
      <c r="C55" s="414"/>
      <c r="D55" s="114"/>
      <c r="E55" s="115"/>
      <c r="F55" s="115"/>
      <c r="G55" s="115"/>
      <c r="H55" s="115"/>
      <c r="I55" s="115"/>
      <c r="J55" s="115"/>
      <c r="K55" s="167"/>
      <c r="L55" s="118"/>
      <c r="M55" s="118"/>
      <c r="N55" s="168"/>
      <c r="O55" s="119"/>
      <c r="P55" s="169"/>
      <c r="Q55" s="119"/>
      <c r="R55" s="113"/>
      <c r="S55" s="121"/>
      <c r="T55" s="122"/>
      <c r="U55" s="119"/>
      <c r="V55" s="123"/>
      <c r="W55" s="123"/>
      <c r="X55" s="124"/>
      <c r="Y55" s="115"/>
    </row>
    <row r="56" spans="1:26" s="79" customFormat="1" ht="30" customHeight="1" x14ac:dyDescent="0.25">
      <c r="A56" s="63"/>
      <c r="B56" s="63"/>
      <c r="C56" s="409"/>
      <c r="D56" s="65"/>
      <c r="E56" s="66"/>
      <c r="F56" s="66"/>
      <c r="G56" s="66"/>
      <c r="H56" s="66"/>
      <c r="I56" s="66"/>
      <c r="J56" s="66"/>
      <c r="K56" s="80"/>
      <c r="L56" s="70"/>
      <c r="M56" s="70"/>
      <c r="N56" s="71"/>
      <c r="O56" s="72"/>
      <c r="P56" s="81"/>
      <c r="Q56" s="72"/>
      <c r="R56" s="63"/>
      <c r="S56" s="75"/>
      <c r="T56" s="76"/>
      <c r="U56" s="72"/>
      <c r="V56" s="60"/>
      <c r="W56" s="60"/>
      <c r="X56" s="205"/>
      <c r="Y56" s="66"/>
    </row>
    <row r="57" spans="1:26" s="79" customFormat="1" ht="30" customHeight="1" x14ac:dyDescent="0.25">
      <c r="A57" s="63"/>
      <c r="B57" s="63"/>
      <c r="C57" s="409"/>
      <c r="D57" s="65"/>
      <c r="E57" s="66"/>
      <c r="F57" s="66"/>
      <c r="G57" s="66"/>
      <c r="H57" s="66"/>
      <c r="I57" s="66"/>
      <c r="J57" s="66"/>
      <c r="K57" s="80"/>
      <c r="L57" s="70"/>
      <c r="M57" s="70"/>
      <c r="N57" s="71"/>
      <c r="O57" s="72"/>
      <c r="P57" s="81"/>
      <c r="Q57" s="72"/>
      <c r="R57" s="63"/>
      <c r="S57" s="75"/>
      <c r="T57" s="76"/>
      <c r="U57" s="72"/>
      <c r="V57" s="60"/>
      <c r="W57" s="60"/>
      <c r="X57" s="205"/>
      <c r="Y57" s="66"/>
    </row>
    <row r="58" spans="1:26" s="79" customFormat="1" ht="30" customHeight="1" x14ac:dyDescent="0.25">
      <c r="A58" s="63"/>
      <c r="B58" s="63"/>
      <c r="C58" s="409"/>
      <c r="D58" s="65"/>
      <c r="E58" s="66"/>
      <c r="F58" s="66"/>
      <c r="G58" s="66"/>
      <c r="H58" s="66"/>
      <c r="I58" s="66"/>
      <c r="J58" s="66"/>
      <c r="K58" s="80"/>
      <c r="L58" s="70"/>
      <c r="M58" s="70"/>
      <c r="N58" s="71"/>
      <c r="O58" s="72"/>
      <c r="P58" s="81"/>
      <c r="Q58" s="72"/>
      <c r="R58" s="63"/>
      <c r="S58" s="75"/>
      <c r="T58" s="76"/>
      <c r="U58" s="72"/>
      <c r="V58" s="60"/>
      <c r="W58" s="60"/>
      <c r="X58" s="205"/>
      <c r="Y58" s="66"/>
    </row>
    <row r="59" spans="1:26" s="79" customFormat="1" ht="30" customHeight="1" x14ac:dyDescent="0.25">
      <c r="A59" s="63"/>
      <c r="B59" s="63"/>
      <c r="C59" s="409"/>
      <c r="D59" s="65"/>
      <c r="E59" s="66"/>
      <c r="F59" s="66"/>
      <c r="G59" s="66"/>
      <c r="H59" s="66"/>
      <c r="I59" s="66"/>
      <c r="J59" s="66"/>
      <c r="K59" s="80"/>
      <c r="L59" s="70"/>
      <c r="M59" s="70"/>
      <c r="N59" s="71"/>
      <c r="O59" s="72"/>
      <c r="P59" s="81"/>
      <c r="Q59" s="72"/>
      <c r="R59" s="63"/>
      <c r="S59" s="75"/>
      <c r="T59" s="76"/>
      <c r="U59" s="72"/>
      <c r="V59" s="60"/>
      <c r="W59" s="60"/>
      <c r="X59" s="205"/>
      <c r="Y59" s="66"/>
    </row>
    <row r="60" spans="1:26" s="79" customFormat="1" ht="30" customHeight="1" x14ac:dyDescent="0.25">
      <c r="A60" s="63"/>
      <c r="B60" s="63"/>
      <c r="C60" s="409"/>
      <c r="D60" s="65"/>
      <c r="E60" s="66"/>
      <c r="F60" s="66"/>
      <c r="G60" s="66"/>
      <c r="H60" s="66"/>
      <c r="I60" s="66"/>
      <c r="J60" s="66"/>
      <c r="K60" s="80"/>
      <c r="L60" s="70"/>
      <c r="M60" s="70"/>
      <c r="N60" s="71"/>
      <c r="O60" s="72"/>
      <c r="P60" s="81"/>
      <c r="Q60" s="72"/>
      <c r="R60" s="63"/>
      <c r="S60" s="75"/>
      <c r="T60" s="76"/>
      <c r="U60" s="72"/>
      <c r="V60" s="60"/>
      <c r="W60" s="60"/>
      <c r="X60" s="205"/>
      <c r="Y60" s="66"/>
    </row>
    <row r="61" spans="1:26" s="79" customFormat="1" ht="30" customHeight="1" x14ac:dyDescent="0.25">
      <c r="A61" s="63"/>
      <c r="B61" s="63"/>
      <c r="C61" s="409"/>
      <c r="D61" s="65"/>
      <c r="E61" s="66"/>
      <c r="F61" s="66"/>
      <c r="G61" s="66"/>
      <c r="H61" s="66"/>
      <c r="I61" s="66"/>
      <c r="J61" s="66"/>
      <c r="K61" s="80"/>
      <c r="L61" s="70"/>
      <c r="M61" s="70"/>
      <c r="N61" s="71"/>
      <c r="O61" s="72"/>
      <c r="P61" s="81"/>
      <c r="Q61" s="72"/>
      <c r="R61" s="63"/>
      <c r="S61" s="75"/>
      <c r="T61" s="76"/>
      <c r="U61" s="72"/>
      <c r="V61" s="60"/>
      <c r="W61" s="60"/>
      <c r="X61" s="205"/>
      <c r="Y61" s="66"/>
    </row>
    <row r="62" spans="1:26" s="79" customFormat="1" ht="30" customHeight="1" x14ac:dyDescent="0.25">
      <c r="A62" s="63"/>
      <c r="B62" s="63"/>
      <c r="C62" s="409"/>
      <c r="D62" s="65"/>
      <c r="E62" s="66"/>
      <c r="F62" s="66"/>
      <c r="G62" s="66"/>
      <c r="H62" s="66"/>
      <c r="I62" s="66"/>
      <c r="J62" s="66"/>
      <c r="K62" s="80"/>
      <c r="L62" s="70"/>
      <c r="M62" s="70"/>
      <c r="N62" s="71"/>
      <c r="O62" s="72"/>
      <c r="P62" s="81"/>
      <c r="Q62" s="72"/>
      <c r="R62" s="63"/>
      <c r="S62" s="75"/>
      <c r="T62" s="76"/>
      <c r="U62" s="72"/>
      <c r="V62" s="60"/>
      <c r="W62" s="60"/>
      <c r="X62" s="205"/>
      <c r="Y62" s="66"/>
    </row>
    <row r="63" spans="1:26" s="79" customFormat="1" ht="30" customHeight="1" x14ac:dyDescent="0.25">
      <c r="A63" s="63"/>
      <c r="B63" s="63"/>
      <c r="C63" s="409"/>
      <c r="D63" s="65"/>
      <c r="E63" s="66"/>
      <c r="F63" s="66"/>
      <c r="G63" s="66"/>
      <c r="H63" s="66"/>
      <c r="I63" s="66"/>
      <c r="J63" s="66"/>
      <c r="K63" s="80"/>
      <c r="L63" s="70"/>
      <c r="M63" s="70"/>
      <c r="N63" s="71"/>
      <c r="O63" s="72"/>
      <c r="P63" s="81"/>
      <c r="Q63" s="72"/>
      <c r="R63" s="63"/>
      <c r="S63" s="75"/>
      <c r="T63" s="76"/>
      <c r="U63" s="72"/>
      <c r="V63" s="60"/>
      <c r="W63" s="60"/>
      <c r="X63" s="205"/>
      <c r="Y63" s="66"/>
    </row>
    <row r="64" spans="1:26" s="79" customFormat="1" ht="30" customHeight="1" x14ac:dyDescent="0.25">
      <c r="A64" s="63"/>
      <c r="B64" s="63"/>
      <c r="C64" s="409"/>
      <c r="D64" s="65"/>
      <c r="E64" s="66"/>
      <c r="F64" s="66"/>
      <c r="G64" s="66"/>
      <c r="H64" s="66"/>
      <c r="I64" s="66"/>
      <c r="J64" s="66"/>
      <c r="K64" s="80"/>
      <c r="L64" s="70"/>
      <c r="M64" s="70"/>
      <c r="N64" s="71"/>
      <c r="O64" s="72"/>
      <c r="P64" s="81"/>
      <c r="Q64" s="72"/>
      <c r="R64" s="63"/>
      <c r="S64" s="75"/>
      <c r="T64" s="76"/>
      <c r="U64" s="72"/>
      <c r="V64" s="60"/>
      <c r="W64" s="60"/>
      <c r="X64" s="205"/>
      <c r="Y64" s="66"/>
    </row>
    <row r="65" spans="1:25" s="79" customFormat="1" ht="30" customHeight="1" x14ac:dyDescent="0.25">
      <c r="A65" s="63"/>
      <c r="B65" s="63"/>
      <c r="C65" s="409"/>
      <c r="D65" s="65"/>
      <c r="E65" s="66"/>
      <c r="F65" s="66"/>
      <c r="G65" s="66"/>
      <c r="H65" s="66"/>
      <c r="I65" s="66"/>
      <c r="J65" s="66"/>
      <c r="K65" s="80"/>
      <c r="L65" s="70"/>
      <c r="M65" s="70"/>
      <c r="N65" s="71"/>
      <c r="O65" s="72"/>
      <c r="P65" s="81"/>
      <c r="Q65" s="72"/>
      <c r="R65" s="63"/>
      <c r="S65" s="75"/>
      <c r="T65" s="76"/>
      <c r="U65" s="72"/>
      <c r="V65" s="60"/>
      <c r="W65" s="60"/>
      <c r="X65" s="205"/>
      <c r="Y65" s="66"/>
    </row>
    <row r="66" spans="1:25" s="79" customFormat="1" ht="30" customHeight="1" x14ac:dyDescent="0.25">
      <c r="A66" s="63"/>
      <c r="B66" s="63"/>
      <c r="C66" s="409"/>
      <c r="D66" s="65"/>
      <c r="E66" s="66"/>
      <c r="F66" s="66"/>
      <c r="G66" s="66"/>
      <c r="H66" s="66"/>
      <c r="I66" s="66"/>
      <c r="J66" s="66"/>
      <c r="K66" s="80"/>
      <c r="L66" s="70"/>
      <c r="M66" s="70"/>
      <c r="N66" s="71"/>
      <c r="O66" s="72"/>
      <c r="P66" s="81"/>
      <c r="Q66" s="72"/>
      <c r="R66" s="63"/>
      <c r="S66" s="75"/>
      <c r="T66" s="76"/>
      <c r="U66" s="72"/>
      <c r="V66" s="60"/>
      <c r="W66" s="60"/>
      <c r="X66" s="205"/>
      <c r="Y66" s="66"/>
    </row>
    <row r="67" spans="1:25" s="103" customFormat="1" ht="30" customHeight="1" x14ac:dyDescent="0.25">
      <c r="A67" s="94"/>
      <c r="B67" s="94"/>
      <c r="C67" s="413"/>
      <c r="D67" s="95"/>
      <c r="E67" s="96"/>
      <c r="F67" s="96"/>
      <c r="G67" s="96"/>
      <c r="H67" s="96"/>
      <c r="I67" s="96"/>
      <c r="J67" s="96"/>
      <c r="K67" s="97"/>
      <c r="L67" s="98"/>
      <c r="M67" s="98"/>
      <c r="N67" s="99"/>
      <c r="O67" s="72"/>
      <c r="P67" s="100"/>
      <c r="Q67" s="101"/>
      <c r="R67" s="63"/>
      <c r="S67" s="75"/>
      <c r="T67" s="76"/>
      <c r="U67" s="72"/>
      <c r="V67" s="60"/>
      <c r="W67" s="60"/>
      <c r="X67" s="205"/>
      <c r="Y67" s="96"/>
    </row>
    <row r="68" spans="1:25" s="103" customFormat="1" ht="30" customHeight="1" x14ac:dyDescent="0.25">
      <c r="A68" s="94"/>
      <c r="B68" s="94"/>
      <c r="C68" s="413"/>
      <c r="D68" s="95"/>
      <c r="E68" s="96"/>
      <c r="F68" s="96"/>
      <c r="G68" s="96"/>
      <c r="H68" s="96"/>
      <c r="I68" s="96"/>
      <c r="J68" s="96"/>
      <c r="K68" s="97"/>
      <c r="L68" s="98"/>
      <c r="M68" s="98"/>
      <c r="N68" s="99"/>
      <c r="O68" s="72"/>
      <c r="P68" s="100"/>
      <c r="Q68" s="101"/>
      <c r="R68" s="63"/>
      <c r="S68" s="75"/>
      <c r="T68" s="76"/>
      <c r="U68" s="72"/>
      <c r="V68" s="60"/>
      <c r="W68" s="60"/>
      <c r="X68" s="205"/>
      <c r="Y68" s="96"/>
    </row>
    <row r="69" spans="1:25" s="103" customFormat="1" ht="30" customHeight="1" x14ac:dyDescent="0.25">
      <c r="A69" s="94"/>
      <c r="B69" s="94"/>
      <c r="C69" s="413"/>
      <c r="D69" s="95"/>
      <c r="E69" s="96"/>
      <c r="F69" s="96"/>
      <c r="G69" s="96"/>
      <c r="H69" s="96"/>
      <c r="I69" s="96"/>
      <c r="J69" s="96"/>
      <c r="K69" s="97"/>
      <c r="L69" s="98"/>
      <c r="M69" s="98"/>
      <c r="N69" s="99"/>
      <c r="O69" s="72"/>
      <c r="P69" s="100"/>
      <c r="Q69" s="101"/>
      <c r="R69" s="63"/>
      <c r="S69" s="75"/>
      <c r="T69" s="76"/>
      <c r="U69" s="72"/>
      <c r="V69" s="60"/>
      <c r="W69" s="60"/>
      <c r="X69" s="205"/>
      <c r="Y69" s="96"/>
    </row>
    <row r="70" spans="1:25" s="103" customFormat="1" ht="30" customHeight="1" x14ac:dyDescent="0.25">
      <c r="A70" s="94"/>
      <c r="B70" s="94"/>
      <c r="C70" s="413"/>
      <c r="D70" s="95"/>
      <c r="E70" s="96"/>
      <c r="F70" s="96"/>
      <c r="G70" s="96"/>
      <c r="H70" s="96"/>
      <c r="I70" s="96"/>
      <c r="J70" s="96"/>
      <c r="K70" s="97"/>
      <c r="L70" s="98"/>
      <c r="M70" s="98"/>
      <c r="N70" s="99"/>
      <c r="O70" s="72"/>
      <c r="P70" s="100"/>
      <c r="Q70" s="101"/>
      <c r="R70" s="63"/>
      <c r="S70" s="75"/>
      <c r="T70" s="76"/>
      <c r="U70" s="72"/>
      <c r="V70" s="60"/>
      <c r="W70" s="60"/>
      <c r="X70" s="205"/>
      <c r="Y70" s="96"/>
    </row>
    <row r="71" spans="1:25" s="103" customFormat="1" ht="30" customHeight="1" x14ac:dyDescent="0.25">
      <c r="A71" s="94"/>
      <c r="B71" s="94"/>
      <c r="C71" s="413"/>
      <c r="D71" s="95"/>
      <c r="E71" s="96"/>
      <c r="F71" s="96"/>
      <c r="G71" s="96"/>
      <c r="H71" s="96"/>
      <c r="I71" s="96"/>
      <c r="J71" s="96"/>
      <c r="K71" s="97"/>
      <c r="L71" s="98"/>
      <c r="M71" s="98"/>
      <c r="N71" s="99"/>
      <c r="O71" s="72"/>
      <c r="P71" s="100"/>
      <c r="Q71" s="101"/>
      <c r="R71" s="63"/>
      <c r="S71" s="75"/>
      <c r="T71" s="76"/>
      <c r="U71" s="72"/>
      <c r="V71" s="60"/>
      <c r="W71" s="60"/>
      <c r="X71" s="205"/>
      <c r="Y71" s="96"/>
    </row>
    <row r="72" spans="1:25" s="103" customFormat="1" ht="30" customHeight="1" x14ac:dyDescent="0.25">
      <c r="A72" s="94"/>
      <c r="B72" s="94"/>
      <c r="C72" s="413"/>
      <c r="D72" s="95"/>
      <c r="E72" s="96"/>
      <c r="F72" s="96"/>
      <c r="G72" s="96"/>
      <c r="H72" s="96"/>
      <c r="I72" s="96"/>
      <c r="J72" s="96"/>
      <c r="K72" s="97"/>
      <c r="L72" s="98"/>
      <c r="M72" s="98"/>
      <c r="N72" s="99"/>
      <c r="O72" s="72"/>
      <c r="P72" s="100"/>
      <c r="Q72" s="101"/>
      <c r="R72" s="63"/>
      <c r="S72" s="75"/>
      <c r="T72" s="76"/>
      <c r="U72" s="72"/>
      <c r="V72" s="60"/>
      <c r="W72" s="60"/>
      <c r="X72" s="205"/>
      <c r="Y72" s="96"/>
    </row>
    <row r="73" spans="1:25" s="103" customFormat="1" ht="30" customHeight="1" x14ac:dyDescent="0.25">
      <c r="A73" s="94"/>
      <c r="B73" s="94"/>
      <c r="C73" s="413"/>
      <c r="D73" s="95"/>
      <c r="E73" s="96"/>
      <c r="F73" s="96"/>
      <c r="G73" s="96"/>
      <c r="H73" s="96"/>
      <c r="I73" s="96"/>
      <c r="J73" s="96"/>
      <c r="K73" s="97"/>
      <c r="L73" s="98"/>
      <c r="M73" s="98"/>
      <c r="N73" s="99"/>
      <c r="O73" s="72"/>
      <c r="P73" s="100"/>
      <c r="Q73" s="101"/>
      <c r="R73" s="63"/>
      <c r="S73" s="75"/>
      <c r="T73" s="76"/>
      <c r="U73" s="72"/>
      <c r="V73" s="60"/>
      <c r="W73" s="60"/>
      <c r="X73" s="205"/>
      <c r="Y73" s="96"/>
    </row>
    <row r="74" spans="1:25" s="103" customFormat="1" ht="30" customHeight="1" x14ac:dyDescent="0.25">
      <c r="A74" s="94"/>
      <c r="B74" s="94"/>
      <c r="C74" s="413"/>
      <c r="D74" s="95"/>
      <c r="E74" s="96"/>
      <c r="F74" s="96"/>
      <c r="G74" s="96"/>
      <c r="H74" s="96"/>
      <c r="I74" s="96"/>
      <c r="J74" s="96"/>
      <c r="K74" s="97"/>
      <c r="L74" s="98"/>
      <c r="M74" s="98"/>
      <c r="N74" s="99"/>
      <c r="O74" s="72"/>
      <c r="P74" s="100"/>
      <c r="Q74" s="101"/>
      <c r="R74" s="63"/>
      <c r="S74" s="75"/>
      <c r="T74" s="76"/>
      <c r="U74" s="72"/>
      <c r="V74" s="60"/>
      <c r="W74" s="60"/>
      <c r="X74" s="205"/>
      <c r="Y74" s="96"/>
    </row>
    <row r="75" spans="1:25" s="103" customFormat="1" ht="30" customHeight="1" x14ac:dyDescent="0.25">
      <c r="A75" s="94"/>
      <c r="B75" s="94"/>
      <c r="C75" s="413"/>
      <c r="D75" s="95"/>
      <c r="E75" s="96"/>
      <c r="F75" s="96"/>
      <c r="G75" s="96"/>
      <c r="H75" s="96"/>
      <c r="I75" s="96"/>
      <c r="J75" s="96"/>
      <c r="K75" s="97"/>
      <c r="L75" s="98"/>
      <c r="M75" s="98"/>
      <c r="N75" s="99"/>
      <c r="O75" s="72"/>
      <c r="P75" s="100"/>
      <c r="Q75" s="101"/>
      <c r="R75" s="63"/>
      <c r="S75" s="75"/>
      <c r="T75" s="76"/>
      <c r="U75" s="72"/>
      <c r="V75" s="60"/>
      <c r="W75" s="60"/>
      <c r="X75" s="205"/>
      <c r="Y75" s="96"/>
    </row>
    <row r="76" spans="1:25" s="103" customFormat="1" ht="30" customHeight="1" x14ac:dyDescent="0.25">
      <c r="A76" s="94"/>
      <c r="B76" s="94"/>
      <c r="C76" s="413"/>
      <c r="D76" s="95"/>
      <c r="E76" s="96"/>
      <c r="F76" s="96"/>
      <c r="G76" s="96"/>
      <c r="H76" s="96"/>
      <c r="I76" s="96"/>
      <c r="J76" s="96"/>
      <c r="K76" s="97"/>
      <c r="L76" s="98"/>
      <c r="M76" s="98"/>
      <c r="N76" s="99"/>
      <c r="O76" s="72"/>
      <c r="P76" s="100"/>
      <c r="Q76" s="101"/>
      <c r="R76" s="63"/>
      <c r="S76" s="75"/>
      <c r="T76" s="76"/>
      <c r="U76" s="72"/>
      <c r="V76" s="60"/>
      <c r="W76" s="60"/>
      <c r="X76" s="205"/>
      <c r="Y76" s="96"/>
    </row>
    <row r="77" spans="1:25" s="103" customFormat="1" ht="30" customHeight="1" x14ac:dyDescent="0.25">
      <c r="A77" s="94"/>
      <c r="B77" s="94"/>
      <c r="C77" s="413"/>
      <c r="D77" s="95"/>
      <c r="E77" s="96"/>
      <c r="F77" s="96"/>
      <c r="G77" s="96"/>
      <c r="H77" s="96"/>
      <c r="I77" s="96"/>
      <c r="J77" s="96"/>
      <c r="K77" s="97"/>
      <c r="L77" s="98"/>
      <c r="M77" s="98"/>
      <c r="N77" s="99"/>
      <c r="O77" s="72"/>
      <c r="P77" s="100"/>
      <c r="Q77" s="101"/>
      <c r="R77" s="63"/>
      <c r="S77" s="75"/>
      <c r="T77" s="76"/>
      <c r="U77" s="72"/>
      <c r="V77" s="60"/>
      <c r="W77" s="60"/>
      <c r="X77" s="205"/>
      <c r="Y77" s="96"/>
    </row>
    <row r="78" spans="1:25" s="103" customFormat="1" ht="30" customHeight="1" x14ac:dyDescent="0.25">
      <c r="A78" s="94"/>
      <c r="B78" s="94"/>
      <c r="C78" s="413"/>
      <c r="D78" s="95"/>
      <c r="E78" s="96"/>
      <c r="F78" s="96"/>
      <c r="G78" s="96"/>
      <c r="H78" s="96"/>
      <c r="I78" s="96"/>
      <c r="J78" s="96"/>
      <c r="K78" s="97"/>
      <c r="L78" s="98"/>
      <c r="M78" s="98"/>
      <c r="N78" s="99"/>
      <c r="O78" s="72"/>
      <c r="P78" s="100"/>
      <c r="Q78" s="101"/>
      <c r="R78" s="63"/>
      <c r="S78" s="75"/>
      <c r="T78" s="76"/>
      <c r="U78" s="72"/>
      <c r="V78" s="60"/>
      <c r="W78" s="60"/>
      <c r="X78" s="205"/>
      <c r="Y78" s="96"/>
    </row>
    <row r="79" spans="1:25" s="103" customFormat="1" ht="30" customHeight="1" x14ac:dyDescent="0.25">
      <c r="A79" s="94"/>
      <c r="B79" s="94"/>
      <c r="C79" s="413"/>
      <c r="D79" s="95"/>
      <c r="E79" s="96"/>
      <c r="F79" s="96"/>
      <c r="G79" s="96"/>
      <c r="H79" s="96"/>
      <c r="I79" s="96"/>
      <c r="J79" s="96"/>
      <c r="K79" s="97"/>
      <c r="L79" s="98"/>
      <c r="M79" s="98"/>
      <c r="N79" s="99"/>
      <c r="O79" s="72"/>
      <c r="P79" s="100"/>
      <c r="Q79" s="101"/>
      <c r="R79" s="63"/>
      <c r="S79" s="75"/>
      <c r="T79" s="76"/>
      <c r="U79" s="72"/>
      <c r="V79" s="60"/>
      <c r="W79" s="60"/>
      <c r="X79" s="205"/>
      <c r="Y79" s="96"/>
    </row>
    <row r="80" spans="1:25" s="103" customFormat="1" ht="30" customHeight="1" x14ac:dyDescent="0.25">
      <c r="A80" s="94"/>
      <c r="B80" s="94"/>
      <c r="C80" s="413"/>
      <c r="D80" s="95"/>
      <c r="E80" s="96"/>
      <c r="F80" s="96"/>
      <c r="G80" s="96"/>
      <c r="H80" s="96"/>
      <c r="I80" s="96"/>
      <c r="J80" s="96"/>
      <c r="K80" s="97"/>
      <c r="L80" s="98"/>
      <c r="M80" s="98"/>
      <c r="N80" s="99"/>
      <c r="O80" s="72"/>
      <c r="P80" s="100"/>
      <c r="Q80" s="101"/>
      <c r="R80" s="63"/>
      <c r="S80" s="75"/>
      <c r="T80" s="76"/>
      <c r="U80" s="72"/>
      <c r="V80" s="60"/>
      <c r="W80" s="60"/>
      <c r="X80" s="205"/>
      <c r="Y80" s="96"/>
    </row>
    <row r="81" spans="1:25" s="103" customFormat="1" ht="30" customHeight="1" x14ac:dyDescent="0.25">
      <c r="A81" s="94"/>
      <c r="B81" s="94"/>
      <c r="C81" s="413"/>
      <c r="D81" s="95"/>
      <c r="E81" s="96"/>
      <c r="F81" s="96"/>
      <c r="G81" s="96"/>
      <c r="H81" s="96"/>
      <c r="I81" s="96"/>
      <c r="J81" s="96"/>
      <c r="K81" s="97"/>
      <c r="L81" s="98"/>
      <c r="M81" s="98"/>
      <c r="N81" s="99"/>
      <c r="O81" s="72"/>
      <c r="P81" s="100"/>
      <c r="Q81" s="101"/>
      <c r="R81" s="63"/>
      <c r="S81" s="75"/>
      <c r="T81" s="76"/>
      <c r="U81" s="72"/>
      <c r="V81" s="60"/>
      <c r="W81" s="60"/>
      <c r="X81" s="205"/>
      <c r="Y81" s="96"/>
    </row>
    <row r="82" spans="1:25" s="103" customFormat="1" ht="30" customHeight="1" x14ac:dyDescent="0.25">
      <c r="A82" s="94"/>
      <c r="B82" s="94"/>
      <c r="C82" s="413"/>
      <c r="D82" s="95"/>
      <c r="E82" s="96"/>
      <c r="F82" s="96"/>
      <c r="G82" s="96"/>
      <c r="H82" s="96"/>
      <c r="I82" s="96"/>
      <c r="J82" s="96"/>
      <c r="K82" s="97"/>
      <c r="L82" s="98"/>
      <c r="M82" s="98"/>
      <c r="N82" s="99"/>
      <c r="O82" s="72"/>
      <c r="P82" s="100"/>
      <c r="Q82" s="101"/>
      <c r="R82" s="63"/>
      <c r="S82" s="75"/>
      <c r="T82" s="76"/>
      <c r="U82" s="72"/>
      <c r="V82" s="60"/>
      <c r="W82" s="60"/>
      <c r="X82" s="205"/>
      <c r="Y82" s="96"/>
    </row>
    <row r="83" spans="1:25" s="103" customFormat="1" ht="30" customHeight="1" x14ac:dyDescent="0.25">
      <c r="A83" s="94"/>
      <c r="B83" s="94"/>
      <c r="C83" s="413"/>
      <c r="D83" s="95"/>
      <c r="E83" s="96"/>
      <c r="F83" s="96"/>
      <c r="G83" s="96"/>
      <c r="H83" s="96"/>
      <c r="I83" s="96"/>
      <c r="J83" s="96"/>
      <c r="K83" s="97"/>
      <c r="L83" s="98"/>
      <c r="M83" s="98"/>
      <c r="N83" s="99"/>
      <c r="O83" s="72"/>
      <c r="P83" s="100"/>
      <c r="Q83" s="101"/>
      <c r="R83" s="63"/>
      <c r="S83" s="75"/>
      <c r="T83" s="76"/>
      <c r="U83" s="72"/>
      <c r="V83" s="60"/>
      <c r="W83" s="60"/>
      <c r="X83" s="205"/>
      <c r="Y83" s="96"/>
    </row>
    <row r="84" spans="1:25" s="103" customFormat="1" ht="30" customHeight="1" x14ac:dyDescent="0.25">
      <c r="A84" s="94"/>
      <c r="B84" s="94"/>
      <c r="C84" s="413"/>
      <c r="D84" s="95"/>
      <c r="E84" s="96"/>
      <c r="F84" s="96"/>
      <c r="G84" s="96"/>
      <c r="H84" s="96"/>
      <c r="I84" s="96"/>
      <c r="J84" s="96"/>
      <c r="K84" s="97"/>
      <c r="L84" s="98"/>
      <c r="M84" s="98"/>
      <c r="N84" s="99"/>
      <c r="O84" s="72"/>
      <c r="P84" s="100"/>
      <c r="Q84" s="101"/>
      <c r="R84" s="63"/>
      <c r="S84" s="75"/>
      <c r="T84" s="76"/>
      <c r="U84" s="72"/>
      <c r="V84" s="60"/>
      <c r="W84" s="60"/>
      <c r="X84" s="205"/>
      <c r="Y84" s="96"/>
    </row>
    <row r="85" spans="1:25" s="103" customFormat="1" ht="30" customHeight="1" x14ac:dyDescent="0.25">
      <c r="A85" s="94"/>
      <c r="B85" s="94"/>
      <c r="C85" s="413"/>
      <c r="D85" s="95"/>
      <c r="E85" s="96"/>
      <c r="F85" s="96"/>
      <c r="G85" s="96"/>
      <c r="H85" s="96"/>
      <c r="I85" s="96"/>
      <c r="J85" s="96"/>
      <c r="K85" s="97"/>
      <c r="L85" s="98"/>
      <c r="M85" s="98"/>
      <c r="N85" s="99"/>
      <c r="O85" s="72"/>
      <c r="P85" s="100"/>
      <c r="Q85" s="101"/>
      <c r="R85" s="63"/>
      <c r="S85" s="75"/>
      <c r="T85" s="76"/>
      <c r="U85" s="72"/>
      <c r="V85" s="60"/>
      <c r="W85" s="60"/>
      <c r="X85" s="205"/>
      <c r="Y85" s="96"/>
    </row>
    <row r="86" spans="1:25" s="103" customFormat="1" ht="30" customHeight="1" x14ac:dyDescent="0.25">
      <c r="A86" s="94"/>
      <c r="B86" s="94"/>
      <c r="C86" s="413"/>
      <c r="D86" s="95"/>
      <c r="E86" s="96"/>
      <c r="F86" s="96"/>
      <c r="G86" s="96"/>
      <c r="H86" s="96"/>
      <c r="I86" s="96"/>
      <c r="J86" s="96"/>
      <c r="K86" s="97"/>
      <c r="L86" s="98"/>
      <c r="M86" s="98"/>
      <c r="N86" s="99"/>
      <c r="O86" s="72"/>
      <c r="P86" s="100"/>
      <c r="Q86" s="101"/>
      <c r="R86" s="63"/>
      <c r="S86" s="75"/>
      <c r="T86" s="76"/>
      <c r="U86" s="72"/>
      <c r="V86" s="60"/>
      <c r="W86" s="60"/>
      <c r="X86" s="205"/>
      <c r="Y86" s="96"/>
    </row>
    <row r="87" spans="1:25" s="103" customFormat="1" ht="30" customHeight="1" x14ac:dyDescent="0.25">
      <c r="A87" s="94"/>
      <c r="B87" s="94"/>
      <c r="C87" s="413"/>
      <c r="D87" s="95"/>
      <c r="E87" s="96"/>
      <c r="F87" s="96"/>
      <c r="G87" s="96"/>
      <c r="H87" s="96"/>
      <c r="I87" s="96"/>
      <c r="J87" s="96"/>
      <c r="K87" s="97"/>
      <c r="L87" s="98"/>
      <c r="M87" s="98"/>
      <c r="N87" s="99"/>
      <c r="O87" s="72"/>
      <c r="P87" s="100"/>
      <c r="Q87" s="101"/>
      <c r="R87" s="63"/>
      <c r="S87" s="75"/>
      <c r="T87" s="76"/>
      <c r="U87" s="72"/>
      <c r="V87" s="60"/>
      <c r="W87" s="60"/>
      <c r="X87" s="205"/>
      <c r="Y87" s="96"/>
    </row>
    <row r="88" spans="1:25" s="103" customFormat="1" ht="30" customHeight="1" x14ac:dyDescent="0.25">
      <c r="A88" s="94"/>
      <c r="B88" s="94"/>
      <c r="C88" s="413"/>
      <c r="D88" s="95"/>
      <c r="E88" s="96"/>
      <c r="F88" s="96"/>
      <c r="G88" s="96"/>
      <c r="H88" s="96"/>
      <c r="I88" s="96"/>
      <c r="J88" s="96"/>
      <c r="K88" s="97"/>
      <c r="L88" s="98"/>
      <c r="M88" s="98"/>
      <c r="N88" s="99"/>
      <c r="O88" s="72"/>
      <c r="P88" s="100"/>
      <c r="Q88" s="101"/>
      <c r="R88" s="63"/>
      <c r="S88" s="75"/>
      <c r="T88" s="76"/>
      <c r="U88" s="72"/>
      <c r="V88" s="60"/>
      <c r="W88" s="60"/>
      <c r="X88" s="205"/>
      <c r="Y88" s="96"/>
    </row>
    <row r="89" spans="1:25" s="103" customFormat="1" ht="30" customHeight="1" x14ac:dyDescent="0.25">
      <c r="A89" s="94"/>
      <c r="B89" s="94"/>
      <c r="C89" s="413"/>
      <c r="D89" s="95"/>
      <c r="E89" s="96"/>
      <c r="F89" s="96"/>
      <c r="G89" s="96"/>
      <c r="H89" s="96"/>
      <c r="I89" s="96"/>
      <c r="J89" s="96"/>
      <c r="K89" s="97"/>
      <c r="L89" s="98"/>
      <c r="M89" s="98"/>
      <c r="N89" s="99"/>
      <c r="O89" s="72"/>
      <c r="P89" s="100"/>
      <c r="Q89" s="101"/>
      <c r="R89" s="63"/>
      <c r="S89" s="75"/>
      <c r="T89" s="76"/>
      <c r="U89" s="72"/>
      <c r="V89" s="60"/>
      <c r="W89" s="60"/>
      <c r="X89" s="205"/>
      <c r="Y89" s="96"/>
    </row>
    <row r="90" spans="1:25" s="103" customFormat="1" ht="30" customHeight="1" x14ac:dyDescent="0.25">
      <c r="A90" s="94"/>
      <c r="B90" s="94"/>
      <c r="C90" s="413"/>
      <c r="D90" s="95"/>
      <c r="E90" s="96"/>
      <c r="F90" s="96"/>
      <c r="G90" s="96"/>
      <c r="H90" s="96"/>
      <c r="I90" s="96"/>
      <c r="J90" s="96"/>
      <c r="K90" s="97"/>
      <c r="L90" s="98"/>
      <c r="M90" s="98"/>
      <c r="N90" s="99"/>
      <c r="O90" s="72"/>
      <c r="P90" s="100"/>
      <c r="Q90" s="101"/>
      <c r="R90" s="63"/>
      <c r="S90" s="75"/>
      <c r="T90" s="76"/>
      <c r="U90" s="72"/>
      <c r="V90" s="60"/>
      <c r="W90" s="60"/>
      <c r="X90" s="205"/>
      <c r="Y90" s="96"/>
    </row>
    <row r="91" spans="1:25" s="103" customFormat="1" ht="30" customHeight="1" x14ac:dyDescent="0.25">
      <c r="A91" s="94"/>
      <c r="B91" s="94"/>
      <c r="C91" s="413"/>
      <c r="D91" s="95"/>
      <c r="E91" s="96"/>
      <c r="F91" s="96"/>
      <c r="G91" s="96"/>
      <c r="H91" s="96"/>
      <c r="I91" s="96"/>
      <c r="J91" s="96"/>
      <c r="K91" s="97"/>
      <c r="L91" s="98"/>
      <c r="M91" s="98"/>
      <c r="N91" s="99"/>
      <c r="O91" s="72"/>
      <c r="P91" s="100"/>
      <c r="Q91" s="101"/>
      <c r="R91" s="63"/>
      <c r="S91" s="75"/>
      <c r="T91" s="76"/>
      <c r="U91" s="72"/>
      <c r="V91" s="60"/>
      <c r="W91" s="60"/>
      <c r="X91" s="205"/>
      <c r="Y91" s="96"/>
    </row>
    <row r="92" spans="1:25" s="103" customFormat="1" ht="30" customHeight="1" x14ac:dyDescent="0.25">
      <c r="A92" s="94"/>
      <c r="B92" s="94"/>
      <c r="C92" s="413"/>
      <c r="D92" s="95"/>
      <c r="E92" s="96"/>
      <c r="F92" s="96"/>
      <c r="G92" s="96"/>
      <c r="H92" s="96"/>
      <c r="I92" s="96"/>
      <c r="J92" s="96"/>
      <c r="K92" s="97"/>
      <c r="L92" s="98"/>
      <c r="M92" s="98"/>
      <c r="N92" s="99"/>
      <c r="O92" s="72"/>
      <c r="P92" s="100"/>
      <c r="Q92" s="101"/>
      <c r="R92" s="63"/>
      <c r="S92" s="75"/>
      <c r="T92" s="76"/>
      <c r="U92" s="72"/>
      <c r="V92" s="60"/>
      <c r="W92" s="60"/>
      <c r="X92" s="205"/>
      <c r="Y92" s="96"/>
    </row>
    <row r="93" spans="1:25" s="103" customFormat="1" ht="30" customHeight="1" x14ac:dyDescent="0.25">
      <c r="A93" s="94"/>
      <c r="B93" s="94"/>
      <c r="C93" s="413"/>
      <c r="D93" s="95"/>
      <c r="E93" s="96"/>
      <c r="F93" s="96"/>
      <c r="G93" s="96"/>
      <c r="H93" s="96"/>
      <c r="I93" s="96"/>
      <c r="J93" s="96"/>
      <c r="K93" s="97"/>
      <c r="L93" s="98"/>
      <c r="M93" s="98"/>
      <c r="N93" s="99"/>
      <c r="O93" s="72"/>
      <c r="P93" s="100"/>
      <c r="Q93" s="101"/>
      <c r="R93" s="63"/>
      <c r="S93" s="75"/>
      <c r="T93" s="76"/>
      <c r="U93" s="72"/>
      <c r="V93" s="60"/>
      <c r="W93" s="60"/>
      <c r="X93" s="205"/>
      <c r="Y93" s="96"/>
    </row>
    <row r="94" spans="1:25" s="103" customFormat="1" ht="30" customHeight="1" x14ac:dyDescent="0.25">
      <c r="A94" s="94"/>
      <c r="B94" s="94"/>
      <c r="C94" s="413"/>
      <c r="D94" s="95"/>
      <c r="E94" s="96"/>
      <c r="F94" s="96"/>
      <c r="G94" s="96"/>
      <c r="H94" s="96"/>
      <c r="I94" s="96"/>
      <c r="J94" s="96"/>
      <c r="K94" s="97"/>
      <c r="L94" s="98"/>
      <c r="M94" s="98"/>
      <c r="N94" s="99"/>
      <c r="O94" s="72"/>
      <c r="P94" s="100"/>
      <c r="Q94" s="101"/>
      <c r="R94" s="63"/>
      <c r="S94" s="75"/>
      <c r="T94" s="76"/>
      <c r="U94" s="72"/>
      <c r="V94" s="60"/>
      <c r="W94" s="60"/>
      <c r="X94" s="205"/>
      <c r="Y94" s="96"/>
    </row>
    <row r="95" spans="1:25" s="103" customFormat="1" ht="30" customHeight="1" x14ac:dyDescent="0.25">
      <c r="A95" s="94"/>
      <c r="B95" s="94"/>
      <c r="C95" s="413"/>
      <c r="D95" s="95"/>
      <c r="E95" s="96"/>
      <c r="F95" s="96"/>
      <c r="G95" s="96"/>
      <c r="H95" s="96"/>
      <c r="I95" s="96"/>
      <c r="J95" s="96"/>
      <c r="K95" s="97"/>
      <c r="L95" s="98"/>
      <c r="M95" s="98"/>
      <c r="N95" s="99"/>
      <c r="O95" s="72"/>
      <c r="P95" s="100"/>
      <c r="Q95" s="101"/>
      <c r="R95" s="63"/>
      <c r="S95" s="75"/>
      <c r="T95" s="76"/>
      <c r="U95" s="72"/>
      <c r="V95" s="60"/>
      <c r="W95" s="60"/>
      <c r="X95" s="205"/>
      <c r="Y95" s="96"/>
    </row>
    <row r="96" spans="1:25" s="103" customFormat="1" ht="30" customHeight="1" x14ac:dyDescent="0.25">
      <c r="A96" s="94"/>
      <c r="B96" s="94"/>
      <c r="C96" s="413"/>
      <c r="D96" s="95"/>
      <c r="E96" s="96"/>
      <c r="F96" s="96"/>
      <c r="G96" s="96"/>
      <c r="H96" s="96"/>
      <c r="I96" s="96"/>
      <c r="J96" s="96"/>
      <c r="K96" s="97"/>
      <c r="L96" s="98"/>
      <c r="M96" s="98"/>
      <c r="N96" s="99"/>
      <c r="O96" s="72"/>
      <c r="P96" s="100"/>
      <c r="Q96" s="101"/>
      <c r="R96" s="63"/>
      <c r="S96" s="75"/>
      <c r="T96" s="76"/>
      <c r="U96" s="72"/>
      <c r="V96" s="60"/>
      <c r="W96" s="60"/>
      <c r="X96" s="205"/>
      <c r="Y96" s="96"/>
    </row>
    <row r="97" spans="1:25" s="103" customFormat="1" ht="30" customHeight="1" x14ac:dyDescent="0.25">
      <c r="A97" s="94"/>
      <c r="B97" s="94"/>
      <c r="C97" s="413"/>
      <c r="D97" s="95"/>
      <c r="E97" s="96"/>
      <c r="F97" s="96"/>
      <c r="G97" s="96"/>
      <c r="H97" s="96"/>
      <c r="I97" s="96"/>
      <c r="J97" s="96"/>
      <c r="K97" s="97"/>
      <c r="L97" s="98"/>
      <c r="M97" s="98"/>
      <c r="N97" s="99"/>
      <c r="O97" s="72"/>
      <c r="P97" s="100"/>
      <c r="Q97" s="101"/>
      <c r="R97" s="63"/>
      <c r="S97" s="75"/>
      <c r="T97" s="76"/>
      <c r="U97" s="72"/>
      <c r="V97" s="60"/>
      <c r="W97" s="60"/>
      <c r="X97" s="205"/>
      <c r="Y97" s="96"/>
    </row>
    <row r="98" spans="1:25" s="103" customFormat="1" ht="30" customHeight="1" x14ac:dyDescent="0.25">
      <c r="A98" s="94"/>
      <c r="B98" s="94"/>
      <c r="C98" s="413"/>
      <c r="D98" s="95"/>
      <c r="E98" s="96"/>
      <c r="F98" s="96"/>
      <c r="G98" s="96"/>
      <c r="H98" s="96"/>
      <c r="I98" s="96"/>
      <c r="J98" s="96"/>
      <c r="K98" s="97"/>
      <c r="L98" s="98"/>
      <c r="M98" s="98"/>
      <c r="N98" s="99"/>
      <c r="O98" s="72"/>
      <c r="P98" s="100"/>
      <c r="Q98" s="101"/>
      <c r="R98" s="63"/>
      <c r="S98" s="75"/>
      <c r="T98" s="76"/>
      <c r="U98" s="72"/>
      <c r="V98" s="60"/>
      <c r="W98" s="60"/>
      <c r="X98" s="205"/>
      <c r="Y98" s="96"/>
    </row>
    <row r="99" spans="1:25" s="103" customFormat="1" ht="30" customHeight="1" x14ac:dyDescent="0.25">
      <c r="A99" s="94"/>
      <c r="B99" s="94"/>
      <c r="C99" s="413"/>
      <c r="D99" s="95"/>
      <c r="E99" s="96"/>
      <c r="F99" s="96"/>
      <c r="G99" s="96"/>
      <c r="H99" s="96"/>
      <c r="I99" s="96"/>
      <c r="J99" s="96"/>
      <c r="K99" s="97"/>
      <c r="L99" s="98"/>
      <c r="M99" s="98"/>
      <c r="N99" s="99"/>
      <c r="O99" s="72"/>
      <c r="P99" s="100"/>
      <c r="Q99" s="101"/>
      <c r="R99" s="63"/>
      <c r="S99" s="75"/>
      <c r="T99" s="76"/>
      <c r="U99" s="72"/>
      <c r="V99" s="60"/>
      <c r="W99" s="60"/>
      <c r="X99" s="205"/>
      <c r="Y99" s="96"/>
    </row>
    <row r="100" spans="1:25" s="103" customFormat="1" ht="30" customHeight="1" x14ac:dyDescent="0.25">
      <c r="A100" s="94"/>
      <c r="B100" s="94"/>
      <c r="C100" s="413"/>
      <c r="D100" s="95"/>
      <c r="E100" s="96"/>
      <c r="F100" s="96"/>
      <c r="G100" s="96"/>
      <c r="H100" s="96"/>
      <c r="I100" s="96"/>
      <c r="J100" s="96"/>
      <c r="K100" s="97"/>
      <c r="L100" s="98"/>
      <c r="M100" s="98"/>
      <c r="N100" s="99"/>
      <c r="O100" s="72"/>
      <c r="P100" s="100"/>
      <c r="Q100" s="101"/>
      <c r="R100" s="63"/>
      <c r="S100" s="75"/>
      <c r="T100" s="76"/>
      <c r="U100" s="72"/>
      <c r="V100" s="60"/>
      <c r="W100" s="60"/>
      <c r="X100" s="205"/>
      <c r="Y100" s="96"/>
    </row>
    <row r="101" spans="1:25" s="103" customFormat="1" ht="30" customHeight="1" x14ac:dyDescent="0.25">
      <c r="A101" s="94"/>
      <c r="B101" s="94"/>
      <c r="C101" s="413"/>
      <c r="D101" s="95"/>
      <c r="E101" s="96"/>
      <c r="F101" s="96"/>
      <c r="G101" s="96"/>
      <c r="H101" s="96"/>
      <c r="I101" s="96"/>
      <c r="J101" s="96"/>
      <c r="K101" s="97"/>
      <c r="L101" s="98"/>
      <c r="M101" s="98"/>
      <c r="N101" s="99"/>
      <c r="O101" s="72"/>
      <c r="P101" s="100"/>
      <c r="Q101" s="101"/>
      <c r="R101" s="63"/>
      <c r="S101" s="75"/>
      <c r="T101" s="76"/>
      <c r="U101" s="72"/>
      <c r="V101" s="60"/>
      <c r="W101" s="60"/>
      <c r="X101" s="205"/>
      <c r="Y101" s="96"/>
    </row>
    <row r="102" spans="1:25" s="103" customFormat="1" ht="30" customHeight="1" x14ac:dyDescent="0.25">
      <c r="A102" s="94"/>
      <c r="B102" s="94"/>
      <c r="C102" s="413"/>
      <c r="D102" s="95"/>
      <c r="E102" s="96"/>
      <c r="F102" s="96"/>
      <c r="G102" s="96"/>
      <c r="H102" s="96"/>
      <c r="I102" s="96"/>
      <c r="J102" s="96"/>
      <c r="K102" s="97"/>
      <c r="L102" s="98"/>
      <c r="M102" s="98"/>
      <c r="N102" s="99"/>
      <c r="O102" s="72"/>
      <c r="P102" s="100"/>
      <c r="Q102" s="101"/>
      <c r="R102" s="63"/>
      <c r="S102" s="75"/>
      <c r="T102" s="76"/>
      <c r="U102" s="72"/>
      <c r="V102" s="60"/>
      <c r="W102" s="60"/>
      <c r="X102" s="205"/>
      <c r="Y102" s="96"/>
    </row>
    <row r="103" spans="1:25" s="103" customFormat="1" ht="30" customHeight="1" x14ac:dyDescent="0.25">
      <c r="A103" s="94"/>
      <c r="B103" s="94"/>
      <c r="C103" s="413"/>
      <c r="D103" s="95"/>
      <c r="E103" s="96"/>
      <c r="F103" s="96"/>
      <c r="G103" s="96"/>
      <c r="H103" s="96"/>
      <c r="I103" s="96"/>
      <c r="J103" s="96"/>
      <c r="K103" s="97"/>
      <c r="L103" s="98"/>
      <c r="M103" s="98"/>
      <c r="N103" s="99"/>
      <c r="O103" s="72"/>
      <c r="P103" s="100"/>
      <c r="Q103" s="101"/>
      <c r="R103" s="63"/>
      <c r="S103" s="75"/>
      <c r="T103" s="76"/>
      <c r="U103" s="72"/>
      <c r="V103" s="60"/>
      <c r="W103" s="60"/>
      <c r="X103" s="205"/>
      <c r="Y103" s="96"/>
    </row>
    <row r="104" spans="1:25" s="103" customFormat="1" ht="30" customHeight="1" x14ac:dyDescent="0.25">
      <c r="A104" s="94"/>
      <c r="B104" s="94"/>
      <c r="C104" s="413"/>
      <c r="D104" s="95"/>
      <c r="E104" s="96"/>
      <c r="F104" s="96"/>
      <c r="G104" s="96"/>
      <c r="H104" s="96"/>
      <c r="I104" s="96"/>
      <c r="J104" s="96"/>
      <c r="K104" s="97"/>
      <c r="L104" s="98"/>
      <c r="M104" s="98"/>
      <c r="N104" s="99"/>
      <c r="O104" s="72"/>
      <c r="P104" s="100"/>
      <c r="Q104" s="101"/>
      <c r="R104" s="63"/>
      <c r="S104" s="75"/>
      <c r="T104" s="76"/>
      <c r="U104" s="72"/>
      <c r="V104" s="60"/>
      <c r="W104" s="60"/>
      <c r="X104" s="205"/>
      <c r="Y104" s="96"/>
    </row>
    <row r="105" spans="1:25" s="103" customFormat="1" ht="30" customHeight="1" x14ac:dyDescent="0.25">
      <c r="A105" s="94"/>
      <c r="B105" s="94"/>
      <c r="C105" s="413"/>
      <c r="D105" s="95"/>
      <c r="E105" s="96"/>
      <c r="F105" s="96"/>
      <c r="G105" s="96"/>
      <c r="H105" s="96"/>
      <c r="I105" s="96"/>
      <c r="J105" s="96"/>
      <c r="K105" s="97"/>
      <c r="L105" s="98"/>
      <c r="M105" s="98"/>
      <c r="N105" s="99"/>
      <c r="O105" s="72"/>
      <c r="P105" s="100"/>
      <c r="Q105" s="101"/>
      <c r="R105" s="63"/>
      <c r="S105" s="75"/>
      <c r="T105" s="76"/>
      <c r="U105" s="72"/>
      <c r="V105" s="60"/>
      <c r="W105" s="60"/>
      <c r="X105" s="205"/>
      <c r="Y105" s="96"/>
    </row>
    <row r="106" spans="1:25" s="103" customFormat="1" ht="30" customHeight="1" x14ac:dyDescent="0.25">
      <c r="A106" s="94"/>
      <c r="B106" s="94"/>
      <c r="C106" s="413"/>
      <c r="D106" s="95"/>
      <c r="E106" s="96"/>
      <c r="F106" s="96"/>
      <c r="G106" s="96"/>
      <c r="H106" s="96"/>
      <c r="I106" s="96"/>
      <c r="J106" s="96"/>
      <c r="K106" s="97"/>
      <c r="L106" s="98"/>
      <c r="M106" s="98"/>
      <c r="N106" s="99"/>
      <c r="O106" s="72"/>
      <c r="P106" s="100"/>
      <c r="Q106" s="101"/>
      <c r="R106" s="63"/>
      <c r="S106" s="75"/>
      <c r="T106" s="76"/>
      <c r="U106" s="72"/>
      <c r="V106" s="60"/>
      <c r="W106" s="60"/>
      <c r="X106" s="205"/>
      <c r="Y106" s="96"/>
    </row>
    <row r="107" spans="1:25" s="103" customFormat="1" ht="30" customHeight="1" x14ac:dyDescent="0.25">
      <c r="A107" s="94"/>
      <c r="B107" s="94"/>
      <c r="C107" s="413"/>
      <c r="D107" s="95"/>
      <c r="E107" s="96"/>
      <c r="F107" s="96"/>
      <c r="G107" s="96"/>
      <c r="H107" s="96"/>
      <c r="I107" s="96"/>
      <c r="J107" s="96"/>
      <c r="K107" s="97"/>
      <c r="L107" s="98"/>
      <c r="M107" s="98"/>
      <c r="N107" s="99"/>
      <c r="O107" s="72"/>
      <c r="P107" s="100"/>
      <c r="Q107" s="101"/>
      <c r="R107" s="63"/>
      <c r="S107" s="75"/>
      <c r="T107" s="76"/>
      <c r="U107" s="72"/>
      <c r="V107" s="60"/>
      <c r="W107" s="60"/>
      <c r="X107" s="205"/>
      <c r="Y107" s="96"/>
    </row>
    <row r="108" spans="1:25" s="103" customFormat="1" ht="30" customHeight="1" x14ac:dyDescent="0.25">
      <c r="A108" s="94"/>
      <c r="B108" s="94"/>
      <c r="C108" s="413"/>
      <c r="D108" s="95"/>
      <c r="E108" s="96"/>
      <c r="F108" s="96"/>
      <c r="G108" s="96"/>
      <c r="H108" s="96"/>
      <c r="I108" s="96"/>
      <c r="J108" s="96"/>
      <c r="K108" s="97"/>
      <c r="L108" s="98"/>
      <c r="M108" s="98"/>
      <c r="N108" s="99"/>
      <c r="O108" s="72"/>
      <c r="P108" s="100"/>
      <c r="Q108" s="101"/>
      <c r="R108" s="63"/>
      <c r="S108" s="75"/>
      <c r="T108" s="76"/>
      <c r="U108" s="72"/>
      <c r="V108" s="60"/>
      <c r="W108" s="60"/>
      <c r="X108" s="205"/>
      <c r="Y108" s="96"/>
    </row>
    <row r="109" spans="1:25" s="103" customFormat="1" ht="30" customHeight="1" x14ac:dyDescent="0.25">
      <c r="A109" s="94"/>
      <c r="B109" s="94"/>
      <c r="C109" s="413"/>
      <c r="D109" s="95"/>
      <c r="E109" s="96"/>
      <c r="F109" s="96"/>
      <c r="G109" s="96"/>
      <c r="H109" s="96"/>
      <c r="I109" s="96"/>
      <c r="J109" s="96"/>
      <c r="K109" s="97"/>
      <c r="L109" s="98"/>
      <c r="M109" s="98"/>
      <c r="N109" s="99"/>
      <c r="O109" s="72"/>
      <c r="P109" s="100"/>
      <c r="Q109" s="101"/>
      <c r="R109" s="63"/>
      <c r="S109" s="75"/>
      <c r="T109" s="76"/>
      <c r="U109" s="72"/>
      <c r="V109" s="60"/>
      <c r="W109" s="60"/>
      <c r="X109" s="205"/>
      <c r="Y109" s="96"/>
    </row>
    <row r="110" spans="1:25" s="103" customFormat="1" ht="65.099999999999994" customHeight="1" x14ac:dyDescent="0.25">
      <c r="A110" s="94"/>
      <c r="B110" s="94"/>
      <c r="C110" s="413"/>
      <c r="D110" s="95"/>
      <c r="E110" s="96"/>
      <c r="F110" s="96"/>
      <c r="G110" s="96"/>
      <c r="H110" s="96"/>
      <c r="I110" s="96"/>
      <c r="J110" s="96"/>
      <c r="K110" s="97"/>
      <c r="L110" s="98"/>
      <c r="M110" s="98"/>
      <c r="N110" s="99"/>
      <c r="O110" s="72"/>
      <c r="P110" s="100"/>
      <c r="Q110" s="101"/>
      <c r="R110" s="63"/>
      <c r="S110" s="75"/>
      <c r="T110" s="76"/>
      <c r="U110" s="72"/>
      <c r="V110" s="60"/>
      <c r="W110" s="60"/>
      <c r="X110" s="205"/>
      <c r="Y110" s="96"/>
    </row>
    <row r="111" spans="1:25" s="103" customFormat="1" ht="65.099999999999994" customHeight="1" x14ac:dyDescent="0.25">
      <c r="A111" s="94"/>
      <c r="B111" s="94"/>
      <c r="C111" s="413"/>
      <c r="D111" s="95"/>
      <c r="E111" s="96"/>
      <c r="F111" s="96"/>
      <c r="G111" s="96"/>
      <c r="H111" s="96"/>
      <c r="I111" s="96"/>
      <c r="J111" s="96"/>
      <c r="K111" s="97"/>
      <c r="L111" s="98"/>
      <c r="M111" s="98"/>
      <c r="N111" s="99"/>
      <c r="O111" s="72"/>
      <c r="P111" s="100"/>
      <c r="Q111" s="101"/>
      <c r="R111" s="63"/>
      <c r="S111" s="75"/>
      <c r="T111" s="76"/>
      <c r="U111" s="72"/>
      <c r="V111" s="60"/>
      <c r="W111" s="60"/>
      <c r="X111" s="205"/>
      <c r="Y111" s="96"/>
    </row>
    <row r="112" spans="1:25" s="103" customFormat="1" ht="65.099999999999994" customHeight="1" x14ac:dyDescent="0.25">
      <c r="A112" s="94"/>
      <c r="B112" s="94"/>
      <c r="C112" s="413"/>
      <c r="D112" s="95"/>
      <c r="E112" s="96"/>
      <c r="F112" s="96"/>
      <c r="G112" s="96"/>
      <c r="H112" s="96"/>
      <c r="I112" s="96"/>
      <c r="J112" s="96"/>
      <c r="K112" s="97"/>
      <c r="L112" s="98"/>
      <c r="M112" s="98"/>
      <c r="N112" s="99"/>
      <c r="O112" s="72"/>
      <c r="P112" s="100"/>
      <c r="Q112" s="101"/>
      <c r="R112" s="63"/>
      <c r="S112" s="75"/>
      <c r="T112" s="76"/>
      <c r="U112" s="72"/>
      <c r="V112" s="60"/>
      <c r="W112" s="60"/>
      <c r="X112" s="205"/>
      <c r="Y112" s="96"/>
    </row>
    <row r="113" spans="1:25" s="103" customFormat="1" ht="65.099999999999994" customHeight="1" x14ac:dyDescent="0.25">
      <c r="A113" s="94"/>
      <c r="B113" s="94"/>
      <c r="C113" s="413"/>
      <c r="D113" s="95"/>
      <c r="E113" s="96"/>
      <c r="F113" s="96"/>
      <c r="G113" s="96"/>
      <c r="H113" s="96"/>
      <c r="I113" s="96"/>
      <c r="J113" s="96"/>
      <c r="K113" s="97"/>
      <c r="L113" s="98"/>
      <c r="M113" s="98"/>
      <c r="N113" s="99"/>
      <c r="O113" s="72"/>
      <c r="P113" s="100"/>
      <c r="Q113" s="101"/>
      <c r="R113" s="63"/>
      <c r="S113" s="75"/>
      <c r="T113" s="76"/>
      <c r="U113" s="72"/>
      <c r="V113" s="60"/>
      <c r="W113" s="60"/>
      <c r="X113" s="205"/>
      <c r="Y113" s="96"/>
    </row>
    <row r="114" spans="1:25" s="103" customFormat="1" ht="65.099999999999994" customHeight="1" x14ac:dyDescent="0.25">
      <c r="A114" s="94"/>
      <c r="B114" s="94"/>
      <c r="C114" s="413"/>
      <c r="D114" s="95"/>
      <c r="E114" s="96"/>
      <c r="F114" s="96"/>
      <c r="G114" s="96"/>
      <c r="H114" s="96"/>
      <c r="I114" s="96"/>
      <c r="J114" s="96"/>
      <c r="K114" s="97"/>
      <c r="L114" s="98"/>
      <c r="M114" s="98"/>
      <c r="N114" s="99"/>
      <c r="O114" s="72"/>
      <c r="P114" s="100"/>
      <c r="Q114" s="101"/>
      <c r="R114" s="63"/>
      <c r="S114" s="75"/>
      <c r="T114" s="76"/>
      <c r="U114" s="72"/>
      <c r="V114" s="60"/>
      <c r="W114" s="60"/>
      <c r="X114" s="205"/>
      <c r="Y114" s="96"/>
    </row>
    <row r="115" spans="1:25" s="103" customFormat="1" ht="65.099999999999994" customHeight="1" x14ac:dyDescent="0.25">
      <c r="A115" s="94"/>
      <c r="B115" s="94"/>
      <c r="C115" s="413"/>
      <c r="D115" s="95"/>
      <c r="E115" s="96"/>
      <c r="F115" s="96"/>
      <c r="G115" s="96"/>
      <c r="H115" s="96"/>
      <c r="I115" s="96"/>
      <c r="J115" s="96"/>
      <c r="K115" s="97"/>
      <c r="L115" s="98"/>
      <c r="M115" s="98"/>
      <c r="N115" s="99"/>
      <c r="O115" s="72"/>
      <c r="P115" s="100"/>
      <c r="Q115" s="101"/>
      <c r="R115" s="63"/>
      <c r="S115" s="75"/>
      <c r="T115" s="76"/>
      <c r="U115" s="72"/>
      <c r="V115" s="60"/>
      <c r="W115" s="60"/>
      <c r="X115" s="205"/>
      <c r="Y115" s="96"/>
    </row>
    <row r="116" spans="1:25" s="103" customFormat="1" ht="65.099999999999994" customHeight="1" x14ac:dyDescent="0.25">
      <c r="A116" s="94"/>
      <c r="B116" s="94"/>
      <c r="C116" s="413"/>
      <c r="D116" s="95"/>
      <c r="E116" s="96"/>
      <c r="F116" s="96"/>
      <c r="G116" s="96"/>
      <c r="H116" s="96"/>
      <c r="I116" s="96"/>
      <c r="J116" s="96"/>
      <c r="K116" s="97"/>
      <c r="L116" s="98"/>
      <c r="M116" s="98"/>
      <c r="N116" s="99"/>
      <c r="O116" s="72"/>
      <c r="P116" s="100"/>
      <c r="Q116" s="101"/>
      <c r="R116" s="63"/>
      <c r="S116" s="75"/>
      <c r="T116" s="76"/>
      <c r="U116" s="72"/>
      <c r="V116" s="60"/>
      <c r="W116" s="60"/>
      <c r="X116" s="205"/>
      <c r="Y116" s="96"/>
    </row>
    <row r="117" spans="1:25" s="103" customFormat="1" ht="65.099999999999994" customHeight="1" x14ac:dyDescent="0.25">
      <c r="A117" s="94"/>
      <c r="B117" s="94"/>
      <c r="C117" s="413"/>
      <c r="D117" s="95"/>
      <c r="E117" s="96"/>
      <c r="F117" s="96"/>
      <c r="G117" s="96"/>
      <c r="H117" s="96"/>
      <c r="I117" s="96"/>
      <c r="J117" s="96"/>
      <c r="K117" s="97"/>
      <c r="L117" s="98"/>
      <c r="M117" s="98"/>
      <c r="N117" s="99"/>
      <c r="O117" s="72"/>
      <c r="P117" s="100"/>
      <c r="Q117" s="101"/>
      <c r="R117" s="63"/>
      <c r="S117" s="75"/>
      <c r="T117" s="76"/>
      <c r="U117" s="72"/>
      <c r="V117" s="60"/>
      <c r="W117" s="60"/>
      <c r="X117" s="205"/>
      <c r="Y117" s="96"/>
    </row>
    <row r="118" spans="1:25" s="103" customFormat="1" ht="65.099999999999994" customHeight="1" x14ac:dyDescent="0.25">
      <c r="A118" s="94"/>
      <c r="B118" s="94"/>
      <c r="C118" s="413"/>
      <c r="D118" s="95"/>
      <c r="E118" s="96"/>
      <c r="F118" s="96"/>
      <c r="G118" s="96"/>
      <c r="H118" s="96"/>
      <c r="I118" s="96"/>
      <c r="J118" s="96"/>
      <c r="K118" s="97"/>
      <c r="L118" s="98"/>
      <c r="M118" s="98"/>
      <c r="N118" s="99"/>
      <c r="O118" s="72"/>
      <c r="P118" s="100"/>
      <c r="Q118" s="101"/>
      <c r="R118" s="63"/>
      <c r="S118" s="75"/>
      <c r="T118" s="76"/>
      <c r="U118" s="72"/>
      <c r="V118" s="60"/>
      <c r="W118" s="60"/>
      <c r="X118" s="205"/>
      <c r="Y118" s="96"/>
    </row>
    <row r="119" spans="1:25" s="103" customFormat="1" ht="65.099999999999994" customHeight="1" x14ac:dyDescent="0.25">
      <c r="A119" s="94"/>
      <c r="B119" s="94"/>
      <c r="C119" s="413"/>
      <c r="D119" s="95"/>
      <c r="E119" s="96"/>
      <c r="F119" s="96"/>
      <c r="G119" s="96"/>
      <c r="H119" s="96"/>
      <c r="I119" s="96"/>
      <c r="J119" s="96"/>
      <c r="K119" s="97"/>
      <c r="L119" s="98"/>
      <c r="M119" s="98"/>
      <c r="N119" s="99"/>
      <c r="O119" s="72"/>
      <c r="P119" s="100"/>
      <c r="Q119" s="101"/>
      <c r="R119" s="63"/>
      <c r="S119" s="75"/>
      <c r="T119" s="76"/>
      <c r="U119" s="72"/>
      <c r="V119" s="60"/>
      <c r="W119" s="60"/>
      <c r="X119" s="205"/>
      <c r="Y119" s="96"/>
    </row>
    <row r="120" spans="1:25" s="103" customFormat="1" ht="65.099999999999994" customHeight="1" x14ac:dyDescent="0.25">
      <c r="A120" s="94"/>
      <c r="B120" s="94"/>
      <c r="C120" s="413"/>
      <c r="D120" s="95"/>
      <c r="E120" s="96"/>
      <c r="F120" s="96"/>
      <c r="G120" s="96"/>
      <c r="H120" s="96"/>
      <c r="I120" s="96"/>
      <c r="J120" s="96"/>
      <c r="K120" s="97"/>
      <c r="L120" s="98"/>
      <c r="M120" s="98"/>
      <c r="N120" s="99"/>
      <c r="O120" s="72"/>
      <c r="P120" s="100"/>
      <c r="Q120" s="101"/>
      <c r="R120" s="63"/>
      <c r="S120" s="75"/>
      <c r="T120" s="76"/>
      <c r="U120" s="72"/>
      <c r="V120" s="60"/>
      <c r="W120" s="60"/>
      <c r="X120" s="205"/>
      <c r="Y120" s="96"/>
    </row>
    <row r="121" spans="1:25" s="103" customFormat="1" ht="65.099999999999994" customHeight="1" x14ac:dyDescent="0.25">
      <c r="A121" s="94"/>
      <c r="B121" s="94"/>
      <c r="C121" s="413"/>
      <c r="D121" s="95"/>
      <c r="E121" s="96"/>
      <c r="F121" s="96"/>
      <c r="G121" s="96"/>
      <c r="H121" s="96"/>
      <c r="I121" s="96"/>
      <c r="J121" s="96"/>
      <c r="K121" s="97"/>
      <c r="L121" s="98"/>
      <c r="M121" s="98"/>
      <c r="N121" s="99"/>
      <c r="O121" s="72"/>
      <c r="P121" s="100"/>
      <c r="Q121" s="101"/>
      <c r="R121" s="63"/>
      <c r="S121" s="75"/>
      <c r="T121" s="76"/>
      <c r="U121" s="72"/>
      <c r="V121" s="60"/>
      <c r="W121" s="60"/>
      <c r="X121" s="205"/>
      <c r="Y121" s="96"/>
    </row>
    <row r="122" spans="1:25" s="103" customFormat="1" ht="65.099999999999994" customHeight="1" x14ac:dyDescent="0.25">
      <c r="A122" s="94"/>
      <c r="B122" s="94"/>
      <c r="C122" s="413"/>
      <c r="D122" s="95"/>
      <c r="E122" s="96"/>
      <c r="F122" s="96"/>
      <c r="G122" s="96"/>
      <c r="H122" s="96"/>
      <c r="I122" s="96"/>
      <c r="J122" s="96"/>
      <c r="K122" s="97"/>
      <c r="L122" s="98"/>
      <c r="M122" s="98"/>
      <c r="N122" s="99"/>
      <c r="O122" s="72"/>
      <c r="P122" s="100"/>
      <c r="Q122" s="101"/>
      <c r="R122" s="63"/>
      <c r="S122" s="75"/>
      <c r="T122" s="76"/>
      <c r="U122" s="72"/>
      <c r="V122" s="60"/>
      <c r="W122" s="60"/>
      <c r="X122" s="205"/>
      <c r="Y122" s="96"/>
    </row>
    <row r="123" spans="1:25" s="103" customFormat="1" ht="65.099999999999994" customHeight="1" x14ac:dyDescent="0.25">
      <c r="A123" s="94"/>
      <c r="B123" s="94"/>
      <c r="C123" s="413"/>
      <c r="D123" s="95"/>
      <c r="E123" s="96"/>
      <c r="F123" s="96"/>
      <c r="G123" s="96"/>
      <c r="H123" s="96"/>
      <c r="I123" s="96"/>
      <c r="J123" s="96"/>
      <c r="K123" s="97"/>
      <c r="L123" s="98"/>
      <c r="M123" s="98"/>
      <c r="N123" s="99"/>
      <c r="O123" s="72"/>
      <c r="P123" s="100"/>
      <c r="Q123" s="101"/>
      <c r="R123" s="63"/>
      <c r="S123" s="75"/>
      <c r="T123" s="76"/>
      <c r="U123" s="72"/>
      <c r="V123" s="60"/>
      <c r="W123" s="60"/>
      <c r="X123" s="205"/>
      <c r="Y123" s="96"/>
    </row>
    <row r="124" spans="1:25" s="103" customFormat="1" ht="65.099999999999994" customHeight="1" x14ac:dyDescent="0.25">
      <c r="A124" s="94"/>
      <c r="B124" s="94"/>
      <c r="C124" s="413"/>
      <c r="D124" s="95"/>
      <c r="E124" s="96"/>
      <c r="F124" s="96"/>
      <c r="G124" s="96"/>
      <c r="H124" s="96"/>
      <c r="I124" s="96"/>
      <c r="J124" s="96"/>
      <c r="K124" s="97"/>
      <c r="L124" s="98"/>
      <c r="M124" s="98"/>
      <c r="N124" s="99"/>
      <c r="O124" s="72"/>
      <c r="P124" s="100"/>
      <c r="Q124" s="101"/>
      <c r="R124" s="63"/>
      <c r="S124" s="75"/>
      <c r="T124" s="76"/>
      <c r="U124" s="72"/>
      <c r="V124" s="60"/>
      <c r="W124" s="60"/>
      <c r="X124" s="205"/>
      <c r="Y124" s="96"/>
    </row>
    <row r="125" spans="1:25" s="103" customFormat="1" ht="65.099999999999994" customHeight="1" x14ac:dyDescent="0.25">
      <c r="A125" s="94"/>
      <c r="B125" s="94"/>
      <c r="C125" s="413"/>
      <c r="D125" s="95"/>
      <c r="E125" s="96"/>
      <c r="F125" s="96"/>
      <c r="G125" s="96"/>
      <c r="H125" s="96"/>
      <c r="I125" s="96"/>
      <c r="J125" s="96"/>
      <c r="K125" s="97"/>
      <c r="L125" s="98"/>
      <c r="M125" s="98"/>
      <c r="N125" s="99"/>
      <c r="O125" s="72"/>
      <c r="P125" s="100"/>
      <c r="Q125" s="101"/>
      <c r="R125" s="63"/>
      <c r="S125" s="75"/>
      <c r="T125" s="76"/>
      <c r="U125" s="72"/>
      <c r="V125" s="60"/>
      <c r="W125" s="60"/>
      <c r="X125" s="205"/>
      <c r="Y125" s="96"/>
    </row>
    <row r="126" spans="1:25" s="103" customFormat="1" ht="65.099999999999994" customHeight="1" x14ac:dyDescent="0.25">
      <c r="A126" s="94"/>
      <c r="B126" s="94"/>
      <c r="C126" s="413"/>
      <c r="D126" s="95"/>
      <c r="E126" s="96"/>
      <c r="F126" s="96"/>
      <c r="G126" s="96"/>
      <c r="H126" s="96"/>
      <c r="I126" s="96"/>
      <c r="J126" s="96"/>
      <c r="K126" s="97"/>
      <c r="L126" s="98"/>
      <c r="M126" s="98"/>
      <c r="N126" s="99"/>
      <c r="O126" s="72"/>
      <c r="P126" s="100"/>
      <c r="Q126" s="101"/>
      <c r="R126" s="63"/>
      <c r="S126" s="75"/>
      <c r="T126" s="76"/>
      <c r="U126" s="72"/>
      <c r="V126" s="60"/>
      <c r="W126" s="60"/>
      <c r="X126" s="205"/>
      <c r="Y126" s="96"/>
    </row>
    <row r="127" spans="1:25" s="103" customFormat="1" ht="65.099999999999994" customHeight="1" x14ac:dyDescent="0.25">
      <c r="A127" s="94"/>
      <c r="B127" s="94"/>
      <c r="C127" s="413"/>
      <c r="D127" s="95"/>
      <c r="E127" s="96"/>
      <c r="F127" s="96"/>
      <c r="G127" s="96"/>
      <c r="H127" s="96"/>
      <c r="I127" s="96"/>
      <c r="J127" s="96"/>
      <c r="K127" s="97"/>
      <c r="L127" s="98"/>
      <c r="M127" s="98"/>
      <c r="N127" s="99"/>
      <c r="O127" s="72"/>
      <c r="P127" s="100"/>
      <c r="Q127" s="101"/>
      <c r="R127" s="63"/>
      <c r="S127" s="75"/>
      <c r="T127" s="76"/>
      <c r="U127" s="72"/>
      <c r="V127" s="60"/>
      <c r="W127" s="60"/>
      <c r="X127" s="205"/>
      <c r="Y127" s="96"/>
    </row>
    <row r="128" spans="1:25" s="103" customFormat="1" ht="65.099999999999994" customHeight="1" x14ac:dyDescent="0.25">
      <c r="A128" s="94"/>
      <c r="B128" s="94"/>
      <c r="C128" s="413"/>
      <c r="D128" s="95"/>
      <c r="E128" s="96"/>
      <c r="F128" s="96"/>
      <c r="G128" s="96"/>
      <c r="H128" s="96"/>
      <c r="I128" s="96"/>
      <c r="J128" s="96"/>
      <c r="K128" s="97"/>
      <c r="L128" s="98"/>
      <c r="M128" s="98"/>
      <c r="N128" s="99"/>
      <c r="O128" s="72"/>
      <c r="P128" s="100"/>
      <c r="Q128" s="101"/>
      <c r="R128" s="63"/>
      <c r="S128" s="75"/>
      <c r="T128" s="76"/>
      <c r="U128" s="72"/>
      <c r="V128" s="60"/>
      <c r="W128" s="60"/>
      <c r="X128" s="205"/>
      <c r="Y128" s="96"/>
    </row>
    <row r="129" spans="1:25" s="103" customFormat="1" ht="65.099999999999994" customHeight="1" x14ac:dyDescent="0.25">
      <c r="A129" s="94"/>
      <c r="B129" s="94"/>
      <c r="C129" s="413"/>
      <c r="D129" s="95"/>
      <c r="E129" s="96"/>
      <c r="F129" s="96"/>
      <c r="G129" s="96"/>
      <c r="H129" s="96"/>
      <c r="I129" s="96"/>
      <c r="J129" s="96"/>
      <c r="K129" s="97"/>
      <c r="L129" s="98"/>
      <c r="M129" s="98"/>
      <c r="N129" s="99"/>
      <c r="O129" s="72"/>
      <c r="P129" s="100"/>
      <c r="Q129" s="101"/>
      <c r="R129" s="63"/>
      <c r="S129" s="75"/>
      <c r="T129" s="76"/>
      <c r="U129" s="72"/>
      <c r="V129" s="60"/>
      <c r="W129" s="60"/>
      <c r="X129" s="205"/>
      <c r="Y129" s="96"/>
    </row>
    <row r="130" spans="1:25" s="103" customFormat="1" ht="65.099999999999994" customHeight="1" x14ac:dyDescent="0.25">
      <c r="A130" s="94"/>
      <c r="B130" s="94"/>
      <c r="C130" s="413"/>
      <c r="D130" s="95"/>
      <c r="E130" s="96"/>
      <c r="F130" s="96"/>
      <c r="G130" s="96"/>
      <c r="H130" s="96"/>
      <c r="I130" s="96"/>
      <c r="J130" s="96"/>
      <c r="K130" s="97"/>
      <c r="L130" s="98"/>
      <c r="M130" s="98"/>
      <c r="N130" s="99"/>
      <c r="O130" s="72"/>
      <c r="P130" s="100"/>
      <c r="Q130" s="101"/>
      <c r="R130" s="63"/>
      <c r="S130" s="75"/>
      <c r="T130" s="76"/>
      <c r="U130" s="72"/>
      <c r="V130" s="60"/>
      <c r="W130" s="60"/>
      <c r="X130" s="205"/>
      <c r="Y130" s="96"/>
    </row>
    <row r="131" spans="1:25" s="103" customFormat="1" ht="65.099999999999994" customHeight="1" x14ac:dyDescent="0.25">
      <c r="A131" s="94"/>
      <c r="B131" s="94"/>
      <c r="C131" s="413"/>
      <c r="D131" s="95"/>
      <c r="E131" s="96"/>
      <c r="F131" s="96"/>
      <c r="G131" s="96"/>
      <c r="H131" s="96"/>
      <c r="I131" s="96"/>
      <c r="J131" s="96"/>
      <c r="K131" s="97"/>
      <c r="L131" s="98"/>
      <c r="M131" s="98"/>
      <c r="N131" s="99"/>
      <c r="O131" s="72"/>
      <c r="P131" s="100"/>
      <c r="Q131" s="101"/>
      <c r="R131" s="63"/>
      <c r="S131" s="75"/>
      <c r="T131" s="76"/>
      <c r="U131" s="72"/>
      <c r="V131" s="60"/>
      <c r="W131" s="60"/>
      <c r="X131" s="205"/>
      <c r="Y131" s="96"/>
    </row>
    <row r="132" spans="1:25" s="103" customFormat="1" ht="65.099999999999994" customHeight="1" x14ac:dyDescent="0.25">
      <c r="A132" s="94"/>
      <c r="B132" s="94"/>
      <c r="C132" s="413"/>
      <c r="D132" s="95"/>
      <c r="E132" s="96"/>
      <c r="F132" s="96"/>
      <c r="G132" s="96"/>
      <c r="H132" s="96"/>
      <c r="I132" s="96"/>
      <c r="J132" s="96"/>
      <c r="K132" s="97"/>
      <c r="L132" s="98"/>
      <c r="M132" s="98"/>
      <c r="N132" s="99"/>
      <c r="O132" s="72"/>
      <c r="P132" s="100"/>
      <c r="Q132" s="101"/>
      <c r="R132" s="63"/>
      <c r="S132" s="75"/>
      <c r="T132" s="76"/>
      <c r="U132" s="72"/>
      <c r="V132" s="60"/>
      <c r="W132" s="60"/>
      <c r="X132" s="205"/>
      <c r="Y132" s="96"/>
    </row>
    <row r="133" spans="1:25" s="103" customFormat="1" ht="65.099999999999994" customHeight="1" x14ac:dyDescent="0.25">
      <c r="A133" s="94"/>
      <c r="B133" s="94"/>
      <c r="C133" s="413"/>
      <c r="D133" s="95"/>
      <c r="E133" s="96"/>
      <c r="F133" s="96"/>
      <c r="G133" s="96"/>
      <c r="H133" s="96"/>
      <c r="I133" s="96"/>
      <c r="J133" s="96"/>
      <c r="K133" s="97"/>
      <c r="L133" s="98"/>
      <c r="M133" s="98"/>
      <c r="N133" s="99"/>
      <c r="O133" s="72"/>
      <c r="P133" s="100"/>
      <c r="Q133" s="101"/>
      <c r="R133" s="63"/>
      <c r="S133" s="75"/>
      <c r="T133" s="76"/>
      <c r="U133" s="72"/>
      <c r="V133" s="60"/>
      <c r="W133" s="60"/>
      <c r="X133" s="205"/>
      <c r="Y133" s="96"/>
    </row>
    <row r="134" spans="1:25" s="103" customFormat="1" ht="65.099999999999994" customHeight="1" x14ac:dyDescent="0.25">
      <c r="A134" s="94"/>
      <c r="B134" s="94"/>
      <c r="C134" s="413"/>
      <c r="D134" s="95"/>
      <c r="E134" s="96"/>
      <c r="F134" s="96"/>
      <c r="G134" s="96"/>
      <c r="H134" s="96"/>
      <c r="I134" s="96"/>
      <c r="J134" s="96"/>
      <c r="K134" s="97"/>
      <c r="L134" s="98"/>
      <c r="M134" s="98"/>
      <c r="N134" s="99"/>
      <c r="O134" s="72"/>
      <c r="P134" s="100"/>
      <c r="Q134" s="101"/>
      <c r="R134" s="63"/>
      <c r="S134" s="75"/>
      <c r="T134" s="76"/>
      <c r="U134" s="72"/>
      <c r="V134" s="60"/>
      <c r="W134" s="60"/>
      <c r="X134" s="205"/>
      <c r="Y134" s="96"/>
    </row>
    <row r="135" spans="1:25" s="103" customFormat="1" ht="65.099999999999994" customHeight="1" x14ac:dyDescent="0.25">
      <c r="A135" s="94"/>
      <c r="B135" s="94"/>
      <c r="C135" s="413"/>
      <c r="D135" s="95"/>
      <c r="E135" s="96"/>
      <c r="F135" s="96"/>
      <c r="G135" s="96"/>
      <c r="H135" s="96"/>
      <c r="I135" s="96"/>
      <c r="J135" s="96"/>
      <c r="K135" s="97"/>
      <c r="L135" s="98"/>
      <c r="M135" s="98"/>
      <c r="N135" s="99"/>
      <c r="O135" s="72"/>
      <c r="P135" s="100"/>
      <c r="Q135" s="101"/>
      <c r="R135" s="63"/>
      <c r="S135" s="75"/>
      <c r="T135" s="76"/>
      <c r="U135" s="72"/>
      <c r="V135" s="60"/>
      <c r="W135" s="60"/>
      <c r="X135" s="205"/>
      <c r="Y135" s="96"/>
    </row>
    <row r="136" spans="1:25" s="103" customFormat="1" ht="65.099999999999994" customHeight="1" x14ac:dyDescent="0.25">
      <c r="A136" s="94"/>
      <c r="B136" s="94"/>
      <c r="C136" s="413"/>
      <c r="D136" s="95"/>
      <c r="E136" s="96"/>
      <c r="F136" s="96"/>
      <c r="G136" s="96"/>
      <c r="H136" s="96"/>
      <c r="I136" s="96"/>
      <c r="J136" s="96"/>
      <c r="K136" s="97"/>
      <c r="L136" s="98"/>
      <c r="M136" s="98"/>
      <c r="N136" s="99"/>
      <c r="O136" s="72"/>
      <c r="P136" s="100"/>
      <c r="Q136" s="101"/>
      <c r="R136" s="63"/>
      <c r="S136" s="75"/>
      <c r="T136" s="76"/>
      <c r="U136" s="72"/>
      <c r="V136" s="60"/>
      <c r="W136" s="60"/>
      <c r="X136" s="205"/>
      <c r="Y136" s="96"/>
    </row>
    <row r="137" spans="1:25" s="103" customFormat="1" ht="65.099999999999994" customHeight="1" x14ac:dyDescent="0.25">
      <c r="A137" s="94"/>
      <c r="B137" s="94"/>
      <c r="C137" s="413"/>
      <c r="D137" s="95"/>
      <c r="E137" s="96"/>
      <c r="F137" s="96"/>
      <c r="G137" s="96"/>
      <c r="H137" s="96"/>
      <c r="I137" s="96"/>
      <c r="J137" s="96"/>
      <c r="K137" s="97"/>
      <c r="L137" s="98"/>
      <c r="M137" s="98"/>
      <c r="N137" s="99"/>
      <c r="O137" s="72"/>
      <c r="P137" s="100"/>
      <c r="Q137" s="101"/>
      <c r="R137" s="63"/>
      <c r="S137" s="75"/>
      <c r="T137" s="76"/>
      <c r="U137" s="72"/>
      <c r="V137" s="60"/>
      <c r="W137" s="60"/>
      <c r="X137" s="205"/>
      <c r="Y137" s="96"/>
    </row>
    <row r="138" spans="1:25" s="103" customFormat="1" ht="65.099999999999994" customHeight="1" x14ac:dyDescent="0.25">
      <c r="A138" s="94"/>
      <c r="B138" s="94"/>
      <c r="C138" s="413"/>
      <c r="D138" s="95"/>
      <c r="E138" s="96"/>
      <c r="F138" s="96"/>
      <c r="G138" s="96"/>
      <c r="H138" s="96"/>
      <c r="I138" s="96"/>
      <c r="J138" s="96"/>
      <c r="K138" s="97"/>
      <c r="L138" s="98"/>
      <c r="M138" s="98"/>
      <c r="N138" s="99"/>
      <c r="O138" s="72"/>
      <c r="P138" s="100"/>
      <c r="Q138" s="101"/>
      <c r="R138" s="63"/>
      <c r="S138" s="75"/>
      <c r="T138" s="76"/>
      <c r="U138" s="72"/>
      <c r="V138" s="60"/>
      <c r="W138" s="60"/>
      <c r="X138" s="205"/>
      <c r="Y138" s="96"/>
    </row>
    <row r="139" spans="1:25" s="103" customFormat="1" ht="65.099999999999994" customHeight="1" x14ac:dyDescent="0.25">
      <c r="A139" s="94"/>
      <c r="B139" s="94"/>
      <c r="C139" s="413"/>
      <c r="D139" s="95"/>
      <c r="E139" s="96"/>
      <c r="F139" s="96"/>
      <c r="G139" s="96"/>
      <c r="H139" s="96"/>
      <c r="I139" s="96"/>
      <c r="J139" s="96"/>
      <c r="K139" s="97"/>
      <c r="L139" s="98"/>
      <c r="M139" s="98"/>
      <c r="N139" s="99"/>
      <c r="O139" s="72"/>
      <c r="P139" s="100"/>
      <c r="Q139" s="101"/>
      <c r="R139" s="63"/>
      <c r="S139" s="75"/>
      <c r="T139" s="76"/>
      <c r="U139" s="72"/>
      <c r="V139" s="60"/>
      <c r="W139" s="60"/>
      <c r="X139" s="205"/>
      <c r="Y139" s="96"/>
    </row>
    <row r="140" spans="1:25" s="103" customFormat="1" ht="65.099999999999994" customHeight="1" x14ac:dyDescent="0.25">
      <c r="A140" s="94"/>
      <c r="B140" s="94"/>
      <c r="C140" s="413"/>
      <c r="D140" s="95"/>
      <c r="E140" s="96"/>
      <c r="F140" s="96"/>
      <c r="G140" s="96"/>
      <c r="H140" s="96"/>
      <c r="I140" s="96"/>
      <c r="J140" s="96"/>
      <c r="K140" s="97"/>
      <c r="L140" s="98"/>
      <c r="M140" s="98"/>
      <c r="N140" s="99"/>
      <c r="O140" s="72"/>
      <c r="P140" s="100"/>
      <c r="Q140" s="101"/>
      <c r="R140" s="63"/>
      <c r="S140" s="75"/>
      <c r="T140" s="76"/>
      <c r="U140" s="72"/>
      <c r="V140" s="60"/>
      <c r="W140" s="60"/>
      <c r="X140" s="205"/>
      <c r="Y140" s="96"/>
    </row>
    <row r="141" spans="1:25" s="103" customFormat="1" ht="65.099999999999994" customHeight="1" x14ac:dyDescent="0.25">
      <c r="A141" s="94"/>
      <c r="B141" s="94"/>
      <c r="C141" s="413"/>
      <c r="D141" s="95"/>
      <c r="E141" s="96"/>
      <c r="F141" s="96"/>
      <c r="G141" s="96"/>
      <c r="H141" s="96"/>
      <c r="I141" s="96"/>
      <c r="J141" s="96"/>
      <c r="K141" s="97"/>
      <c r="L141" s="98"/>
      <c r="M141" s="98"/>
      <c r="N141" s="99"/>
      <c r="O141" s="72"/>
      <c r="P141" s="100"/>
      <c r="Q141" s="101"/>
      <c r="R141" s="63"/>
      <c r="S141" s="75"/>
      <c r="T141" s="76"/>
      <c r="U141" s="72"/>
      <c r="V141" s="60"/>
      <c r="W141" s="60"/>
      <c r="X141" s="205"/>
      <c r="Y141" s="96"/>
    </row>
    <row r="142" spans="1:25" s="103" customFormat="1" ht="65.099999999999994" customHeight="1" x14ac:dyDescent="0.25">
      <c r="A142" s="94"/>
      <c r="B142" s="94"/>
      <c r="C142" s="413"/>
      <c r="D142" s="95"/>
      <c r="E142" s="96"/>
      <c r="F142" s="96"/>
      <c r="G142" s="96"/>
      <c r="H142" s="96"/>
      <c r="I142" s="96"/>
      <c r="J142" s="96"/>
      <c r="K142" s="97"/>
      <c r="L142" s="98"/>
      <c r="M142" s="98"/>
      <c r="N142" s="99"/>
      <c r="O142" s="72"/>
      <c r="P142" s="100"/>
      <c r="Q142" s="101"/>
      <c r="R142" s="63"/>
      <c r="S142" s="75"/>
      <c r="T142" s="76"/>
      <c r="U142" s="72"/>
      <c r="V142" s="60"/>
      <c r="W142" s="60"/>
      <c r="X142" s="205"/>
      <c r="Y142" s="96"/>
    </row>
    <row r="143" spans="1:25" s="103" customFormat="1" ht="65.099999999999994" customHeight="1" x14ac:dyDescent="0.25">
      <c r="A143" s="94"/>
      <c r="B143" s="94"/>
      <c r="C143" s="413"/>
      <c r="D143" s="95"/>
      <c r="E143" s="96"/>
      <c r="F143" s="96"/>
      <c r="G143" s="96"/>
      <c r="H143" s="96"/>
      <c r="I143" s="96"/>
      <c r="J143" s="96"/>
      <c r="K143" s="97"/>
      <c r="L143" s="98"/>
      <c r="M143" s="98"/>
      <c r="N143" s="99"/>
      <c r="O143" s="72"/>
      <c r="P143" s="100"/>
      <c r="Q143" s="101"/>
      <c r="R143" s="63"/>
      <c r="S143" s="75"/>
      <c r="T143" s="76"/>
      <c r="U143" s="72"/>
      <c r="V143" s="60"/>
      <c r="W143" s="60"/>
      <c r="X143" s="205"/>
      <c r="Y143" s="96"/>
    </row>
    <row r="144" spans="1:25" s="103" customFormat="1" ht="65.099999999999994" customHeight="1" x14ac:dyDescent="0.25">
      <c r="A144" s="94"/>
      <c r="B144" s="94"/>
      <c r="C144" s="413"/>
      <c r="D144" s="95"/>
      <c r="E144" s="96"/>
      <c r="F144" s="96"/>
      <c r="G144" s="96"/>
      <c r="H144" s="96"/>
      <c r="I144" s="96"/>
      <c r="J144" s="96"/>
      <c r="K144" s="97"/>
      <c r="L144" s="98"/>
      <c r="M144" s="98"/>
      <c r="N144" s="99"/>
      <c r="O144" s="72"/>
      <c r="P144" s="100"/>
      <c r="Q144" s="101"/>
      <c r="R144" s="63"/>
      <c r="S144" s="75"/>
      <c r="T144" s="76"/>
      <c r="U144" s="72"/>
      <c r="V144" s="60"/>
      <c r="W144" s="60"/>
      <c r="X144" s="205"/>
      <c r="Y144" s="96"/>
    </row>
    <row r="145" spans="1:25" s="103" customFormat="1" ht="65.099999999999994" customHeight="1" x14ac:dyDescent="0.25">
      <c r="A145" s="94"/>
      <c r="B145" s="94"/>
      <c r="C145" s="413"/>
      <c r="D145" s="95"/>
      <c r="E145" s="96"/>
      <c r="F145" s="96"/>
      <c r="G145" s="96"/>
      <c r="H145" s="96"/>
      <c r="I145" s="96"/>
      <c r="J145" s="96"/>
      <c r="K145" s="97"/>
      <c r="L145" s="98"/>
      <c r="M145" s="98"/>
      <c r="N145" s="99"/>
      <c r="O145" s="72"/>
      <c r="P145" s="100"/>
      <c r="Q145" s="101"/>
      <c r="R145" s="63"/>
      <c r="S145" s="75"/>
      <c r="T145" s="76"/>
      <c r="U145" s="72"/>
      <c r="V145" s="60"/>
      <c r="W145" s="60"/>
      <c r="X145" s="205"/>
      <c r="Y145" s="96"/>
    </row>
    <row r="146" spans="1:25" s="103" customFormat="1" ht="65.099999999999994" customHeight="1" x14ac:dyDescent="0.25">
      <c r="A146" s="94"/>
      <c r="B146" s="94"/>
      <c r="C146" s="413"/>
      <c r="D146" s="95"/>
      <c r="E146" s="96"/>
      <c r="F146" s="96"/>
      <c r="G146" s="96"/>
      <c r="H146" s="96"/>
      <c r="I146" s="96"/>
      <c r="J146" s="96"/>
      <c r="K146" s="97"/>
      <c r="L146" s="98"/>
      <c r="M146" s="98"/>
      <c r="N146" s="99"/>
      <c r="O146" s="72"/>
      <c r="P146" s="100"/>
      <c r="Q146" s="101"/>
      <c r="R146" s="63"/>
      <c r="S146" s="75"/>
      <c r="T146" s="76"/>
      <c r="U146" s="72"/>
      <c r="V146" s="60"/>
      <c r="W146" s="60"/>
      <c r="X146" s="205"/>
      <c r="Y146" s="96"/>
    </row>
    <row r="147" spans="1:25" s="103" customFormat="1" ht="65.099999999999994" customHeight="1" x14ac:dyDescent="0.25">
      <c r="A147" s="94"/>
      <c r="B147" s="94"/>
      <c r="C147" s="413"/>
      <c r="D147" s="95"/>
      <c r="E147" s="96"/>
      <c r="F147" s="96"/>
      <c r="G147" s="96"/>
      <c r="H147" s="96"/>
      <c r="I147" s="96"/>
      <c r="J147" s="96"/>
      <c r="K147" s="97"/>
      <c r="L147" s="98"/>
      <c r="M147" s="98"/>
      <c r="N147" s="99"/>
      <c r="O147" s="72"/>
      <c r="P147" s="100"/>
      <c r="Q147" s="101"/>
      <c r="R147" s="63"/>
      <c r="S147" s="75"/>
      <c r="T147" s="76"/>
      <c r="U147" s="72"/>
      <c r="V147" s="60"/>
      <c r="W147" s="60"/>
      <c r="X147" s="205"/>
      <c r="Y147" s="96"/>
    </row>
    <row r="148" spans="1:25" s="103" customFormat="1" ht="65.099999999999994" customHeight="1" x14ac:dyDescent="0.25">
      <c r="A148" s="94"/>
      <c r="B148" s="94"/>
      <c r="C148" s="413"/>
      <c r="D148" s="95"/>
      <c r="E148" s="96"/>
      <c r="F148" s="96"/>
      <c r="G148" s="96"/>
      <c r="H148" s="96"/>
      <c r="I148" s="96"/>
      <c r="J148" s="96"/>
      <c r="K148" s="97"/>
      <c r="L148" s="98"/>
      <c r="M148" s="98"/>
      <c r="N148" s="99"/>
      <c r="O148" s="72"/>
      <c r="P148" s="100"/>
      <c r="Q148" s="101"/>
      <c r="R148" s="63"/>
      <c r="S148" s="75"/>
      <c r="T148" s="76"/>
      <c r="U148" s="72"/>
      <c r="V148" s="60"/>
      <c r="W148" s="60"/>
      <c r="X148" s="205"/>
      <c r="Y148" s="96"/>
    </row>
    <row r="149" spans="1:25" s="103" customFormat="1" ht="65.099999999999994" customHeight="1" x14ac:dyDescent="0.25">
      <c r="A149" s="94"/>
      <c r="B149" s="94"/>
      <c r="C149" s="413"/>
      <c r="D149" s="95"/>
      <c r="E149" s="96"/>
      <c r="F149" s="96"/>
      <c r="G149" s="96"/>
      <c r="H149" s="96"/>
      <c r="I149" s="96"/>
      <c r="J149" s="96"/>
      <c r="K149" s="97"/>
      <c r="L149" s="98"/>
      <c r="M149" s="98"/>
      <c r="N149" s="99"/>
      <c r="O149" s="72"/>
      <c r="P149" s="100"/>
      <c r="Q149" s="101"/>
      <c r="R149" s="63"/>
      <c r="S149" s="75"/>
      <c r="T149" s="76"/>
      <c r="U149" s="72"/>
      <c r="V149" s="60"/>
      <c r="W149" s="60"/>
      <c r="X149" s="205"/>
      <c r="Y149" s="96"/>
    </row>
    <row r="150" spans="1:25" s="103" customFormat="1" ht="65.099999999999994" customHeight="1" x14ac:dyDescent="0.25">
      <c r="A150" s="94"/>
      <c r="B150" s="94"/>
      <c r="C150" s="413"/>
      <c r="D150" s="95"/>
      <c r="E150" s="96"/>
      <c r="F150" s="96"/>
      <c r="G150" s="96"/>
      <c r="H150" s="96"/>
      <c r="I150" s="96"/>
      <c r="J150" s="96"/>
      <c r="K150" s="97"/>
      <c r="L150" s="98"/>
      <c r="M150" s="98"/>
      <c r="N150" s="99"/>
      <c r="O150" s="72"/>
      <c r="P150" s="100"/>
      <c r="Q150" s="101"/>
      <c r="R150" s="63"/>
      <c r="S150" s="75"/>
      <c r="T150" s="76"/>
      <c r="U150" s="72"/>
      <c r="V150" s="60"/>
      <c r="W150" s="60"/>
      <c r="X150" s="205"/>
      <c r="Y150" s="96"/>
    </row>
    <row r="151" spans="1:25" s="103" customFormat="1" ht="65.099999999999994" customHeight="1" x14ac:dyDescent="0.25">
      <c r="A151" s="94"/>
      <c r="B151" s="94"/>
      <c r="C151" s="413"/>
      <c r="D151" s="95"/>
      <c r="E151" s="96"/>
      <c r="F151" s="96"/>
      <c r="G151" s="96"/>
      <c r="H151" s="96"/>
      <c r="I151" s="96"/>
      <c r="J151" s="96"/>
      <c r="K151" s="97"/>
      <c r="L151" s="98"/>
      <c r="M151" s="98"/>
      <c r="N151" s="99"/>
      <c r="O151" s="72"/>
      <c r="P151" s="100"/>
      <c r="Q151" s="101"/>
      <c r="R151" s="63"/>
      <c r="S151" s="75"/>
      <c r="T151" s="76"/>
      <c r="U151" s="72"/>
      <c r="V151" s="60"/>
      <c r="W151" s="60"/>
      <c r="X151" s="205"/>
      <c r="Y151" s="96"/>
    </row>
    <row r="152" spans="1:25" s="103" customFormat="1" ht="65.099999999999994" customHeight="1" x14ac:dyDescent="0.25">
      <c r="A152" s="94"/>
      <c r="B152" s="94"/>
      <c r="C152" s="413"/>
      <c r="D152" s="95"/>
      <c r="E152" s="96"/>
      <c r="F152" s="96"/>
      <c r="G152" s="96"/>
      <c r="H152" s="96"/>
      <c r="I152" s="96"/>
      <c r="J152" s="96"/>
      <c r="K152" s="97"/>
      <c r="L152" s="98"/>
      <c r="M152" s="98"/>
      <c r="N152" s="99"/>
      <c r="O152" s="72"/>
      <c r="P152" s="100"/>
      <c r="Q152" s="101"/>
      <c r="R152" s="63"/>
      <c r="S152" s="75"/>
      <c r="T152" s="76"/>
      <c r="U152" s="72"/>
      <c r="V152" s="60"/>
      <c r="W152" s="60"/>
      <c r="X152" s="205"/>
      <c r="Y152" s="96"/>
    </row>
    <row r="153" spans="1:25" s="103" customFormat="1" ht="65.099999999999994" customHeight="1" x14ac:dyDescent="0.25">
      <c r="A153" s="94"/>
      <c r="B153" s="94"/>
      <c r="C153" s="413"/>
      <c r="D153" s="95"/>
      <c r="E153" s="96"/>
      <c r="F153" s="96"/>
      <c r="G153" s="96"/>
      <c r="H153" s="96"/>
      <c r="I153" s="96"/>
      <c r="J153" s="96"/>
      <c r="K153" s="97"/>
      <c r="L153" s="98"/>
      <c r="M153" s="98"/>
      <c r="N153" s="99"/>
      <c r="O153" s="72"/>
      <c r="P153" s="100"/>
      <c r="Q153" s="101"/>
      <c r="R153" s="63"/>
      <c r="S153" s="75"/>
      <c r="T153" s="76"/>
      <c r="U153" s="72"/>
      <c r="V153" s="60"/>
      <c r="W153" s="60"/>
      <c r="X153" s="205"/>
      <c r="Y153" s="96"/>
    </row>
    <row r="154" spans="1:25" s="103" customFormat="1" ht="65.099999999999994" customHeight="1" x14ac:dyDescent="0.25">
      <c r="A154" s="94"/>
      <c r="B154" s="94"/>
      <c r="C154" s="413"/>
      <c r="D154" s="95"/>
      <c r="E154" s="96"/>
      <c r="F154" s="96"/>
      <c r="G154" s="96"/>
      <c r="H154" s="96"/>
      <c r="I154" s="96"/>
      <c r="J154" s="96"/>
      <c r="K154" s="97"/>
      <c r="L154" s="98"/>
      <c r="M154" s="98"/>
      <c r="N154" s="99"/>
      <c r="O154" s="72"/>
      <c r="P154" s="100"/>
      <c r="Q154" s="101"/>
      <c r="R154" s="63"/>
      <c r="S154" s="75"/>
      <c r="T154" s="76"/>
      <c r="U154" s="72"/>
      <c r="V154" s="60"/>
      <c r="W154" s="60"/>
      <c r="X154" s="205"/>
      <c r="Y154" s="96"/>
    </row>
    <row r="155" spans="1:25" s="103" customFormat="1" ht="65.099999999999994" customHeight="1" x14ac:dyDescent="0.25">
      <c r="A155" s="94"/>
      <c r="B155" s="94"/>
      <c r="C155" s="413"/>
      <c r="D155" s="95"/>
      <c r="E155" s="96"/>
      <c r="F155" s="96"/>
      <c r="G155" s="96"/>
      <c r="H155" s="96"/>
      <c r="I155" s="96"/>
      <c r="J155" s="96"/>
      <c r="K155" s="97"/>
      <c r="L155" s="98"/>
      <c r="M155" s="98"/>
      <c r="N155" s="99"/>
      <c r="O155" s="72"/>
      <c r="P155" s="100"/>
      <c r="Q155" s="101"/>
      <c r="R155" s="63"/>
      <c r="S155" s="75"/>
      <c r="T155" s="76"/>
      <c r="U155" s="72"/>
      <c r="V155" s="60"/>
      <c r="W155" s="60"/>
      <c r="X155" s="205"/>
      <c r="Y155" s="96"/>
    </row>
    <row r="156" spans="1:25" s="103" customFormat="1" ht="65.099999999999994" customHeight="1" x14ac:dyDescent="0.25">
      <c r="A156" s="94"/>
      <c r="B156" s="94"/>
      <c r="C156" s="413"/>
      <c r="D156" s="95"/>
      <c r="E156" s="96"/>
      <c r="F156" s="96"/>
      <c r="G156" s="96"/>
      <c r="H156" s="96"/>
      <c r="I156" s="96"/>
      <c r="J156" s="96"/>
      <c r="K156" s="97"/>
      <c r="L156" s="98"/>
      <c r="M156" s="98"/>
      <c r="N156" s="99"/>
      <c r="O156" s="72"/>
      <c r="P156" s="100"/>
      <c r="Q156" s="101"/>
      <c r="R156" s="63"/>
      <c r="S156" s="75"/>
      <c r="T156" s="76"/>
      <c r="U156" s="72"/>
      <c r="V156" s="60"/>
      <c r="W156" s="60"/>
      <c r="X156" s="205"/>
      <c r="Y156" s="96"/>
    </row>
    <row r="157" spans="1:25" s="103" customFormat="1" ht="65.099999999999994" customHeight="1" x14ac:dyDescent="0.25">
      <c r="A157" s="94"/>
      <c r="B157" s="94"/>
      <c r="C157" s="413"/>
      <c r="D157" s="95"/>
      <c r="E157" s="96"/>
      <c r="F157" s="96"/>
      <c r="G157" s="96"/>
      <c r="H157" s="96"/>
      <c r="I157" s="96"/>
      <c r="J157" s="96"/>
      <c r="K157" s="97"/>
      <c r="L157" s="98"/>
      <c r="M157" s="98"/>
      <c r="N157" s="99"/>
      <c r="O157" s="72"/>
      <c r="P157" s="100"/>
      <c r="Q157" s="101"/>
      <c r="R157" s="63"/>
      <c r="S157" s="75"/>
      <c r="T157" s="76"/>
      <c r="U157" s="72"/>
      <c r="V157" s="60"/>
      <c r="W157" s="60"/>
      <c r="X157" s="205"/>
      <c r="Y157" s="96"/>
    </row>
    <row r="158" spans="1:25" s="103" customFormat="1" ht="65.099999999999994" customHeight="1" x14ac:dyDescent="0.25">
      <c r="A158" s="94"/>
      <c r="B158" s="94"/>
      <c r="C158" s="413"/>
      <c r="D158" s="95"/>
      <c r="E158" s="96"/>
      <c r="F158" s="96"/>
      <c r="G158" s="96"/>
      <c r="H158" s="96"/>
      <c r="I158" s="96"/>
      <c r="J158" s="96"/>
      <c r="K158" s="97"/>
      <c r="L158" s="98"/>
      <c r="M158" s="98"/>
      <c r="N158" s="99"/>
      <c r="O158" s="72"/>
      <c r="P158" s="100"/>
      <c r="Q158" s="101"/>
      <c r="R158" s="63"/>
      <c r="S158" s="75"/>
      <c r="T158" s="76"/>
      <c r="U158" s="72"/>
      <c r="V158" s="60"/>
      <c r="W158" s="60"/>
      <c r="X158" s="205"/>
      <c r="Y158" s="96"/>
    </row>
    <row r="159" spans="1:25" s="103" customFormat="1" ht="65.099999999999994" customHeight="1" x14ac:dyDescent="0.25">
      <c r="A159" s="94"/>
      <c r="B159" s="94"/>
      <c r="C159" s="413"/>
      <c r="D159" s="95"/>
      <c r="E159" s="96"/>
      <c r="F159" s="96"/>
      <c r="G159" s="96"/>
      <c r="H159" s="96"/>
      <c r="I159" s="96"/>
      <c r="J159" s="96"/>
      <c r="K159" s="97"/>
      <c r="L159" s="98"/>
      <c r="M159" s="98"/>
      <c r="N159" s="99"/>
      <c r="O159" s="72"/>
      <c r="P159" s="100"/>
      <c r="Q159" s="101"/>
      <c r="R159" s="63"/>
      <c r="S159" s="75"/>
      <c r="T159" s="76"/>
      <c r="U159" s="72"/>
      <c r="V159" s="60"/>
      <c r="W159" s="60"/>
      <c r="X159" s="205"/>
      <c r="Y159" s="96"/>
    </row>
    <row r="160" spans="1:25" s="103" customFormat="1" ht="65.099999999999994" customHeight="1" x14ac:dyDescent="0.25">
      <c r="A160" s="94"/>
      <c r="B160" s="94"/>
      <c r="C160" s="413"/>
      <c r="D160" s="95"/>
      <c r="E160" s="96"/>
      <c r="F160" s="96"/>
      <c r="G160" s="96"/>
      <c r="H160" s="96"/>
      <c r="I160" s="96"/>
      <c r="J160" s="96"/>
      <c r="K160" s="97"/>
      <c r="L160" s="98"/>
      <c r="M160" s="98"/>
      <c r="N160" s="99"/>
      <c r="O160" s="72"/>
      <c r="P160" s="100"/>
      <c r="Q160" s="101"/>
      <c r="R160" s="63"/>
      <c r="S160" s="75"/>
      <c r="T160" s="76"/>
      <c r="U160" s="72"/>
      <c r="V160" s="60"/>
      <c r="W160" s="60"/>
      <c r="X160" s="205"/>
      <c r="Y160" s="96"/>
    </row>
    <row r="161" spans="1:25" s="103" customFormat="1" ht="65.099999999999994" customHeight="1" x14ac:dyDescent="0.25">
      <c r="A161" s="94"/>
      <c r="B161" s="94"/>
      <c r="C161" s="413"/>
      <c r="D161" s="95"/>
      <c r="E161" s="96"/>
      <c r="F161" s="96"/>
      <c r="G161" s="96"/>
      <c r="H161" s="96"/>
      <c r="I161" s="96"/>
      <c r="J161" s="96"/>
      <c r="K161" s="97"/>
      <c r="L161" s="98"/>
      <c r="M161" s="98"/>
      <c r="N161" s="99"/>
      <c r="O161" s="72"/>
      <c r="P161" s="100"/>
      <c r="Q161" s="101"/>
      <c r="R161" s="63"/>
      <c r="S161" s="75"/>
      <c r="T161" s="76"/>
      <c r="U161" s="72"/>
      <c r="V161" s="60"/>
      <c r="W161" s="60"/>
      <c r="X161" s="205"/>
      <c r="Y161" s="96"/>
    </row>
    <row r="162" spans="1:25" s="103" customFormat="1" ht="65.099999999999994" customHeight="1" x14ac:dyDescent="0.25">
      <c r="A162" s="94"/>
      <c r="B162" s="94"/>
      <c r="C162" s="413"/>
      <c r="D162" s="95"/>
      <c r="E162" s="96"/>
      <c r="F162" s="96"/>
      <c r="G162" s="96"/>
      <c r="H162" s="96"/>
      <c r="I162" s="96"/>
      <c r="J162" s="96"/>
      <c r="K162" s="97"/>
      <c r="L162" s="98"/>
      <c r="M162" s="98"/>
      <c r="N162" s="99"/>
      <c r="O162" s="72"/>
      <c r="P162" s="100"/>
      <c r="Q162" s="101"/>
      <c r="R162" s="63"/>
      <c r="S162" s="75"/>
      <c r="T162" s="76"/>
      <c r="U162" s="72"/>
      <c r="V162" s="60"/>
      <c r="W162" s="60"/>
      <c r="X162" s="205"/>
      <c r="Y162" s="96"/>
    </row>
    <row r="163" spans="1:25" s="103" customFormat="1" ht="65.099999999999994" customHeight="1" x14ac:dyDescent="0.25">
      <c r="A163" s="94"/>
      <c r="B163" s="94"/>
      <c r="C163" s="413"/>
      <c r="D163" s="95"/>
      <c r="E163" s="96"/>
      <c r="F163" s="96"/>
      <c r="G163" s="96"/>
      <c r="H163" s="96"/>
      <c r="I163" s="96"/>
      <c r="J163" s="96"/>
      <c r="K163" s="97"/>
      <c r="L163" s="98"/>
      <c r="M163" s="98"/>
      <c r="N163" s="99"/>
      <c r="O163" s="72"/>
      <c r="P163" s="100"/>
      <c r="Q163" s="101"/>
      <c r="R163" s="63"/>
      <c r="S163" s="75"/>
      <c r="T163" s="76"/>
      <c r="U163" s="72"/>
      <c r="V163" s="60"/>
      <c r="W163" s="60"/>
      <c r="X163" s="205"/>
      <c r="Y163" s="96"/>
    </row>
    <row r="164" spans="1:25" s="103" customFormat="1" ht="65.099999999999994" customHeight="1" x14ac:dyDescent="0.25">
      <c r="A164" s="94"/>
      <c r="B164" s="94"/>
      <c r="C164" s="413"/>
      <c r="D164" s="95"/>
      <c r="E164" s="96"/>
      <c r="F164" s="96"/>
      <c r="G164" s="96"/>
      <c r="H164" s="96"/>
      <c r="I164" s="96"/>
      <c r="J164" s="96"/>
      <c r="K164" s="97"/>
      <c r="L164" s="98"/>
      <c r="M164" s="98"/>
      <c r="N164" s="99"/>
      <c r="O164" s="72"/>
      <c r="P164" s="100"/>
      <c r="Q164" s="101"/>
      <c r="R164" s="63"/>
      <c r="S164" s="75"/>
      <c r="T164" s="76"/>
      <c r="U164" s="72"/>
      <c r="V164" s="60"/>
      <c r="W164" s="60"/>
      <c r="X164" s="205"/>
      <c r="Y164" s="96"/>
    </row>
    <row r="165" spans="1:25" s="103" customFormat="1" ht="65.099999999999994" customHeight="1" x14ac:dyDescent="0.25">
      <c r="A165" s="94"/>
      <c r="B165" s="94"/>
      <c r="C165" s="413"/>
      <c r="D165" s="95"/>
      <c r="E165" s="96"/>
      <c r="F165" s="96"/>
      <c r="G165" s="96"/>
      <c r="H165" s="96"/>
      <c r="I165" s="96"/>
      <c r="J165" s="96"/>
      <c r="K165" s="97"/>
      <c r="L165" s="98"/>
      <c r="M165" s="98"/>
      <c r="N165" s="99"/>
      <c r="O165" s="72"/>
      <c r="P165" s="100"/>
      <c r="Q165" s="101"/>
      <c r="R165" s="63"/>
      <c r="S165" s="75"/>
      <c r="T165" s="76"/>
      <c r="U165" s="72"/>
      <c r="V165" s="60"/>
      <c r="W165" s="60"/>
      <c r="X165" s="205"/>
      <c r="Y165" s="96"/>
    </row>
    <row r="166" spans="1:25" s="103" customFormat="1" ht="65.099999999999994" customHeight="1" x14ac:dyDescent="0.25">
      <c r="A166" s="94"/>
      <c r="B166" s="94"/>
      <c r="C166" s="413"/>
      <c r="D166" s="95"/>
      <c r="E166" s="96"/>
      <c r="F166" s="96"/>
      <c r="G166" s="96"/>
      <c r="H166" s="96"/>
      <c r="I166" s="96"/>
      <c r="J166" s="96"/>
      <c r="K166" s="97"/>
      <c r="L166" s="98"/>
      <c r="M166" s="98"/>
      <c r="N166" s="99"/>
      <c r="O166" s="72"/>
      <c r="P166" s="100"/>
      <c r="Q166" s="101"/>
      <c r="R166" s="63"/>
      <c r="S166" s="75"/>
      <c r="T166" s="76"/>
      <c r="U166" s="72"/>
      <c r="V166" s="60"/>
      <c r="W166" s="60"/>
      <c r="X166" s="205"/>
      <c r="Y166" s="96"/>
    </row>
    <row r="167" spans="1:25" s="103" customFormat="1" ht="65.099999999999994" customHeight="1" x14ac:dyDescent="0.25">
      <c r="A167" s="94"/>
      <c r="B167" s="94"/>
      <c r="C167" s="413"/>
      <c r="D167" s="95"/>
      <c r="E167" s="96"/>
      <c r="F167" s="96"/>
      <c r="G167" s="96"/>
      <c r="H167" s="96"/>
      <c r="I167" s="96"/>
      <c r="J167" s="96"/>
      <c r="K167" s="97"/>
      <c r="L167" s="98"/>
      <c r="M167" s="98"/>
      <c r="N167" s="99"/>
      <c r="O167" s="72"/>
      <c r="P167" s="100"/>
      <c r="Q167" s="101"/>
      <c r="R167" s="63"/>
      <c r="S167" s="75"/>
      <c r="T167" s="76"/>
      <c r="U167" s="72"/>
      <c r="V167" s="60"/>
      <c r="W167" s="60"/>
      <c r="X167" s="205"/>
      <c r="Y167" s="96"/>
    </row>
    <row r="168" spans="1:25" s="103" customFormat="1" ht="65.099999999999994" customHeight="1" x14ac:dyDescent="0.25">
      <c r="A168" s="94"/>
      <c r="B168" s="94"/>
      <c r="C168" s="413"/>
      <c r="D168" s="95"/>
      <c r="E168" s="96"/>
      <c r="F168" s="96"/>
      <c r="G168" s="96"/>
      <c r="H168" s="96"/>
      <c r="I168" s="96"/>
      <c r="J168" s="96"/>
      <c r="K168" s="97"/>
      <c r="L168" s="98"/>
      <c r="M168" s="98"/>
      <c r="N168" s="99"/>
      <c r="O168" s="72"/>
      <c r="P168" s="100"/>
      <c r="Q168" s="101"/>
      <c r="R168" s="63"/>
      <c r="S168" s="75"/>
      <c r="T168" s="76"/>
      <c r="U168" s="72"/>
      <c r="V168" s="60"/>
      <c r="W168" s="60"/>
      <c r="X168" s="205"/>
      <c r="Y168" s="96"/>
    </row>
    <row r="169" spans="1:25" s="103" customFormat="1" ht="65.099999999999994" customHeight="1" x14ac:dyDescent="0.25">
      <c r="A169" s="94"/>
      <c r="B169" s="94"/>
      <c r="C169" s="413"/>
      <c r="D169" s="95"/>
      <c r="E169" s="96"/>
      <c r="F169" s="96"/>
      <c r="G169" s="96"/>
      <c r="H169" s="96"/>
      <c r="I169" s="96"/>
      <c r="J169" s="96"/>
      <c r="K169" s="97"/>
      <c r="L169" s="98"/>
      <c r="M169" s="98"/>
      <c r="N169" s="99"/>
      <c r="O169" s="72"/>
      <c r="P169" s="100"/>
      <c r="Q169" s="101"/>
      <c r="R169" s="63"/>
      <c r="S169" s="75"/>
      <c r="T169" s="76"/>
      <c r="U169" s="72"/>
      <c r="V169" s="60"/>
      <c r="W169" s="60"/>
      <c r="X169" s="205"/>
      <c r="Y169" s="96"/>
    </row>
    <row r="170" spans="1:25" s="103" customFormat="1" ht="65.099999999999994" customHeight="1" x14ac:dyDescent="0.25">
      <c r="A170" s="94"/>
      <c r="B170" s="94"/>
      <c r="C170" s="413"/>
      <c r="D170" s="95"/>
      <c r="E170" s="96"/>
      <c r="F170" s="96"/>
      <c r="G170" s="96"/>
      <c r="H170" s="96"/>
      <c r="I170" s="96"/>
      <c r="J170" s="96"/>
      <c r="K170" s="97"/>
      <c r="L170" s="98"/>
      <c r="M170" s="98"/>
      <c r="N170" s="99"/>
      <c r="O170" s="72"/>
      <c r="P170" s="100"/>
      <c r="Q170" s="101"/>
      <c r="R170" s="63"/>
      <c r="S170" s="75"/>
      <c r="T170" s="76"/>
      <c r="U170" s="72"/>
      <c r="V170" s="60"/>
      <c r="W170" s="60"/>
      <c r="X170" s="205"/>
      <c r="Y170" s="96"/>
    </row>
    <row r="171" spans="1:25" s="103" customFormat="1" ht="65.099999999999994" customHeight="1" x14ac:dyDescent="0.25">
      <c r="A171" s="94"/>
      <c r="B171" s="94"/>
      <c r="C171" s="413"/>
      <c r="D171" s="95"/>
      <c r="E171" s="96"/>
      <c r="F171" s="96"/>
      <c r="G171" s="96"/>
      <c r="H171" s="96"/>
      <c r="I171" s="96"/>
      <c r="J171" s="96"/>
      <c r="K171" s="97"/>
      <c r="L171" s="98"/>
      <c r="M171" s="98"/>
      <c r="N171" s="99"/>
      <c r="O171" s="72"/>
      <c r="P171" s="100"/>
      <c r="Q171" s="101"/>
      <c r="R171" s="63"/>
      <c r="S171" s="75"/>
      <c r="T171" s="76"/>
      <c r="U171" s="72"/>
      <c r="V171" s="60"/>
      <c r="W171" s="60"/>
      <c r="X171" s="205"/>
      <c r="Y171" s="96"/>
    </row>
    <row r="172" spans="1:25" s="103" customFormat="1" ht="65.099999999999994" customHeight="1" x14ac:dyDescent="0.25">
      <c r="A172" s="94"/>
      <c r="B172" s="94"/>
      <c r="C172" s="413"/>
      <c r="D172" s="95"/>
      <c r="E172" s="96"/>
      <c r="F172" s="96"/>
      <c r="G172" s="96"/>
      <c r="H172" s="96"/>
      <c r="I172" s="96"/>
      <c r="J172" s="96"/>
      <c r="K172" s="97"/>
      <c r="L172" s="98"/>
      <c r="M172" s="98"/>
      <c r="N172" s="99"/>
      <c r="O172" s="72"/>
      <c r="P172" s="100"/>
      <c r="Q172" s="101"/>
      <c r="R172" s="63"/>
      <c r="S172" s="75"/>
      <c r="T172" s="76"/>
      <c r="U172" s="72"/>
      <c r="V172" s="60"/>
      <c r="W172" s="60"/>
      <c r="X172" s="205"/>
      <c r="Y172" s="96"/>
    </row>
    <row r="173" spans="1:25" s="103" customFormat="1" ht="65.099999999999994" customHeight="1" x14ac:dyDescent="0.25">
      <c r="A173" s="94"/>
      <c r="B173" s="94"/>
      <c r="C173" s="413"/>
      <c r="D173" s="95"/>
      <c r="E173" s="96"/>
      <c r="F173" s="96"/>
      <c r="G173" s="96"/>
      <c r="H173" s="96"/>
      <c r="I173" s="96"/>
      <c r="J173" s="96"/>
      <c r="K173" s="97"/>
      <c r="L173" s="98"/>
      <c r="M173" s="98"/>
      <c r="N173" s="99"/>
      <c r="O173" s="72"/>
      <c r="P173" s="100"/>
      <c r="Q173" s="101"/>
      <c r="R173" s="63"/>
      <c r="S173" s="75"/>
      <c r="T173" s="76"/>
      <c r="U173" s="72"/>
      <c r="V173" s="60"/>
      <c r="W173" s="60"/>
      <c r="X173" s="205"/>
      <c r="Y173" s="96"/>
    </row>
    <row r="174" spans="1:25" s="103" customFormat="1" ht="65.099999999999994" customHeight="1" x14ac:dyDescent="0.25">
      <c r="A174" s="94"/>
      <c r="B174" s="94"/>
      <c r="C174" s="413"/>
      <c r="D174" s="95"/>
      <c r="E174" s="96"/>
      <c r="F174" s="96"/>
      <c r="G174" s="96"/>
      <c r="H174" s="96"/>
      <c r="I174" s="96"/>
      <c r="J174" s="96"/>
      <c r="K174" s="97"/>
      <c r="L174" s="98"/>
      <c r="M174" s="98"/>
      <c r="N174" s="99"/>
      <c r="O174" s="72"/>
      <c r="P174" s="100"/>
      <c r="Q174" s="101"/>
      <c r="R174" s="63"/>
      <c r="S174" s="75"/>
      <c r="T174" s="76"/>
      <c r="U174" s="72"/>
      <c r="V174" s="60"/>
      <c r="W174" s="60"/>
      <c r="X174" s="205"/>
      <c r="Y174" s="96"/>
    </row>
    <row r="175" spans="1:25" s="103" customFormat="1" ht="65.099999999999994" customHeight="1" x14ac:dyDescent="0.25">
      <c r="A175" s="94"/>
      <c r="B175" s="94"/>
      <c r="C175" s="413"/>
      <c r="D175" s="95"/>
      <c r="E175" s="96"/>
      <c r="F175" s="96"/>
      <c r="G175" s="96"/>
      <c r="H175" s="96"/>
      <c r="I175" s="96"/>
      <c r="J175" s="96"/>
      <c r="K175" s="97"/>
      <c r="L175" s="98"/>
      <c r="M175" s="98"/>
      <c r="N175" s="99"/>
      <c r="O175" s="72"/>
      <c r="P175" s="100"/>
      <c r="Q175" s="101"/>
      <c r="R175" s="63"/>
      <c r="S175" s="75"/>
      <c r="T175" s="76"/>
      <c r="U175" s="72"/>
      <c r="V175" s="60"/>
      <c r="W175" s="60"/>
      <c r="X175" s="205"/>
      <c r="Y175" s="96"/>
    </row>
    <row r="176" spans="1:25" s="103" customFormat="1" ht="65.099999999999994" customHeight="1" x14ac:dyDescent="0.25">
      <c r="A176" s="94"/>
      <c r="B176" s="94"/>
      <c r="C176" s="413"/>
      <c r="D176" s="95"/>
      <c r="E176" s="96"/>
      <c r="F176" s="96"/>
      <c r="G176" s="96"/>
      <c r="H176" s="96"/>
      <c r="I176" s="96"/>
      <c r="J176" s="96"/>
      <c r="K176" s="97"/>
      <c r="L176" s="98"/>
      <c r="M176" s="98"/>
      <c r="N176" s="99"/>
      <c r="O176" s="72"/>
      <c r="P176" s="100"/>
      <c r="Q176" s="101"/>
      <c r="R176" s="63"/>
      <c r="S176" s="75"/>
      <c r="T176" s="76"/>
      <c r="U176" s="72"/>
      <c r="V176" s="60"/>
      <c r="W176" s="60"/>
      <c r="X176" s="205"/>
      <c r="Y176" s="96"/>
    </row>
    <row r="177" spans="1:25" s="103" customFormat="1" ht="65.099999999999994" customHeight="1" x14ac:dyDescent="0.25">
      <c r="A177" s="94"/>
      <c r="B177" s="94"/>
      <c r="C177" s="413"/>
      <c r="D177" s="95"/>
      <c r="E177" s="96"/>
      <c r="F177" s="96"/>
      <c r="G177" s="96"/>
      <c r="H177" s="96"/>
      <c r="I177" s="96"/>
      <c r="J177" s="96"/>
      <c r="K177" s="97"/>
      <c r="L177" s="98"/>
      <c r="M177" s="98"/>
      <c r="N177" s="99"/>
      <c r="O177" s="72"/>
      <c r="P177" s="100"/>
      <c r="Q177" s="101"/>
      <c r="R177" s="63"/>
      <c r="S177" s="75"/>
      <c r="T177" s="76"/>
      <c r="U177" s="72"/>
      <c r="V177" s="60"/>
      <c r="W177" s="60"/>
      <c r="X177" s="205"/>
      <c r="Y177" s="96"/>
    </row>
    <row r="178" spans="1:25" s="103" customFormat="1" ht="65.099999999999994" customHeight="1" x14ac:dyDescent="0.25">
      <c r="A178" s="94"/>
      <c r="B178" s="94"/>
      <c r="C178" s="413"/>
      <c r="D178" s="95"/>
      <c r="E178" s="96"/>
      <c r="F178" s="96"/>
      <c r="G178" s="96"/>
      <c r="H178" s="96"/>
      <c r="I178" s="96"/>
      <c r="J178" s="96"/>
      <c r="K178" s="97"/>
      <c r="L178" s="98"/>
      <c r="M178" s="98"/>
      <c r="N178" s="99"/>
      <c r="O178" s="72"/>
      <c r="P178" s="100"/>
      <c r="Q178" s="101"/>
      <c r="R178" s="63"/>
      <c r="S178" s="75"/>
      <c r="T178" s="76"/>
      <c r="U178" s="72"/>
      <c r="V178" s="60"/>
      <c r="W178" s="60"/>
      <c r="X178" s="205"/>
      <c r="Y178" s="96"/>
    </row>
    <row r="179" spans="1:25" s="103" customFormat="1" ht="65.099999999999994" customHeight="1" x14ac:dyDescent="0.25">
      <c r="A179" s="94"/>
      <c r="B179" s="94"/>
      <c r="C179" s="413"/>
      <c r="D179" s="95"/>
      <c r="E179" s="96"/>
      <c r="F179" s="96"/>
      <c r="G179" s="96"/>
      <c r="H179" s="96"/>
      <c r="I179" s="96"/>
      <c r="J179" s="96"/>
      <c r="K179" s="97"/>
      <c r="L179" s="98"/>
      <c r="M179" s="98"/>
      <c r="N179" s="99"/>
      <c r="O179" s="72"/>
      <c r="P179" s="100"/>
      <c r="Q179" s="101"/>
      <c r="R179" s="63"/>
      <c r="S179" s="75"/>
      <c r="T179" s="76"/>
      <c r="U179" s="72"/>
      <c r="V179" s="60"/>
      <c r="W179" s="60"/>
      <c r="X179" s="205"/>
      <c r="Y179" s="96"/>
    </row>
    <row r="180" spans="1:25" s="103" customFormat="1" ht="65.099999999999994" customHeight="1" x14ac:dyDescent="0.25">
      <c r="A180" s="94"/>
      <c r="B180" s="94"/>
      <c r="C180" s="413"/>
      <c r="D180" s="95"/>
      <c r="E180" s="96"/>
      <c r="F180" s="96"/>
      <c r="G180" s="96"/>
      <c r="H180" s="96"/>
      <c r="I180" s="96"/>
      <c r="J180" s="96"/>
      <c r="K180" s="97"/>
      <c r="L180" s="98"/>
      <c r="M180" s="98"/>
      <c r="N180" s="99"/>
      <c r="O180" s="72"/>
      <c r="P180" s="100"/>
      <c r="Q180" s="101"/>
      <c r="R180" s="63"/>
      <c r="S180" s="75"/>
      <c r="T180" s="76"/>
      <c r="U180" s="72"/>
      <c r="V180" s="60"/>
      <c r="W180" s="60"/>
      <c r="X180" s="205"/>
      <c r="Y180" s="96"/>
    </row>
    <row r="181" spans="1:25" s="103" customFormat="1" ht="65.099999999999994" customHeight="1" x14ac:dyDescent="0.25">
      <c r="A181" s="94"/>
      <c r="B181" s="94"/>
      <c r="C181" s="413"/>
      <c r="D181" s="95"/>
      <c r="E181" s="96"/>
      <c r="F181" s="96"/>
      <c r="G181" s="96"/>
      <c r="H181" s="96"/>
      <c r="I181" s="96"/>
      <c r="J181" s="96"/>
      <c r="K181" s="97"/>
      <c r="L181" s="98"/>
      <c r="M181" s="98"/>
      <c r="N181" s="99"/>
      <c r="O181" s="72"/>
      <c r="P181" s="100"/>
      <c r="Q181" s="101"/>
      <c r="R181" s="63"/>
      <c r="S181" s="75"/>
      <c r="T181" s="76"/>
      <c r="U181" s="72"/>
      <c r="V181" s="60"/>
      <c r="W181" s="60"/>
      <c r="X181" s="205"/>
      <c r="Y181" s="96"/>
    </row>
    <row r="182" spans="1:25" s="103" customFormat="1" ht="65.099999999999994" customHeight="1" x14ac:dyDescent="0.25">
      <c r="A182" s="94"/>
      <c r="B182" s="94"/>
      <c r="C182" s="413"/>
      <c r="D182" s="95"/>
      <c r="E182" s="96"/>
      <c r="F182" s="96"/>
      <c r="G182" s="96"/>
      <c r="H182" s="96"/>
      <c r="I182" s="96"/>
      <c r="J182" s="96"/>
      <c r="K182" s="97"/>
      <c r="L182" s="98"/>
      <c r="M182" s="98"/>
      <c r="N182" s="99"/>
      <c r="O182" s="72"/>
      <c r="P182" s="100"/>
      <c r="Q182" s="101"/>
      <c r="R182" s="63"/>
      <c r="S182" s="75"/>
      <c r="T182" s="76"/>
      <c r="U182" s="72"/>
      <c r="V182" s="60"/>
      <c r="W182" s="60"/>
      <c r="X182" s="205"/>
      <c r="Y182" s="96"/>
    </row>
    <row r="183" spans="1:25" s="103" customFormat="1" ht="65.099999999999994" customHeight="1" x14ac:dyDescent="0.25">
      <c r="A183" s="94"/>
      <c r="B183" s="94"/>
      <c r="C183" s="413"/>
      <c r="D183" s="95"/>
      <c r="E183" s="96"/>
      <c r="F183" s="96"/>
      <c r="G183" s="96"/>
      <c r="H183" s="96"/>
      <c r="I183" s="96"/>
      <c r="J183" s="96"/>
      <c r="K183" s="97"/>
      <c r="L183" s="98"/>
      <c r="M183" s="98"/>
      <c r="N183" s="99"/>
      <c r="O183" s="72"/>
      <c r="P183" s="100"/>
      <c r="Q183" s="101"/>
      <c r="R183" s="63"/>
      <c r="S183" s="75"/>
      <c r="T183" s="76"/>
      <c r="U183" s="72"/>
      <c r="V183" s="60"/>
      <c r="W183" s="60"/>
      <c r="X183" s="205"/>
      <c r="Y183" s="96"/>
    </row>
    <row r="184" spans="1:25" s="103" customFormat="1" ht="65.099999999999994" customHeight="1" x14ac:dyDescent="0.25">
      <c r="A184" s="94"/>
      <c r="B184" s="94"/>
      <c r="C184" s="413"/>
      <c r="D184" s="95"/>
      <c r="E184" s="96"/>
      <c r="F184" s="96"/>
      <c r="G184" s="96"/>
      <c r="H184" s="96"/>
      <c r="I184" s="96"/>
      <c r="J184" s="96"/>
      <c r="K184" s="97"/>
      <c r="L184" s="98"/>
      <c r="M184" s="98"/>
      <c r="N184" s="99"/>
      <c r="O184" s="72"/>
      <c r="P184" s="100"/>
      <c r="Q184" s="101"/>
      <c r="R184" s="63"/>
      <c r="S184" s="75"/>
      <c r="T184" s="76"/>
      <c r="U184" s="72"/>
      <c r="V184" s="60"/>
      <c r="W184" s="60"/>
      <c r="X184" s="205"/>
      <c r="Y184" s="96"/>
    </row>
    <row r="185" spans="1:25" s="103" customFormat="1" ht="65.099999999999994" customHeight="1" x14ac:dyDescent="0.25">
      <c r="A185" s="94"/>
      <c r="B185" s="94"/>
      <c r="C185" s="413"/>
      <c r="D185" s="95"/>
      <c r="E185" s="96"/>
      <c r="F185" s="96"/>
      <c r="G185" s="96"/>
      <c r="H185" s="96"/>
      <c r="I185" s="96"/>
      <c r="J185" s="96"/>
      <c r="K185" s="97"/>
      <c r="L185" s="98"/>
      <c r="M185" s="98"/>
      <c r="N185" s="99"/>
      <c r="O185" s="72"/>
      <c r="P185" s="100"/>
      <c r="Q185" s="101"/>
      <c r="R185" s="63"/>
      <c r="S185" s="75"/>
      <c r="T185" s="76"/>
      <c r="U185" s="72"/>
      <c r="V185" s="60"/>
      <c r="W185" s="60"/>
      <c r="X185" s="205"/>
      <c r="Y185" s="96"/>
    </row>
    <row r="186" spans="1:25" s="103" customFormat="1" ht="65.099999999999994" customHeight="1" x14ac:dyDescent="0.25">
      <c r="A186" s="94"/>
      <c r="B186" s="94"/>
      <c r="C186" s="413"/>
      <c r="D186" s="95"/>
      <c r="E186" s="96"/>
      <c r="F186" s="96"/>
      <c r="G186" s="96"/>
      <c r="H186" s="96"/>
      <c r="I186" s="96"/>
      <c r="J186" s="96"/>
      <c r="K186" s="97"/>
      <c r="L186" s="98"/>
      <c r="M186" s="98"/>
      <c r="N186" s="99"/>
      <c r="O186" s="72"/>
      <c r="P186" s="100"/>
      <c r="Q186" s="101"/>
      <c r="R186" s="63"/>
      <c r="S186" s="75"/>
      <c r="T186" s="76"/>
      <c r="U186" s="72"/>
      <c r="V186" s="60"/>
      <c r="W186" s="60"/>
      <c r="X186" s="205"/>
      <c r="Y186" s="96"/>
    </row>
    <row r="187" spans="1:25" s="103" customFormat="1" ht="65.099999999999994" customHeight="1" x14ac:dyDescent="0.25">
      <c r="A187" s="94"/>
      <c r="B187" s="94"/>
      <c r="C187" s="413"/>
      <c r="D187" s="95"/>
      <c r="E187" s="96"/>
      <c r="F187" s="96"/>
      <c r="G187" s="96"/>
      <c r="H187" s="96"/>
      <c r="I187" s="96"/>
      <c r="J187" s="96"/>
      <c r="K187" s="97"/>
      <c r="L187" s="98"/>
      <c r="M187" s="98"/>
      <c r="N187" s="99"/>
      <c r="O187" s="72"/>
      <c r="P187" s="100"/>
      <c r="Q187" s="101"/>
      <c r="R187" s="63"/>
      <c r="S187" s="75"/>
      <c r="T187" s="76"/>
      <c r="U187" s="72"/>
      <c r="V187" s="60"/>
      <c r="W187" s="60"/>
      <c r="X187" s="205"/>
      <c r="Y187" s="96"/>
    </row>
    <row r="188" spans="1:25" s="103" customFormat="1" ht="65.099999999999994" customHeight="1" x14ac:dyDescent="0.25">
      <c r="A188" s="94"/>
      <c r="B188" s="94"/>
      <c r="C188" s="413"/>
      <c r="D188" s="95"/>
      <c r="E188" s="96"/>
      <c r="F188" s="96"/>
      <c r="G188" s="96"/>
      <c r="H188" s="96"/>
      <c r="I188" s="96"/>
      <c r="J188" s="96"/>
      <c r="K188" s="97"/>
      <c r="L188" s="98"/>
      <c r="M188" s="98"/>
      <c r="N188" s="99"/>
      <c r="O188" s="72"/>
      <c r="P188" s="100"/>
      <c r="Q188" s="101"/>
      <c r="R188" s="63"/>
      <c r="S188" s="75"/>
      <c r="T188" s="76"/>
      <c r="U188" s="72"/>
      <c r="V188" s="60"/>
      <c r="W188" s="60"/>
      <c r="X188" s="205"/>
      <c r="Y188" s="96"/>
    </row>
    <row r="189" spans="1:25" s="103" customFormat="1" ht="65.099999999999994" customHeight="1" x14ac:dyDescent="0.25">
      <c r="A189" s="94"/>
      <c r="B189" s="94"/>
      <c r="C189" s="413"/>
      <c r="D189" s="95"/>
      <c r="E189" s="96"/>
      <c r="F189" s="96"/>
      <c r="G189" s="96"/>
      <c r="H189" s="96"/>
      <c r="I189" s="96"/>
      <c r="J189" s="96"/>
      <c r="K189" s="97"/>
      <c r="L189" s="98"/>
      <c r="M189" s="98"/>
      <c r="N189" s="99"/>
      <c r="O189" s="72"/>
      <c r="P189" s="100"/>
      <c r="Q189" s="101"/>
      <c r="R189" s="63"/>
      <c r="S189" s="75"/>
      <c r="T189" s="76"/>
      <c r="U189" s="72"/>
      <c r="V189" s="60"/>
      <c r="W189" s="60"/>
      <c r="X189" s="205"/>
      <c r="Y189" s="96"/>
    </row>
    <row r="190" spans="1:25" s="103" customFormat="1" ht="65.099999999999994" customHeight="1" x14ac:dyDescent="0.25">
      <c r="A190" s="94"/>
      <c r="B190" s="94"/>
      <c r="C190" s="413"/>
      <c r="D190" s="95"/>
      <c r="E190" s="96"/>
      <c r="F190" s="96"/>
      <c r="G190" s="96"/>
      <c r="H190" s="96"/>
      <c r="I190" s="96"/>
      <c r="J190" s="96"/>
      <c r="K190" s="97"/>
      <c r="L190" s="98"/>
      <c r="M190" s="98"/>
      <c r="N190" s="99"/>
      <c r="O190" s="72"/>
      <c r="P190" s="100"/>
      <c r="Q190" s="101"/>
      <c r="R190" s="63"/>
      <c r="S190" s="75"/>
      <c r="T190" s="76"/>
      <c r="U190" s="72"/>
      <c r="V190" s="60"/>
      <c r="W190" s="60"/>
      <c r="X190" s="205"/>
      <c r="Y190" s="96"/>
    </row>
    <row r="191" spans="1:25" s="103" customFormat="1" ht="65.099999999999994" customHeight="1" x14ac:dyDescent="0.25">
      <c r="A191" s="94"/>
      <c r="B191" s="94"/>
      <c r="C191" s="413"/>
      <c r="D191" s="95"/>
      <c r="E191" s="96"/>
      <c r="F191" s="96"/>
      <c r="G191" s="96"/>
      <c r="H191" s="96"/>
      <c r="I191" s="96"/>
      <c r="J191" s="96"/>
      <c r="K191" s="97"/>
      <c r="L191" s="98"/>
      <c r="M191" s="98"/>
      <c r="N191" s="99"/>
      <c r="O191" s="72"/>
      <c r="P191" s="100"/>
      <c r="Q191" s="101"/>
      <c r="R191" s="63"/>
      <c r="S191" s="75"/>
      <c r="T191" s="76"/>
      <c r="U191" s="72"/>
      <c r="V191" s="60"/>
      <c r="W191" s="60"/>
      <c r="X191" s="205"/>
      <c r="Y191" s="96"/>
    </row>
    <row r="192" spans="1:25" s="103" customFormat="1" ht="65.099999999999994" customHeight="1" x14ac:dyDescent="0.25">
      <c r="A192" s="94"/>
      <c r="B192" s="94"/>
      <c r="C192" s="413"/>
      <c r="D192" s="95"/>
      <c r="E192" s="96"/>
      <c r="F192" s="96"/>
      <c r="G192" s="96"/>
      <c r="H192" s="96"/>
      <c r="I192" s="96"/>
      <c r="J192" s="96"/>
      <c r="K192" s="97"/>
      <c r="L192" s="98"/>
      <c r="M192" s="98"/>
      <c r="N192" s="99"/>
      <c r="O192" s="72"/>
      <c r="P192" s="100"/>
      <c r="Q192" s="101"/>
      <c r="R192" s="63"/>
      <c r="S192" s="75"/>
      <c r="T192" s="76"/>
      <c r="U192" s="72"/>
      <c r="V192" s="60"/>
      <c r="W192" s="60"/>
      <c r="X192" s="205"/>
      <c r="Y192" s="96"/>
    </row>
    <row r="193" spans="1:25" s="103" customFormat="1" ht="65.099999999999994" customHeight="1" x14ac:dyDescent="0.25">
      <c r="A193" s="94"/>
      <c r="B193" s="94"/>
      <c r="C193" s="413"/>
      <c r="D193" s="95"/>
      <c r="E193" s="96"/>
      <c r="F193" s="96"/>
      <c r="G193" s="96"/>
      <c r="H193" s="96"/>
      <c r="I193" s="96"/>
      <c r="J193" s="96"/>
      <c r="K193" s="97"/>
      <c r="L193" s="98"/>
      <c r="M193" s="98"/>
      <c r="N193" s="99"/>
      <c r="O193" s="72"/>
      <c r="P193" s="100"/>
      <c r="Q193" s="101"/>
      <c r="R193" s="63"/>
      <c r="S193" s="75"/>
      <c r="T193" s="76"/>
      <c r="U193" s="72"/>
      <c r="V193" s="60"/>
      <c r="W193" s="60"/>
      <c r="X193" s="205"/>
      <c r="Y193" s="96"/>
    </row>
    <row r="194" spans="1:25" s="103" customFormat="1" ht="65.099999999999994" customHeight="1" x14ac:dyDescent="0.25">
      <c r="A194" s="94"/>
      <c r="B194" s="94"/>
      <c r="C194" s="413"/>
      <c r="D194" s="95"/>
      <c r="E194" s="96"/>
      <c r="F194" s="96"/>
      <c r="G194" s="96"/>
      <c r="H194" s="96"/>
      <c r="I194" s="96"/>
      <c r="J194" s="96"/>
      <c r="K194" s="97"/>
      <c r="L194" s="98"/>
      <c r="M194" s="98"/>
      <c r="N194" s="99"/>
      <c r="O194" s="72"/>
      <c r="P194" s="100"/>
      <c r="Q194" s="101"/>
      <c r="R194" s="63"/>
      <c r="S194" s="75"/>
      <c r="T194" s="76"/>
      <c r="U194" s="72"/>
      <c r="V194" s="60"/>
      <c r="W194" s="60"/>
      <c r="X194" s="205"/>
      <c r="Y194" s="96"/>
    </row>
    <row r="195" spans="1:25" s="103" customFormat="1" ht="65.099999999999994" customHeight="1" x14ac:dyDescent="0.25">
      <c r="A195" s="94"/>
      <c r="B195" s="94"/>
      <c r="C195" s="413"/>
      <c r="D195" s="95"/>
      <c r="E195" s="96"/>
      <c r="F195" s="96"/>
      <c r="G195" s="96"/>
      <c r="H195" s="96"/>
      <c r="I195" s="96"/>
      <c r="J195" s="96"/>
      <c r="K195" s="97"/>
      <c r="L195" s="98"/>
      <c r="M195" s="98"/>
      <c r="N195" s="99"/>
      <c r="O195" s="72"/>
      <c r="P195" s="100"/>
      <c r="Q195" s="101"/>
      <c r="R195" s="63"/>
      <c r="S195" s="75"/>
      <c r="T195" s="76"/>
      <c r="U195" s="72"/>
      <c r="V195" s="60"/>
      <c r="W195" s="60"/>
      <c r="X195" s="205"/>
      <c r="Y195" s="96"/>
    </row>
    <row r="196" spans="1:25" s="103" customFormat="1" ht="65.099999999999994" customHeight="1" x14ac:dyDescent="0.25">
      <c r="A196" s="94"/>
      <c r="B196" s="94"/>
      <c r="C196" s="413"/>
      <c r="D196" s="95"/>
      <c r="E196" s="96"/>
      <c r="F196" s="96"/>
      <c r="G196" s="96"/>
      <c r="H196" s="96"/>
      <c r="I196" s="96"/>
      <c r="J196" s="96"/>
      <c r="K196" s="97"/>
      <c r="L196" s="98"/>
      <c r="M196" s="98"/>
      <c r="N196" s="99"/>
      <c r="O196" s="72"/>
      <c r="P196" s="100"/>
      <c r="Q196" s="101"/>
      <c r="R196" s="63"/>
      <c r="S196" s="75"/>
      <c r="T196" s="76"/>
      <c r="U196" s="72"/>
      <c r="V196" s="60"/>
      <c r="W196" s="60"/>
      <c r="X196" s="205"/>
      <c r="Y196" s="96"/>
    </row>
    <row r="197" spans="1:25" s="103" customFormat="1" ht="65.099999999999994" customHeight="1" x14ac:dyDescent="0.25">
      <c r="A197" s="94"/>
      <c r="B197" s="94"/>
      <c r="C197" s="413"/>
      <c r="D197" s="95"/>
      <c r="E197" s="96"/>
      <c r="F197" s="96"/>
      <c r="G197" s="96"/>
      <c r="H197" s="96"/>
      <c r="I197" s="96"/>
      <c r="J197" s="96"/>
      <c r="K197" s="97"/>
      <c r="L197" s="98"/>
      <c r="M197" s="98"/>
      <c r="N197" s="99"/>
      <c r="O197" s="72"/>
      <c r="P197" s="100"/>
      <c r="Q197" s="101"/>
      <c r="R197" s="63"/>
      <c r="S197" s="75"/>
      <c r="T197" s="76"/>
      <c r="U197" s="72"/>
      <c r="V197" s="60"/>
      <c r="W197" s="60"/>
      <c r="X197" s="205"/>
      <c r="Y197" s="96"/>
    </row>
    <row r="198" spans="1:25" s="103" customFormat="1" ht="65.099999999999994" customHeight="1" x14ac:dyDescent="0.25">
      <c r="A198" s="94"/>
      <c r="B198" s="94"/>
      <c r="C198" s="413"/>
      <c r="D198" s="95"/>
      <c r="E198" s="96"/>
      <c r="F198" s="96"/>
      <c r="G198" s="96"/>
      <c r="H198" s="96"/>
      <c r="I198" s="96"/>
      <c r="J198" s="96"/>
      <c r="K198" s="97"/>
      <c r="L198" s="98"/>
      <c r="M198" s="98"/>
      <c r="N198" s="99"/>
      <c r="O198" s="72"/>
      <c r="P198" s="100"/>
      <c r="Q198" s="101"/>
      <c r="R198" s="63"/>
      <c r="S198" s="75"/>
      <c r="T198" s="76"/>
      <c r="U198" s="72"/>
      <c r="V198" s="60"/>
      <c r="W198" s="60"/>
      <c r="X198" s="205"/>
      <c r="Y198" s="96"/>
    </row>
  </sheetData>
  <autoFilter ref="A1:Y17"/>
  <mergeCells count="38">
    <mergeCell ref="A19:A22"/>
    <mergeCell ref="S1:S2"/>
    <mergeCell ref="T1:T2"/>
    <mergeCell ref="U1:U2"/>
    <mergeCell ref="V1:V2"/>
    <mergeCell ref="M1:M2"/>
    <mergeCell ref="N1:N2"/>
    <mergeCell ref="O1:O2"/>
    <mergeCell ref="P1:P2"/>
    <mergeCell ref="Q1:Q2"/>
    <mergeCell ref="R1:R2"/>
    <mergeCell ref="G1:G2"/>
    <mergeCell ref="H1:H2"/>
    <mergeCell ref="I1:I2"/>
    <mergeCell ref="J1:J2"/>
    <mergeCell ref="K1:K2"/>
    <mergeCell ref="Y1:Y2"/>
    <mergeCell ref="A3:A6"/>
    <mergeCell ref="A7:A10"/>
    <mergeCell ref="A11:A14"/>
    <mergeCell ref="A15:A18"/>
    <mergeCell ref="W1:W2"/>
    <mergeCell ref="X1:X2"/>
    <mergeCell ref="L1:L2"/>
    <mergeCell ref="A1:A2"/>
    <mergeCell ref="B1:B2"/>
    <mergeCell ref="C1:C2"/>
    <mergeCell ref="D1:D2"/>
    <mergeCell ref="E1:E2"/>
    <mergeCell ref="F1:F2"/>
    <mergeCell ref="A47:A50"/>
    <mergeCell ref="A51:A54"/>
    <mergeCell ref="A23:A26"/>
    <mergeCell ref="A27:A30"/>
    <mergeCell ref="A31:A34"/>
    <mergeCell ref="A35:A38"/>
    <mergeCell ref="A39:A42"/>
    <mergeCell ref="A43:A46"/>
  </mergeCells>
  <conditionalFormatting sqref="X3">
    <cfRule type="containsText" dxfId="61" priority="7" operator="containsText" text="NO CUMPLE">
      <formula>NOT(ISERROR(SEARCH("NO CUMPLE",X3)))</formula>
    </cfRule>
  </conditionalFormatting>
  <conditionalFormatting sqref="X4">
    <cfRule type="containsText" dxfId="60" priority="6" operator="containsText" text="NO CUMPLE">
      <formula>NOT(ISERROR(SEARCH("NO CUMPLE",X4)))</formula>
    </cfRule>
  </conditionalFormatting>
  <conditionalFormatting sqref="X5">
    <cfRule type="containsText" dxfId="59" priority="5" operator="containsText" text="NO CUMPLE">
      <formula>NOT(ISERROR(SEARCH("NO CUMPLE",X5)))</formula>
    </cfRule>
  </conditionalFormatting>
  <conditionalFormatting sqref="X6">
    <cfRule type="containsText" dxfId="58" priority="4" operator="containsText" text="NO CUMPLE">
      <formula>NOT(ISERROR(SEARCH("NO CUMPLE",X6)))</formula>
    </cfRule>
  </conditionalFormatting>
  <conditionalFormatting sqref="X10 X14 X18 X22 X26 X30 X34 X38 X42 X46 X50 X54">
    <cfRule type="containsText" dxfId="57" priority="3" operator="containsText" text="NO CUMPLE">
      <formula>NOT(ISERROR(SEARCH("NO CUMPLE",X10)))</formula>
    </cfRule>
  </conditionalFormatting>
  <conditionalFormatting sqref="X8:X9 X12:X13 X16:X17 X20:X21 X24:X25 X28:X29 X32:X33 X36:X37 X40:X41 X44:X45 X48:X49 X52:X53">
    <cfRule type="containsText" dxfId="56" priority="2" operator="containsText" text="NO CUMPLE">
      <formula>NOT(ISERROR(SEARCH("NO CUMPLE",X8)))</formula>
    </cfRule>
  </conditionalFormatting>
  <conditionalFormatting sqref="X7 X11 X15 X19 X23 X27 X31 X35 X39 X43 X47 X51">
    <cfRule type="containsText" dxfId="55" priority="1" operator="containsText" text="NO CUMPLE">
      <formula>NOT(ISERROR(SEARCH("NO CUMPLE",X7)))</formula>
    </cfRule>
  </conditionalFormatting>
  <dataValidations count="1">
    <dataValidation type="list" allowBlank="1" showInputMessage="1" showErrorMessage="1" sqref="G3:J54">
      <formula1>$AA$1:$AB$1</formula1>
    </dataValidation>
  </dataValidations>
  <pageMargins left="0.75" right="0.75" top="1" bottom="1" header="0.5" footer="0.5"/>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M212"/>
  <sheetViews>
    <sheetView zoomScale="55" zoomScaleNormal="55" zoomScalePageLayoutView="75" workbookViewId="0">
      <pane xSplit="1" ySplit="2" topLeftCell="N39" activePane="bottomRight" state="frozen"/>
      <selection pane="topRight" activeCell="B1" sqref="B1"/>
      <selection pane="bottomLeft" activeCell="A3" sqref="A3"/>
      <selection pane="bottomRight" activeCell="AI5" sqref="AI5"/>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12.5" style="104" customWidth="1"/>
    <col min="9" max="9" width="13.625" style="105" customWidth="1"/>
    <col min="10" max="10" width="10.625" style="106" customWidth="1"/>
    <col min="11" max="11" width="11" style="107" customWidth="1"/>
    <col min="12" max="12" width="11" style="108" customWidth="1"/>
    <col min="13" max="13" width="11" style="74" customWidth="1"/>
    <col min="14" max="14" width="18.5" style="109" customWidth="1"/>
    <col min="15" max="15" width="8.75" style="109" customWidth="1"/>
    <col min="16" max="16" width="9.5" style="74" bestFit="1" customWidth="1"/>
    <col min="17" max="17" width="12.5" style="74" customWidth="1"/>
    <col min="18" max="18" width="9.625" style="74" bestFit="1" customWidth="1"/>
    <col min="19" max="19" width="19.125" style="74" customWidth="1"/>
    <col min="20" max="20" width="15.5" style="74" customWidth="1"/>
    <col min="21" max="21" width="18.375" style="87" customWidth="1"/>
    <col min="22" max="22" width="16.5" style="87" customWidth="1"/>
    <col min="23" max="23" width="10" style="94" customWidth="1"/>
    <col min="24" max="24" width="7.875" style="110" customWidth="1"/>
    <col min="25" max="25" width="8.875" style="110" customWidth="1"/>
    <col min="26" max="26" width="10" style="94" customWidth="1"/>
    <col min="27" max="27" width="7.875" style="110" customWidth="1"/>
    <col min="28" max="28" width="8.875" style="110" customWidth="1"/>
    <col min="29" max="29" width="10" style="110" bestFit="1" customWidth="1"/>
    <col min="30" max="30" width="7.375" style="110" bestFit="1" customWidth="1"/>
    <col min="31" max="31" width="6.375" style="110" customWidth="1"/>
    <col min="32" max="35" width="19.5" style="316" customWidth="1"/>
    <col min="36" max="36" width="59.125" style="96" customWidth="1"/>
    <col min="37" max="39" width="10.875" style="111"/>
    <col min="40" max="41" width="15.125" style="111" bestFit="1" customWidth="1"/>
    <col min="42" max="16384" width="10.875" style="111"/>
  </cols>
  <sheetData>
    <row r="1" spans="1:39" s="61" customFormat="1" ht="15" customHeight="1" x14ac:dyDescent="0.25">
      <c r="A1" s="661" t="s">
        <v>2</v>
      </c>
      <c r="B1" s="661" t="s">
        <v>1</v>
      </c>
      <c r="C1" s="676" t="s">
        <v>369</v>
      </c>
      <c r="D1" s="661" t="s">
        <v>7</v>
      </c>
      <c r="E1" s="661" t="s">
        <v>8</v>
      </c>
      <c r="F1" s="661" t="s">
        <v>9</v>
      </c>
      <c r="G1" s="662" t="s">
        <v>57</v>
      </c>
      <c r="H1" s="662" t="s">
        <v>383</v>
      </c>
      <c r="I1" s="670" t="s">
        <v>56</v>
      </c>
      <c r="J1" s="672" t="s">
        <v>10</v>
      </c>
      <c r="K1" s="672" t="s">
        <v>443</v>
      </c>
      <c r="L1" s="674" t="s">
        <v>65</v>
      </c>
      <c r="M1" s="661" t="s">
        <v>64</v>
      </c>
      <c r="N1" s="661" t="s">
        <v>11</v>
      </c>
      <c r="O1" s="661" t="s">
        <v>12</v>
      </c>
      <c r="P1" s="662" t="s">
        <v>13</v>
      </c>
      <c r="Q1" s="662" t="s">
        <v>14</v>
      </c>
      <c r="R1" s="662" t="s">
        <v>15</v>
      </c>
      <c r="S1" s="662" t="s">
        <v>16</v>
      </c>
      <c r="T1" s="661" t="s">
        <v>17</v>
      </c>
      <c r="U1" s="662" t="s">
        <v>385</v>
      </c>
      <c r="V1" s="668" t="s">
        <v>55</v>
      </c>
      <c r="W1" s="661" t="s">
        <v>27</v>
      </c>
      <c r="X1" s="661"/>
      <c r="Y1" s="661"/>
      <c r="Z1" s="661" t="s">
        <v>28</v>
      </c>
      <c r="AA1" s="661"/>
      <c r="AB1" s="661"/>
      <c r="AC1" s="661" t="s">
        <v>29</v>
      </c>
      <c r="AD1" s="661"/>
      <c r="AE1" s="661"/>
      <c r="AF1" s="662" t="s">
        <v>30</v>
      </c>
      <c r="AG1" s="664" t="s">
        <v>374</v>
      </c>
      <c r="AH1" s="665" t="s">
        <v>618</v>
      </c>
      <c r="AI1" s="664" t="s">
        <v>619</v>
      </c>
      <c r="AJ1" s="659" t="s">
        <v>0</v>
      </c>
      <c r="AL1" s="62"/>
      <c r="AM1" s="62" t="s">
        <v>6</v>
      </c>
    </row>
    <row r="2" spans="1:39" s="61" customFormat="1" ht="62.25" customHeight="1" thickBot="1" x14ac:dyDescent="0.3">
      <c r="A2" s="667"/>
      <c r="B2" s="667"/>
      <c r="C2" s="677"/>
      <c r="D2" s="667"/>
      <c r="E2" s="667"/>
      <c r="F2" s="667"/>
      <c r="G2" s="663"/>
      <c r="H2" s="663"/>
      <c r="I2" s="671"/>
      <c r="J2" s="673"/>
      <c r="K2" s="673"/>
      <c r="L2" s="675"/>
      <c r="M2" s="667"/>
      <c r="N2" s="667"/>
      <c r="O2" s="667"/>
      <c r="P2" s="663"/>
      <c r="Q2" s="663"/>
      <c r="R2" s="663"/>
      <c r="S2" s="663"/>
      <c r="T2" s="667"/>
      <c r="U2" s="663"/>
      <c r="V2" s="669"/>
      <c r="W2" s="312" t="s">
        <v>31</v>
      </c>
      <c r="X2" s="312" t="s">
        <v>32</v>
      </c>
      <c r="Y2" s="312" t="s">
        <v>33</v>
      </c>
      <c r="Z2" s="312" t="s">
        <v>34</v>
      </c>
      <c r="AA2" s="312" t="s">
        <v>32</v>
      </c>
      <c r="AB2" s="312" t="s">
        <v>35</v>
      </c>
      <c r="AC2" s="312" t="s">
        <v>34</v>
      </c>
      <c r="AD2" s="312" t="s">
        <v>32</v>
      </c>
      <c r="AE2" s="312" t="s">
        <v>36</v>
      </c>
      <c r="AF2" s="663"/>
      <c r="AG2" s="665"/>
      <c r="AH2" s="666"/>
      <c r="AI2" s="665"/>
      <c r="AJ2" s="660"/>
    </row>
    <row r="3" spans="1:39" s="79" customFormat="1" ht="85.5" x14ac:dyDescent="0.25">
      <c r="A3" s="652" t="s">
        <v>621</v>
      </c>
      <c r="B3" s="125" t="s">
        <v>295</v>
      </c>
      <c r="C3" s="126">
        <v>520</v>
      </c>
      <c r="D3" s="127" t="str">
        <f>+IFERROR(INDEX([9]CONSOLIDADO!$D$4:$D$109,MATCH('EXP GEN. 17-24'!B3,[9]CONSOLIDADO!$C$4:$C$109,0)),"")</f>
        <v>INZETT S.A.S.</v>
      </c>
      <c r="E3" s="317" t="s">
        <v>622</v>
      </c>
      <c r="F3" s="318" t="s">
        <v>623</v>
      </c>
      <c r="G3" s="319" t="s">
        <v>5</v>
      </c>
      <c r="H3" s="309" t="s">
        <v>5</v>
      </c>
      <c r="I3" s="131">
        <v>0.7</v>
      </c>
      <c r="J3" s="320">
        <v>40561</v>
      </c>
      <c r="K3" s="320">
        <v>41500</v>
      </c>
      <c r="L3" s="133">
        <f>IF(K3="","",YEAR(K3))</f>
        <v>2013</v>
      </c>
      <c r="M3" s="134">
        <f>+IFERROR(INDEX([9]PARÁMETROS!$B$11:$B$37,MATCH(L3,[9]PARÁMETROS!$A$11:$A$37,0)),"")</f>
        <v>589500</v>
      </c>
      <c r="N3" s="321">
        <v>4481543752</v>
      </c>
      <c r="O3" s="136" t="s">
        <v>20</v>
      </c>
      <c r="P3" s="125" t="s">
        <v>54</v>
      </c>
      <c r="Q3" s="137" t="s">
        <v>54</v>
      </c>
      <c r="R3" s="138">
        <v>1</v>
      </c>
      <c r="S3" s="134">
        <f>IF(R3&lt;&gt;"",N3*R3,"")</f>
        <v>4481543752</v>
      </c>
      <c r="T3" s="139">
        <f>+IFERROR(S3/M3,"")</f>
        <v>7602.2794775233251</v>
      </c>
      <c r="U3" s="139">
        <f>IFERROR(T3*I3,"")</f>
        <v>5321.5956342663276</v>
      </c>
      <c r="V3" s="140">
        <v>24</v>
      </c>
      <c r="W3" s="649"/>
      <c r="X3" s="649"/>
      <c r="Y3" s="649"/>
      <c r="Z3" s="649"/>
      <c r="AA3" s="649"/>
      <c r="AB3" s="649"/>
      <c r="AC3" s="649" t="s">
        <v>5</v>
      </c>
      <c r="AD3" s="649"/>
      <c r="AE3" s="649"/>
      <c r="AF3" s="309" t="s">
        <v>5</v>
      </c>
      <c r="AG3" s="649" t="str">
        <f>IF(U3="","",IF(SUM(U3:U7)&gt;=[9]PARÁMETROS!$H$5,"CUMPLE","NO CUMPLE"))</f>
        <v>CUMPLE</v>
      </c>
      <c r="AH3" s="649" t="str">
        <f>IF((U3+U4+U5)="","",IF((U3+U4+U5)&gt;=[9]PARÁMETROS!$F$5,"CUMPLE","NO CUMPLE"))</f>
        <v>CUMPLE</v>
      </c>
      <c r="AI3" s="309" t="str">
        <f>+IF(U3="","",IF(U3&gt;=[9]PARÁMETROS!$D$5,"CUMPLE","NO CUMPLE"))</f>
        <v>CUMPLE</v>
      </c>
      <c r="AJ3" s="142"/>
      <c r="AK3" s="112"/>
      <c r="AL3" s="322"/>
    </row>
    <row r="4" spans="1:39" s="79" customFormat="1" ht="85.5" x14ac:dyDescent="0.25">
      <c r="A4" s="653"/>
      <c r="B4" s="316" t="s">
        <v>295</v>
      </c>
      <c r="C4" s="64">
        <v>525</v>
      </c>
      <c r="D4" s="65" t="str">
        <f>+IFERROR(INDEX([9]CONSOLIDADO!$D$4:$D$109,MATCH('EXP GEN. 17-24'!B4,[9]CONSOLIDADO!$C$4:$C$109,0)),"")</f>
        <v>INZETT S.A.S.</v>
      </c>
      <c r="E4" s="66" t="s">
        <v>624</v>
      </c>
      <c r="F4" s="323" t="s">
        <v>623</v>
      </c>
      <c r="G4" s="310" t="s">
        <v>5</v>
      </c>
      <c r="H4" s="310" t="s">
        <v>5</v>
      </c>
      <c r="I4" s="80">
        <v>0.7</v>
      </c>
      <c r="J4" s="320">
        <v>40186</v>
      </c>
      <c r="K4" s="320">
        <v>40561</v>
      </c>
      <c r="L4" s="71">
        <f t="shared" ref="L4:L67" si="0">IF(K4="","",YEAR(K4))</f>
        <v>2011</v>
      </c>
      <c r="M4" s="72">
        <f>+IFERROR(INDEX([9]PARÁMETROS!$B$11:$B$37,MATCH(L4,[9]PARÁMETROS!$A$11:$A$37,0)),"")</f>
        <v>535600</v>
      </c>
      <c r="N4" s="324">
        <v>3104182180</v>
      </c>
      <c r="O4" s="72" t="s">
        <v>20</v>
      </c>
      <c r="P4" s="316" t="s">
        <v>54</v>
      </c>
      <c r="Q4" s="75" t="s">
        <v>54</v>
      </c>
      <c r="R4" s="76">
        <v>1</v>
      </c>
      <c r="S4" s="72">
        <f t="shared" ref="S4:S67" si="1">IF(R4&lt;&gt;"",N4*R4,"")</f>
        <v>3104182180</v>
      </c>
      <c r="T4" s="60">
        <f t="shared" ref="T4:T67" si="2">+IFERROR(S4/M4,"")</f>
        <v>5795.7098207617628</v>
      </c>
      <c r="U4" s="60">
        <f t="shared" ref="U4:U67" si="3">IFERROR(T4*I4,"")</f>
        <v>4056.9968745332335</v>
      </c>
      <c r="V4" s="77">
        <v>19</v>
      </c>
      <c r="W4" s="650"/>
      <c r="X4" s="650"/>
      <c r="Y4" s="650"/>
      <c r="Z4" s="650"/>
      <c r="AA4" s="650"/>
      <c r="AB4" s="650"/>
      <c r="AC4" s="650" t="s">
        <v>5</v>
      </c>
      <c r="AD4" s="650"/>
      <c r="AE4" s="650"/>
      <c r="AF4" s="310" t="s">
        <v>5</v>
      </c>
      <c r="AG4" s="650"/>
      <c r="AH4" s="650"/>
      <c r="AI4" s="310" t="str">
        <f>+IF(U4="","",IF(U4&gt;=[9]PARÁMETROS!$D$5,"CUMPLE","NO CUMPLE"))</f>
        <v>CUMPLE</v>
      </c>
      <c r="AJ4" s="143"/>
      <c r="AK4" s="112"/>
      <c r="AL4" s="322"/>
    </row>
    <row r="5" spans="1:39" s="79" customFormat="1" ht="71.25" x14ac:dyDescent="0.25">
      <c r="A5" s="653"/>
      <c r="B5" s="316" t="s">
        <v>295</v>
      </c>
      <c r="C5" s="64">
        <v>530</v>
      </c>
      <c r="D5" s="65" t="str">
        <f>+IFERROR(INDEX([9]CONSOLIDADO!$D$4:$D$109,MATCH('EXP GEN. 17-24'!B5,[9]CONSOLIDADO!$C$4:$C$109,0)),"")</f>
        <v>INZETT S.A.S.</v>
      </c>
      <c r="E5" s="66" t="s">
        <v>21</v>
      </c>
      <c r="F5" s="67" t="s">
        <v>625</v>
      </c>
      <c r="G5" s="310" t="s">
        <v>5</v>
      </c>
      <c r="H5" s="310" t="s">
        <v>5</v>
      </c>
      <c r="I5" s="69">
        <v>0.5</v>
      </c>
      <c r="J5" s="320">
        <v>38692</v>
      </c>
      <c r="K5" s="320">
        <v>39629</v>
      </c>
      <c r="L5" s="71">
        <f t="shared" si="0"/>
        <v>2008</v>
      </c>
      <c r="M5" s="72">
        <f>+IFERROR(INDEX([9]PARÁMETROS!$B$11:$B$37,MATCH(L5,[9]PARÁMETROS!$A$11:$A$37,0)),"")</f>
        <v>461500</v>
      </c>
      <c r="N5" s="321">
        <v>1433130434</v>
      </c>
      <c r="O5" s="74" t="s">
        <v>20</v>
      </c>
      <c r="P5" s="316" t="s">
        <v>54</v>
      </c>
      <c r="Q5" s="75" t="s">
        <v>54</v>
      </c>
      <c r="R5" s="76">
        <v>1</v>
      </c>
      <c r="S5" s="72">
        <f t="shared" si="1"/>
        <v>1433130434</v>
      </c>
      <c r="T5" s="60">
        <f t="shared" si="2"/>
        <v>3105.3747215601302</v>
      </c>
      <c r="U5" s="60">
        <f t="shared" si="3"/>
        <v>1552.6873607800651</v>
      </c>
      <c r="V5" s="77">
        <v>16</v>
      </c>
      <c r="W5" s="650" t="s">
        <v>5</v>
      </c>
      <c r="X5" s="650"/>
      <c r="Y5" s="650"/>
      <c r="Z5" s="650" t="s">
        <v>5</v>
      </c>
      <c r="AA5" s="650"/>
      <c r="AB5" s="650"/>
      <c r="AC5" s="650" t="s">
        <v>5</v>
      </c>
      <c r="AD5" s="650"/>
      <c r="AE5" s="650"/>
      <c r="AF5" s="310" t="s">
        <v>5</v>
      </c>
      <c r="AG5" s="650"/>
      <c r="AH5" s="650"/>
      <c r="AI5" s="310" t="str">
        <f>+IF(U5="","",IF(U5&gt;=[9]PARÁMETROS!$D$5,"CUMPLE","NO CUMPLE"))</f>
        <v>NO CUMPLE</v>
      </c>
      <c r="AJ5" s="144"/>
      <c r="AK5" s="112"/>
      <c r="AL5" s="322"/>
    </row>
    <row r="6" spans="1:39" s="79" customFormat="1" ht="65.099999999999994" customHeight="1" x14ac:dyDescent="0.25">
      <c r="A6" s="653"/>
      <c r="B6" s="316" t="s">
        <v>297</v>
      </c>
      <c r="C6" s="64">
        <v>533</v>
      </c>
      <c r="D6" s="65" t="str">
        <f>+IFERROR(INDEX([9]CONSOLIDADO!$D$4:$D$109,MATCH('EXP GEN. 17-24'!B6,[9]CONSOLIDADO!$C$4:$C$109,0)),"")</f>
        <v>J FELIPE ARDILA V &amp; CIA S.A.S.</v>
      </c>
      <c r="E6" s="66" t="s">
        <v>19</v>
      </c>
      <c r="F6" s="318" t="s">
        <v>626</v>
      </c>
      <c r="G6" s="310" t="s">
        <v>5</v>
      </c>
      <c r="H6" s="310" t="s">
        <v>5</v>
      </c>
      <c r="I6" s="69">
        <v>0.5</v>
      </c>
      <c r="J6" s="320">
        <v>39595</v>
      </c>
      <c r="K6" s="320" t="s">
        <v>627</v>
      </c>
      <c r="L6" s="71">
        <v>2015</v>
      </c>
      <c r="M6" s="72">
        <f>+IFERROR(INDEX([9]PARÁMETROS!$B$11:$B$37,MATCH(L6,[9]PARÁMETROS!$A$11:$A$37,0)),"")</f>
        <v>644350</v>
      </c>
      <c r="N6" s="321">
        <v>36074618420</v>
      </c>
      <c r="O6" s="74" t="s">
        <v>20</v>
      </c>
      <c r="P6" s="316" t="s">
        <v>54</v>
      </c>
      <c r="Q6" s="75" t="s">
        <v>54</v>
      </c>
      <c r="R6" s="76">
        <v>1</v>
      </c>
      <c r="S6" s="72">
        <f t="shared" si="1"/>
        <v>36074618420</v>
      </c>
      <c r="T6" s="60">
        <f t="shared" si="2"/>
        <v>55986.061022736088</v>
      </c>
      <c r="U6" s="60">
        <f t="shared" si="3"/>
        <v>27993.030511368044</v>
      </c>
      <c r="V6" s="77"/>
      <c r="W6" s="689"/>
      <c r="X6" s="690"/>
      <c r="Y6" s="691"/>
      <c r="Z6" s="689"/>
      <c r="AA6" s="690"/>
      <c r="AB6" s="691"/>
      <c r="AC6" s="689"/>
      <c r="AD6" s="690"/>
      <c r="AE6" s="691"/>
      <c r="AF6" s="310" t="s">
        <v>5</v>
      </c>
      <c r="AG6" s="650"/>
      <c r="AH6" s="650"/>
      <c r="AI6" s="310" t="str">
        <f>+IF(U6="","",IF(U6&gt;=[9]PARÁMETROS!$D$5,"CUMPLE","NO CUMPLE"))</f>
        <v>CUMPLE</v>
      </c>
      <c r="AJ6" s="144"/>
      <c r="AK6" s="112"/>
      <c r="AL6" s="322"/>
    </row>
    <row r="7" spans="1:39" s="79" customFormat="1" ht="65.099999999999994" customHeight="1" thickBot="1" x14ac:dyDescent="0.3">
      <c r="A7" s="654"/>
      <c r="B7" s="145" t="s">
        <v>296</v>
      </c>
      <c r="C7" s="177">
        <v>544</v>
      </c>
      <c r="D7" s="146" t="str">
        <f>+IFERROR(INDEX([9]CONSOLIDADO!$D$4:$D$109,MATCH('EXP GEN. 17-24'!B7,[9]CONSOLIDADO!$C$4:$C$109,0)),"")</f>
        <v>CIVING INGENIEROS CONTRATISTAS S EN C</v>
      </c>
      <c r="E7" s="325" t="s">
        <v>628</v>
      </c>
      <c r="F7" s="326" t="s">
        <v>629</v>
      </c>
      <c r="G7" s="308" t="s">
        <v>5</v>
      </c>
      <c r="H7" s="308" t="s">
        <v>5</v>
      </c>
      <c r="I7" s="150">
        <v>1</v>
      </c>
      <c r="J7" s="327">
        <v>40190</v>
      </c>
      <c r="K7" s="327">
        <v>41240</v>
      </c>
      <c r="L7" s="152">
        <f t="shared" si="0"/>
        <v>2012</v>
      </c>
      <c r="M7" s="153">
        <f>+IFERROR(INDEX([9]PARÁMETROS!$B$11:$B$37,MATCH(L7,[9]PARÁMETROS!$A$11:$A$37,0)),"")</f>
        <v>566700</v>
      </c>
      <c r="N7" s="328">
        <v>3164576487</v>
      </c>
      <c r="O7" s="155" t="s">
        <v>20</v>
      </c>
      <c r="P7" s="145" t="s">
        <v>54</v>
      </c>
      <c r="Q7" s="156" t="s">
        <v>54</v>
      </c>
      <c r="R7" s="157">
        <v>1</v>
      </c>
      <c r="S7" s="153">
        <f t="shared" si="1"/>
        <v>3164576487</v>
      </c>
      <c r="T7" s="158">
        <f t="shared" si="2"/>
        <v>5584.2182583377453</v>
      </c>
      <c r="U7" s="158">
        <f t="shared" si="3"/>
        <v>5584.2182583377453</v>
      </c>
      <c r="V7" s="329">
        <v>2</v>
      </c>
      <c r="W7" s="651" t="s">
        <v>5</v>
      </c>
      <c r="X7" s="651"/>
      <c r="Y7" s="651"/>
      <c r="Z7" s="651"/>
      <c r="AA7" s="651"/>
      <c r="AB7" s="651"/>
      <c r="AC7" s="651"/>
      <c r="AD7" s="651"/>
      <c r="AE7" s="651"/>
      <c r="AF7" s="308" t="s">
        <v>5</v>
      </c>
      <c r="AG7" s="651"/>
      <c r="AH7" s="651"/>
      <c r="AI7" s="308" t="str">
        <f>+IF(U7="","",IF(U7&gt;=[9]PARÁMETROS!$D$5,"CUMPLE","NO CUMPLE"))</f>
        <v>CUMPLE</v>
      </c>
      <c r="AJ7" s="178"/>
      <c r="AK7" s="112"/>
      <c r="AL7" s="322"/>
    </row>
    <row r="8" spans="1:39" s="79" customFormat="1" ht="57" x14ac:dyDescent="0.25">
      <c r="A8" s="683" t="s">
        <v>630</v>
      </c>
      <c r="B8" s="113" t="s">
        <v>298</v>
      </c>
      <c r="C8" s="415">
        <v>165</v>
      </c>
      <c r="D8" s="114" t="str">
        <f>+IFERROR(INDEX([9]CONSOLIDADO!$D$4:$D$109,MATCH('EXP GEN. 17-24'!B8,[9]CONSOLIDADO!$C$4:$C$109,0)),"")</f>
        <v>GRUPO POSSO S.A.S.</v>
      </c>
      <c r="E8" s="115" t="s">
        <v>631</v>
      </c>
      <c r="F8" s="116" t="s">
        <v>632</v>
      </c>
      <c r="G8" s="315" t="s">
        <v>5</v>
      </c>
      <c r="H8" s="315" t="s">
        <v>5</v>
      </c>
      <c r="I8" s="117">
        <v>0.95</v>
      </c>
      <c r="J8" s="118">
        <v>41815</v>
      </c>
      <c r="K8" s="118" t="s">
        <v>627</v>
      </c>
      <c r="L8" s="168">
        <v>2015</v>
      </c>
      <c r="M8" s="119">
        <f>+IFERROR(INDEX([9]PARÁMETROS!$B$11:$B$37,MATCH(L8,[9]PARÁMETROS!$A$11:$A$37,0)),"")</f>
        <v>644350</v>
      </c>
      <c r="N8" s="120">
        <v>10736226648</v>
      </c>
      <c r="O8" s="265" t="s">
        <v>20</v>
      </c>
      <c r="P8" s="113" t="s">
        <v>54</v>
      </c>
      <c r="Q8" s="121" t="s">
        <v>54</v>
      </c>
      <c r="R8" s="122">
        <v>1</v>
      </c>
      <c r="S8" s="119">
        <f t="shared" si="1"/>
        <v>10736226648</v>
      </c>
      <c r="T8" s="123">
        <f t="shared" si="2"/>
        <v>16662.103900054317</v>
      </c>
      <c r="U8" s="123">
        <f t="shared" si="3"/>
        <v>15828.998705051601</v>
      </c>
      <c r="V8" s="123"/>
      <c r="W8" s="682"/>
      <c r="X8" s="682"/>
      <c r="Y8" s="682"/>
      <c r="Z8" s="682"/>
      <c r="AA8" s="682"/>
      <c r="AB8" s="682"/>
      <c r="AC8" s="682"/>
      <c r="AD8" s="682"/>
      <c r="AE8" s="682"/>
      <c r="AF8" s="315" t="s">
        <v>5</v>
      </c>
      <c r="AG8" s="682" t="str">
        <f>IF(U8="","",IF(SUM(U8:U11)&gt;=[9]PARÁMETROS!$H$5,"CUMPLE","NO CUMPLE"))</f>
        <v>CUMPLE</v>
      </c>
      <c r="AH8" s="682" t="str">
        <f>IF((U8+U9)="","",IF((U8+U9)&gt;=[9]PARÁMETROS!$F$5,"CUMPLE","NO CUMPLE"))</f>
        <v>CUMPLE</v>
      </c>
      <c r="AI8" s="315" t="str">
        <f>+IF(U8="","",IF(U8&gt;=[9]PARÁMETROS!$D$5,"CUMPLE","NO CUMPLE"))</f>
        <v>CUMPLE</v>
      </c>
      <c r="AJ8" s="175"/>
      <c r="AK8" s="112"/>
      <c r="AL8" s="322"/>
    </row>
    <row r="9" spans="1:39" s="79" customFormat="1" ht="42.75" x14ac:dyDescent="0.25">
      <c r="A9" s="653"/>
      <c r="B9" s="316" t="s">
        <v>298</v>
      </c>
      <c r="C9" s="416">
        <v>174</v>
      </c>
      <c r="D9" s="65" t="str">
        <f>+IFERROR(INDEX([9]CONSOLIDADO!$D$4:$D$109,MATCH('EXP GEN. 17-24'!B9,[9]CONSOLIDADO!$C$4:$C$109,0)),"")</f>
        <v>GRUPO POSSO S.A.S.</v>
      </c>
      <c r="E9" s="66" t="s">
        <v>631</v>
      </c>
      <c r="F9" s="67" t="s">
        <v>633</v>
      </c>
      <c r="G9" s="310" t="s">
        <v>5</v>
      </c>
      <c r="H9" s="310" t="s">
        <v>5</v>
      </c>
      <c r="I9" s="69">
        <v>0.95</v>
      </c>
      <c r="J9" s="70">
        <v>41995</v>
      </c>
      <c r="K9" s="70" t="s">
        <v>627</v>
      </c>
      <c r="L9" s="71">
        <v>2015</v>
      </c>
      <c r="M9" s="72">
        <f>+IFERROR(INDEX([9]PARÁMETROS!$B$11:$B$37,MATCH(L9,[9]PARÁMETROS!$A$11:$A$37,0)),"")</f>
        <v>644350</v>
      </c>
      <c r="N9" s="73">
        <v>2590423144</v>
      </c>
      <c r="O9" s="74" t="s">
        <v>20</v>
      </c>
      <c r="P9" s="316" t="s">
        <v>54</v>
      </c>
      <c r="Q9" s="75" t="s">
        <v>54</v>
      </c>
      <c r="R9" s="76">
        <v>1</v>
      </c>
      <c r="S9" s="72">
        <f t="shared" si="1"/>
        <v>2590423144</v>
      </c>
      <c r="T9" s="60">
        <f t="shared" si="2"/>
        <v>4020.2112888957863</v>
      </c>
      <c r="U9" s="60">
        <f t="shared" si="3"/>
        <v>3819.2007244509969</v>
      </c>
      <c r="V9" s="60"/>
      <c r="W9" s="650"/>
      <c r="X9" s="650"/>
      <c r="Y9" s="650"/>
      <c r="Z9" s="650"/>
      <c r="AA9" s="650"/>
      <c r="AB9" s="650"/>
      <c r="AC9" s="650"/>
      <c r="AD9" s="650"/>
      <c r="AE9" s="650"/>
      <c r="AF9" s="310" t="s">
        <v>5</v>
      </c>
      <c r="AG9" s="650"/>
      <c r="AH9" s="650"/>
      <c r="AI9" s="310" t="str">
        <f>+IF(U9="","",IF(U9&gt;=[9]PARÁMETROS!$D$5,"CUMPLE","NO CUMPLE"))</f>
        <v>CUMPLE</v>
      </c>
      <c r="AJ9" s="143"/>
      <c r="AK9" s="112"/>
      <c r="AL9" s="322"/>
    </row>
    <row r="10" spans="1:39" s="79" customFormat="1" ht="47.25" x14ac:dyDescent="0.25">
      <c r="A10" s="653"/>
      <c r="B10" s="316" t="s">
        <v>299</v>
      </c>
      <c r="C10" s="416">
        <v>184</v>
      </c>
      <c r="D10" s="65" t="str">
        <f>+IFERROR(INDEX([9]CONSOLIDADO!$D$4:$D$109,MATCH('EXP GEN. 17-24'!B10,[9]CONSOLIDADO!$C$4:$C$109,0)),"")</f>
        <v>GINPROSA COLOMBIA S.A.S.</v>
      </c>
      <c r="E10" s="66" t="s">
        <v>25</v>
      </c>
      <c r="F10" s="67" t="s">
        <v>634</v>
      </c>
      <c r="G10" s="310" t="s">
        <v>5</v>
      </c>
      <c r="H10" s="310" t="s">
        <v>5</v>
      </c>
      <c r="I10" s="69">
        <v>1</v>
      </c>
      <c r="J10" s="70">
        <v>38926</v>
      </c>
      <c r="K10" s="70">
        <v>40022</v>
      </c>
      <c r="L10" s="71">
        <f t="shared" si="0"/>
        <v>2009</v>
      </c>
      <c r="M10" s="72">
        <f>+IFERROR(INDEX([9]PARÁMETROS!$B$11:$B$37,MATCH(L10,[9]PARÁMETROS!$A$11:$A$37,0)),"")</f>
        <v>496900</v>
      </c>
      <c r="N10" s="73">
        <v>883372.84</v>
      </c>
      <c r="O10" s="74" t="s">
        <v>24</v>
      </c>
      <c r="P10" s="316">
        <v>1.42344</v>
      </c>
      <c r="Q10" s="75">
        <f>+N10*P10</f>
        <v>1257428.2353695999</v>
      </c>
      <c r="R10" s="76">
        <v>1982.43</v>
      </c>
      <c r="S10" s="72">
        <f>IF(R10&lt;&gt;"",Q10*R10,"")</f>
        <v>2492763456.6437559</v>
      </c>
      <c r="T10" s="60">
        <f t="shared" si="2"/>
        <v>5016.6300194078403</v>
      </c>
      <c r="U10" s="60">
        <f t="shared" si="3"/>
        <v>5016.6300194078403</v>
      </c>
      <c r="V10" s="201">
        <v>32</v>
      </c>
      <c r="W10" s="650" t="s">
        <v>5</v>
      </c>
      <c r="X10" s="650"/>
      <c r="Y10" s="650"/>
      <c r="Z10" s="650" t="s">
        <v>5</v>
      </c>
      <c r="AA10" s="650"/>
      <c r="AB10" s="650"/>
      <c r="AC10" s="650" t="s">
        <v>5</v>
      </c>
      <c r="AD10" s="650"/>
      <c r="AE10" s="650"/>
      <c r="AF10" s="310" t="s">
        <v>5</v>
      </c>
      <c r="AG10" s="650"/>
      <c r="AH10" s="650"/>
      <c r="AI10" s="310" t="str">
        <f>+IF(U10="","",IF(U10&gt;=[9]PARÁMETROS!$D$5,"CUMPLE","NO CUMPLE"))</f>
        <v>CUMPLE</v>
      </c>
      <c r="AJ10" s="143"/>
      <c r="AK10" s="112"/>
      <c r="AL10" s="322"/>
    </row>
    <row r="11" spans="1:39" s="79" customFormat="1" ht="57.75" thickBot="1" x14ac:dyDescent="0.3">
      <c r="A11" s="653"/>
      <c r="B11" s="316" t="s">
        <v>300</v>
      </c>
      <c r="C11" s="177">
        <v>187</v>
      </c>
      <c r="D11" s="65" t="str">
        <f>+IFERROR(INDEX([9]CONSOLIDADO!$D$4:$D$109,MATCH('EXP GEN. 17-24'!B11,[9]CONSOLIDADO!$C$4:$C$109,0)),"")</f>
        <v>C &amp; M CONSULTORES  S.A.</v>
      </c>
      <c r="E11" s="66" t="s">
        <v>19</v>
      </c>
      <c r="F11" s="67" t="s">
        <v>635</v>
      </c>
      <c r="G11" s="310" t="s">
        <v>5</v>
      </c>
      <c r="H11" s="310" t="s">
        <v>5</v>
      </c>
      <c r="I11" s="69">
        <v>0.51</v>
      </c>
      <c r="J11" s="70">
        <v>41878</v>
      </c>
      <c r="K11" s="70" t="s">
        <v>627</v>
      </c>
      <c r="L11" s="71">
        <v>2015</v>
      </c>
      <c r="M11" s="72">
        <f>+IFERROR(INDEX([9]PARÁMETROS!$B$11:$B$37,MATCH(L11,[9]PARÁMETROS!$A$11:$A$37,0)),"")</f>
        <v>644350</v>
      </c>
      <c r="N11" s="73">
        <v>4983941778</v>
      </c>
      <c r="O11" s="74" t="s">
        <v>20</v>
      </c>
      <c r="P11" s="316" t="s">
        <v>54</v>
      </c>
      <c r="Q11" s="75" t="s">
        <v>54</v>
      </c>
      <c r="R11" s="76">
        <v>1</v>
      </c>
      <c r="S11" s="72">
        <f t="shared" si="1"/>
        <v>4983941778</v>
      </c>
      <c r="T11" s="60">
        <f t="shared" si="2"/>
        <v>7734.8363125630476</v>
      </c>
      <c r="U11" s="60">
        <f t="shared" si="3"/>
        <v>3944.7665194071542</v>
      </c>
      <c r="V11" s="60"/>
      <c r="W11" s="650"/>
      <c r="X11" s="650"/>
      <c r="Y11" s="650"/>
      <c r="Z11" s="650"/>
      <c r="AA11" s="650"/>
      <c r="AB11" s="650"/>
      <c r="AC11" s="650"/>
      <c r="AD11" s="650"/>
      <c r="AE11" s="650"/>
      <c r="AF11" s="310" t="s">
        <v>5</v>
      </c>
      <c r="AG11" s="650"/>
      <c r="AH11" s="650"/>
      <c r="AI11" s="310" t="str">
        <f>+IF(U11="","",IF(U11&gt;=[9]PARÁMETROS!$D$5,"CUMPLE","NO CUMPLE"))</f>
        <v>CUMPLE</v>
      </c>
      <c r="AJ11" s="143"/>
      <c r="AK11" s="112"/>
      <c r="AL11" s="322"/>
    </row>
    <row r="12" spans="1:39" s="79" customFormat="1" ht="85.5" x14ac:dyDescent="0.25">
      <c r="A12" s="652" t="s">
        <v>636</v>
      </c>
      <c r="B12" s="125" t="s">
        <v>302</v>
      </c>
      <c r="C12" s="415">
        <v>125</v>
      </c>
      <c r="D12" s="127" t="str">
        <f>+IFERROR(INDEX([9]CONSOLIDADO!$D$4:$D$109,MATCH('EXP GEN. 17-24'!B12,[9]CONSOLIDADO!$C$4:$C$109,0)),"")</f>
        <v>GC&amp;Q INGENIEROS CONSULTORES S.A.S.</v>
      </c>
      <c r="E12" s="128" t="s">
        <v>19</v>
      </c>
      <c r="F12" s="129" t="s">
        <v>637</v>
      </c>
      <c r="G12" s="309" t="s">
        <v>5</v>
      </c>
      <c r="H12" s="309" t="s">
        <v>5</v>
      </c>
      <c r="I12" s="131">
        <v>0.6</v>
      </c>
      <c r="J12" s="132">
        <v>41075</v>
      </c>
      <c r="K12" s="132" t="s">
        <v>627</v>
      </c>
      <c r="L12" s="133">
        <v>2014</v>
      </c>
      <c r="M12" s="134">
        <f>+IFERROR(INDEX([9]PARÁMETROS!$B$11:$B$37,MATCH(L12,[9]PARÁMETROS!$A$11:$A$37,0)),"")</f>
        <v>616000</v>
      </c>
      <c r="N12" s="135">
        <v>20766942881</v>
      </c>
      <c r="O12" s="136" t="s">
        <v>20</v>
      </c>
      <c r="P12" s="125" t="s">
        <v>54</v>
      </c>
      <c r="Q12" s="137" t="s">
        <v>54</v>
      </c>
      <c r="R12" s="138">
        <v>1</v>
      </c>
      <c r="S12" s="134">
        <f t="shared" si="1"/>
        <v>20766942881</v>
      </c>
      <c r="T12" s="139">
        <f t="shared" si="2"/>
        <v>33712.569612012987</v>
      </c>
      <c r="U12" s="139">
        <f t="shared" si="3"/>
        <v>20227.541767207793</v>
      </c>
      <c r="V12" s="139"/>
      <c r="W12" s="649"/>
      <c r="X12" s="649"/>
      <c r="Y12" s="649"/>
      <c r="Z12" s="649"/>
      <c r="AA12" s="649"/>
      <c r="AB12" s="649"/>
      <c r="AC12" s="649"/>
      <c r="AD12" s="649"/>
      <c r="AE12" s="649"/>
      <c r="AF12" s="309" t="s">
        <v>5</v>
      </c>
      <c r="AG12" s="649" t="str">
        <f>IF(U12="","",IF(SUM(U12:U15)&gt;=[9]PARÁMETROS!$H$5,"CUMPLE","NO CUMPLE"))</f>
        <v>CUMPLE</v>
      </c>
      <c r="AH12" s="649" t="str">
        <f>IF((U12+U13)="","",IF((U12+U13)&gt;=[9]PARÁMETROS!$F$5,"CUMPLE","NO CUMPLE"))</f>
        <v>CUMPLE</v>
      </c>
      <c r="AI12" s="309" t="str">
        <f>+IF(U12="","",IF(U12&gt;=[9]PARÁMETROS!$D$5,"CUMPLE","NO CUMPLE"))</f>
        <v>CUMPLE</v>
      </c>
      <c r="AJ12" s="142"/>
      <c r="AK12" s="112"/>
    </row>
    <row r="13" spans="1:39" s="79" customFormat="1" ht="63" x14ac:dyDescent="0.25">
      <c r="A13" s="653"/>
      <c r="B13" s="316" t="s">
        <v>302</v>
      </c>
      <c r="C13" s="416">
        <v>130</v>
      </c>
      <c r="D13" s="65" t="str">
        <f>+IFERROR(INDEX([9]CONSOLIDADO!$D$4:$D$109,MATCH('EXP GEN. 17-24'!B13,[9]CONSOLIDADO!$C$4:$C$109,0)),"")</f>
        <v>GC&amp;Q INGENIEROS CONSULTORES S.A.S.</v>
      </c>
      <c r="E13" s="66" t="s">
        <v>638</v>
      </c>
      <c r="F13" s="66" t="s">
        <v>639</v>
      </c>
      <c r="G13" s="310" t="s">
        <v>5</v>
      </c>
      <c r="H13" s="310" t="s">
        <v>5</v>
      </c>
      <c r="I13" s="80">
        <v>1</v>
      </c>
      <c r="J13" s="70">
        <v>39671</v>
      </c>
      <c r="K13" s="70">
        <v>40273</v>
      </c>
      <c r="L13" s="71">
        <f t="shared" si="0"/>
        <v>2010</v>
      </c>
      <c r="M13" s="72">
        <f>+IFERROR(INDEX([9]PARÁMETROS!$B$11:$B$37,MATCH(L13,[9]PARÁMETROS!$A$11:$A$37,0)),"")</f>
        <v>515000</v>
      </c>
      <c r="N13" s="81">
        <v>612800000</v>
      </c>
      <c r="O13" s="72" t="s">
        <v>640</v>
      </c>
      <c r="P13" s="316">
        <v>1.8699999999999999E-3</v>
      </c>
      <c r="Q13" s="75">
        <f>+N13*P13</f>
        <v>1145936</v>
      </c>
      <c r="R13" s="76">
        <v>1921.88</v>
      </c>
      <c r="S13" s="72">
        <f>IF(R13&lt;&gt;"",Q13*R13,"")</f>
        <v>2202351479.6800003</v>
      </c>
      <c r="T13" s="60">
        <f t="shared" si="2"/>
        <v>4276.4106401553408</v>
      </c>
      <c r="U13" s="60">
        <f t="shared" si="3"/>
        <v>4276.4106401553408</v>
      </c>
      <c r="V13" s="60"/>
      <c r="W13" s="650"/>
      <c r="X13" s="650"/>
      <c r="Y13" s="650"/>
      <c r="Z13" s="650"/>
      <c r="AA13" s="650"/>
      <c r="AB13" s="650"/>
      <c r="AC13" s="650"/>
      <c r="AD13" s="650"/>
      <c r="AE13" s="650"/>
      <c r="AF13" s="310" t="s">
        <v>5</v>
      </c>
      <c r="AG13" s="650"/>
      <c r="AH13" s="650"/>
      <c r="AI13" s="310" t="str">
        <f>+IF(U13="","",IF(U13&gt;=[9]PARÁMETROS!$D$5,"CUMPLE","NO CUMPLE"))</f>
        <v>CUMPLE</v>
      </c>
      <c r="AJ13" s="143"/>
      <c r="AK13" s="112"/>
    </row>
    <row r="14" spans="1:39" s="79" customFormat="1" ht="78.75" x14ac:dyDescent="0.25">
      <c r="A14" s="653"/>
      <c r="B14" s="316" t="s">
        <v>301</v>
      </c>
      <c r="C14" s="416">
        <v>137</v>
      </c>
      <c r="D14" s="65" t="str">
        <f>+IFERROR(INDEX([9]CONSOLIDADO!$D$4:$D$109,MATCH('EXP GEN. 17-24'!B14,[9]CONSOLIDADO!$C$4:$C$109,0)),"")</f>
        <v>GRUPO METRO COLOMBIA (GMC INGENIEROS S.A.)</v>
      </c>
      <c r="E14" s="66" t="s">
        <v>641</v>
      </c>
      <c r="F14" s="330" t="s">
        <v>642</v>
      </c>
      <c r="G14" s="310" t="s">
        <v>5</v>
      </c>
      <c r="H14" s="310" t="s">
        <v>5</v>
      </c>
      <c r="I14" s="69">
        <v>0.9</v>
      </c>
      <c r="J14" s="70">
        <v>39167</v>
      </c>
      <c r="K14" s="70">
        <v>39758</v>
      </c>
      <c r="L14" s="71">
        <f t="shared" si="0"/>
        <v>2008</v>
      </c>
      <c r="M14" s="72">
        <f>+IFERROR(INDEX([9]PARÁMETROS!$B$11:$B$37,MATCH(L14,[9]PARÁMETROS!$A$11:$A$37,0)),"")</f>
        <v>461500</v>
      </c>
      <c r="N14" s="73">
        <v>1609517781</v>
      </c>
      <c r="O14" s="74" t="s">
        <v>20</v>
      </c>
      <c r="P14" s="316" t="s">
        <v>54</v>
      </c>
      <c r="Q14" s="75" t="s">
        <v>54</v>
      </c>
      <c r="R14" s="76">
        <v>1</v>
      </c>
      <c r="S14" s="72">
        <f t="shared" si="1"/>
        <v>1609517781</v>
      </c>
      <c r="T14" s="60">
        <f t="shared" si="2"/>
        <v>3487.5791570964248</v>
      </c>
      <c r="U14" s="60">
        <f t="shared" si="3"/>
        <v>3138.8212413867823</v>
      </c>
      <c r="V14" s="201">
        <v>41</v>
      </c>
      <c r="W14" s="650" t="s">
        <v>5</v>
      </c>
      <c r="X14" s="650"/>
      <c r="Y14" s="650"/>
      <c r="Z14" s="650" t="s">
        <v>5</v>
      </c>
      <c r="AA14" s="650"/>
      <c r="AB14" s="650"/>
      <c r="AC14" s="650" t="s">
        <v>5</v>
      </c>
      <c r="AD14" s="650"/>
      <c r="AE14" s="650"/>
      <c r="AF14" s="310" t="s">
        <v>5</v>
      </c>
      <c r="AG14" s="650"/>
      <c r="AH14" s="650"/>
      <c r="AI14" s="310" t="str">
        <f>+IF(U14="","",IF(U14&gt;=[9]PARÁMETROS!$D$5,"CUMPLE","NO CUMPLE"))</f>
        <v>CUMPLE</v>
      </c>
      <c r="AJ14" s="143"/>
      <c r="AK14" s="112"/>
    </row>
    <row r="15" spans="1:39" s="79" customFormat="1" ht="79.5" thickBot="1" x14ac:dyDescent="0.3">
      <c r="A15" s="653"/>
      <c r="B15" s="316" t="s">
        <v>301</v>
      </c>
      <c r="C15" s="417">
        <v>144</v>
      </c>
      <c r="D15" s="65" t="str">
        <f>+IFERROR(INDEX([9]CONSOLIDADO!$D$4:$D$109,MATCH('EXP GEN. 17-24'!B15,[9]CONSOLIDADO!$C$4:$C$109,0)),"")</f>
        <v>GRUPO METRO COLOMBIA (GMC INGENIEROS S.A.)</v>
      </c>
      <c r="E15" s="66" t="s">
        <v>485</v>
      </c>
      <c r="F15" s="330" t="s">
        <v>643</v>
      </c>
      <c r="G15" s="310" t="s">
        <v>5</v>
      </c>
      <c r="H15" s="310" t="s">
        <v>5</v>
      </c>
      <c r="I15" s="69">
        <v>0.9</v>
      </c>
      <c r="J15" s="70">
        <v>41523</v>
      </c>
      <c r="K15" s="70">
        <v>42094</v>
      </c>
      <c r="L15" s="71">
        <f t="shared" si="0"/>
        <v>2015</v>
      </c>
      <c r="M15" s="72">
        <f>+IFERROR(INDEX([9]PARÁMETROS!$B$11:$B$37,MATCH(L15,[9]PARÁMETROS!$A$11:$A$37,0)),"")</f>
        <v>644350</v>
      </c>
      <c r="N15" s="73">
        <v>4539581069</v>
      </c>
      <c r="O15" s="74" t="s">
        <v>20</v>
      </c>
      <c r="P15" s="316" t="s">
        <v>54</v>
      </c>
      <c r="Q15" s="75" t="s">
        <v>54</v>
      </c>
      <c r="R15" s="76">
        <v>1</v>
      </c>
      <c r="S15" s="72">
        <f t="shared" si="1"/>
        <v>4539581069</v>
      </c>
      <c r="T15" s="60">
        <f t="shared" si="2"/>
        <v>7045.2100085357333</v>
      </c>
      <c r="U15" s="60">
        <f t="shared" si="3"/>
        <v>6340.6890076821601</v>
      </c>
      <c r="V15" s="201">
        <v>61</v>
      </c>
      <c r="W15" s="650" t="s">
        <v>5</v>
      </c>
      <c r="X15" s="650"/>
      <c r="Y15" s="650"/>
      <c r="Z15" s="650" t="s">
        <v>5</v>
      </c>
      <c r="AA15" s="650"/>
      <c r="AB15" s="650"/>
      <c r="AC15" s="650" t="s">
        <v>5</v>
      </c>
      <c r="AD15" s="650"/>
      <c r="AE15" s="650"/>
      <c r="AF15" s="310" t="s">
        <v>5</v>
      </c>
      <c r="AG15" s="650"/>
      <c r="AH15" s="650"/>
      <c r="AI15" s="310" t="str">
        <f>+IF(U15="","",IF(U15&gt;=[9]PARÁMETROS!$D$5,"CUMPLE","NO CUMPLE"))</f>
        <v>CUMPLE</v>
      </c>
      <c r="AJ15" s="143"/>
      <c r="AK15" s="112"/>
    </row>
    <row r="16" spans="1:39" s="79" customFormat="1" ht="63" x14ac:dyDescent="0.25">
      <c r="A16" s="652" t="s">
        <v>644</v>
      </c>
      <c r="B16" s="125" t="s">
        <v>303</v>
      </c>
      <c r="C16" s="418">
        <v>155</v>
      </c>
      <c r="D16" s="127" t="str">
        <f>+IFERROR(INDEX([9]CONSOLIDADO!$D$4:$D$109,MATCH('EXP GEN. 17-24'!B16,[9]CONSOLIDADO!$C$4:$C$109,0)),"")</f>
        <v>IV INGENIEROS CONSULTORES E INTERVENTOR S.A.S.</v>
      </c>
      <c r="E16" s="128" t="s">
        <v>645</v>
      </c>
      <c r="F16" s="129" t="s">
        <v>646</v>
      </c>
      <c r="G16" s="309" t="s">
        <v>5</v>
      </c>
      <c r="H16" s="309" t="s">
        <v>5</v>
      </c>
      <c r="I16" s="131">
        <v>1</v>
      </c>
      <c r="J16" s="132">
        <v>37774</v>
      </c>
      <c r="K16" s="132">
        <v>38597</v>
      </c>
      <c r="L16" s="133">
        <f t="shared" si="0"/>
        <v>2005</v>
      </c>
      <c r="M16" s="134">
        <f>+IFERROR(INDEX([9]PARÁMETROS!$B$11:$B$37,MATCH(L16,[9]PARÁMETROS!$A$11:$A$37,0)),"")</f>
        <v>381500</v>
      </c>
      <c r="N16" s="135">
        <v>1207476.71</v>
      </c>
      <c r="O16" s="136" t="s">
        <v>24</v>
      </c>
      <c r="P16" s="125">
        <v>1.2487999999999999</v>
      </c>
      <c r="Q16" s="137">
        <f>+N16*P16</f>
        <v>1507896.915448</v>
      </c>
      <c r="R16" s="138">
        <v>2298.85</v>
      </c>
      <c r="S16" s="134">
        <f>IF(R16&lt;&gt;"",Q16*R16,"")</f>
        <v>3466428824.0776343</v>
      </c>
      <c r="T16" s="139">
        <f t="shared" si="2"/>
        <v>9086.3140867041529</v>
      </c>
      <c r="U16" s="139">
        <f t="shared" si="3"/>
        <v>9086.3140867041529</v>
      </c>
      <c r="V16" s="200">
        <v>23</v>
      </c>
      <c r="W16" s="649" t="s">
        <v>5</v>
      </c>
      <c r="X16" s="649"/>
      <c r="Y16" s="649"/>
      <c r="Z16" s="649" t="s">
        <v>5</v>
      </c>
      <c r="AA16" s="649"/>
      <c r="AB16" s="649"/>
      <c r="AC16" s="649" t="s">
        <v>5</v>
      </c>
      <c r="AD16" s="649"/>
      <c r="AE16" s="649"/>
      <c r="AF16" s="309" t="s">
        <v>5</v>
      </c>
      <c r="AG16" s="649" t="str">
        <f>IF(U16="","",IF(SUM(U16:U21)&gt;=[9]PARÁMETROS!$H$5,"CUMPLE","NO CUMPLE"))</f>
        <v>CUMPLE</v>
      </c>
      <c r="AH16" s="649" t="str">
        <f>IF((U16+U17)="","",IF((U19+U20+U21)&gt;=[9]PARÁMETROS!$F$5,"CUMPLE","NO CUMPLE"))</f>
        <v>CUMPLE</v>
      </c>
      <c r="AI16" s="309" t="str">
        <f>+IF(U16="","",IF(U16&gt;=[9]PARÁMETROS!$D$5,"CUMPLE","NO CUMPLE"))</f>
        <v>CUMPLE</v>
      </c>
      <c r="AJ16" s="142"/>
      <c r="AK16" s="112"/>
    </row>
    <row r="17" spans="1:37" s="79" customFormat="1" ht="63" x14ac:dyDescent="0.25">
      <c r="A17" s="653"/>
      <c r="B17" s="316" t="s">
        <v>303</v>
      </c>
      <c r="C17" s="415">
        <v>160</v>
      </c>
      <c r="D17" s="65" t="str">
        <f>+IFERROR(INDEX([9]CONSOLIDADO!$D$4:$D$109,MATCH('EXP GEN. 17-24'!B17,[9]CONSOLIDADO!$C$4:$C$109,0)),"")</f>
        <v>IV INGENIEROS CONSULTORES E INTERVENTOR S.A.S.</v>
      </c>
      <c r="E17" s="66" t="s">
        <v>645</v>
      </c>
      <c r="F17" s="116" t="s">
        <v>647</v>
      </c>
      <c r="G17" s="310" t="s">
        <v>5</v>
      </c>
      <c r="H17" s="310" t="s">
        <v>5</v>
      </c>
      <c r="I17" s="69">
        <v>1</v>
      </c>
      <c r="J17" s="70">
        <v>39329</v>
      </c>
      <c r="K17" s="70">
        <v>40578</v>
      </c>
      <c r="L17" s="71">
        <f t="shared" si="0"/>
        <v>2011</v>
      </c>
      <c r="M17" s="72">
        <f>+IFERROR(INDEX([9]PARÁMETROS!$B$11:$B$37,MATCH(L17,[9]PARÁMETROS!$A$11:$A$37,0)),"")</f>
        <v>535600</v>
      </c>
      <c r="N17" s="73">
        <v>1551350.29</v>
      </c>
      <c r="O17" s="74" t="s">
        <v>24</v>
      </c>
      <c r="P17" s="316">
        <v>1.3747400000000001</v>
      </c>
      <c r="Q17" s="75">
        <f>+P17*N17</f>
        <v>2132703.2976746</v>
      </c>
      <c r="R17" s="76">
        <v>1863.03</v>
      </c>
      <c r="S17" s="72">
        <f>IF(R17&lt;&gt;"",Q17*R17,"")</f>
        <v>3973290224.6667099</v>
      </c>
      <c r="T17" s="60">
        <f t="shared" si="2"/>
        <v>7418.3910094598768</v>
      </c>
      <c r="U17" s="60">
        <f t="shared" si="3"/>
        <v>7418.3910094598768</v>
      </c>
      <c r="V17" s="201">
        <v>21</v>
      </c>
      <c r="W17" s="650" t="s">
        <v>5</v>
      </c>
      <c r="X17" s="650"/>
      <c r="Y17" s="650"/>
      <c r="Z17" s="650" t="s">
        <v>5</v>
      </c>
      <c r="AA17" s="650"/>
      <c r="AB17" s="650"/>
      <c r="AC17" s="650" t="s">
        <v>5</v>
      </c>
      <c r="AD17" s="650"/>
      <c r="AE17" s="650"/>
      <c r="AF17" s="310" t="s">
        <v>5</v>
      </c>
      <c r="AG17" s="650"/>
      <c r="AH17" s="650"/>
      <c r="AI17" s="310" t="str">
        <f>+IF(U17="","",IF(U17&gt;=[9]PARÁMETROS!$D$5,"CUMPLE","NO CUMPLE"))</f>
        <v>CUMPLE</v>
      </c>
      <c r="AJ17" s="175"/>
      <c r="AK17" s="112"/>
    </row>
    <row r="18" spans="1:37" s="79" customFormat="1" ht="85.5" x14ac:dyDescent="0.25">
      <c r="A18" s="653"/>
      <c r="B18" s="316" t="s">
        <v>304</v>
      </c>
      <c r="C18" s="415">
        <v>201</v>
      </c>
      <c r="D18" s="65" t="str">
        <f>+IFERROR(INDEX([9]CONSOLIDADO!$D$4:$D$109,MATCH('EXP GEN. 17-24'!B18,[9]CONSOLIDADO!$C$4:$C$109,0)),"")</f>
        <v>CELQO S.A.S.</v>
      </c>
      <c r="E18" s="66" t="s">
        <v>21</v>
      </c>
      <c r="F18" s="67" t="s">
        <v>648</v>
      </c>
      <c r="G18" s="310" t="s">
        <v>5</v>
      </c>
      <c r="H18" s="310" t="s">
        <v>5</v>
      </c>
      <c r="I18" s="69">
        <v>0.75</v>
      </c>
      <c r="J18" s="70">
        <v>38684</v>
      </c>
      <c r="K18" s="70">
        <v>39690</v>
      </c>
      <c r="L18" s="71">
        <f t="shared" si="0"/>
        <v>2008</v>
      </c>
      <c r="M18" s="72">
        <f>+IFERROR(INDEX([9]PARÁMETROS!$B$11:$B$37,MATCH(L18,[9]PARÁMETROS!$A$11:$A$37,0)),"")</f>
        <v>461500</v>
      </c>
      <c r="N18" s="73">
        <v>1688370055.5</v>
      </c>
      <c r="O18" s="74" t="s">
        <v>649</v>
      </c>
      <c r="P18" s="316" t="s">
        <v>54</v>
      </c>
      <c r="Q18" s="75" t="s">
        <v>54</v>
      </c>
      <c r="R18" s="76">
        <v>1</v>
      </c>
      <c r="S18" s="72">
        <f>IF(R18&lt;&gt;"",N18*R18,"")</f>
        <v>1688370055.5</v>
      </c>
      <c r="T18" s="60">
        <f t="shared" si="2"/>
        <v>3658.4399902491873</v>
      </c>
      <c r="U18" s="60">
        <f t="shared" si="3"/>
        <v>2743.8299926868904</v>
      </c>
      <c r="V18" s="201">
        <v>5</v>
      </c>
      <c r="W18" s="650" t="s">
        <v>5</v>
      </c>
      <c r="X18" s="650"/>
      <c r="Y18" s="650"/>
      <c r="Z18" s="650" t="s">
        <v>5</v>
      </c>
      <c r="AA18" s="650"/>
      <c r="AB18" s="650"/>
      <c r="AC18" s="650" t="s">
        <v>5</v>
      </c>
      <c r="AD18" s="650"/>
      <c r="AE18" s="650"/>
      <c r="AF18" s="310" t="s">
        <v>5</v>
      </c>
      <c r="AG18" s="650"/>
      <c r="AH18" s="650"/>
      <c r="AI18" s="310" t="str">
        <f>+IF(U18="","",IF(U18&gt;=[9]PARÁMETROS!$D$5,"CUMPLE","NO CUMPLE"))</f>
        <v>CUMPLE</v>
      </c>
      <c r="AJ18" s="143"/>
      <c r="AK18" s="112"/>
    </row>
    <row r="19" spans="1:37" s="79" customFormat="1" ht="99.75" x14ac:dyDescent="0.25">
      <c r="A19" s="653"/>
      <c r="B19" s="316" t="s">
        <v>650</v>
      </c>
      <c r="C19" s="415">
        <v>247</v>
      </c>
      <c r="D19" s="65" t="str">
        <f>+IFERROR(INDEX([9]CONSOLIDADO!$D$4:$D$109,MATCH('EXP GEN. 17-24'!B19,[9]CONSOLIDADO!$C$4:$C$109,0)),"")</f>
        <v>ALPHA GRUPO CONSULTOR S.AS</v>
      </c>
      <c r="E19" s="66" t="s">
        <v>485</v>
      </c>
      <c r="F19" s="67" t="s">
        <v>651</v>
      </c>
      <c r="G19" s="310" t="s">
        <v>5</v>
      </c>
      <c r="H19" s="310" t="s">
        <v>5</v>
      </c>
      <c r="I19" s="69">
        <v>0.51</v>
      </c>
      <c r="J19" s="70">
        <v>38770</v>
      </c>
      <c r="K19" s="70">
        <v>39778</v>
      </c>
      <c r="L19" s="71">
        <f t="shared" si="0"/>
        <v>2008</v>
      </c>
      <c r="M19" s="72">
        <f>+IFERROR(INDEX([9]PARÁMETROS!$B$11:$B$37,MATCH(L19,[9]PARÁMETROS!$A$11:$A$37,0)),"")</f>
        <v>461500</v>
      </c>
      <c r="N19" s="73">
        <v>3501850677</v>
      </c>
      <c r="O19" s="74" t="s">
        <v>649</v>
      </c>
      <c r="P19" s="316" t="s">
        <v>54</v>
      </c>
      <c r="Q19" s="75" t="s">
        <v>54</v>
      </c>
      <c r="R19" s="76">
        <v>1</v>
      </c>
      <c r="S19" s="72">
        <f t="shared" si="1"/>
        <v>3501850677</v>
      </c>
      <c r="T19" s="60">
        <f t="shared" si="2"/>
        <v>7587.9754647887321</v>
      </c>
      <c r="U19" s="60">
        <f t="shared" si="3"/>
        <v>3869.8674870422533</v>
      </c>
      <c r="V19" s="201">
        <v>3</v>
      </c>
      <c r="W19" s="650" t="s">
        <v>5</v>
      </c>
      <c r="X19" s="650"/>
      <c r="Y19" s="650"/>
      <c r="Z19" s="650" t="s">
        <v>5</v>
      </c>
      <c r="AA19" s="650"/>
      <c r="AB19" s="650"/>
      <c r="AC19" s="650" t="s">
        <v>5</v>
      </c>
      <c r="AD19" s="650"/>
      <c r="AE19" s="650"/>
      <c r="AF19" s="310" t="s">
        <v>5</v>
      </c>
      <c r="AG19" s="650"/>
      <c r="AH19" s="650"/>
      <c r="AI19" s="310" t="str">
        <f>+IF(U19="","",IF(U19&gt;=[9]PARÁMETROS!$D$5,"CUMPLE","NO CUMPLE"))</f>
        <v>CUMPLE</v>
      </c>
      <c r="AJ19" s="143"/>
      <c r="AK19" s="112"/>
    </row>
    <row r="20" spans="1:37" s="79" customFormat="1" ht="99.75" x14ac:dyDescent="0.25">
      <c r="A20" s="653"/>
      <c r="B20" s="316" t="s">
        <v>650</v>
      </c>
      <c r="C20" s="415">
        <v>313</v>
      </c>
      <c r="D20" s="65" t="str">
        <f>+IFERROR(INDEX([9]CONSOLIDADO!$D$4:$D$109,MATCH('EXP GEN. 17-24'!B20,[9]CONSOLIDADO!$C$4:$C$109,0)),"")</f>
        <v>ALPHA GRUPO CONSULTOR S.AS</v>
      </c>
      <c r="E20" s="66" t="s">
        <v>652</v>
      </c>
      <c r="F20" s="67" t="s">
        <v>653</v>
      </c>
      <c r="G20" s="310" t="s">
        <v>5</v>
      </c>
      <c r="H20" s="310" t="s">
        <v>5</v>
      </c>
      <c r="I20" s="69">
        <v>1</v>
      </c>
      <c r="J20" s="70">
        <v>40474</v>
      </c>
      <c r="K20" s="70">
        <v>41173</v>
      </c>
      <c r="L20" s="71">
        <f t="shared" si="0"/>
        <v>2012</v>
      </c>
      <c r="M20" s="72">
        <f>+IFERROR(INDEX([9]PARÁMETROS!$B$11:$B$37,MATCH(L20,[9]PARÁMETROS!$A$11:$A$37,0)),"")</f>
        <v>566700</v>
      </c>
      <c r="N20" s="73">
        <v>3241542005</v>
      </c>
      <c r="O20" s="74" t="s">
        <v>649</v>
      </c>
      <c r="P20" s="316" t="s">
        <v>54</v>
      </c>
      <c r="Q20" s="75" t="s">
        <v>54</v>
      </c>
      <c r="R20" s="76">
        <v>1</v>
      </c>
      <c r="S20" s="72">
        <f t="shared" si="1"/>
        <v>3241542005</v>
      </c>
      <c r="T20" s="60">
        <f t="shared" si="2"/>
        <v>5720.0317716604904</v>
      </c>
      <c r="U20" s="60">
        <f t="shared" si="3"/>
        <v>5720.0317716604904</v>
      </c>
      <c r="V20" s="201">
        <v>32</v>
      </c>
      <c r="W20" s="650" t="s">
        <v>5</v>
      </c>
      <c r="X20" s="650"/>
      <c r="Y20" s="650"/>
      <c r="Z20" s="650" t="s">
        <v>5</v>
      </c>
      <c r="AA20" s="650"/>
      <c r="AB20" s="650"/>
      <c r="AC20" s="650" t="s">
        <v>5</v>
      </c>
      <c r="AD20" s="650"/>
      <c r="AE20" s="650"/>
      <c r="AF20" s="310" t="s">
        <v>5</v>
      </c>
      <c r="AG20" s="650"/>
      <c r="AH20" s="650"/>
      <c r="AI20" s="310" t="str">
        <f>+IF(U20="","",IF(U20&gt;=[9]PARÁMETROS!$D$5,"CUMPLE","NO CUMPLE"))</f>
        <v>CUMPLE</v>
      </c>
      <c r="AJ20" s="143"/>
      <c r="AK20" s="112"/>
    </row>
    <row r="21" spans="1:37" s="79" customFormat="1" ht="86.25" thickBot="1" x14ac:dyDescent="0.3">
      <c r="A21" s="654"/>
      <c r="B21" s="145" t="s">
        <v>650</v>
      </c>
      <c r="C21" s="419">
        <v>372</v>
      </c>
      <c r="D21" s="146" t="str">
        <f>+IFERROR(INDEX([9]CONSOLIDADO!$D$4:$D$109,MATCH('EXP GEN. 17-24'!B21,[9]CONSOLIDADO!$C$4:$C$109,0)),"")</f>
        <v>ALPHA GRUPO CONSULTOR S.AS</v>
      </c>
      <c r="E21" s="147" t="s">
        <v>654</v>
      </c>
      <c r="F21" s="148" t="s">
        <v>655</v>
      </c>
      <c r="G21" s="308" t="s">
        <v>5</v>
      </c>
      <c r="H21" s="308" t="s">
        <v>5</v>
      </c>
      <c r="I21" s="150">
        <v>1</v>
      </c>
      <c r="J21" s="151">
        <v>36910</v>
      </c>
      <c r="K21" s="151">
        <v>38050</v>
      </c>
      <c r="L21" s="152">
        <f t="shared" si="0"/>
        <v>2004</v>
      </c>
      <c r="M21" s="153">
        <f>+IFERROR(INDEX([9]PARÁMETROS!$B$11:$B$37,MATCH(L21,[9]PARÁMETROS!$A$11:$A$37,0)),"")</f>
        <v>358000</v>
      </c>
      <c r="N21" s="154">
        <v>913974294</v>
      </c>
      <c r="O21" s="155" t="s">
        <v>649</v>
      </c>
      <c r="P21" s="145" t="s">
        <v>54</v>
      </c>
      <c r="Q21" s="156" t="s">
        <v>54</v>
      </c>
      <c r="R21" s="157">
        <v>1</v>
      </c>
      <c r="S21" s="153">
        <f t="shared" si="1"/>
        <v>913974294</v>
      </c>
      <c r="T21" s="158">
        <f t="shared" si="2"/>
        <v>2553.0008212290504</v>
      </c>
      <c r="U21" s="158">
        <f t="shared" si="3"/>
        <v>2553.0008212290504</v>
      </c>
      <c r="V21" s="190">
        <v>14</v>
      </c>
      <c r="W21" s="651" t="s">
        <v>5</v>
      </c>
      <c r="X21" s="651"/>
      <c r="Y21" s="651"/>
      <c r="Z21" s="651" t="s">
        <v>5</v>
      </c>
      <c r="AA21" s="651"/>
      <c r="AB21" s="651"/>
      <c r="AC21" s="651" t="s">
        <v>5</v>
      </c>
      <c r="AD21" s="651"/>
      <c r="AE21" s="651"/>
      <c r="AF21" s="308" t="s">
        <v>5</v>
      </c>
      <c r="AG21" s="651"/>
      <c r="AH21" s="651"/>
      <c r="AI21" s="308" t="str">
        <f>+IF(U21="","",IF(U21&gt;=[9]PARÁMETROS!$D$5,"CUMPLE","NO CUMPLE"))</f>
        <v>CUMPLE</v>
      </c>
      <c r="AJ21" s="160"/>
      <c r="AK21" s="112"/>
    </row>
    <row r="22" spans="1:37" s="79" customFormat="1" ht="63" x14ac:dyDescent="0.25">
      <c r="A22" s="652" t="s">
        <v>656</v>
      </c>
      <c r="B22" s="125" t="s">
        <v>305</v>
      </c>
      <c r="C22" s="418">
        <v>110</v>
      </c>
      <c r="D22" s="127" t="str">
        <f>+IFERROR(INDEX([9]CONSOLIDADO!$D$4:$D$109,MATCH('EXP GEN. 17-24'!B22,[9]CONSOLIDADO!$C$4:$C$109,0)),"")</f>
        <v>BAG ENGINEERING CONSULTANCY GROUP S.A.S.</v>
      </c>
      <c r="E22" s="128" t="s">
        <v>657</v>
      </c>
      <c r="F22" s="129" t="s">
        <v>658</v>
      </c>
      <c r="G22" s="309" t="s">
        <v>5</v>
      </c>
      <c r="H22" s="309" t="s">
        <v>5</v>
      </c>
      <c r="I22" s="131">
        <v>0.5</v>
      </c>
      <c r="J22" s="132">
        <v>39722</v>
      </c>
      <c r="K22" s="132">
        <v>41211</v>
      </c>
      <c r="L22" s="133">
        <f t="shared" si="0"/>
        <v>2012</v>
      </c>
      <c r="M22" s="134">
        <f>+IFERROR(INDEX([9]PARÁMETROS!$B$11:$B$37,MATCH(L22,[9]PARÁMETROS!$A$11:$A$37,0)),"")</f>
        <v>566700</v>
      </c>
      <c r="N22" s="135">
        <v>2738296</v>
      </c>
      <c r="O22" s="136" t="s">
        <v>24</v>
      </c>
      <c r="P22" s="125">
        <v>1.29355</v>
      </c>
      <c r="Q22" s="137">
        <f>+N22*P22</f>
        <v>3542122.7908000001</v>
      </c>
      <c r="R22" s="138">
        <v>1823.18</v>
      </c>
      <c r="S22" s="134">
        <f>IF(R22&lt;&gt;"",Q22*R22,"")</f>
        <v>6457927429.7307444</v>
      </c>
      <c r="T22" s="139">
        <f t="shared" si="2"/>
        <v>11395.672189396055</v>
      </c>
      <c r="U22" s="139">
        <f t="shared" si="3"/>
        <v>5697.8360946980274</v>
      </c>
      <c r="V22" s="200">
        <v>16</v>
      </c>
      <c r="W22" s="649" t="s">
        <v>5</v>
      </c>
      <c r="X22" s="649"/>
      <c r="Y22" s="649"/>
      <c r="Z22" s="649" t="s">
        <v>5</v>
      </c>
      <c r="AA22" s="649"/>
      <c r="AB22" s="649"/>
      <c r="AC22" s="649" t="s">
        <v>5</v>
      </c>
      <c r="AD22" s="649"/>
      <c r="AE22" s="649"/>
      <c r="AF22" s="309" t="s">
        <v>5</v>
      </c>
      <c r="AG22" s="649" t="str">
        <f>IF(U22="","",IF(SUM(U22:U25)&gt;=[9]PARÁMETROS!$H$5,"CUMPLE","NO CUMPLE"))</f>
        <v>CUMPLE</v>
      </c>
      <c r="AH22" s="649" t="str">
        <f>IF(U22+U23+U24="","",IF(U22+U23+U24&gt;=[9]PARÁMETROS!$F$5,"CUMPLE","NO CUMPLE"))</f>
        <v>CUMPLE</v>
      </c>
      <c r="AI22" s="309" t="str">
        <f>+IF(U22="","",IF(U22&gt;=[9]PARÁMETROS!$D$5,"CUMPLE","NO CUMPLE"))</f>
        <v>CUMPLE</v>
      </c>
      <c r="AJ22" s="142"/>
      <c r="AK22" s="112"/>
    </row>
    <row r="23" spans="1:37" s="79" customFormat="1" ht="63" x14ac:dyDescent="0.25">
      <c r="A23" s="653"/>
      <c r="B23" s="316" t="s">
        <v>305</v>
      </c>
      <c r="C23" s="415">
        <v>118</v>
      </c>
      <c r="D23" s="65" t="str">
        <f>+IFERROR(INDEX([9]CONSOLIDADO!$D$4:$D$109,MATCH('EXP GEN. 17-24'!B23,[9]CONSOLIDADO!$C$4:$C$109,0)),"")</f>
        <v>BAG ENGINEERING CONSULTANCY GROUP S.A.S.</v>
      </c>
      <c r="E23" s="66" t="s">
        <v>659</v>
      </c>
      <c r="F23" s="67" t="s">
        <v>660</v>
      </c>
      <c r="G23" s="310" t="s">
        <v>5</v>
      </c>
      <c r="H23" s="310" t="s">
        <v>5</v>
      </c>
      <c r="I23" s="69">
        <v>0.5</v>
      </c>
      <c r="J23" s="70">
        <v>39328</v>
      </c>
      <c r="K23" s="70">
        <v>41486</v>
      </c>
      <c r="L23" s="71">
        <f t="shared" si="0"/>
        <v>2013</v>
      </c>
      <c r="M23" s="72">
        <f>+IFERROR(INDEX([9]PARÁMETROS!$B$11:$B$37,MATCH(L23,[9]PARÁMETROS!$A$11:$A$37,0)),"")</f>
        <v>589500</v>
      </c>
      <c r="N23" s="73">
        <v>2913489.22</v>
      </c>
      <c r="O23" s="74" t="s">
        <v>24</v>
      </c>
      <c r="P23" s="316">
        <v>1.3262400000000001</v>
      </c>
      <c r="Q23" s="75">
        <f>+N23*P23</f>
        <v>3863985.9431328005</v>
      </c>
      <c r="R23" s="76">
        <v>1890.33</v>
      </c>
      <c r="S23" s="72">
        <f>IF(R23&lt;&gt;"",Q23*R23,"")</f>
        <v>7304208547.8822269</v>
      </c>
      <c r="T23" s="60">
        <f t="shared" si="2"/>
        <v>12390.514924312514</v>
      </c>
      <c r="U23" s="60">
        <f t="shared" si="3"/>
        <v>6195.2574621562571</v>
      </c>
      <c r="V23" s="201">
        <v>20</v>
      </c>
      <c r="W23" s="650" t="s">
        <v>5</v>
      </c>
      <c r="X23" s="650"/>
      <c r="Y23" s="650"/>
      <c r="Z23" s="650" t="s">
        <v>5</v>
      </c>
      <c r="AA23" s="650"/>
      <c r="AB23" s="650"/>
      <c r="AC23" s="650" t="s">
        <v>5</v>
      </c>
      <c r="AD23" s="650"/>
      <c r="AE23" s="650"/>
      <c r="AF23" s="310" t="s">
        <v>5</v>
      </c>
      <c r="AG23" s="650"/>
      <c r="AH23" s="650"/>
      <c r="AI23" s="310" t="str">
        <f>+IF(U23="","",IF(U23&gt;=[9]PARÁMETROS!$D$5,"CUMPLE","NO CUMPLE"))</f>
        <v>CUMPLE</v>
      </c>
      <c r="AJ23" s="143"/>
      <c r="AK23" s="112"/>
    </row>
    <row r="24" spans="1:37" s="79" customFormat="1" ht="63" x14ac:dyDescent="0.25">
      <c r="A24" s="653"/>
      <c r="B24" s="316" t="s">
        <v>305</v>
      </c>
      <c r="C24" s="415">
        <v>127</v>
      </c>
      <c r="D24" s="65" t="str">
        <f>+IFERROR(INDEX([9]CONSOLIDADO!$D$4:$D$109,MATCH('EXP GEN. 17-24'!B24,[9]CONSOLIDADO!$C$4:$C$109,0)),"")</f>
        <v>BAG ENGINEERING CONSULTANCY GROUP S.A.S.</v>
      </c>
      <c r="E24" s="82" t="s">
        <v>661</v>
      </c>
      <c r="F24" s="67" t="s">
        <v>662</v>
      </c>
      <c r="G24" s="310" t="s">
        <v>5</v>
      </c>
      <c r="H24" s="310" t="s">
        <v>5</v>
      </c>
      <c r="I24" s="83">
        <v>0.5</v>
      </c>
      <c r="J24" s="70">
        <v>39575</v>
      </c>
      <c r="K24" s="70">
        <v>40663</v>
      </c>
      <c r="L24" s="71">
        <f t="shared" si="0"/>
        <v>2011</v>
      </c>
      <c r="M24" s="72">
        <f>+IFERROR(INDEX([9]PARÁMETROS!$B$11:$B$37,MATCH(L24,[9]PARÁMETROS!$A$11:$A$37,0)),"")</f>
        <v>535600</v>
      </c>
      <c r="N24" s="73">
        <v>4410425.8600000003</v>
      </c>
      <c r="O24" s="74" t="s">
        <v>24</v>
      </c>
      <c r="P24" s="316">
        <v>1.4837899999999999</v>
      </c>
      <c r="Q24" s="75">
        <f>+N24*P24</f>
        <v>6544145.7868094007</v>
      </c>
      <c r="R24" s="76">
        <v>1768.19</v>
      </c>
      <c r="S24" s="72">
        <f>IF(R24&lt;&gt;"",Q24*R24,"")</f>
        <v>11571293138.778515</v>
      </c>
      <c r="T24" s="60">
        <f t="shared" si="2"/>
        <v>21604.356121692523</v>
      </c>
      <c r="U24" s="60">
        <f t="shared" si="3"/>
        <v>10802.178060846261</v>
      </c>
      <c r="V24" s="201">
        <v>24</v>
      </c>
      <c r="W24" s="650" t="s">
        <v>5</v>
      </c>
      <c r="X24" s="650"/>
      <c r="Y24" s="650"/>
      <c r="Z24" s="650" t="s">
        <v>5</v>
      </c>
      <c r="AA24" s="650"/>
      <c r="AB24" s="650"/>
      <c r="AC24" s="650" t="s">
        <v>5</v>
      </c>
      <c r="AD24" s="650"/>
      <c r="AE24" s="650"/>
      <c r="AF24" s="310" t="s">
        <v>5</v>
      </c>
      <c r="AG24" s="650"/>
      <c r="AH24" s="650"/>
      <c r="AI24" s="310" t="str">
        <f>+IF(U24="","",IF(U24&gt;=[9]PARÁMETROS!$D$5,"CUMPLE","NO CUMPLE"))</f>
        <v>CUMPLE</v>
      </c>
      <c r="AJ24" s="143"/>
      <c r="AK24" s="112"/>
    </row>
    <row r="25" spans="1:37" s="88" customFormat="1" ht="63.75" thickBot="1" x14ac:dyDescent="0.3">
      <c r="A25" s="653"/>
      <c r="B25" s="316" t="s">
        <v>306</v>
      </c>
      <c r="C25" s="419">
        <v>132</v>
      </c>
      <c r="D25" s="65" t="str">
        <f>+IFERROR(INDEX([9]CONSOLIDADO!$D$4:$D$109,MATCH('EXP GEN. 17-24'!B25,[9]CONSOLIDADO!$C$4:$C$109,0)),"")</f>
        <v>INGENIEROS PROYECTOS CONSULTORIAS IPC S.A.S.</v>
      </c>
      <c r="E25" s="66" t="s">
        <v>26</v>
      </c>
      <c r="F25" s="67" t="s">
        <v>663</v>
      </c>
      <c r="G25" s="310" t="s">
        <v>5</v>
      </c>
      <c r="H25" s="310" t="s">
        <v>5</v>
      </c>
      <c r="I25" s="84">
        <v>0.15</v>
      </c>
      <c r="J25" s="85">
        <v>38397</v>
      </c>
      <c r="K25" s="86">
        <v>39933</v>
      </c>
      <c r="L25" s="71">
        <f t="shared" si="0"/>
        <v>2009</v>
      </c>
      <c r="M25" s="72">
        <f>+IFERROR(INDEX([9]PARÁMETROS!$B$11:$B$37,MATCH(L25,[9]PARÁMETROS!$A$11:$A$37,0)),"")</f>
        <v>496900</v>
      </c>
      <c r="N25" s="331">
        <v>8552787844</v>
      </c>
      <c r="O25" s="74" t="s">
        <v>649</v>
      </c>
      <c r="P25" s="74" t="s">
        <v>54</v>
      </c>
      <c r="Q25" s="74" t="s">
        <v>54</v>
      </c>
      <c r="R25" s="74">
        <v>1</v>
      </c>
      <c r="S25" s="72">
        <f t="shared" si="1"/>
        <v>8552787844</v>
      </c>
      <c r="T25" s="60">
        <f t="shared" si="2"/>
        <v>17212.29189776615</v>
      </c>
      <c r="U25" s="60">
        <f t="shared" si="3"/>
        <v>2581.8437846649226</v>
      </c>
      <c r="V25" s="289">
        <v>5</v>
      </c>
      <c r="W25" s="650"/>
      <c r="X25" s="650"/>
      <c r="Y25" s="650"/>
      <c r="Z25" s="650"/>
      <c r="AA25" s="650"/>
      <c r="AB25" s="650"/>
      <c r="AC25" s="650" t="s">
        <v>5</v>
      </c>
      <c r="AD25" s="650"/>
      <c r="AE25" s="650"/>
      <c r="AF25" s="310" t="s">
        <v>5</v>
      </c>
      <c r="AG25" s="650"/>
      <c r="AH25" s="650"/>
      <c r="AI25" s="310" t="str">
        <f>+IF(U25="","",IF(U25&gt;=[9]PARÁMETROS!$D$5,"CUMPLE","NO CUMPLE"))</f>
        <v>CUMPLE</v>
      </c>
      <c r="AJ25" s="143"/>
      <c r="AK25" s="166"/>
    </row>
    <row r="26" spans="1:37" s="79" customFormat="1" ht="71.25" x14ac:dyDescent="0.25">
      <c r="A26" s="652" t="s">
        <v>664</v>
      </c>
      <c r="B26" s="125" t="s">
        <v>308</v>
      </c>
      <c r="C26" s="415">
        <v>140</v>
      </c>
      <c r="D26" s="127" t="str">
        <f>+IFERROR(INDEX([9]CONSOLIDADO!$D$4:$D$109,MATCH('EXP GEN. 17-24'!B26,[9]CONSOLIDADO!$C$4:$C$109,0)),"")</f>
        <v>B&amp;C S.A.</v>
      </c>
      <c r="E26" s="128" t="s">
        <v>26</v>
      </c>
      <c r="F26" s="129" t="s">
        <v>665</v>
      </c>
      <c r="G26" s="309" t="s">
        <v>5</v>
      </c>
      <c r="H26" s="309" t="s">
        <v>5</v>
      </c>
      <c r="I26" s="131">
        <v>0.5</v>
      </c>
      <c r="J26" s="132">
        <v>36333</v>
      </c>
      <c r="K26" s="132">
        <v>38915</v>
      </c>
      <c r="L26" s="133">
        <f t="shared" si="0"/>
        <v>2006</v>
      </c>
      <c r="M26" s="134">
        <f>+IFERROR(INDEX([9]PARÁMETROS!$B$11:$B$37,MATCH(L26,[9]PARÁMETROS!$A$11:$A$37,0)),"")</f>
        <v>408000</v>
      </c>
      <c r="N26" s="135">
        <v>19941780178.799999</v>
      </c>
      <c r="O26" s="136" t="s">
        <v>649</v>
      </c>
      <c r="P26" s="125" t="s">
        <v>54</v>
      </c>
      <c r="Q26" s="137" t="s">
        <v>54</v>
      </c>
      <c r="R26" s="138">
        <v>1</v>
      </c>
      <c r="S26" s="134">
        <f t="shared" si="1"/>
        <v>19941780178.799999</v>
      </c>
      <c r="T26" s="139">
        <f t="shared" si="2"/>
        <v>48876.912202941174</v>
      </c>
      <c r="U26" s="139">
        <f t="shared" si="3"/>
        <v>24438.456101470587</v>
      </c>
      <c r="V26" s="200">
        <v>19</v>
      </c>
      <c r="W26" s="692" t="s">
        <v>5</v>
      </c>
      <c r="X26" s="693"/>
      <c r="Y26" s="694"/>
      <c r="Z26" s="692" t="s">
        <v>5</v>
      </c>
      <c r="AA26" s="693"/>
      <c r="AB26" s="694"/>
      <c r="AC26" s="692" t="s">
        <v>5</v>
      </c>
      <c r="AD26" s="693"/>
      <c r="AE26" s="694"/>
      <c r="AF26" s="309" t="s">
        <v>5</v>
      </c>
      <c r="AG26" s="649" t="str">
        <f>IF(U26="","",IF(SUM(U26:U31)&gt;=[9]PARÁMETROS!$H$5,"CUMPLE","NO CUMPLE"))</f>
        <v>CUMPLE</v>
      </c>
      <c r="AH26" s="649" t="str">
        <f>IF(U26+U27+U28="","",IF(U26+U27+U2&gt;=[9]PARÁMETROS!$F$5,"CUMPLE","NO CUMPLE"))</f>
        <v>CUMPLE</v>
      </c>
      <c r="AI26" s="309" t="str">
        <f>+IF(U26="","",IF(U26&gt;=[9]PARÁMETROS!$D$5,"CUMPLE","NO CUMPLE"))</f>
        <v>CUMPLE</v>
      </c>
      <c r="AJ26" s="142"/>
      <c r="AK26" s="112"/>
    </row>
    <row r="27" spans="1:37" s="79" customFormat="1" ht="57" x14ac:dyDescent="0.25">
      <c r="A27" s="653"/>
      <c r="B27" s="316" t="s">
        <v>308</v>
      </c>
      <c r="C27" s="415">
        <v>148</v>
      </c>
      <c r="D27" s="65" t="str">
        <f>+IFERROR(INDEX([9]CONSOLIDADO!$D$4:$D$109,MATCH('EXP GEN. 17-24'!B27,[9]CONSOLIDADO!$C$4:$C$109,0)),"")</f>
        <v>B&amp;C S.A.</v>
      </c>
      <c r="E27" s="66" t="s">
        <v>19</v>
      </c>
      <c r="F27" s="67" t="s">
        <v>666</v>
      </c>
      <c r="G27" s="310" t="s">
        <v>5</v>
      </c>
      <c r="H27" s="310" t="s">
        <v>5</v>
      </c>
      <c r="I27" s="69">
        <v>0.3</v>
      </c>
      <c r="J27" s="70">
        <v>39934</v>
      </c>
      <c r="K27" s="70">
        <v>41029</v>
      </c>
      <c r="L27" s="71">
        <f t="shared" si="0"/>
        <v>2012</v>
      </c>
      <c r="M27" s="72">
        <f>+IFERROR(INDEX([9]PARÁMETROS!$B$11:$B$37,MATCH(L27,[9]PARÁMETROS!$A$11:$A$37,0)),"")</f>
        <v>566700</v>
      </c>
      <c r="N27" s="73">
        <v>9410306392</v>
      </c>
      <c r="O27" s="74" t="s">
        <v>649</v>
      </c>
      <c r="P27" s="316" t="s">
        <v>54</v>
      </c>
      <c r="Q27" s="75" t="s">
        <v>54</v>
      </c>
      <c r="R27" s="76">
        <v>1</v>
      </c>
      <c r="S27" s="72">
        <f t="shared" si="1"/>
        <v>9410306392</v>
      </c>
      <c r="T27" s="60">
        <f t="shared" si="2"/>
        <v>16605.446253749778</v>
      </c>
      <c r="U27" s="60">
        <f t="shared" si="3"/>
        <v>4981.6338761249335</v>
      </c>
      <c r="V27" s="201">
        <v>2</v>
      </c>
      <c r="W27" s="689" t="s">
        <v>5</v>
      </c>
      <c r="X27" s="690"/>
      <c r="Y27" s="691"/>
      <c r="Z27" s="689" t="s">
        <v>5</v>
      </c>
      <c r="AA27" s="690"/>
      <c r="AB27" s="691"/>
      <c r="AC27" s="689" t="s">
        <v>5</v>
      </c>
      <c r="AD27" s="690"/>
      <c r="AE27" s="691"/>
      <c r="AF27" s="310" t="s">
        <v>5</v>
      </c>
      <c r="AG27" s="650"/>
      <c r="AH27" s="650"/>
      <c r="AI27" s="310" t="str">
        <f>+IF(U27="","",IF(U27&gt;=[9]PARÁMETROS!$D$5,"CUMPLE","NO CUMPLE"))</f>
        <v>CUMPLE</v>
      </c>
      <c r="AJ27" s="143"/>
      <c r="AK27" s="112"/>
    </row>
    <row r="28" spans="1:37" s="79" customFormat="1" ht="114" x14ac:dyDescent="0.25">
      <c r="A28" s="653"/>
      <c r="B28" s="316" t="s">
        <v>308</v>
      </c>
      <c r="C28" s="415">
        <v>152</v>
      </c>
      <c r="D28" s="65" t="str">
        <f>+IFERROR(INDEX([9]CONSOLIDADO!$D$4:$D$109,MATCH('EXP GEN. 17-24'!B28,[9]CONSOLIDADO!$C$4:$C$109,0)),"")</f>
        <v>B&amp;C S.A.</v>
      </c>
      <c r="E28" s="66" t="s">
        <v>26</v>
      </c>
      <c r="F28" s="67" t="s">
        <v>667</v>
      </c>
      <c r="G28" s="310" t="s">
        <v>5</v>
      </c>
      <c r="H28" s="310" t="s">
        <v>5</v>
      </c>
      <c r="I28" s="69">
        <v>0.5</v>
      </c>
      <c r="J28" s="70">
        <v>38916</v>
      </c>
      <c r="K28" s="70">
        <v>40267</v>
      </c>
      <c r="L28" s="71">
        <f t="shared" si="0"/>
        <v>2010</v>
      </c>
      <c r="M28" s="72">
        <f>+IFERROR(INDEX([9]PARÁMETROS!$B$11:$B$37,MATCH(L28,[9]PARÁMETROS!$A$11:$A$37,0)),"")</f>
        <v>515000</v>
      </c>
      <c r="N28" s="73">
        <v>7564702533</v>
      </c>
      <c r="O28" s="74" t="s">
        <v>649</v>
      </c>
      <c r="P28" s="316" t="s">
        <v>54</v>
      </c>
      <c r="Q28" s="75" t="s">
        <v>54</v>
      </c>
      <c r="R28" s="76">
        <v>1</v>
      </c>
      <c r="S28" s="72">
        <f t="shared" si="1"/>
        <v>7564702533</v>
      </c>
      <c r="T28" s="60">
        <f t="shared" si="2"/>
        <v>14688.742782524272</v>
      </c>
      <c r="U28" s="60">
        <f t="shared" si="3"/>
        <v>7344.3713912621361</v>
      </c>
      <c r="V28" s="201">
        <v>15</v>
      </c>
      <c r="W28" s="650"/>
      <c r="X28" s="650"/>
      <c r="Y28" s="650"/>
      <c r="Z28" s="650" t="s">
        <v>5</v>
      </c>
      <c r="AA28" s="650"/>
      <c r="AB28" s="650"/>
      <c r="AC28" s="650" t="s">
        <v>5</v>
      </c>
      <c r="AD28" s="650"/>
      <c r="AE28" s="650"/>
      <c r="AF28" s="310" t="s">
        <v>5</v>
      </c>
      <c r="AG28" s="650"/>
      <c r="AH28" s="650"/>
      <c r="AI28" s="310" t="str">
        <f>+IF(U28="","",IF(U28&gt;=[9]PARÁMETROS!$D$5,"CUMPLE","NO CUMPLE"))</f>
        <v>CUMPLE</v>
      </c>
      <c r="AJ28" s="143"/>
      <c r="AK28" s="112"/>
    </row>
    <row r="29" spans="1:37" s="79" customFormat="1" ht="99.75" x14ac:dyDescent="0.25">
      <c r="A29" s="653"/>
      <c r="B29" s="316" t="s">
        <v>307</v>
      </c>
      <c r="C29" s="415">
        <v>156</v>
      </c>
      <c r="D29" s="65" t="str">
        <f>+IFERROR(INDEX([9]CONSOLIDADO!$D$4:$D$109,MATCH('EXP GEN. 17-24'!B29,[9]CONSOLIDADO!$C$4:$C$109,0)),"")</f>
        <v>DIEGO FERNANDO FONSECA CHAVES</v>
      </c>
      <c r="E29" s="66" t="s">
        <v>641</v>
      </c>
      <c r="F29" s="67" t="s">
        <v>668</v>
      </c>
      <c r="G29" s="310" t="s">
        <v>5</v>
      </c>
      <c r="H29" s="310" t="s">
        <v>5</v>
      </c>
      <c r="I29" s="69">
        <v>0.5</v>
      </c>
      <c r="J29" s="70">
        <v>40137</v>
      </c>
      <c r="K29" s="70">
        <v>41232</v>
      </c>
      <c r="L29" s="71">
        <f t="shared" si="0"/>
        <v>2012</v>
      </c>
      <c r="M29" s="72">
        <f>+IFERROR(INDEX([9]PARÁMETROS!$B$11:$B$37,MATCH(L29,[9]PARÁMETROS!$A$11:$A$37,0)),"")</f>
        <v>566700</v>
      </c>
      <c r="N29" s="73">
        <v>4761160509</v>
      </c>
      <c r="O29" s="74" t="s">
        <v>649</v>
      </c>
      <c r="P29" s="316" t="s">
        <v>54</v>
      </c>
      <c r="Q29" s="75" t="s">
        <v>54</v>
      </c>
      <c r="R29" s="76">
        <v>1</v>
      </c>
      <c r="S29" s="72">
        <f t="shared" si="1"/>
        <v>4761160509</v>
      </c>
      <c r="T29" s="60">
        <f t="shared" si="2"/>
        <v>8401.5537480148232</v>
      </c>
      <c r="U29" s="60">
        <f t="shared" si="3"/>
        <v>4200.7768740074116</v>
      </c>
      <c r="V29" s="201">
        <v>1</v>
      </c>
      <c r="W29" s="650" t="s">
        <v>5</v>
      </c>
      <c r="X29" s="650"/>
      <c r="Y29" s="650"/>
      <c r="Z29" s="650" t="s">
        <v>5</v>
      </c>
      <c r="AA29" s="650"/>
      <c r="AB29" s="650"/>
      <c r="AC29" s="650" t="s">
        <v>5</v>
      </c>
      <c r="AD29" s="650"/>
      <c r="AE29" s="650"/>
      <c r="AF29" s="310" t="s">
        <v>5</v>
      </c>
      <c r="AG29" s="650"/>
      <c r="AH29" s="650"/>
      <c r="AI29" s="310" t="str">
        <f>+IF(U29="","",IF(U29&gt;=[9]PARÁMETROS!$D$5,"CUMPLE","NO CUMPLE"))</f>
        <v>CUMPLE</v>
      </c>
      <c r="AJ29" s="143"/>
      <c r="AK29" s="112"/>
    </row>
    <row r="30" spans="1:37" s="79" customFormat="1" ht="128.25" x14ac:dyDescent="0.25">
      <c r="A30" s="653"/>
      <c r="B30" s="316" t="s">
        <v>307</v>
      </c>
      <c r="C30" s="415">
        <v>192</v>
      </c>
      <c r="D30" s="65" t="str">
        <f>+IFERROR(INDEX([9]CONSOLIDADO!$D$4:$D$109,MATCH('EXP GEN. 17-24'!B30,[9]CONSOLIDADO!$C$4:$C$109,0)),"")</f>
        <v>DIEGO FERNANDO FONSECA CHAVES</v>
      </c>
      <c r="E30" s="66" t="s">
        <v>641</v>
      </c>
      <c r="F30" s="67" t="s">
        <v>669</v>
      </c>
      <c r="G30" s="310" t="s">
        <v>5</v>
      </c>
      <c r="H30" s="310" t="s">
        <v>5</v>
      </c>
      <c r="I30" s="69">
        <v>0.4</v>
      </c>
      <c r="J30" s="70">
        <v>40143</v>
      </c>
      <c r="K30" s="70">
        <v>41183</v>
      </c>
      <c r="L30" s="71">
        <f t="shared" si="0"/>
        <v>2012</v>
      </c>
      <c r="M30" s="72">
        <f>+IFERROR(INDEX([9]PARÁMETROS!$B$11:$B$37,MATCH(L30,[9]PARÁMETROS!$A$11:$A$37,0)),"")</f>
        <v>566700</v>
      </c>
      <c r="N30" s="73">
        <v>4331349652</v>
      </c>
      <c r="O30" s="74" t="s">
        <v>649</v>
      </c>
      <c r="P30" s="316" t="s">
        <v>54</v>
      </c>
      <c r="Q30" s="75" t="s">
        <v>54</v>
      </c>
      <c r="R30" s="76">
        <v>1</v>
      </c>
      <c r="S30" s="72">
        <f t="shared" si="1"/>
        <v>4331349652</v>
      </c>
      <c r="T30" s="60">
        <f t="shared" si="2"/>
        <v>7643.1086147873657</v>
      </c>
      <c r="U30" s="60">
        <f t="shared" si="3"/>
        <v>3057.2434459149463</v>
      </c>
      <c r="V30" s="201">
        <v>8</v>
      </c>
      <c r="W30" s="650"/>
      <c r="X30" s="650"/>
      <c r="Y30" s="650"/>
      <c r="Z30" s="650" t="s">
        <v>5</v>
      </c>
      <c r="AA30" s="650"/>
      <c r="AB30" s="650"/>
      <c r="AC30" s="650" t="s">
        <v>5</v>
      </c>
      <c r="AD30" s="650"/>
      <c r="AE30" s="650"/>
      <c r="AF30" s="310" t="s">
        <v>5</v>
      </c>
      <c r="AG30" s="650"/>
      <c r="AH30" s="650"/>
      <c r="AI30" s="310" t="str">
        <f>+IF(U30="","",IF(U30&gt;=[9]PARÁMETROS!$D$5,"CUMPLE","NO CUMPLE"))</f>
        <v>CUMPLE</v>
      </c>
      <c r="AJ30" s="143"/>
      <c r="AK30" s="112"/>
    </row>
    <row r="31" spans="1:37" s="79" customFormat="1" ht="63.75" thickBot="1" x14ac:dyDescent="0.3">
      <c r="A31" s="654"/>
      <c r="B31" s="145" t="s">
        <v>307</v>
      </c>
      <c r="C31" s="415">
        <v>197</v>
      </c>
      <c r="D31" s="146" t="str">
        <f>+IFERROR(INDEX([9]CONSOLIDADO!$D$4:$D$109,MATCH('EXP GEN. 17-24'!B31,[9]CONSOLIDADO!$C$4:$C$109,0)),"")</f>
        <v>DIEGO FERNANDO FONSECA CHAVES</v>
      </c>
      <c r="E31" s="147" t="s">
        <v>670</v>
      </c>
      <c r="F31" s="148" t="s">
        <v>671</v>
      </c>
      <c r="G31" s="308" t="s">
        <v>5</v>
      </c>
      <c r="H31" s="308" t="s">
        <v>5</v>
      </c>
      <c r="I31" s="150">
        <v>1</v>
      </c>
      <c r="J31" s="151">
        <v>40268</v>
      </c>
      <c r="K31" s="151">
        <v>40847</v>
      </c>
      <c r="L31" s="152">
        <f t="shared" si="0"/>
        <v>2011</v>
      </c>
      <c r="M31" s="153">
        <f>+IFERROR(INDEX([9]PARÁMETROS!$B$11:$B$37,MATCH(L31,[9]PARÁMETROS!$A$11:$A$37,0)),"")</f>
        <v>535600</v>
      </c>
      <c r="N31" s="154">
        <v>1576786280</v>
      </c>
      <c r="O31" s="155" t="s">
        <v>649</v>
      </c>
      <c r="P31" s="145" t="s">
        <v>54</v>
      </c>
      <c r="Q31" s="156" t="s">
        <v>54</v>
      </c>
      <c r="R31" s="157">
        <v>1</v>
      </c>
      <c r="S31" s="153">
        <f t="shared" si="1"/>
        <v>1576786280</v>
      </c>
      <c r="T31" s="158">
        <f t="shared" si="2"/>
        <v>2943.9624346527257</v>
      </c>
      <c r="U31" s="158">
        <f t="shared" si="3"/>
        <v>2943.9624346527257</v>
      </c>
      <c r="V31" s="190">
        <v>10</v>
      </c>
      <c r="W31" s="651"/>
      <c r="X31" s="651"/>
      <c r="Y31" s="651"/>
      <c r="Z31" s="651" t="s">
        <v>5</v>
      </c>
      <c r="AA31" s="651"/>
      <c r="AB31" s="651"/>
      <c r="AC31" s="651" t="s">
        <v>5</v>
      </c>
      <c r="AD31" s="651"/>
      <c r="AE31" s="651"/>
      <c r="AF31" s="308" t="s">
        <v>5</v>
      </c>
      <c r="AG31" s="651"/>
      <c r="AH31" s="651"/>
      <c r="AI31" s="308" t="str">
        <f>+IF(U31="","",IF(U31&gt;=[9]PARÁMETROS!$D$5,"CUMPLE","NO CUMPLE"))</f>
        <v>CUMPLE</v>
      </c>
      <c r="AJ31" s="160"/>
      <c r="AK31" s="112"/>
    </row>
    <row r="32" spans="1:37" s="79" customFormat="1" ht="57" x14ac:dyDescent="0.25">
      <c r="A32" s="652" t="s">
        <v>672</v>
      </c>
      <c r="B32" s="125" t="s">
        <v>309</v>
      </c>
      <c r="C32" s="408">
        <v>198</v>
      </c>
      <c r="D32" s="127" t="str">
        <f>+IFERROR(INDEX([9]CONSOLIDADO!$D$4:$D$109,MATCH('EXP GEN. 17-24'!B32,[9]CONSOLIDADO!$C$4:$C$109,0)),"")</f>
        <v>INTERVENTORIAS Y DISEÑOS S.A.</v>
      </c>
      <c r="E32" s="277" t="s">
        <v>673</v>
      </c>
      <c r="F32" s="278" t="s">
        <v>674</v>
      </c>
      <c r="G32" s="309" t="s">
        <v>5</v>
      </c>
      <c r="H32" s="309" t="s">
        <v>5</v>
      </c>
      <c r="I32" s="279">
        <v>1</v>
      </c>
      <c r="J32" s="91">
        <v>39934</v>
      </c>
      <c r="K32" s="91">
        <v>40724</v>
      </c>
      <c r="L32" s="71">
        <f t="shared" si="0"/>
        <v>2011</v>
      </c>
      <c r="M32" s="72">
        <f>+IFERROR(INDEX([9]PARÁMETROS!$B$11:$B$37,MATCH(L32,[9]PARÁMETROS!$A$11:$A$37,0)),"")</f>
        <v>535600</v>
      </c>
      <c r="N32" s="92">
        <v>9389034669</v>
      </c>
      <c r="O32" s="93" t="s">
        <v>649</v>
      </c>
      <c r="P32" s="316" t="s">
        <v>54</v>
      </c>
      <c r="Q32" s="75" t="s">
        <v>54</v>
      </c>
      <c r="R32" s="76">
        <v>1</v>
      </c>
      <c r="S32" s="72">
        <f t="shared" si="1"/>
        <v>9389034669</v>
      </c>
      <c r="T32" s="60">
        <f t="shared" si="2"/>
        <v>17529.937768857355</v>
      </c>
      <c r="U32" s="60">
        <f t="shared" si="3"/>
        <v>17529.937768857355</v>
      </c>
      <c r="V32" s="200">
        <v>10</v>
      </c>
      <c r="W32" s="649" t="s">
        <v>5</v>
      </c>
      <c r="X32" s="649"/>
      <c r="Y32" s="649"/>
      <c r="Z32" s="649" t="s">
        <v>5</v>
      </c>
      <c r="AA32" s="649"/>
      <c r="AB32" s="649"/>
      <c r="AC32" s="649" t="s">
        <v>5</v>
      </c>
      <c r="AD32" s="649"/>
      <c r="AE32" s="649"/>
      <c r="AF32" s="309" t="s">
        <v>5</v>
      </c>
      <c r="AG32" s="649" t="str">
        <f>IF(U32="","",IF(SUM(U32:U34)&gt;=[9]PARÁMETROS!$H$5,"CUMPLE","NO CUMPLE"))</f>
        <v>CUMPLE</v>
      </c>
      <c r="AH32" s="649" t="str">
        <f>IF(U32+U33="","",IF(U32+U33&gt;=[9]PARÁMETROS!$F$5,"CUMPLE","NO CUMPLE"))</f>
        <v>CUMPLE</v>
      </c>
      <c r="AI32" s="309" t="str">
        <f>+IF(U32="","",IF(U32&gt;=[9]PARÁMETROS!$D$5,"CUMPLE","NO CUMPLE"))</f>
        <v>CUMPLE</v>
      </c>
      <c r="AJ32" s="142"/>
      <c r="AK32" s="112"/>
    </row>
    <row r="33" spans="1:37" s="79" customFormat="1" ht="42.75" x14ac:dyDescent="0.25">
      <c r="A33" s="653"/>
      <c r="B33" s="316" t="s">
        <v>309</v>
      </c>
      <c r="C33" s="409">
        <v>305</v>
      </c>
      <c r="D33" s="65" t="str">
        <f>+IFERROR(INDEX([9]CONSOLIDADO!$D$4:$D$109,MATCH('EXP GEN. 17-24'!B33,[9]CONSOLIDADO!$C$4:$C$109,0)),"")</f>
        <v>INTERVENTORIAS Y DISEÑOS S.A.</v>
      </c>
      <c r="E33" s="66" t="s">
        <v>675</v>
      </c>
      <c r="F33" s="67" t="s">
        <v>676</v>
      </c>
      <c r="G33" s="310" t="s">
        <v>5</v>
      </c>
      <c r="H33" s="310" t="s">
        <v>5</v>
      </c>
      <c r="I33" s="69">
        <v>0.5</v>
      </c>
      <c r="J33" s="118">
        <v>37411</v>
      </c>
      <c r="K33" s="118">
        <v>38776</v>
      </c>
      <c r="L33" s="168">
        <f t="shared" si="0"/>
        <v>2006</v>
      </c>
      <c r="M33" s="119">
        <f>+IFERROR(INDEX([9]PARÁMETROS!$B$11:$B$37,MATCH(L33,[9]PARÁMETROS!$A$11:$A$37,0)),"")</f>
        <v>408000</v>
      </c>
      <c r="N33" s="120">
        <v>3791186167</v>
      </c>
      <c r="O33" s="265" t="s">
        <v>649</v>
      </c>
      <c r="P33" s="113" t="s">
        <v>54</v>
      </c>
      <c r="Q33" s="121" t="s">
        <v>54</v>
      </c>
      <c r="R33" s="122">
        <v>1</v>
      </c>
      <c r="S33" s="119">
        <f t="shared" si="1"/>
        <v>3791186167</v>
      </c>
      <c r="T33" s="123">
        <f t="shared" si="2"/>
        <v>9292.1229583333334</v>
      </c>
      <c r="U33" s="123">
        <f t="shared" si="3"/>
        <v>4646.0614791666667</v>
      </c>
      <c r="V33" s="201">
        <v>25</v>
      </c>
      <c r="W33" s="650"/>
      <c r="X33" s="650"/>
      <c r="Y33" s="650"/>
      <c r="Z33" s="650" t="s">
        <v>5</v>
      </c>
      <c r="AA33" s="650"/>
      <c r="AB33" s="650"/>
      <c r="AC33" s="650"/>
      <c r="AD33" s="650"/>
      <c r="AE33" s="650"/>
      <c r="AF33" s="310" t="s">
        <v>5</v>
      </c>
      <c r="AG33" s="650"/>
      <c r="AH33" s="650"/>
      <c r="AI33" s="310" t="str">
        <f>+IF(U33="","",IF(U33&gt;=[9]PARÁMETROS!$D$5,"CUMPLE","NO CUMPLE"))</f>
        <v>CUMPLE</v>
      </c>
      <c r="AJ33" s="143"/>
      <c r="AK33" s="112"/>
    </row>
    <row r="34" spans="1:37" s="79" customFormat="1" ht="48" thickBot="1" x14ac:dyDescent="0.3">
      <c r="A34" s="653"/>
      <c r="B34" s="316" t="s">
        <v>310</v>
      </c>
      <c r="C34" s="409">
        <v>341</v>
      </c>
      <c r="D34" s="65" t="str">
        <f>+IFERROR(INDEX([9]CONSOLIDADO!$D$4:$D$109,MATCH('EXP GEN. 17-24'!B34,[9]CONSOLIDADO!$C$4:$C$109,0)),"")</f>
        <v>ESTRUCTURADOR COLOMBIA S.A.S.</v>
      </c>
      <c r="E34" s="66" t="s">
        <v>675</v>
      </c>
      <c r="F34" s="67" t="s">
        <v>677</v>
      </c>
      <c r="G34" s="310" t="s">
        <v>5</v>
      </c>
      <c r="H34" s="310" t="s">
        <v>5</v>
      </c>
      <c r="I34" s="69">
        <v>0.15</v>
      </c>
      <c r="J34" s="70">
        <v>40487</v>
      </c>
      <c r="K34" s="70" t="s">
        <v>678</v>
      </c>
      <c r="L34" s="71">
        <v>2015</v>
      </c>
      <c r="M34" s="72">
        <f>+IFERROR(INDEX([9]PARÁMETROS!$B$11:$B$37,MATCH(L34,[9]PARÁMETROS!$A$11:$A$37,0)),"")</f>
        <v>644350</v>
      </c>
      <c r="N34" s="73">
        <v>25305101612</v>
      </c>
      <c r="O34" s="74" t="s">
        <v>649</v>
      </c>
      <c r="P34" s="316" t="s">
        <v>54</v>
      </c>
      <c r="Q34" s="75" t="s">
        <v>54</v>
      </c>
      <c r="R34" s="76">
        <v>1</v>
      </c>
      <c r="S34" s="72">
        <f t="shared" si="1"/>
        <v>25305101612</v>
      </c>
      <c r="T34" s="60">
        <f t="shared" si="2"/>
        <v>39272.292406300927</v>
      </c>
      <c r="U34" s="60">
        <f t="shared" si="3"/>
        <v>5890.8438609451387</v>
      </c>
      <c r="V34" s="60"/>
      <c r="W34" s="650"/>
      <c r="X34" s="650"/>
      <c r="Y34" s="650"/>
      <c r="Z34" s="650"/>
      <c r="AA34" s="650"/>
      <c r="AB34" s="650"/>
      <c r="AC34" s="650"/>
      <c r="AD34" s="650"/>
      <c r="AE34" s="650"/>
      <c r="AF34" s="310" t="s">
        <v>5</v>
      </c>
      <c r="AG34" s="650"/>
      <c r="AH34" s="650"/>
      <c r="AI34" s="310" t="str">
        <f>+IF(U34="","",IF(U34&gt;=[9]PARÁMETROS!$D$5,"CUMPLE","NO CUMPLE"))</f>
        <v>CUMPLE</v>
      </c>
      <c r="AJ34" s="143"/>
      <c r="AK34" s="112"/>
    </row>
    <row r="35" spans="1:37" s="79" customFormat="1" ht="171" x14ac:dyDescent="0.25">
      <c r="A35" s="652" t="s">
        <v>679</v>
      </c>
      <c r="B35" s="461" t="s">
        <v>311</v>
      </c>
      <c r="C35" s="462">
        <v>95</v>
      </c>
      <c r="D35" s="474" t="str">
        <f>+IFERROR(INDEX([10]CONSOLIDADO!$D$4:$D$109,MATCH('[10]EXP GEN. 17-24'!B35,[10]CONSOLIDADO!$C$4:$C$109,0)),"")</f>
        <v>GRUSAMAR INGENIERIA Y CONSULTING SL SUCURSAL EN COLOMBIA</v>
      </c>
      <c r="E35" s="464" t="s">
        <v>19</v>
      </c>
      <c r="F35" s="459" t="s">
        <v>680</v>
      </c>
      <c r="G35" s="460" t="s">
        <v>5</v>
      </c>
      <c r="H35" s="460" t="s">
        <v>5</v>
      </c>
      <c r="I35" s="465">
        <v>0.35</v>
      </c>
      <c r="J35" s="466">
        <v>41075</v>
      </c>
      <c r="K35" s="466" t="s">
        <v>627</v>
      </c>
      <c r="L35" s="467">
        <v>2015</v>
      </c>
      <c r="M35" s="468">
        <f>+IFERROR(INDEX([10]PARÁMETROS!$B$11:$B$37,MATCH(L35,[10]PARÁMETROS!$A$11:$A$37,0)),"")</f>
        <v>644350</v>
      </c>
      <c r="N35" s="469">
        <v>7418064916</v>
      </c>
      <c r="O35" s="470" t="s">
        <v>649</v>
      </c>
      <c r="P35" s="461" t="s">
        <v>54</v>
      </c>
      <c r="Q35" s="471" t="s">
        <v>54</v>
      </c>
      <c r="R35" s="472">
        <v>1</v>
      </c>
      <c r="S35" s="468">
        <f t="shared" si="1"/>
        <v>7418064916</v>
      </c>
      <c r="T35" s="473">
        <f t="shared" si="2"/>
        <v>11512.477560332118</v>
      </c>
      <c r="U35" s="473">
        <f t="shared" si="3"/>
        <v>4029.3671461162407</v>
      </c>
      <c r="V35" s="139"/>
      <c r="W35" s="649"/>
      <c r="X35" s="649"/>
      <c r="Y35" s="649"/>
      <c r="Z35" s="649"/>
      <c r="AA35" s="649"/>
      <c r="AB35" s="649"/>
      <c r="AC35" s="649"/>
      <c r="AD35" s="649"/>
      <c r="AE35" s="649"/>
      <c r="AF35" s="309" t="s">
        <v>5</v>
      </c>
      <c r="AG35" s="649" t="str">
        <f>IF(U35="","",IF(SUM(U35:U38)&gt;=[9]PARÁMETROS!$H$5,"CUMPLE","NO CUMPLE"))</f>
        <v>CUMPLE</v>
      </c>
      <c r="AH35" s="649" t="str">
        <f>IF(U35+U36+U37="","",IF(U35+U36+U37&gt;=[9]PARÁMETROS!$F$5,"CUMPLE","NO CUMPLE"))</f>
        <v>CUMPLE</v>
      </c>
      <c r="AI35" s="309" t="str">
        <f>+IF(U35="","",IF(U35&gt;=[9]PARÁMETROS!$D$5,"CUMPLE","NO CUMPLE"))</f>
        <v>CUMPLE</v>
      </c>
      <c r="AJ35" s="142"/>
      <c r="AK35" s="112"/>
    </row>
    <row r="36" spans="1:37" s="79" customFormat="1" ht="30" customHeight="1" x14ac:dyDescent="0.25">
      <c r="A36" s="653"/>
      <c r="B36" s="316" t="s">
        <v>311</v>
      </c>
      <c r="C36" s="409">
        <v>141</v>
      </c>
      <c r="D36" s="65" t="str">
        <f>+IFERROR(INDEX([9]CONSOLIDADO!$D$4:$D$109,MATCH('EXP GEN. 17-24'!B36,[9]CONSOLIDADO!$C$4:$C$109,0)),"")</f>
        <v>GRUSAMAR INGENIERIA Y CONSULTING SL SUCURSAL EN COLOMBIA</v>
      </c>
      <c r="E36" s="66" t="s">
        <v>25</v>
      </c>
      <c r="F36" s="67" t="s">
        <v>681</v>
      </c>
      <c r="G36" s="310" t="s">
        <v>5</v>
      </c>
      <c r="H36" s="310" t="s">
        <v>5</v>
      </c>
      <c r="I36" s="69">
        <v>1</v>
      </c>
      <c r="J36" s="70">
        <v>39295</v>
      </c>
      <c r="K36" s="70">
        <v>40209</v>
      </c>
      <c r="L36" s="71">
        <f t="shared" si="0"/>
        <v>2010</v>
      </c>
      <c r="M36" s="72">
        <f>+IFERROR(INDEX([9]PARÁMETROS!$B$11:$B$37,MATCH(L36,[9]PARÁMETROS!$A$11:$A$37,0)),"")</f>
        <v>515000</v>
      </c>
      <c r="N36" s="73">
        <v>1403754.99</v>
      </c>
      <c r="O36" s="74" t="s">
        <v>24</v>
      </c>
      <c r="P36" s="316">
        <v>1.38575</v>
      </c>
      <c r="Q36" s="75">
        <f>+N36*P36</f>
        <v>1945253.4773925</v>
      </c>
      <c r="R36" s="76">
        <v>1982.29</v>
      </c>
      <c r="S36" s="72">
        <f>IF(R36&lt;&gt;"",Q36*R36,"")</f>
        <v>3856056515.7003789</v>
      </c>
      <c r="T36" s="60">
        <f t="shared" si="2"/>
        <v>7487.4883800007356</v>
      </c>
      <c r="U36" s="60">
        <f t="shared" si="3"/>
        <v>7487.4883800007356</v>
      </c>
      <c r="V36" s="201">
        <v>5</v>
      </c>
      <c r="W36" s="650" t="s">
        <v>5</v>
      </c>
      <c r="X36" s="650"/>
      <c r="Y36" s="650"/>
      <c r="Z36" s="650" t="s">
        <v>5</v>
      </c>
      <c r="AA36" s="650"/>
      <c r="AB36" s="650"/>
      <c r="AC36" s="650" t="s">
        <v>5</v>
      </c>
      <c r="AD36" s="650"/>
      <c r="AE36" s="650"/>
      <c r="AF36" s="310" t="s">
        <v>5</v>
      </c>
      <c r="AG36" s="650"/>
      <c r="AH36" s="650"/>
      <c r="AI36" s="310" t="str">
        <f>+IF(U36="","",IF(U36&gt;=[9]PARÁMETROS!$D$5,"CUMPLE","NO CUMPLE"))</f>
        <v>CUMPLE</v>
      </c>
      <c r="AJ36" s="143"/>
      <c r="AK36" s="112"/>
    </row>
    <row r="37" spans="1:37" s="79" customFormat="1" ht="78.75" x14ac:dyDescent="0.25">
      <c r="A37" s="653"/>
      <c r="B37" s="316" t="s">
        <v>311</v>
      </c>
      <c r="C37" s="409">
        <v>146</v>
      </c>
      <c r="D37" s="65" t="str">
        <f>+IFERROR(INDEX([9]CONSOLIDADO!$D$4:$D$109,MATCH('EXP GEN. 17-24'!B37,[9]CONSOLIDADO!$C$4:$C$109,0)),"")</f>
        <v>GRUSAMAR INGENIERIA Y CONSULTING SL SUCURSAL EN COLOMBIA</v>
      </c>
      <c r="E37" s="66" t="s">
        <v>25</v>
      </c>
      <c r="F37" s="67" t="s">
        <v>682</v>
      </c>
      <c r="G37" s="310" t="s">
        <v>5</v>
      </c>
      <c r="H37" s="310" t="s">
        <v>5</v>
      </c>
      <c r="I37" s="69">
        <v>1</v>
      </c>
      <c r="J37" s="70">
        <v>39385</v>
      </c>
      <c r="K37" s="70">
        <v>41182</v>
      </c>
      <c r="L37" s="71">
        <f t="shared" si="0"/>
        <v>2012</v>
      </c>
      <c r="M37" s="72">
        <f>+IFERROR(INDEX([9]PARÁMETROS!$B$11:$B$37,MATCH(L37,[9]PARÁMETROS!$A$11:$A$37,0)),"")</f>
        <v>566700</v>
      </c>
      <c r="N37" s="73">
        <v>1943712.48</v>
      </c>
      <c r="O37" s="74" t="s">
        <v>24</v>
      </c>
      <c r="P37" s="316">
        <v>1.2855399999999999</v>
      </c>
      <c r="Q37" s="75">
        <f>+N37*P37</f>
        <v>2498720.1415391997</v>
      </c>
      <c r="R37" s="76">
        <v>1800.52</v>
      </c>
      <c r="S37" s="72">
        <f>IF(R37&lt;&gt;"",Q37*R37,"")</f>
        <v>4498995589.2441597</v>
      </c>
      <c r="T37" s="60">
        <f t="shared" si="2"/>
        <v>7938.9369847258858</v>
      </c>
      <c r="U37" s="60">
        <f t="shared" si="3"/>
        <v>7938.9369847258858</v>
      </c>
      <c r="V37" s="201">
        <v>20</v>
      </c>
      <c r="W37" s="650" t="s">
        <v>5</v>
      </c>
      <c r="X37" s="650"/>
      <c r="Y37" s="650"/>
      <c r="Z37" s="650" t="s">
        <v>5</v>
      </c>
      <c r="AA37" s="650"/>
      <c r="AB37" s="650"/>
      <c r="AC37" s="650" t="s">
        <v>5</v>
      </c>
      <c r="AD37" s="650"/>
      <c r="AE37" s="650"/>
      <c r="AF37" s="310" t="s">
        <v>5</v>
      </c>
      <c r="AG37" s="650"/>
      <c r="AH37" s="650"/>
      <c r="AI37" s="310" t="str">
        <f>+IF(U37="","",IF(U37&gt;=[9]PARÁMETROS!$D$5,"CUMPLE","NO CUMPLE"))</f>
        <v>CUMPLE</v>
      </c>
      <c r="AJ37" s="143"/>
      <c r="AK37" s="112"/>
    </row>
    <row r="38" spans="1:37" s="79" customFormat="1" ht="57.75" thickBot="1" x14ac:dyDescent="0.3">
      <c r="A38" s="653"/>
      <c r="B38" s="316" t="s">
        <v>313</v>
      </c>
      <c r="C38" s="409">
        <v>152</v>
      </c>
      <c r="D38" s="65" t="str">
        <f>+IFERROR(INDEX([9]CONSOLIDADO!$D$4:$D$109,MATCH('EXP GEN. 17-24'!B38,[9]CONSOLIDADO!$C$4:$C$109,0)),"")</f>
        <v>JUAN AMADO LIZARAZO</v>
      </c>
      <c r="E38" s="66" t="s">
        <v>675</v>
      </c>
      <c r="F38" s="67" t="s">
        <v>683</v>
      </c>
      <c r="G38" s="310" t="s">
        <v>5</v>
      </c>
      <c r="H38" s="310" t="s">
        <v>5</v>
      </c>
      <c r="I38" s="69">
        <v>0.75</v>
      </c>
      <c r="J38" s="70">
        <v>38327</v>
      </c>
      <c r="K38" s="70">
        <v>40668</v>
      </c>
      <c r="L38" s="71">
        <f t="shared" si="0"/>
        <v>2011</v>
      </c>
      <c r="M38" s="72">
        <f>+IFERROR(INDEX([9]PARÁMETROS!$B$11:$B$37,MATCH(L38,[9]PARÁMETROS!$A$11:$A$37,0)),"")</f>
        <v>535600</v>
      </c>
      <c r="N38" s="73">
        <v>6564670351</v>
      </c>
      <c r="O38" s="74" t="s">
        <v>649</v>
      </c>
      <c r="P38" s="316" t="s">
        <v>54</v>
      </c>
      <c r="Q38" s="75" t="s">
        <v>54</v>
      </c>
      <c r="R38" s="76">
        <v>1</v>
      </c>
      <c r="S38" s="72">
        <f t="shared" si="1"/>
        <v>6564670351</v>
      </c>
      <c r="T38" s="60">
        <f t="shared" si="2"/>
        <v>12256.66607729649</v>
      </c>
      <c r="U38" s="60">
        <f t="shared" si="3"/>
        <v>9192.4995579723673</v>
      </c>
      <c r="V38" s="201">
        <v>20</v>
      </c>
      <c r="W38" s="650"/>
      <c r="X38" s="650"/>
      <c r="Y38" s="650"/>
      <c r="Z38" s="650"/>
      <c r="AA38" s="650"/>
      <c r="AB38" s="650"/>
      <c r="AC38" s="650" t="s">
        <v>5</v>
      </c>
      <c r="AD38" s="650"/>
      <c r="AE38" s="650"/>
      <c r="AF38" s="310" t="s">
        <v>5</v>
      </c>
      <c r="AG38" s="650"/>
      <c r="AH38" s="650"/>
      <c r="AI38" s="310" t="str">
        <f>+IF(U38="","",IF(U38&gt;=[9]PARÁMETROS!$D$5,"CUMPLE","NO CUMPLE"))</f>
        <v>CUMPLE</v>
      </c>
      <c r="AJ38" s="143"/>
      <c r="AK38" s="112"/>
    </row>
    <row r="39" spans="1:37" s="79" customFormat="1" ht="30" customHeight="1" x14ac:dyDescent="0.25">
      <c r="A39" s="652"/>
      <c r="B39" s="125"/>
      <c r="C39" s="408"/>
      <c r="D39" s="127" t="str">
        <f>+IFERROR(INDEX([9]CONSOLIDADO!$D$4:$D$109,MATCH('EXP GEN. 17-24'!B39,[9]CONSOLIDADO!$C$4:$C$109,0)),"")</f>
        <v/>
      </c>
      <c r="E39" s="128"/>
      <c r="F39" s="128"/>
      <c r="G39" s="309"/>
      <c r="H39" s="309"/>
      <c r="I39" s="170"/>
      <c r="J39" s="132"/>
      <c r="K39" s="132"/>
      <c r="L39" s="133" t="str">
        <f t="shared" si="0"/>
        <v/>
      </c>
      <c r="M39" s="134" t="str">
        <f>+IFERROR(INDEX([9]PARÁMETROS!$B$11:$B$37,MATCH(L39,[9]PARÁMETROS!$A$11:$A$37,0)),"")</f>
        <v/>
      </c>
      <c r="N39" s="171"/>
      <c r="O39" s="134"/>
      <c r="P39" s="125"/>
      <c r="Q39" s="137"/>
      <c r="R39" s="138"/>
      <c r="S39" s="134" t="str">
        <f t="shared" si="1"/>
        <v/>
      </c>
      <c r="T39" s="139" t="str">
        <f t="shared" si="2"/>
        <v/>
      </c>
      <c r="U39" s="139" t="str">
        <f t="shared" si="3"/>
        <v/>
      </c>
      <c r="V39" s="139"/>
      <c r="W39" s="649"/>
      <c r="X39" s="649"/>
      <c r="Y39" s="649"/>
      <c r="Z39" s="649"/>
      <c r="AA39" s="649"/>
      <c r="AB39" s="649"/>
      <c r="AC39" s="649"/>
      <c r="AD39" s="649"/>
      <c r="AE39" s="649"/>
      <c r="AF39" s="309"/>
      <c r="AG39" s="649" t="str">
        <f>IF(U39="","",IF(SUM(U39:U41)&gt;=[9]PARÁMETROS!$H$5,"CUMPLE","NO CUMPLE"))</f>
        <v/>
      </c>
      <c r="AH39" s="649" t="str">
        <f>IF(U39="","",IF(U39&gt;=[9]PARÁMETROS!$F$5,"CUMPLE","NO CUMPLE"))</f>
        <v/>
      </c>
      <c r="AI39" s="309" t="str">
        <f>+IF(U39="","",IF(U39&gt;=[9]PARÁMETROS!$D$5,"CUMPLE","NO CUMPLE"))</f>
        <v/>
      </c>
      <c r="AJ39" s="142"/>
      <c r="AK39" s="112"/>
    </row>
    <row r="40" spans="1:37" s="79" customFormat="1" ht="30" customHeight="1" x14ac:dyDescent="0.25">
      <c r="A40" s="653"/>
      <c r="B40" s="316"/>
      <c r="C40" s="409"/>
      <c r="D40" s="65" t="str">
        <f>+IFERROR(INDEX([9]CONSOLIDADO!$D$4:$D$109,MATCH('EXP GEN. 17-24'!B40,[9]CONSOLIDADO!$C$4:$C$109,0)),"")</f>
        <v/>
      </c>
      <c r="E40" s="66"/>
      <c r="F40" s="66"/>
      <c r="G40" s="310"/>
      <c r="H40" s="310"/>
      <c r="I40" s="80"/>
      <c r="J40" s="70"/>
      <c r="K40" s="70"/>
      <c r="L40" s="71" t="str">
        <f t="shared" si="0"/>
        <v/>
      </c>
      <c r="M40" s="72" t="str">
        <f>+IFERROR(INDEX([9]PARÁMETROS!$B$11:$B$37,MATCH(L40,[9]PARÁMETROS!$A$11:$A$37,0)),"")</f>
        <v/>
      </c>
      <c r="N40" s="81"/>
      <c r="O40" s="72"/>
      <c r="P40" s="316"/>
      <c r="Q40" s="75"/>
      <c r="R40" s="76"/>
      <c r="S40" s="72" t="str">
        <f t="shared" si="1"/>
        <v/>
      </c>
      <c r="T40" s="60" t="str">
        <f t="shared" si="2"/>
        <v/>
      </c>
      <c r="U40" s="60" t="str">
        <f t="shared" si="3"/>
        <v/>
      </c>
      <c r="V40" s="60"/>
      <c r="W40" s="650"/>
      <c r="X40" s="650"/>
      <c r="Y40" s="650"/>
      <c r="Z40" s="650"/>
      <c r="AA40" s="650"/>
      <c r="AB40" s="650"/>
      <c r="AC40" s="650"/>
      <c r="AD40" s="650"/>
      <c r="AE40" s="650"/>
      <c r="AF40" s="310"/>
      <c r="AG40" s="650"/>
      <c r="AH40" s="650"/>
      <c r="AI40" s="310" t="str">
        <f>+IF(U40="","",IF(U40&gt;=[9]PARÁMETROS!$D$5,"CUMPLE","NO CUMPLE"))</f>
        <v/>
      </c>
      <c r="AJ40" s="143"/>
      <c r="AK40" s="112"/>
    </row>
    <row r="41" spans="1:37" s="79" customFormat="1" ht="30" customHeight="1" x14ac:dyDescent="0.25">
      <c r="A41" s="653"/>
      <c r="B41" s="316"/>
      <c r="C41" s="409"/>
      <c r="D41" s="65" t="str">
        <f>+IFERROR(INDEX([9]CONSOLIDADO!$D$4:$D$109,MATCH('EXP GEN. 17-24'!B41,[9]CONSOLIDADO!$C$4:$C$109,0)),"")</f>
        <v/>
      </c>
      <c r="E41" s="66"/>
      <c r="F41" s="66"/>
      <c r="G41" s="310"/>
      <c r="H41" s="310"/>
      <c r="I41" s="80"/>
      <c r="J41" s="70"/>
      <c r="K41" s="70"/>
      <c r="L41" s="71" t="str">
        <f t="shared" si="0"/>
        <v/>
      </c>
      <c r="M41" s="72" t="str">
        <f>+IFERROR(INDEX([9]PARÁMETROS!$B$11:$B$37,MATCH(L41,[9]PARÁMETROS!$A$11:$A$37,0)),"")</f>
        <v/>
      </c>
      <c r="N41" s="81"/>
      <c r="O41" s="72"/>
      <c r="P41" s="316"/>
      <c r="Q41" s="75"/>
      <c r="R41" s="76"/>
      <c r="S41" s="72" t="str">
        <f t="shared" si="1"/>
        <v/>
      </c>
      <c r="T41" s="60" t="str">
        <f t="shared" si="2"/>
        <v/>
      </c>
      <c r="U41" s="60" t="str">
        <f t="shared" si="3"/>
        <v/>
      </c>
      <c r="V41" s="60"/>
      <c r="W41" s="650"/>
      <c r="X41" s="650"/>
      <c r="Y41" s="650"/>
      <c r="Z41" s="650"/>
      <c r="AA41" s="650"/>
      <c r="AB41" s="650"/>
      <c r="AC41" s="650"/>
      <c r="AD41" s="650"/>
      <c r="AE41" s="650"/>
      <c r="AF41" s="310"/>
      <c r="AG41" s="650"/>
      <c r="AH41" s="650"/>
      <c r="AI41" s="310" t="str">
        <f>+IF(U41="","",IF(U41&gt;=[9]PARÁMETROS!$D$5,"CUMPLE","NO CUMPLE"))</f>
        <v/>
      </c>
      <c r="AJ41" s="143"/>
      <c r="AK41" s="112"/>
    </row>
    <row r="42" spans="1:37" s="79" customFormat="1" ht="30" customHeight="1" x14ac:dyDescent="0.25">
      <c r="A42" s="653"/>
      <c r="B42" s="316"/>
      <c r="C42" s="409"/>
      <c r="D42" s="65" t="str">
        <f>+IFERROR(INDEX([9]CONSOLIDADO!$D$4:$D$109,MATCH('EXP GEN. 17-24'!B42,[9]CONSOLIDADO!$C$4:$C$109,0)),"")</f>
        <v/>
      </c>
      <c r="E42" s="66"/>
      <c r="F42" s="66"/>
      <c r="G42" s="310"/>
      <c r="H42" s="310"/>
      <c r="I42" s="80"/>
      <c r="J42" s="70"/>
      <c r="K42" s="70"/>
      <c r="L42" s="71" t="str">
        <f t="shared" si="0"/>
        <v/>
      </c>
      <c r="M42" s="72" t="str">
        <f>+IFERROR(INDEX([9]PARÁMETROS!$B$11:$B$37,MATCH(L42,[9]PARÁMETROS!$A$11:$A$37,0)),"")</f>
        <v/>
      </c>
      <c r="N42" s="81"/>
      <c r="O42" s="72"/>
      <c r="P42" s="316"/>
      <c r="Q42" s="75"/>
      <c r="R42" s="76"/>
      <c r="S42" s="72" t="str">
        <f t="shared" si="1"/>
        <v/>
      </c>
      <c r="T42" s="60" t="str">
        <f t="shared" si="2"/>
        <v/>
      </c>
      <c r="U42" s="60" t="str">
        <f t="shared" si="3"/>
        <v/>
      </c>
      <c r="V42" s="60"/>
      <c r="W42" s="650"/>
      <c r="X42" s="650"/>
      <c r="Y42" s="650"/>
      <c r="Z42" s="650"/>
      <c r="AA42" s="650"/>
      <c r="AB42" s="650"/>
      <c r="AC42" s="650"/>
      <c r="AD42" s="650"/>
      <c r="AE42" s="650"/>
      <c r="AF42" s="310"/>
      <c r="AG42" s="650"/>
      <c r="AH42" s="650"/>
      <c r="AI42" s="310" t="str">
        <f>+IF(U42="","",IF(U42&gt;=[9]PARÁMETROS!$D$5,"CUMPLE","NO CUMPLE"))</f>
        <v/>
      </c>
      <c r="AJ42" s="143"/>
      <c r="AK42" s="112"/>
    </row>
    <row r="43" spans="1:37" s="79" customFormat="1" ht="30" customHeight="1" x14ac:dyDescent="0.25">
      <c r="A43" s="653"/>
      <c r="B43" s="316"/>
      <c r="C43" s="409"/>
      <c r="D43" s="65" t="str">
        <f>+IFERROR(INDEX([9]CONSOLIDADO!$D$4:$D$109,MATCH('EXP GEN. 17-24'!B43,[9]CONSOLIDADO!$C$4:$C$109,0)),"")</f>
        <v/>
      </c>
      <c r="E43" s="66"/>
      <c r="F43" s="66"/>
      <c r="G43" s="310"/>
      <c r="H43" s="310"/>
      <c r="I43" s="80"/>
      <c r="J43" s="70"/>
      <c r="K43" s="70"/>
      <c r="L43" s="71" t="str">
        <f t="shared" si="0"/>
        <v/>
      </c>
      <c r="M43" s="72" t="str">
        <f>+IFERROR(INDEX([9]PARÁMETROS!$B$11:$B$37,MATCH(L43,[9]PARÁMETROS!$A$11:$A$37,0)),"")</f>
        <v/>
      </c>
      <c r="N43" s="81"/>
      <c r="O43" s="72"/>
      <c r="P43" s="316"/>
      <c r="Q43" s="75"/>
      <c r="R43" s="76"/>
      <c r="S43" s="72" t="str">
        <f t="shared" si="1"/>
        <v/>
      </c>
      <c r="T43" s="60" t="str">
        <f t="shared" si="2"/>
        <v/>
      </c>
      <c r="U43" s="60" t="str">
        <f t="shared" si="3"/>
        <v/>
      </c>
      <c r="V43" s="60"/>
      <c r="W43" s="650"/>
      <c r="X43" s="650"/>
      <c r="Y43" s="650"/>
      <c r="Z43" s="650"/>
      <c r="AA43" s="650"/>
      <c r="AB43" s="650"/>
      <c r="AC43" s="650"/>
      <c r="AD43" s="650"/>
      <c r="AE43" s="650"/>
      <c r="AF43" s="310"/>
      <c r="AG43" s="650"/>
      <c r="AH43" s="650"/>
      <c r="AI43" s="310" t="str">
        <f>+IF(U43="","",IF(U43&gt;=[9]PARÁMETROS!$D$5,"CUMPLE","NO CUMPLE"))</f>
        <v/>
      </c>
      <c r="AJ43" s="143"/>
      <c r="AK43" s="112"/>
    </row>
    <row r="44" spans="1:37" s="79" customFormat="1" ht="30" customHeight="1" thickBot="1" x14ac:dyDescent="0.3">
      <c r="A44" s="654"/>
      <c r="B44" s="145"/>
      <c r="C44" s="411"/>
      <c r="D44" s="146" t="str">
        <f>+IFERROR(INDEX([9]CONSOLIDADO!$D$4:$D$109,MATCH('EXP GEN. 17-24'!B44,[9]CONSOLIDADO!$C$4:$C$109,0)),"")</f>
        <v/>
      </c>
      <c r="E44" s="147"/>
      <c r="F44" s="147"/>
      <c r="G44" s="308"/>
      <c r="H44" s="308"/>
      <c r="I44" s="172"/>
      <c r="J44" s="151"/>
      <c r="K44" s="151"/>
      <c r="L44" s="152" t="str">
        <f t="shared" si="0"/>
        <v/>
      </c>
      <c r="M44" s="153" t="str">
        <f>+IFERROR(INDEX([9]PARÁMETROS!$B$11:$B$37,MATCH(L44,[9]PARÁMETROS!$A$11:$A$37,0)),"")</f>
        <v/>
      </c>
      <c r="N44" s="173"/>
      <c r="O44" s="153"/>
      <c r="P44" s="145"/>
      <c r="Q44" s="156"/>
      <c r="R44" s="157"/>
      <c r="S44" s="153" t="str">
        <f t="shared" si="1"/>
        <v/>
      </c>
      <c r="T44" s="158" t="str">
        <f t="shared" si="2"/>
        <v/>
      </c>
      <c r="U44" s="158" t="str">
        <f t="shared" si="3"/>
        <v/>
      </c>
      <c r="V44" s="158"/>
      <c r="W44" s="651"/>
      <c r="X44" s="651"/>
      <c r="Y44" s="651"/>
      <c r="Z44" s="651"/>
      <c r="AA44" s="651"/>
      <c r="AB44" s="651"/>
      <c r="AC44" s="651"/>
      <c r="AD44" s="651"/>
      <c r="AE44" s="651"/>
      <c r="AF44" s="308"/>
      <c r="AG44" s="651"/>
      <c r="AH44" s="651"/>
      <c r="AI44" s="308" t="str">
        <f>+IF(U44="","",IF(U44&gt;=[9]PARÁMETROS!$D$5,"CUMPLE","NO CUMPLE"))</f>
        <v/>
      </c>
      <c r="AJ44" s="160"/>
      <c r="AK44" s="112"/>
    </row>
    <row r="45" spans="1:37" s="79" customFormat="1" ht="30" customHeight="1" x14ac:dyDescent="0.25">
      <c r="A45" s="652"/>
      <c r="B45" s="125"/>
      <c r="C45" s="408"/>
      <c r="D45" s="127" t="str">
        <f>+IFERROR(INDEX([9]CONSOLIDADO!$D$4:$D$109,MATCH('EXP GEN. 17-24'!B45,[9]CONSOLIDADO!$C$4:$C$109,0)),"")</f>
        <v/>
      </c>
      <c r="E45" s="128"/>
      <c r="F45" s="128"/>
      <c r="G45" s="309"/>
      <c r="H45" s="309"/>
      <c r="I45" s="170"/>
      <c r="J45" s="132"/>
      <c r="K45" s="132"/>
      <c r="L45" s="133" t="str">
        <f t="shared" si="0"/>
        <v/>
      </c>
      <c r="M45" s="134" t="str">
        <f>+IFERROR(INDEX([9]PARÁMETROS!$B$11:$B$37,MATCH(L45,[9]PARÁMETROS!$A$11:$A$37,0)),"")</f>
        <v/>
      </c>
      <c r="N45" s="171"/>
      <c r="O45" s="134"/>
      <c r="P45" s="125"/>
      <c r="Q45" s="137"/>
      <c r="R45" s="138"/>
      <c r="S45" s="134" t="str">
        <f t="shared" si="1"/>
        <v/>
      </c>
      <c r="T45" s="139" t="str">
        <f t="shared" si="2"/>
        <v/>
      </c>
      <c r="U45" s="139" t="str">
        <f t="shared" si="3"/>
        <v/>
      </c>
      <c r="V45" s="139"/>
      <c r="W45" s="649"/>
      <c r="X45" s="649"/>
      <c r="Y45" s="649"/>
      <c r="Z45" s="649"/>
      <c r="AA45" s="649"/>
      <c r="AB45" s="649"/>
      <c r="AC45" s="649"/>
      <c r="AD45" s="649"/>
      <c r="AE45" s="649"/>
      <c r="AF45" s="309"/>
      <c r="AG45" s="649" t="str">
        <f>IF(U45="","",IF(SUM(U45:U47)&gt;=[9]PARÁMETROS!$H$5,"HÁBIL","NO HÁBIL"))</f>
        <v/>
      </c>
      <c r="AH45" s="649" t="str">
        <f>IF(U45="","",IF(U45&gt;=[9]PARÁMETROS!$F$5,"HÁBIL","NO HÁBIL"))</f>
        <v/>
      </c>
      <c r="AI45" s="309" t="str">
        <f>+IF(U45="","",IF(U45&gt;=[9]PARÁMETROS!$D$5,"CUMPLE","NO CUMPLE"))</f>
        <v/>
      </c>
      <c r="AJ45" s="142"/>
      <c r="AK45" s="112"/>
    </row>
    <row r="46" spans="1:37" s="79" customFormat="1" ht="30" customHeight="1" x14ac:dyDescent="0.25">
      <c r="A46" s="653"/>
      <c r="B46" s="316"/>
      <c r="C46" s="409"/>
      <c r="D46" s="65" t="str">
        <f>+IFERROR(INDEX([9]CONSOLIDADO!$D$4:$D$109,MATCH('EXP GEN. 17-24'!B46,[9]CONSOLIDADO!$C$4:$C$109,0)),"")</f>
        <v/>
      </c>
      <c r="E46" s="66"/>
      <c r="F46" s="66"/>
      <c r="G46" s="310"/>
      <c r="H46" s="310"/>
      <c r="I46" s="80"/>
      <c r="J46" s="70"/>
      <c r="K46" s="70"/>
      <c r="L46" s="71" t="str">
        <f t="shared" si="0"/>
        <v/>
      </c>
      <c r="M46" s="72" t="str">
        <f>+IFERROR(INDEX([9]PARÁMETROS!$B$11:$B$37,MATCH(L46,[9]PARÁMETROS!$A$11:$A$37,0)),"")</f>
        <v/>
      </c>
      <c r="N46" s="81"/>
      <c r="O46" s="72"/>
      <c r="P46" s="316"/>
      <c r="Q46" s="75"/>
      <c r="R46" s="76"/>
      <c r="S46" s="72" t="str">
        <f t="shared" si="1"/>
        <v/>
      </c>
      <c r="T46" s="60" t="str">
        <f t="shared" si="2"/>
        <v/>
      </c>
      <c r="U46" s="60" t="str">
        <f t="shared" si="3"/>
        <v/>
      </c>
      <c r="V46" s="60"/>
      <c r="W46" s="650"/>
      <c r="X46" s="650"/>
      <c r="Y46" s="650"/>
      <c r="Z46" s="650"/>
      <c r="AA46" s="650"/>
      <c r="AB46" s="650"/>
      <c r="AC46" s="650"/>
      <c r="AD46" s="650"/>
      <c r="AE46" s="650"/>
      <c r="AF46" s="310"/>
      <c r="AG46" s="650"/>
      <c r="AH46" s="650"/>
      <c r="AI46" s="310" t="str">
        <f>+IF(U46="","",IF(U46&gt;=[9]PARÁMETROS!$D$5,"CUMPLE","NO CUMPLE"))</f>
        <v/>
      </c>
      <c r="AJ46" s="143"/>
      <c r="AK46" s="112"/>
    </row>
    <row r="47" spans="1:37" s="79" customFormat="1" ht="30" customHeight="1" x14ac:dyDescent="0.25">
      <c r="A47" s="653"/>
      <c r="B47" s="316"/>
      <c r="C47" s="409"/>
      <c r="D47" s="65" t="str">
        <f>+IFERROR(INDEX([9]CONSOLIDADO!$D$4:$D$109,MATCH('EXP GEN. 17-24'!B47,[9]CONSOLIDADO!$C$4:$C$109,0)),"")</f>
        <v/>
      </c>
      <c r="E47" s="66"/>
      <c r="F47" s="66"/>
      <c r="G47" s="310"/>
      <c r="H47" s="310"/>
      <c r="I47" s="80"/>
      <c r="J47" s="70"/>
      <c r="K47" s="70"/>
      <c r="L47" s="71" t="str">
        <f t="shared" si="0"/>
        <v/>
      </c>
      <c r="M47" s="72" t="str">
        <f>+IFERROR(INDEX([9]PARÁMETROS!$B$11:$B$37,MATCH(L47,[9]PARÁMETROS!$A$11:$A$37,0)),"")</f>
        <v/>
      </c>
      <c r="N47" s="81"/>
      <c r="O47" s="72"/>
      <c r="P47" s="316"/>
      <c r="Q47" s="75"/>
      <c r="R47" s="76"/>
      <c r="S47" s="72" t="str">
        <f t="shared" si="1"/>
        <v/>
      </c>
      <c r="T47" s="60" t="str">
        <f t="shared" si="2"/>
        <v/>
      </c>
      <c r="U47" s="60" t="str">
        <f t="shared" si="3"/>
        <v/>
      </c>
      <c r="V47" s="60"/>
      <c r="W47" s="650"/>
      <c r="X47" s="650"/>
      <c r="Y47" s="650"/>
      <c r="Z47" s="650"/>
      <c r="AA47" s="650"/>
      <c r="AB47" s="650"/>
      <c r="AC47" s="650"/>
      <c r="AD47" s="650"/>
      <c r="AE47" s="650"/>
      <c r="AF47" s="310"/>
      <c r="AG47" s="650"/>
      <c r="AH47" s="650"/>
      <c r="AI47" s="310" t="str">
        <f>+IF(U47="","",IF(U47&gt;=[9]PARÁMETROS!$D$5,"CUMPLE","NO CUMPLE"))</f>
        <v/>
      </c>
      <c r="AJ47" s="143"/>
      <c r="AK47" s="112"/>
    </row>
    <row r="48" spans="1:37" s="79" customFormat="1" ht="30" customHeight="1" x14ac:dyDescent="0.25">
      <c r="A48" s="653"/>
      <c r="B48" s="316"/>
      <c r="C48" s="409"/>
      <c r="D48" s="65" t="str">
        <f>+IFERROR(INDEX([9]CONSOLIDADO!$D$4:$D$109,MATCH('EXP GEN. 17-24'!B48,[9]CONSOLIDADO!$C$4:$C$109,0)),"")</f>
        <v/>
      </c>
      <c r="E48" s="66"/>
      <c r="F48" s="66"/>
      <c r="G48" s="310"/>
      <c r="H48" s="310"/>
      <c r="I48" s="80"/>
      <c r="J48" s="70"/>
      <c r="K48" s="70"/>
      <c r="L48" s="71" t="str">
        <f t="shared" si="0"/>
        <v/>
      </c>
      <c r="M48" s="72" t="str">
        <f>+IFERROR(INDEX([9]PARÁMETROS!$B$11:$B$37,MATCH(L48,[9]PARÁMETROS!$A$11:$A$37,0)),"")</f>
        <v/>
      </c>
      <c r="N48" s="81"/>
      <c r="O48" s="72"/>
      <c r="P48" s="316"/>
      <c r="Q48" s="75"/>
      <c r="R48" s="76"/>
      <c r="S48" s="72" t="str">
        <f t="shared" si="1"/>
        <v/>
      </c>
      <c r="T48" s="60" t="str">
        <f t="shared" si="2"/>
        <v/>
      </c>
      <c r="U48" s="60" t="str">
        <f t="shared" si="3"/>
        <v/>
      </c>
      <c r="V48" s="60"/>
      <c r="W48" s="650"/>
      <c r="X48" s="650"/>
      <c r="Y48" s="650"/>
      <c r="Z48" s="650"/>
      <c r="AA48" s="650"/>
      <c r="AB48" s="650"/>
      <c r="AC48" s="650"/>
      <c r="AD48" s="650"/>
      <c r="AE48" s="650"/>
      <c r="AF48" s="310"/>
      <c r="AG48" s="650"/>
      <c r="AH48" s="650"/>
      <c r="AI48" s="310" t="str">
        <f>+IF(U48="","",IF(U48&gt;=[9]PARÁMETROS!$D$5,"CUMPLE","NO CUMPLE"))</f>
        <v/>
      </c>
      <c r="AJ48" s="143"/>
      <c r="AK48" s="112"/>
    </row>
    <row r="49" spans="1:37" s="79" customFormat="1" ht="30" customHeight="1" x14ac:dyDescent="0.25">
      <c r="A49" s="653"/>
      <c r="B49" s="316"/>
      <c r="C49" s="409"/>
      <c r="D49" s="65" t="str">
        <f>+IFERROR(INDEX([9]CONSOLIDADO!$D$4:$D$109,MATCH('EXP GEN. 17-24'!B49,[9]CONSOLIDADO!$C$4:$C$109,0)),"")</f>
        <v/>
      </c>
      <c r="E49" s="66"/>
      <c r="F49" s="66"/>
      <c r="G49" s="310"/>
      <c r="H49" s="310"/>
      <c r="I49" s="80"/>
      <c r="J49" s="70"/>
      <c r="K49" s="70"/>
      <c r="L49" s="71" t="str">
        <f t="shared" si="0"/>
        <v/>
      </c>
      <c r="M49" s="72" t="str">
        <f>+IFERROR(INDEX([9]PARÁMETROS!$B$11:$B$37,MATCH(L49,[9]PARÁMETROS!$A$11:$A$37,0)),"")</f>
        <v/>
      </c>
      <c r="N49" s="81"/>
      <c r="O49" s="72"/>
      <c r="P49" s="316"/>
      <c r="Q49" s="75"/>
      <c r="R49" s="76"/>
      <c r="S49" s="72" t="str">
        <f t="shared" si="1"/>
        <v/>
      </c>
      <c r="T49" s="60" t="str">
        <f t="shared" si="2"/>
        <v/>
      </c>
      <c r="U49" s="60" t="str">
        <f t="shared" si="3"/>
        <v/>
      </c>
      <c r="V49" s="60"/>
      <c r="W49" s="650"/>
      <c r="X49" s="650"/>
      <c r="Y49" s="650"/>
      <c r="Z49" s="650"/>
      <c r="AA49" s="650"/>
      <c r="AB49" s="650"/>
      <c r="AC49" s="650"/>
      <c r="AD49" s="650"/>
      <c r="AE49" s="650"/>
      <c r="AF49" s="310"/>
      <c r="AG49" s="650"/>
      <c r="AH49" s="650"/>
      <c r="AI49" s="310" t="str">
        <f>+IF(U49="","",IF(U49&gt;=[9]PARÁMETROS!$D$5,"CUMPLE","NO CUMPLE"))</f>
        <v/>
      </c>
      <c r="AJ49" s="143"/>
      <c r="AK49" s="112"/>
    </row>
    <row r="50" spans="1:37" s="79" customFormat="1" ht="30" customHeight="1" thickBot="1" x14ac:dyDescent="0.3">
      <c r="A50" s="654"/>
      <c r="B50" s="145"/>
      <c r="C50" s="411"/>
      <c r="D50" s="146" t="str">
        <f>+IFERROR(INDEX([9]CONSOLIDADO!$D$4:$D$109,MATCH('EXP GEN. 17-24'!B50,[9]CONSOLIDADO!$C$4:$C$109,0)),"")</f>
        <v/>
      </c>
      <c r="E50" s="147"/>
      <c r="F50" s="147"/>
      <c r="G50" s="308"/>
      <c r="H50" s="308"/>
      <c r="I50" s="172"/>
      <c r="J50" s="151"/>
      <c r="K50" s="151"/>
      <c r="L50" s="152" t="str">
        <f t="shared" si="0"/>
        <v/>
      </c>
      <c r="M50" s="153" t="str">
        <f>+IFERROR(INDEX([9]PARÁMETROS!$B$11:$B$37,MATCH(L50,[9]PARÁMETROS!$A$11:$A$37,0)),"")</f>
        <v/>
      </c>
      <c r="N50" s="173"/>
      <c r="O50" s="153"/>
      <c r="P50" s="145"/>
      <c r="Q50" s="156"/>
      <c r="R50" s="157"/>
      <c r="S50" s="153" t="str">
        <f t="shared" si="1"/>
        <v/>
      </c>
      <c r="T50" s="158" t="str">
        <f t="shared" si="2"/>
        <v/>
      </c>
      <c r="U50" s="158" t="str">
        <f t="shared" si="3"/>
        <v/>
      </c>
      <c r="V50" s="158"/>
      <c r="W50" s="651"/>
      <c r="X50" s="651"/>
      <c r="Y50" s="651"/>
      <c r="Z50" s="651"/>
      <c r="AA50" s="651"/>
      <c r="AB50" s="651"/>
      <c r="AC50" s="651"/>
      <c r="AD50" s="651"/>
      <c r="AE50" s="651"/>
      <c r="AF50" s="308"/>
      <c r="AG50" s="651"/>
      <c r="AH50" s="651"/>
      <c r="AI50" s="308" t="str">
        <f>+IF(U50="","",IF(U50&gt;=[9]PARÁMETROS!$D$5,"CUMPLE","NO CUMPLE"))</f>
        <v/>
      </c>
      <c r="AJ50" s="160"/>
      <c r="AK50" s="112"/>
    </row>
    <row r="51" spans="1:37" s="79" customFormat="1" ht="30" customHeight="1" x14ac:dyDescent="0.25">
      <c r="A51" s="652"/>
      <c r="B51" s="125"/>
      <c r="C51" s="408"/>
      <c r="D51" s="127" t="str">
        <f>+IFERROR(INDEX([9]CONSOLIDADO!$D$4:$D$109,MATCH('EXP GEN. 17-24'!B51,[9]CONSOLIDADO!$C$4:$C$109,0)),"")</f>
        <v/>
      </c>
      <c r="E51" s="128"/>
      <c r="F51" s="128"/>
      <c r="G51" s="309"/>
      <c r="H51" s="309"/>
      <c r="I51" s="170"/>
      <c r="J51" s="132"/>
      <c r="K51" s="132"/>
      <c r="L51" s="133" t="str">
        <f t="shared" si="0"/>
        <v/>
      </c>
      <c r="M51" s="134" t="str">
        <f>+IFERROR(INDEX([9]PARÁMETROS!$B$11:$B$37,MATCH(L51,[9]PARÁMETROS!$A$11:$A$37,0)),"")</f>
        <v/>
      </c>
      <c r="N51" s="171"/>
      <c r="O51" s="134"/>
      <c r="P51" s="125"/>
      <c r="Q51" s="137"/>
      <c r="R51" s="138"/>
      <c r="S51" s="134" t="str">
        <f t="shared" si="1"/>
        <v/>
      </c>
      <c r="T51" s="139" t="str">
        <f t="shared" si="2"/>
        <v/>
      </c>
      <c r="U51" s="139" t="str">
        <f t="shared" si="3"/>
        <v/>
      </c>
      <c r="V51" s="139"/>
      <c r="W51" s="649"/>
      <c r="X51" s="649"/>
      <c r="Y51" s="649"/>
      <c r="Z51" s="649"/>
      <c r="AA51" s="649"/>
      <c r="AB51" s="649"/>
      <c r="AC51" s="649"/>
      <c r="AD51" s="649"/>
      <c r="AE51" s="649"/>
      <c r="AF51" s="309"/>
      <c r="AG51" s="649" t="str">
        <f>IF(U51="","",IF(SUM(U51:U53)&gt;=[9]PARÁMETROS!$H$5,"HÁBIL","NO HÁBIL"))</f>
        <v/>
      </c>
      <c r="AH51" s="649" t="str">
        <f>IF(U51="","",IF(U51&gt;=[9]PARÁMETROS!$F$5,"HÁBIL","NO HÁBIL"))</f>
        <v/>
      </c>
      <c r="AI51" s="309" t="str">
        <f>+IF(U51="","",IF(U51&gt;=[9]PARÁMETROS!$D$5,"CUMPLE","NO CUMPLE"))</f>
        <v/>
      </c>
      <c r="AJ51" s="142"/>
      <c r="AK51" s="112"/>
    </row>
    <row r="52" spans="1:37" s="79" customFormat="1" ht="30" customHeight="1" x14ac:dyDescent="0.25">
      <c r="A52" s="653"/>
      <c r="B52" s="316"/>
      <c r="C52" s="409"/>
      <c r="D52" s="65" t="str">
        <f>+IFERROR(INDEX([9]CONSOLIDADO!$D$4:$D$109,MATCH('EXP GEN. 17-24'!B52,[9]CONSOLIDADO!$C$4:$C$109,0)),"")</f>
        <v/>
      </c>
      <c r="E52" s="66"/>
      <c r="F52" s="66"/>
      <c r="G52" s="310"/>
      <c r="H52" s="310"/>
      <c r="I52" s="80"/>
      <c r="J52" s="70"/>
      <c r="K52" s="70"/>
      <c r="L52" s="71" t="str">
        <f t="shared" si="0"/>
        <v/>
      </c>
      <c r="M52" s="72" t="str">
        <f>+IFERROR(INDEX([9]PARÁMETROS!$B$11:$B$37,MATCH(L52,[9]PARÁMETROS!$A$11:$A$37,0)),"")</f>
        <v/>
      </c>
      <c r="N52" s="81"/>
      <c r="O52" s="72"/>
      <c r="P52" s="316"/>
      <c r="Q52" s="75"/>
      <c r="R52" s="76"/>
      <c r="S52" s="72" t="str">
        <f t="shared" si="1"/>
        <v/>
      </c>
      <c r="T52" s="60" t="str">
        <f t="shared" si="2"/>
        <v/>
      </c>
      <c r="U52" s="60" t="str">
        <f t="shared" si="3"/>
        <v/>
      </c>
      <c r="V52" s="60"/>
      <c r="W52" s="650"/>
      <c r="X52" s="650"/>
      <c r="Y52" s="650"/>
      <c r="Z52" s="650"/>
      <c r="AA52" s="650"/>
      <c r="AB52" s="650"/>
      <c r="AC52" s="650"/>
      <c r="AD52" s="650"/>
      <c r="AE52" s="650"/>
      <c r="AF52" s="310"/>
      <c r="AG52" s="650"/>
      <c r="AH52" s="650"/>
      <c r="AI52" s="310" t="str">
        <f>+IF(U52="","",IF(U52&gt;=[9]PARÁMETROS!$D$5,"CUMPLE","NO CUMPLE"))</f>
        <v/>
      </c>
      <c r="AJ52" s="143"/>
      <c r="AK52" s="112"/>
    </row>
    <row r="53" spans="1:37" s="79" customFormat="1" ht="30" customHeight="1" x14ac:dyDescent="0.25">
      <c r="A53" s="653"/>
      <c r="B53" s="316"/>
      <c r="C53" s="409"/>
      <c r="D53" s="65" t="str">
        <f>+IFERROR(INDEX([9]CONSOLIDADO!$D$4:$D$109,MATCH('EXP GEN. 17-24'!B53,[9]CONSOLIDADO!$C$4:$C$109,0)),"")</f>
        <v/>
      </c>
      <c r="E53" s="66"/>
      <c r="F53" s="66"/>
      <c r="G53" s="310"/>
      <c r="H53" s="310"/>
      <c r="I53" s="80"/>
      <c r="J53" s="70"/>
      <c r="K53" s="70"/>
      <c r="L53" s="71" t="str">
        <f t="shared" si="0"/>
        <v/>
      </c>
      <c r="M53" s="72" t="str">
        <f>+IFERROR(INDEX([9]PARÁMETROS!$B$11:$B$37,MATCH(L53,[9]PARÁMETROS!$A$11:$A$37,0)),"")</f>
        <v/>
      </c>
      <c r="N53" s="81"/>
      <c r="O53" s="72"/>
      <c r="P53" s="316"/>
      <c r="Q53" s="75"/>
      <c r="R53" s="76"/>
      <c r="S53" s="72" t="str">
        <f t="shared" si="1"/>
        <v/>
      </c>
      <c r="T53" s="60" t="str">
        <f t="shared" si="2"/>
        <v/>
      </c>
      <c r="U53" s="60" t="str">
        <f t="shared" si="3"/>
        <v/>
      </c>
      <c r="V53" s="60"/>
      <c r="W53" s="650"/>
      <c r="X53" s="650"/>
      <c r="Y53" s="650"/>
      <c r="Z53" s="650"/>
      <c r="AA53" s="650"/>
      <c r="AB53" s="650"/>
      <c r="AC53" s="650"/>
      <c r="AD53" s="650"/>
      <c r="AE53" s="650"/>
      <c r="AF53" s="310"/>
      <c r="AG53" s="650"/>
      <c r="AH53" s="650"/>
      <c r="AI53" s="310" t="str">
        <f>+IF(U53="","",IF(U53&gt;=[9]PARÁMETROS!$D$5,"CUMPLE","NO CUMPLE"))</f>
        <v/>
      </c>
      <c r="AJ53" s="143"/>
      <c r="AK53" s="112"/>
    </row>
    <row r="54" spans="1:37" s="79" customFormat="1" ht="30" customHeight="1" x14ac:dyDescent="0.25">
      <c r="A54" s="653"/>
      <c r="B54" s="316"/>
      <c r="C54" s="409"/>
      <c r="D54" s="65" t="str">
        <f>+IFERROR(INDEX([9]CONSOLIDADO!$D$4:$D$109,MATCH('EXP GEN. 17-24'!B54,[9]CONSOLIDADO!$C$4:$C$109,0)),"")</f>
        <v/>
      </c>
      <c r="E54" s="66"/>
      <c r="F54" s="66"/>
      <c r="G54" s="310"/>
      <c r="H54" s="310"/>
      <c r="I54" s="80"/>
      <c r="J54" s="70"/>
      <c r="K54" s="70"/>
      <c r="L54" s="71" t="str">
        <f t="shared" si="0"/>
        <v/>
      </c>
      <c r="M54" s="72" t="str">
        <f>+IFERROR(INDEX([9]PARÁMETROS!$B$11:$B$37,MATCH(L54,[9]PARÁMETROS!$A$11:$A$37,0)),"")</f>
        <v/>
      </c>
      <c r="N54" s="81"/>
      <c r="O54" s="72"/>
      <c r="P54" s="316"/>
      <c r="Q54" s="75"/>
      <c r="R54" s="76"/>
      <c r="S54" s="72" t="str">
        <f t="shared" si="1"/>
        <v/>
      </c>
      <c r="T54" s="60" t="str">
        <f t="shared" si="2"/>
        <v/>
      </c>
      <c r="U54" s="60" t="str">
        <f t="shared" si="3"/>
        <v/>
      </c>
      <c r="V54" s="60"/>
      <c r="W54" s="650"/>
      <c r="X54" s="650"/>
      <c r="Y54" s="650"/>
      <c r="Z54" s="650"/>
      <c r="AA54" s="650"/>
      <c r="AB54" s="650"/>
      <c r="AC54" s="650"/>
      <c r="AD54" s="650"/>
      <c r="AE54" s="650"/>
      <c r="AF54" s="310"/>
      <c r="AG54" s="650"/>
      <c r="AH54" s="650"/>
      <c r="AI54" s="310" t="str">
        <f>+IF(U54="","",IF(U54&gt;=[9]PARÁMETROS!$D$5,"CUMPLE","NO CUMPLE"))</f>
        <v/>
      </c>
      <c r="AJ54" s="143"/>
      <c r="AK54" s="112"/>
    </row>
    <row r="55" spans="1:37" s="79" customFormat="1" ht="30" customHeight="1" x14ac:dyDescent="0.25">
      <c r="A55" s="653"/>
      <c r="B55" s="316"/>
      <c r="C55" s="409"/>
      <c r="D55" s="65" t="str">
        <f>+IFERROR(INDEX([9]CONSOLIDADO!$D$4:$D$109,MATCH('EXP GEN. 17-24'!B55,[9]CONSOLIDADO!$C$4:$C$109,0)),"")</f>
        <v/>
      </c>
      <c r="E55" s="66"/>
      <c r="F55" s="66"/>
      <c r="G55" s="310"/>
      <c r="H55" s="310"/>
      <c r="I55" s="80"/>
      <c r="J55" s="70"/>
      <c r="K55" s="70"/>
      <c r="L55" s="71" t="str">
        <f t="shared" si="0"/>
        <v/>
      </c>
      <c r="M55" s="72" t="str">
        <f>+IFERROR(INDEX([9]PARÁMETROS!$B$11:$B$37,MATCH(L55,[9]PARÁMETROS!$A$11:$A$37,0)),"")</f>
        <v/>
      </c>
      <c r="N55" s="81"/>
      <c r="O55" s="72"/>
      <c r="P55" s="316"/>
      <c r="Q55" s="75"/>
      <c r="R55" s="76"/>
      <c r="S55" s="72" t="str">
        <f t="shared" si="1"/>
        <v/>
      </c>
      <c r="T55" s="60" t="str">
        <f t="shared" si="2"/>
        <v/>
      </c>
      <c r="U55" s="60" t="str">
        <f t="shared" si="3"/>
        <v/>
      </c>
      <c r="V55" s="60"/>
      <c r="W55" s="650"/>
      <c r="X55" s="650"/>
      <c r="Y55" s="650"/>
      <c r="Z55" s="650"/>
      <c r="AA55" s="650"/>
      <c r="AB55" s="650"/>
      <c r="AC55" s="650"/>
      <c r="AD55" s="650"/>
      <c r="AE55" s="650"/>
      <c r="AF55" s="310"/>
      <c r="AG55" s="650"/>
      <c r="AH55" s="650"/>
      <c r="AI55" s="310" t="str">
        <f>+IF(U55="","",IF(U55&gt;=[9]PARÁMETROS!$D$5,"CUMPLE","NO CUMPLE"))</f>
        <v/>
      </c>
      <c r="AJ55" s="143"/>
      <c r="AK55" s="112"/>
    </row>
    <row r="56" spans="1:37" s="79" customFormat="1" ht="30" customHeight="1" thickBot="1" x14ac:dyDescent="0.3">
      <c r="A56" s="654"/>
      <c r="B56" s="145"/>
      <c r="C56" s="411"/>
      <c r="D56" s="146" t="str">
        <f>+IFERROR(INDEX([9]CONSOLIDADO!$D$4:$D$109,MATCH('EXP GEN. 17-24'!B56,[9]CONSOLIDADO!$C$4:$C$109,0)),"")</f>
        <v/>
      </c>
      <c r="E56" s="147"/>
      <c r="F56" s="147"/>
      <c r="G56" s="308"/>
      <c r="H56" s="308"/>
      <c r="I56" s="172"/>
      <c r="J56" s="151"/>
      <c r="K56" s="151"/>
      <c r="L56" s="152" t="str">
        <f t="shared" si="0"/>
        <v/>
      </c>
      <c r="M56" s="153" t="str">
        <f>+IFERROR(INDEX([9]PARÁMETROS!$B$11:$B$37,MATCH(L56,[9]PARÁMETROS!$A$11:$A$37,0)),"")</f>
        <v/>
      </c>
      <c r="N56" s="173"/>
      <c r="O56" s="153"/>
      <c r="P56" s="145"/>
      <c r="Q56" s="156"/>
      <c r="R56" s="157"/>
      <c r="S56" s="153" t="str">
        <f t="shared" si="1"/>
        <v/>
      </c>
      <c r="T56" s="158" t="str">
        <f t="shared" si="2"/>
        <v/>
      </c>
      <c r="U56" s="158" t="str">
        <f t="shared" si="3"/>
        <v/>
      </c>
      <c r="V56" s="158"/>
      <c r="W56" s="651"/>
      <c r="X56" s="651"/>
      <c r="Y56" s="651"/>
      <c r="Z56" s="651"/>
      <c r="AA56" s="651"/>
      <c r="AB56" s="651"/>
      <c r="AC56" s="651"/>
      <c r="AD56" s="651"/>
      <c r="AE56" s="651"/>
      <c r="AF56" s="308"/>
      <c r="AG56" s="651"/>
      <c r="AH56" s="651"/>
      <c r="AI56" s="308" t="str">
        <f>+IF(U56="","",IF(U56&gt;=[9]PARÁMETROS!$D$5,"CUMPLE","NO CUMPLE"))</f>
        <v/>
      </c>
      <c r="AJ56" s="160"/>
      <c r="AK56" s="112"/>
    </row>
    <row r="57" spans="1:37" s="79" customFormat="1" ht="30" customHeight="1" x14ac:dyDescent="0.25">
      <c r="A57" s="652"/>
      <c r="B57" s="125"/>
      <c r="C57" s="408"/>
      <c r="D57" s="127" t="str">
        <f>+IFERROR(INDEX([9]CONSOLIDADO!$D$4:$D$109,MATCH('EXP GEN. 17-24'!B57,[9]CONSOLIDADO!$C$4:$C$109,0)),"")</f>
        <v/>
      </c>
      <c r="E57" s="128"/>
      <c r="F57" s="128"/>
      <c r="G57" s="309"/>
      <c r="H57" s="309"/>
      <c r="I57" s="170"/>
      <c r="J57" s="132"/>
      <c r="K57" s="132"/>
      <c r="L57" s="133" t="str">
        <f t="shared" si="0"/>
        <v/>
      </c>
      <c r="M57" s="134" t="str">
        <f>+IFERROR(INDEX([9]PARÁMETROS!$B$11:$B$37,MATCH(L57,[9]PARÁMETROS!$A$11:$A$37,0)),"")</f>
        <v/>
      </c>
      <c r="N57" s="171"/>
      <c r="O57" s="134"/>
      <c r="P57" s="125"/>
      <c r="Q57" s="137"/>
      <c r="R57" s="138"/>
      <c r="S57" s="134" t="str">
        <f t="shared" si="1"/>
        <v/>
      </c>
      <c r="T57" s="139" t="str">
        <f t="shared" si="2"/>
        <v/>
      </c>
      <c r="U57" s="139" t="str">
        <f t="shared" si="3"/>
        <v/>
      </c>
      <c r="V57" s="139"/>
      <c r="W57" s="649"/>
      <c r="X57" s="649"/>
      <c r="Y57" s="649"/>
      <c r="Z57" s="649"/>
      <c r="AA57" s="649"/>
      <c r="AB57" s="649"/>
      <c r="AC57" s="649"/>
      <c r="AD57" s="649"/>
      <c r="AE57" s="649"/>
      <c r="AF57" s="309"/>
      <c r="AG57" s="649" t="str">
        <f>IF(U57="","",IF(SUM(U57:U59)&gt;=[9]PARÁMETROS!$H$5,"HÁBIL","NO HÁBIL"))</f>
        <v/>
      </c>
      <c r="AH57" s="649" t="str">
        <f>IF(U57="","",IF(U57&gt;=[9]PARÁMETROS!$F$5,"HÁBIL","NO HÁBIL"))</f>
        <v/>
      </c>
      <c r="AI57" s="309" t="str">
        <f>+IF(U57="","",IF(U57&gt;=[9]PARÁMETROS!$D$5,"CUMPLE","NO CUMPLE"))</f>
        <v/>
      </c>
      <c r="AJ57" s="142"/>
      <c r="AK57" s="112"/>
    </row>
    <row r="58" spans="1:37" s="79" customFormat="1" ht="30" customHeight="1" x14ac:dyDescent="0.25">
      <c r="A58" s="653"/>
      <c r="B58" s="316"/>
      <c r="C58" s="409"/>
      <c r="D58" s="65" t="str">
        <f>+IFERROR(INDEX([9]CONSOLIDADO!$D$4:$D$109,MATCH('EXP GEN. 17-24'!B58,[9]CONSOLIDADO!$C$4:$C$109,0)),"")</f>
        <v/>
      </c>
      <c r="E58" s="66"/>
      <c r="F58" s="66"/>
      <c r="G58" s="310"/>
      <c r="H58" s="310"/>
      <c r="I58" s="80"/>
      <c r="J58" s="70"/>
      <c r="K58" s="70"/>
      <c r="L58" s="71" t="str">
        <f t="shared" si="0"/>
        <v/>
      </c>
      <c r="M58" s="72" t="str">
        <f>+IFERROR(INDEX([9]PARÁMETROS!$B$11:$B$37,MATCH(L58,[9]PARÁMETROS!$A$11:$A$37,0)),"")</f>
        <v/>
      </c>
      <c r="N58" s="81"/>
      <c r="O58" s="72"/>
      <c r="P58" s="316"/>
      <c r="Q58" s="75"/>
      <c r="R58" s="76"/>
      <c r="S58" s="72" t="str">
        <f t="shared" si="1"/>
        <v/>
      </c>
      <c r="T58" s="60" t="str">
        <f t="shared" si="2"/>
        <v/>
      </c>
      <c r="U58" s="60" t="str">
        <f t="shared" si="3"/>
        <v/>
      </c>
      <c r="V58" s="60"/>
      <c r="W58" s="650"/>
      <c r="X58" s="650"/>
      <c r="Y58" s="650"/>
      <c r="Z58" s="650"/>
      <c r="AA58" s="650"/>
      <c r="AB58" s="650"/>
      <c r="AC58" s="650"/>
      <c r="AD58" s="650"/>
      <c r="AE58" s="650"/>
      <c r="AF58" s="310"/>
      <c r="AG58" s="650"/>
      <c r="AH58" s="650"/>
      <c r="AI58" s="310" t="str">
        <f>+IF(U58="","",IF(U58&gt;=[9]PARÁMETROS!$D$5,"CUMPLE","NO CUMPLE"))</f>
        <v/>
      </c>
      <c r="AJ58" s="143"/>
      <c r="AK58" s="112"/>
    </row>
    <row r="59" spans="1:37" s="79" customFormat="1" ht="30" customHeight="1" x14ac:dyDescent="0.25">
      <c r="A59" s="653"/>
      <c r="B59" s="316"/>
      <c r="C59" s="409"/>
      <c r="D59" s="65" t="str">
        <f>+IFERROR(INDEX([9]CONSOLIDADO!$D$4:$D$109,MATCH('EXP GEN. 17-24'!B59,[9]CONSOLIDADO!$C$4:$C$109,0)),"")</f>
        <v/>
      </c>
      <c r="E59" s="66"/>
      <c r="F59" s="66"/>
      <c r="G59" s="310"/>
      <c r="H59" s="310"/>
      <c r="I59" s="80"/>
      <c r="J59" s="70"/>
      <c r="K59" s="70"/>
      <c r="L59" s="71" t="str">
        <f t="shared" si="0"/>
        <v/>
      </c>
      <c r="M59" s="72" t="str">
        <f>+IFERROR(INDEX([9]PARÁMETROS!$B$11:$B$37,MATCH(L59,[9]PARÁMETROS!$A$11:$A$37,0)),"")</f>
        <v/>
      </c>
      <c r="N59" s="81"/>
      <c r="O59" s="72"/>
      <c r="P59" s="316"/>
      <c r="Q59" s="75"/>
      <c r="R59" s="76"/>
      <c r="S59" s="72" t="str">
        <f t="shared" si="1"/>
        <v/>
      </c>
      <c r="T59" s="60" t="str">
        <f t="shared" si="2"/>
        <v/>
      </c>
      <c r="U59" s="60" t="str">
        <f t="shared" si="3"/>
        <v/>
      </c>
      <c r="V59" s="60"/>
      <c r="W59" s="650"/>
      <c r="X59" s="650"/>
      <c r="Y59" s="650"/>
      <c r="Z59" s="650"/>
      <c r="AA59" s="650"/>
      <c r="AB59" s="650"/>
      <c r="AC59" s="650"/>
      <c r="AD59" s="650"/>
      <c r="AE59" s="650"/>
      <c r="AF59" s="310"/>
      <c r="AG59" s="650"/>
      <c r="AH59" s="650"/>
      <c r="AI59" s="310" t="str">
        <f>+IF(U59="","",IF(U59&gt;=[9]PARÁMETROS!$D$5,"CUMPLE","NO CUMPLE"))</f>
        <v/>
      </c>
      <c r="AJ59" s="143"/>
      <c r="AK59" s="112"/>
    </row>
    <row r="60" spans="1:37" s="79" customFormat="1" ht="30" customHeight="1" x14ac:dyDescent="0.25">
      <c r="A60" s="653"/>
      <c r="B60" s="316"/>
      <c r="C60" s="409"/>
      <c r="D60" s="65" t="str">
        <f>+IFERROR(INDEX([9]CONSOLIDADO!$D$4:$D$109,MATCH('EXP GEN. 17-24'!B60,[9]CONSOLIDADO!$C$4:$C$109,0)),"")</f>
        <v/>
      </c>
      <c r="E60" s="66"/>
      <c r="F60" s="66"/>
      <c r="G60" s="310"/>
      <c r="H60" s="310"/>
      <c r="I60" s="80"/>
      <c r="J60" s="70"/>
      <c r="K60" s="70"/>
      <c r="L60" s="71" t="str">
        <f t="shared" si="0"/>
        <v/>
      </c>
      <c r="M60" s="72" t="str">
        <f>+IFERROR(INDEX([9]PARÁMETROS!$B$11:$B$37,MATCH(L60,[9]PARÁMETROS!$A$11:$A$37,0)),"")</f>
        <v/>
      </c>
      <c r="N60" s="81"/>
      <c r="O60" s="72"/>
      <c r="P60" s="316"/>
      <c r="Q60" s="75"/>
      <c r="R60" s="76"/>
      <c r="S60" s="72" t="str">
        <f t="shared" si="1"/>
        <v/>
      </c>
      <c r="T60" s="60" t="str">
        <f t="shared" si="2"/>
        <v/>
      </c>
      <c r="U60" s="60" t="str">
        <f t="shared" si="3"/>
        <v/>
      </c>
      <c r="V60" s="60"/>
      <c r="W60" s="650"/>
      <c r="X60" s="650"/>
      <c r="Y60" s="650"/>
      <c r="Z60" s="650"/>
      <c r="AA60" s="650"/>
      <c r="AB60" s="650"/>
      <c r="AC60" s="650"/>
      <c r="AD60" s="650"/>
      <c r="AE60" s="650"/>
      <c r="AF60" s="310"/>
      <c r="AG60" s="650"/>
      <c r="AH60" s="650"/>
      <c r="AI60" s="310" t="str">
        <f>+IF(U60="","",IF(U60&gt;=[9]PARÁMETROS!$D$5,"CUMPLE","NO CUMPLE"))</f>
        <v/>
      </c>
      <c r="AJ60" s="143"/>
      <c r="AK60" s="112"/>
    </row>
    <row r="61" spans="1:37" s="79" customFormat="1" ht="30" customHeight="1" x14ac:dyDescent="0.25">
      <c r="A61" s="653"/>
      <c r="B61" s="316"/>
      <c r="C61" s="409"/>
      <c r="D61" s="65" t="str">
        <f>+IFERROR(INDEX([9]CONSOLIDADO!$D$4:$D$109,MATCH('EXP GEN. 17-24'!B61,[9]CONSOLIDADO!$C$4:$C$109,0)),"")</f>
        <v/>
      </c>
      <c r="E61" s="66"/>
      <c r="F61" s="66"/>
      <c r="G61" s="310"/>
      <c r="H61" s="310"/>
      <c r="I61" s="80"/>
      <c r="J61" s="70"/>
      <c r="K61" s="70"/>
      <c r="L61" s="71" t="str">
        <f t="shared" si="0"/>
        <v/>
      </c>
      <c r="M61" s="72" t="str">
        <f>+IFERROR(INDEX([9]PARÁMETROS!$B$11:$B$37,MATCH(L61,[9]PARÁMETROS!$A$11:$A$37,0)),"")</f>
        <v/>
      </c>
      <c r="N61" s="81"/>
      <c r="O61" s="72"/>
      <c r="P61" s="316"/>
      <c r="Q61" s="75"/>
      <c r="R61" s="76"/>
      <c r="S61" s="72" t="str">
        <f t="shared" si="1"/>
        <v/>
      </c>
      <c r="T61" s="60" t="str">
        <f t="shared" si="2"/>
        <v/>
      </c>
      <c r="U61" s="60" t="str">
        <f t="shared" si="3"/>
        <v/>
      </c>
      <c r="V61" s="60"/>
      <c r="W61" s="650"/>
      <c r="X61" s="650"/>
      <c r="Y61" s="650"/>
      <c r="Z61" s="650"/>
      <c r="AA61" s="650"/>
      <c r="AB61" s="650"/>
      <c r="AC61" s="650"/>
      <c r="AD61" s="650"/>
      <c r="AE61" s="650"/>
      <c r="AF61" s="310"/>
      <c r="AG61" s="650"/>
      <c r="AH61" s="650"/>
      <c r="AI61" s="310" t="str">
        <f>+IF(U61="","",IF(U61&gt;=[9]PARÁMETROS!$D$5,"CUMPLE","NO CUMPLE"))</f>
        <v/>
      </c>
      <c r="AJ61" s="143"/>
      <c r="AK61" s="112"/>
    </row>
    <row r="62" spans="1:37" s="79" customFormat="1" ht="30" customHeight="1" thickBot="1" x14ac:dyDescent="0.3">
      <c r="A62" s="654"/>
      <c r="B62" s="145"/>
      <c r="C62" s="411"/>
      <c r="D62" s="146" t="str">
        <f>+IFERROR(INDEX([9]CONSOLIDADO!$D$4:$D$109,MATCH('EXP GEN. 17-24'!B62,[9]CONSOLIDADO!$C$4:$C$109,0)),"")</f>
        <v/>
      </c>
      <c r="E62" s="147"/>
      <c r="F62" s="147"/>
      <c r="G62" s="308"/>
      <c r="H62" s="308"/>
      <c r="I62" s="172"/>
      <c r="J62" s="151"/>
      <c r="K62" s="151"/>
      <c r="L62" s="152" t="str">
        <f t="shared" si="0"/>
        <v/>
      </c>
      <c r="M62" s="153" t="str">
        <f>+IFERROR(INDEX([9]PARÁMETROS!$B$11:$B$37,MATCH(L62,[9]PARÁMETROS!$A$11:$A$37,0)),"")</f>
        <v/>
      </c>
      <c r="N62" s="173"/>
      <c r="O62" s="153"/>
      <c r="P62" s="145"/>
      <c r="Q62" s="156"/>
      <c r="R62" s="157"/>
      <c r="S62" s="153" t="str">
        <f t="shared" si="1"/>
        <v/>
      </c>
      <c r="T62" s="158" t="str">
        <f t="shared" si="2"/>
        <v/>
      </c>
      <c r="U62" s="158" t="str">
        <f t="shared" si="3"/>
        <v/>
      </c>
      <c r="V62" s="158"/>
      <c r="W62" s="651"/>
      <c r="X62" s="651"/>
      <c r="Y62" s="651"/>
      <c r="Z62" s="651"/>
      <c r="AA62" s="651"/>
      <c r="AB62" s="651"/>
      <c r="AC62" s="651"/>
      <c r="AD62" s="651"/>
      <c r="AE62" s="651"/>
      <c r="AF62" s="308"/>
      <c r="AG62" s="651"/>
      <c r="AH62" s="651"/>
      <c r="AI62" s="308" t="str">
        <f>+IF(U62="","",IF(U62&gt;=[9]PARÁMETROS!$D$5,"CUMPLE","NO CUMPLE"))</f>
        <v/>
      </c>
      <c r="AJ62" s="160"/>
      <c r="AK62" s="112"/>
    </row>
    <row r="63" spans="1:37" s="79" customFormat="1" ht="30" customHeight="1" x14ac:dyDescent="0.25">
      <c r="A63" s="652"/>
      <c r="B63" s="125"/>
      <c r="C63" s="408"/>
      <c r="D63" s="127" t="str">
        <f>+IFERROR(INDEX([9]CONSOLIDADO!$D$4:$D$109,MATCH('EXP GEN. 17-24'!B63,[9]CONSOLIDADO!$C$4:$C$109,0)),"")</f>
        <v/>
      </c>
      <c r="E63" s="128"/>
      <c r="F63" s="128"/>
      <c r="G63" s="309"/>
      <c r="H63" s="309"/>
      <c r="I63" s="170"/>
      <c r="J63" s="132"/>
      <c r="K63" s="132"/>
      <c r="L63" s="133" t="str">
        <f t="shared" si="0"/>
        <v/>
      </c>
      <c r="M63" s="134" t="str">
        <f>+IFERROR(INDEX([9]PARÁMETROS!$B$11:$B$37,MATCH(L63,[9]PARÁMETROS!$A$11:$A$37,0)),"")</f>
        <v/>
      </c>
      <c r="N63" s="171"/>
      <c r="O63" s="134"/>
      <c r="P63" s="125"/>
      <c r="Q63" s="137"/>
      <c r="R63" s="138"/>
      <c r="S63" s="134" t="str">
        <f t="shared" si="1"/>
        <v/>
      </c>
      <c r="T63" s="139" t="str">
        <f t="shared" si="2"/>
        <v/>
      </c>
      <c r="U63" s="139" t="str">
        <f t="shared" si="3"/>
        <v/>
      </c>
      <c r="V63" s="139"/>
      <c r="W63" s="649"/>
      <c r="X63" s="649"/>
      <c r="Y63" s="649"/>
      <c r="Z63" s="649"/>
      <c r="AA63" s="649"/>
      <c r="AB63" s="649"/>
      <c r="AC63" s="649"/>
      <c r="AD63" s="649"/>
      <c r="AE63" s="649"/>
      <c r="AF63" s="309"/>
      <c r="AG63" s="649" t="str">
        <f>IF(U63="","",IF(SUM(U63:U65)&gt;=[9]PARÁMETROS!$H$5,"HÁBIL","NO HÁBIL"))</f>
        <v/>
      </c>
      <c r="AH63" s="649" t="str">
        <f>IF(U63="","",IF(U63&gt;=[9]PARÁMETROS!$F$5,"HÁBIL","NO HÁBIL"))</f>
        <v/>
      </c>
      <c r="AI63" s="309" t="str">
        <f>+IF(U63="","",IF(U63&gt;=[9]PARÁMETROS!$D$5,"CUMPLE","NO CUMPLE"))</f>
        <v/>
      </c>
      <c r="AJ63" s="142"/>
      <c r="AK63" s="112"/>
    </row>
    <row r="64" spans="1:37" s="79" customFormat="1" ht="30" customHeight="1" x14ac:dyDescent="0.25">
      <c r="A64" s="653"/>
      <c r="B64" s="316"/>
      <c r="C64" s="409"/>
      <c r="D64" s="65" t="str">
        <f>+IFERROR(INDEX([9]CONSOLIDADO!$D$4:$D$109,MATCH('EXP GEN. 17-24'!B64,[9]CONSOLIDADO!$C$4:$C$109,0)),"")</f>
        <v/>
      </c>
      <c r="E64" s="66"/>
      <c r="F64" s="66"/>
      <c r="G64" s="310"/>
      <c r="H64" s="310"/>
      <c r="I64" s="80"/>
      <c r="J64" s="70"/>
      <c r="K64" s="70"/>
      <c r="L64" s="71" t="str">
        <f t="shared" si="0"/>
        <v/>
      </c>
      <c r="M64" s="72" t="str">
        <f>+IFERROR(INDEX([9]PARÁMETROS!$B$11:$B$37,MATCH(L64,[9]PARÁMETROS!$A$11:$A$37,0)),"")</f>
        <v/>
      </c>
      <c r="N64" s="81"/>
      <c r="O64" s="72"/>
      <c r="P64" s="316"/>
      <c r="Q64" s="75"/>
      <c r="R64" s="76"/>
      <c r="S64" s="72" t="str">
        <f t="shared" si="1"/>
        <v/>
      </c>
      <c r="T64" s="60" t="str">
        <f t="shared" si="2"/>
        <v/>
      </c>
      <c r="U64" s="60" t="str">
        <f t="shared" si="3"/>
        <v/>
      </c>
      <c r="V64" s="60"/>
      <c r="W64" s="650"/>
      <c r="X64" s="650"/>
      <c r="Y64" s="650"/>
      <c r="Z64" s="650"/>
      <c r="AA64" s="650"/>
      <c r="AB64" s="650"/>
      <c r="AC64" s="650"/>
      <c r="AD64" s="650"/>
      <c r="AE64" s="650"/>
      <c r="AF64" s="310"/>
      <c r="AG64" s="650"/>
      <c r="AH64" s="650"/>
      <c r="AI64" s="310" t="str">
        <f>+IF(U64="","",IF(U64&gt;=[9]PARÁMETROS!$D$5,"CUMPLE","NO CUMPLE"))</f>
        <v/>
      </c>
      <c r="AJ64" s="143"/>
      <c r="AK64" s="112"/>
    </row>
    <row r="65" spans="1:37" s="79" customFormat="1" ht="30" customHeight="1" x14ac:dyDescent="0.25">
      <c r="A65" s="653"/>
      <c r="B65" s="316"/>
      <c r="C65" s="409"/>
      <c r="D65" s="65" t="str">
        <f>+IFERROR(INDEX([9]CONSOLIDADO!$D$4:$D$109,MATCH('EXP GEN. 17-24'!B65,[9]CONSOLIDADO!$C$4:$C$109,0)),"")</f>
        <v/>
      </c>
      <c r="E65" s="66"/>
      <c r="F65" s="66"/>
      <c r="G65" s="310"/>
      <c r="H65" s="310"/>
      <c r="I65" s="80"/>
      <c r="J65" s="70"/>
      <c r="K65" s="70"/>
      <c r="L65" s="71" t="str">
        <f t="shared" si="0"/>
        <v/>
      </c>
      <c r="M65" s="72" t="str">
        <f>+IFERROR(INDEX([9]PARÁMETROS!$B$11:$B$37,MATCH(L65,[9]PARÁMETROS!$A$11:$A$37,0)),"")</f>
        <v/>
      </c>
      <c r="N65" s="81"/>
      <c r="O65" s="72"/>
      <c r="P65" s="316"/>
      <c r="Q65" s="75"/>
      <c r="R65" s="76"/>
      <c r="S65" s="72" t="str">
        <f t="shared" si="1"/>
        <v/>
      </c>
      <c r="T65" s="60" t="str">
        <f t="shared" si="2"/>
        <v/>
      </c>
      <c r="U65" s="60" t="str">
        <f t="shared" si="3"/>
        <v/>
      </c>
      <c r="V65" s="60"/>
      <c r="W65" s="650"/>
      <c r="X65" s="650"/>
      <c r="Y65" s="650"/>
      <c r="Z65" s="650"/>
      <c r="AA65" s="650"/>
      <c r="AB65" s="650"/>
      <c r="AC65" s="650"/>
      <c r="AD65" s="650"/>
      <c r="AE65" s="650"/>
      <c r="AF65" s="310"/>
      <c r="AG65" s="650"/>
      <c r="AH65" s="650"/>
      <c r="AI65" s="310" t="str">
        <f>+IF(U65="","",IF(U65&gt;=[9]PARÁMETROS!$D$5,"CUMPLE","NO CUMPLE"))</f>
        <v/>
      </c>
      <c r="AJ65" s="143"/>
      <c r="AK65" s="112"/>
    </row>
    <row r="66" spans="1:37" s="79" customFormat="1" ht="30" customHeight="1" x14ac:dyDescent="0.25">
      <c r="A66" s="653"/>
      <c r="B66" s="316"/>
      <c r="C66" s="409"/>
      <c r="D66" s="65" t="str">
        <f>+IFERROR(INDEX([9]CONSOLIDADO!$D$4:$D$109,MATCH('EXP GEN. 17-24'!B66,[9]CONSOLIDADO!$C$4:$C$109,0)),"")</f>
        <v/>
      </c>
      <c r="E66" s="66"/>
      <c r="F66" s="66"/>
      <c r="G66" s="310"/>
      <c r="H66" s="310"/>
      <c r="I66" s="80"/>
      <c r="J66" s="70"/>
      <c r="K66" s="70"/>
      <c r="L66" s="71" t="str">
        <f t="shared" si="0"/>
        <v/>
      </c>
      <c r="M66" s="72" t="str">
        <f>+IFERROR(INDEX([9]PARÁMETROS!$B$11:$B$37,MATCH(L66,[9]PARÁMETROS!$A$11:$A$37,0)),"")</f>
        <v/>
      </c>
      <c r="N66" s="81"/>
      <c r="O66" s="72"/>
      <c r="P66" s="316"/>
      <c r="Q66" s="75"/>
      <c r="R66" s="76"/>
      <c r="S66" s="72" t="str">
        <f t="shared" si="1"/>
        <v/>
      </c>
      <c r="T66" s="60" t="str">
        <f t="shared" si="2"/>
        <v/>
      </c>
      <c r="U66" s="60" t="str">
        <f t="shared" si="3"/>
        <v/>
      </c>
      <c r="V66" s="60"/>
      <c r="W66" s="650"/>
      <c r="X66" s="650"/>
      <c r="Y66" s="650"/>
      <c r="Z66" s="650"/>
      <c r="AA66" s="650"/>
      <c r="AB66" s="650"/>
      <c r="AC66" s="650"/>
      <c r="AD66" s="650"/>
      <c r="AE66" s="650"/>
      <c r="AF66" s="310"/>
      <c r="AG66" s="650"/>
      <c r="AH66" s="650"/>
      <c r="AI66" s="310" t="str">
        <f>+IF(U66="","",IF(U66&gt;=[9]PARÁMETROS!$D$5,"CUMPLE","NO CUMPLE"))</f>
        <v/>
      </c>
      <c r="AJ66" s="143"/>
      <c r="AK66" s="112"/>
    </row>
    <row r="67" spans="1:37" s="79" customFormat="1" ht="30" customHeight="1" x14ac:dyDescent="0.25">
      <c r="A67" s="653"/>
      <c r="B67" s="316"/>
      <c r="C67" s="409"/>
      <c r="D67" s="65" t="str">
        <f>+IFERROR(INDEX([9]CONSOLIDADO!$D$4:$D$109,MATCH('EXP GEN. 17-24'!B67,[9]CONSOLIDADO!$C$4:$C$109,0)),"")</f>
        <v/>
      </c>
      <c r="E67" s="66"/>
      <c r="F67" s="66"/>
      <c r="G67" s="310"/>
      <c r="H67" s="310"/>
      <c r="I67" s="80"/>
      <c r="J67" s="70"/>
      <c r="K67" s="70"/>
      <c r="L67" s="71" t="str">
        <f t="shared" si="0"/>
        <v/>
      </c>
      <c r="M67" s="72" t="str">
        <f>+IFERROR(INDEX([9]PARÁMETROS!$B$11:$B$37,MATCH(L67,[9]PARÁMETROS!$A$11:$A$37,0)),"")</f>
        <v/>
      </c>
      <c r="N67" s="81"/>
      <c r="O67" s="72"/>
      <c r="P67" s="316"/>
      <c r="Q67" s="75"/>
      <c r="R67" s="76"/>
      <c r="S67" s="72" t="str">
        <f t="shared" si="1"/>
        <v/>
      </c>
      <c r="T67" s="60" t="str">
        <f t="shared" si="2"/>
        <v/>
      </c>
      <c r="U67" s="60" t="str">
        <f t="shared" si="3"/>
        <v/>
      </c>
      <c r="V67" s="60"/>
      <c r="W67" s="650"/>
      <c r="X67" s="650"/>
      <c r="Y67" s="650"/>
      <c r="Z67" s="650"/>
      <c r="AA67" s="650"/>
      <c r="AB67" s="650"/>
      <c r="AC67" s="650"/>
      <c r="AD67" s="650"/>
      <c r="AE67" s="650"/>
      <c r="AF67" s="310"/>
      <c r="AG67" s="650"/>
      <c r="AH67" s="650"/>
      <c r="AI67" s="310" t="str">
        <f>+IF(U67="","",IF(U67&gt;=[9]PARÁMETROS!$D$5,"CUMPLE","NO CUMPLE"))</f>
        <v/>
      </c>
      <c r="AJ67" s="143"/>
      <c r="AK67" s="112"/>
    </row>
    <row r="68" spans="1:37" s="79" customFormat="1" ht="30" customHeight="1" thickBot="1" x14ac:dyDescent="0.3">
      <c r="A68" s="654"/>
      <c r="B68" s="145"/>
      <c r="C68" s="411"/>
      <c r="D68" s="146" t="str">
        <f>+IFERROR(INDEX([9]CONSOLIDADO!$D$4:$D$109,MATCH('EXP GEN. 17-24'!B68,[9]CONSOLIDADO!$C$4:$C$109,0)),"")</f>
        <v/>
      </c>
      <c r="E68" s="147"/>
      <c r="F68" s="147"/>
      <c r="G68" s="308"/>
      <c r="H68" s="308"/>
      <c r="I68" s="172"/>
      <c r="J68" s="151"/>
      <c r="K68" s="151"/>
      <c r="L68" s="152" t="str">
        <f>IF(K68="","",YEAR(K68))</f>
        <v/>
      </c>
      <c r="M68" s="153" t="str">
        <f>+IFERROR(INDEX([9]PARÁMETROS!$B$11:$B$37,MATCH(L68,[9]PARÁMETROS!$A$11:$A$37,0)),"")</f>
        <v/>
      </c>
      <c r="N68" s="173"/>
      <c r="O68" s="153"/>
      <c r="P68" s="145"/>
      <c r="Q68" s="156"/>
      <c r="R68" s="157"/>
      <c r="S68" s="153" t="str">
        <f>IF(R68&lt;&gt;"",N68*R68,"")</f>
        <v/>
      </c>
      <c r="T68" s="158" t="str">
        <f>+IFERROR(S68/M68,"")</f>
        <v/>
      </c>
      <c r="U68" s="158" t="str">
        <f>IFERROR(T68*I68,"")</f>
        <v/>
      </c>
      <c r="V68" s="158"/>
      <c r="W68" s="651"/>
      <c r="X68" s="651"/>
      <c r="Y68" s="651"/>
      <c r="Z68" s="651"/>
      <c r="AA68" s="651"/>
      <c r="AB68" s="651"/>
      <c r="AC68" s="651"/>
      <c r="AD68" s="651"/>
      <c r="AE68" s="651"/>
      <c r="AF68" s="308"/>
      <c r="AG68" s="651"/>
      <c r="AH68" s="651"/>
      <c r="AI68" s="308" t="str">
        <f>+IF(U68="","",IF(U68&gt;=[9]PARÁMETROS!$D$5,"CUMPLE","NO CUMPLE"))</f>
        <v/>
      </c>
      <c r="AJ68" s="160"/>
      <c r="AK68" s="112"/>
    </row>
    <row r="69" spans="1:37" s="79" customFormat="1" ht="30" customHeight="1" x14ac:dyDescent="0.25">
      <c r="A69" s="316"/>
      <c r="B69" s="316"/>
      <c r="C69" s="409"/>
      <c r="D69" s="65"/>
      <c r="E69" s="66"/>
      <c r="F69" s="66"/>
      <c r="G69" s="66"/>
      <c r="H69" s="66"/>
      <c r="I69" s="80"/>
      <c r="J69" s="70"/>
      <c r="K69" s="70"/>
      <c r="L69" s="71"/>
      <c r="M69" s="72"/>
      <c r="N69" s="81"/>
      <c r="O69" s="72"/>
      <c r="P69" s="316"/>
      <c r="Q69" s="75"/>
      <c r="R69" s="76"/>
      <c r="S69" s="72"/>
      <c r="T69" s="60"/>
      <c r="U69" s="60"/>
      <c r="V69" s="60"/>
      <c r="W69" s="310"/>
      <c r="X69" s="310"/>
      <c r="Y69" s="310"/>
      <c r="Z69" s="310"/>
      <c r="AA69" s="310"/>
      <c r="AB69" s="310"/>
      <c r="AC69" s="310"/>
      <c r="AD69" s="310"/>
      <c r="AE69" s="310"/>
      <c r="AF69" s="310"/>
      <c r="AG69" s="310"/>
      <c r="AH69" s="310"/>
      <c r="AI69" s="310"/>
      <c r="AJ69" s="66"/>
    </row>
    <row r="70" spans="1:37" s="79" customFormat="1" ht="30" customHeight="1" x14ac:dyDescent="0.25">
      <c r="A70" s="316"/>
      <c r="B70" s="316"/>
      <c r="C70" s="409"/>
      <c r="D70" s="65"/>
      <c r="E70" s="66"/>
      <c r="F70" s="66"/>
      <c r="G70" s="66"/>
      <c r="H70" s="66"/>
      <c r="I70" s="80"/>
      <c r="J70" s="70"/>
      <c r="K70" s="70"/>
      <c r="L70" s="71"/>
      <c r="M70" s="72"/>
      <c r="N70" s="81"/>
      <c r="O70" s="72"/>
      <c r="P70" s="316"/>
      <c r="Q70" s="75"/>
      <c r="R70" s="76"/>
      <c r="S70" s="72"/>
      <c r="T70" s="60"/>
      <c r="U70" s="60"/>
      <c r="V70" s="60"/>
      <c r="W70" s="310"/>
      <c r="X70" s="310"/>
      <c r="Y70" s="310"/>
      <c r="Z70" s="310"/>
      <c r="AA70" s="310"/>
      <c r="AB70" s="310"/>
      <c r="AC70" s="310"/>
      <c r="AD70" s="310"/>
      <c r="AE70" s="310"/>
      <c r="AF70" s="310"/>
      <c r="AG70" s="310"/>
      <c r="AH70" s="310"/>
      <c r="AI70" s="310"/>
      <c r="AJ70" s="66"/>
    </row>
    <row r="71" spans="1:37" s="79" customFormat="1" ht="30" customHeight="1" x14ac:dyDescent="0.25">
      <c r="A71" s="316"/>
      <c r="B71" s="316"/>
      <c r="C71" s="409"/>
      <c r="D71" s="65"/>
      <c r="E71" s="66"/>
      <c r="F71" s="66"/>
      <c r="G71" s="66"/>
      <c r="H71" s="66"/>
      <c r="I71" s="80"/>
      <c r="J71" s="70"/>
      <c r="K71" s="70"/>
      <c r="L71" s="71"/>
      <c r="M71" s="72"/>
      <c r="N71" s="81"/>
      <c r="O71" s="72"/>
      <c r="P71" s="316"/>
      <c r="Q71" s="75"/>
      <c r="R71" s="76"/>
      <c r="S71" s="72"/>
      <c r="T71" s="60"/>
      <c r="U71" s="60"/>
      <c r="V71" s="60"/>
      <c r="W71" s="310"/>
      <c r="X71" s="310"/>
      <c r="Y71" s="310"/>
      <c r="Z71" s="310"/>
      <c r="AA71" s="310"/>
      <c r="AB71" s="310"/>
      <c r="AC71" s="310"/>
      <c r="AD71" s="310"/>
      <c r="AE71" s="310"/>
      <c r="AF71" s="310"/>
      <c r="AG71" s="310"/>
      <c r="AH71" s="310"/>
      <c r="AI71" s="310"/>
      <c r="AJ71" s="66"/>
    </row>
    <row r="72" spans="1:37" s="79" customFormat="1" ht="30" customHeight="1" x14ac:dyDescent="0.25">
      <c r="A72" s="316"/>
      <c r="B72" s="316"/>
      <c r="C72" s="409"/>
      <c r="D72" s="65"/>
      <c r="E72" s="66"/>
      <c r="F72" s="66"/>
      <c r="G72" s="66"/>
      <c r="H72" s="66"/>
      <c r="I72" s="80"/>
      <c r="J72" s="70"/>
      <c r="K72" s="70"/>
      <c r="L72" s="71"/>
      <c r="M72" s="72"/>
      <c r="N72" s="81"/>
      <c r="O72" s="72"/>
      <c r="P72" s="316"/>
      <c r="Q72" s="75"/>
      <c r="R72" s="76"/>
      <c r="S72" s="72"/>
      <c r="T72" s="60"/>
      <c r="U72" s="60"/>
      <c r="V72" s="60"/>
      <c r="W72" s="310"/>
      <c r="X72" s="310"/>
      <c r="Y72" s="310"/>
      <c r="Z72" s="310"/>
      <c r="AA72" s="310"/>
      <c r="AB72" s="310"/>
      <c r="AC72" s="310"/>
      <c r="AD72" s="310"/>
      <c r="AE72" s="310"/>
      <c r="AF72" s="310"/>
      <c r="AG72" s="310"/>
      <c r="AH72" s="310"/>
      <c r="AI72" s="310"/>
      <c r="AJ72" s="66"/>
    </row>
    <row r="73" spans="1:37" s="79" customFormat="1" ht="30" customHeight="1" x14ac:dyDescent="0.25">
      <c r="A73" s="316"/>
      <c r="B73" s="316"/>
      <c r="C73" s="409"/>
      <c r="D73" s="65"/>
      <c r="E73" s="66"/>
      <c r="F73" s="66"/>
      <c r="G73" s="66"/>
      <c r="H73" s="66"/>
      <c r="I73" s="80"/>
      <c r="J73" s="70"/>
      <c r="K73" s="70"/>
      <c r="L73" s="71"/>
      <c r="M73" s="72"/>
      <c r="N73" s="81"/>
      <c r="O73" s="72"/>
      <c r="P73" s="316"/>
      <c r="Q73" s="75"/>
      <c r="R73" s="76"/>
      <c r="S73" s="72"/>
      <c r="T73" s="60"/>
      <c r="U73" s="60"/>
      <c r="V73" s="60"/>
      <c r="W73" s="310"/>
      <c r="X73" s="310"/>
      <c r="Y73" s="310"/>
      <c r="Z73" s="310"/>
      <c r="AA73" s="310"/>
      <c r="AB73" s="310"/>
      <c r="AC73" s="310"/>
      <c r="AD73" s="310"/>
      <c r="AE73" s="310"/>
      <c r="AF73" s="310"/>
      <c r="AG73" s="310"/>
      <c r="AH73" s="310"/>
      <c r="AI73" s="310"/>
      <c r="AJ73" s="66"/>
    </row>
    <row r="74" spans="1:37" s="79" customFormat="1" ht="30" customHeight="1" x14ac:dyDescent="0.25">
      <c r="A74" s="316"/>
      <c r="B74" s="316"/>
      <c r="C74" s="409"/>
      <c r="D74" s="65"/>
      <c r="E74" s="66"/>
      <c r="F74" s="66"/>
      <c r="G74" s="66"/>
      <c r="H74" s="66"/>
      <c r="I74" s="80"/>
      <c r="J74" s="70"/>
      <c r="K74" s="70"/>
      <c r="L74" s="71"/>
      <c r="M74" s="72"/>
      <c r="N74" s="81"/>
      <c r="O74" s="72"/>
      <c r="P74" s="316"/>
      <c r="Q74" s="75"/>
      <c r="R74" s="76"/>
      <c r="S74" s="72"/>
      <c r="T74" s="60"/>
      <c r="U74" s="60"/>
      <c r="V74" s="60"/>
      <c r="W74" s="310"/>
      <c r="X74" s="310"/>
      <c r="Y74" s="310"/>
      <c r="Z74" s="310"/>
      <c r="AA74" s="310"/>
      <c r="AB74" s="310"/>
      <c r="AC74" s="310"/>
      <c r="AD74" s="310"/>
      <c r="AE74" s="310"/>
      <c r="AF74" s="310"/>
      <c r="AG74" s="310"/>
      <c r="AH74" s="310"/>
      <c r="AI74" s="310"/>
      <c r="AJ74" s="66"/>
    </row>
    <row r="75" spans="1:37" s="79" customFormat="1" ht="30" customHeight="1" x14ac:dyDescent="0.25">
      <c r="A75" s="316"/>
      <c r="B75" s="316"/>
      <c r="C75" s="409"/>
      <c r="D75" s="65"/>
      <c r="E75" s="66"/>
      <c r="F75" s="66"/>
      <c r="G75" s="66"/>
      <c r="H75" s="66"/>
      <c r="I75" s="80"/>
      <c r="J75" s="70"/>
      <c r="K75" s="70"/>
      <c r="L75" s="71"/>
      <c r="M75" s="72"/>
      <c r="N75" s="81"/>
      <c r="O75" s="72"/>
      <c r="P75" s="316"/>
      <c r="Q75" s="75"/>
      <c r="R75" s="76"/>
      <c r="S75" s="72"/>
      <c r="T75" s="60"/>
      <c r="U75" s="60"/>
      <c r="V75" s="60"/>
      <c r="W75" s="310"/>
      <c r="X75" s="310"/>
      <c r="Y75" s="310"/>
      <c r="Z75" s="310"/>
      <c r="AA75" s="310"/>
      <c r="AB75" s="310"/>
      <c r="AC75" s="310"/>
      <c r="AD75" s="310"/>
      <c r="AE75" s="310"/>
      <c r="AF75" s="310"/>
      <c r="AG75" s="310"/>
      <c r="AH75" s="310"/>
      <c r="AI75" s="310"/>
      <c r="AJ75" s="66"/>
    </row>
    <row r="76" spans="1:37" s="79" customFormat="1" ht="30" customHeight="1" x14ac:dyDescent="0.25">
      <c r="A76" s="316"/>
      <c r="B76" s="316"/>
      <c r="C76" s="409"/>
      <c r="D76" s="65"/>
      <c r="E76" s="66"/>
      <c r="F76" s="66"/>
      <c r="G76" s="66"/>
      <c r="H76" s="66"/>
      <c r="I76" s="80"/>
      <c r="J76" s="70"/>
      <c r="K76" s="70"/>
      <c r="L76" s="71"/>
      <c r="M76" s="72"/>
      <c r="N76" s="81"/>
      <c r="O76" s="72"/>
      <c r="P76" s="316"/>
      <c r="Q76" s="75"/>
      <c r="R76" s="76"/>
      <c r="S76" s="72"/>
      <c r="T76" s="60"/>
      <c r="U76" s="60"/>
      <c r="V76" s="60"/>
      <c r="W76" s="310"/>
      <c r="X76" s="310"/>
      <c r="Y76" s="310"/>
      <c r="Z76" s="310"/>
      <c r="AA76" s="310"/>
      <c r="AB76" s="310"/>
      <c r="AC76" s="310"/>
      <c r="AD76" s="310"/>
      <c r="AE76" s="310"/>
      <c r="AF76" s="310"/>
      <c r="AG76" s="310"/>
      <c r="AH76" s="310"/>
      <c r="AI76" s="310"/>
      <c r="AJ76" s="66"/>
    </row>
    <row r="77" spans="1:37" s="79" customFormat="1" ht="30" customHeight="1" x14ac:dyDescent="0.25">
      <c r="A77" s="316"/>
      <c r="B77" s="316"/>
      <c r="C77" s="409"/>
      <c r="D77" s="65"/>
      <c r="E77" s="66"/>
      <c r="F77" s="66"/>
      <c r="G77" s="66"/>
      <c r="H77" s="66"/>
      <c r="I77" s="80"/>
      <c r="J77" s="70"/>
      <c r="K77" s="70"/>
      <c r="L77" s="71"/>
      <c r="M77" s="72"/>
      <c r="N77" s="81"/>
      <c r="O77" s="72"/>
      <c r="P77" s="316"/>
      <c r="Q77" s="75"/>
      <c r="R77" s="76"/>
      <c r="S77" s="72"/>
      <c r="T77" s="60"/>
      <c r="U77" s="60"/>
      <c r="V77" s="60"/>
      <c r="W77" s="310"/>
      <c r="X77" s="310"/>
      <c r="Y77" s="310"/>
      <c r="Z77" s="310"/>
      <c r="AA77" s="310"/>
      <c r="AB77" s="310"/>
      <c r="AC77" s="310"/>
      <c r="AD77" s="310"/>
      <c r="AE77" s="310"/>
      <c r="AF77" s="310"/>
      <c r="AG77" s="310"/>
      <c r="AH77" s="310"/>
      <c r="AI77" s="310"/>
      <c r="AJ77" s="66"/>
    </row>
    <row r="78" spans="1:37" s="79" customFormat="1" ht="30" customHeight="1" x14ac:dyDescent="0.25">
      <c r="A78" s="316"/>
      <c r="B78" s="316"/>
      <c r="C78" s="409"/>
      <c r="D78" s="65"/>
      <c r="E78" s="66"/>
      <c r="F78" s="66"/>
      <c r="G78" s="66"/>
      <c r="H78" s="66"/>
      <c r="I78" s="80"/>
      <c r="J78" s="70"/>
      <c r="K78" s="70"/>
      <c r="L78" s="71"/>
      <c r="M78" s="72"/>
      <c r="N78" s="81"/>
      <c r="O78" s="72"/>
      <c r="P78" s="316"/>
      <c r="Q78" s="75"/>
      <c r="R78" s="76"/>
      <c r="S78" s="72"/>
      <c r="T78" s="60"/>
      <c r="U78" s="60"/>
      <c r="V78" s="60"/>
      <c r="W78" s="310"/>
      <c r="X78" s="310"/>
      <c r="Y78" s="310"/>
      <c r="Z78" s="310"/>
      <c r="AA78" s="310"/>
      <c r="AB78" s="310"/>
      <c r="AC78" s="310"/>
      <c r="AD78" s="310"/>
      <c r="AE78" s="310"/>
      <c r="AF78" s="310"/>
      <c r="AG78" s="310"/>
      <c r="AH78" s="310"/>
      <c r="AI78" s="310"/>
      <c r="AJ78" s="66"/>
    </row>
    <row r="79" spans="1:37" s="79" customFormat="1" ht="30" customHeight="1" x14ac:dyDescent="0.25">
      <c r="A79" s="316"/>
      <c r="B79" s="316"/>
      <c r="C79" s="409"/>
      <c r="D79" s="65"/>
      <c r="E79" s="66"/>
      <c r="F79" s="66"/>
      <c r="G79" s="66"/>
      <c r="H79" s="66"/>
      <c r="I79" s="80"/>
      <c r="J79" s="70"/>
      <c r="K79" s="70"/>
      <c r="L79" s="71"/>
      <c r="M79" s="72"/>
      <c r="N79" s="81"/>
      <c r="O79" s="72"/>
      <c r="P79" s="316"/>
      <c r="Q79" s="75"/>
      <c r="R79" s="76"/>
      <c r="S79" s="72"/>
      <c r="T79" s="60"/>
      <c r="U79" s="60"/>
      <c r="V79" s="60"/>
      <c r="W79" s="310"/>
      <c r="X79" s="310"/>
      <c r="Y79" s="310"/>
      <c r="Z79" s="310"/>
      <c r="AA79" s="310"/>
      <c r="AB79" s="310"/>
      <c r="AC79" s="310"/>
      <c r="AD79" s="310"/>
      <c r="AE79" s="310"/>
      <c r="AF79" s="310"/>
      <c r="AG79" s="310"/>
      <c r="AH79" s="310"/>
      <c r="AI79" s="310"/>
      <c r="AJ79" s="66"/>
    </row>
    <row r="80" spans="1:37" s="79" customFormat="1" ht="30" customHeight="1" x14ac:dyDescent="0.25">
      <c r="A80" s="316"/>
      <c r="B80" s="316"/>
      <c r="C80" s="409"/>
      <c r="D80" s="65"/>
      <c r="E80" s="66"/>
      <c r="F80" s="66"/>
      <c r="G80" s="66"/>
      <c r="H80" s="66"/>
      <c r="I80" s="80"/>
      <c r="J80" s="70"/>
      <c r="K80" s="70"/>
      <c r="L80" s="71"/>
      <c r="M80" s="72"/>
      <c r="N80" s="81"/>
      <c r="O80" s="72"/>
      <c r="P80" s="316"/>
      <c r="Q80" s="75"/>
      <c r="R80" s="76"/>
      <c r="S80" s="72"/>
      <c r="T80" s="60"/>
      <c r="U80" s="60"/>
      <c r="V80" s="60"/>
      <c r="W80" s="310"/>
      <c r="X80" s="310"/>
      <c r="Y80" s="310"/>
      <c r="Z80" s="310"/>
      <c r="AA80" s="310"/>
      <c r="AB80" s="310"/>
      <c r="AC80" s="310"/>
      <c r="AD80" s="310"/>
      <c r="AE80" s="310"/>
      <c r="AF80" s="310"/>
      <c r="AG80" s="310"/>
      <c r="AH80" s="310"/>
      <c r="AI80" s="310"/>
      <c r="AJ80" s="66"/>
    </row>
    <row r="81" spans="1:36" s="103" customFormat="1" ht="30" customHeight="1" x14ac:dyDescent="0.25">
      <c r="A81" s="94"/>
      <c r="B81" s="94"/>
      <c r="C81" s="413"/>
      <c r="D81" s="95"/>
      <c r="E81" s="96"/>
      <c r="F81" s="96"/>
      <c r="G81" s="96"/>
      <c r="H81" s="96"/>
      <c r="I81" s="97"/>
      <c r="J81" s="98"/>
      <c r="K81" s="98"/>
      <c r="L81" s="99"/>
      <c r="M81" s="72"/>
      <c r="N81" s="100"/>
      <c r="O81" s="101"/>
      <c r="P81" s="316"/>
      <c r="Q81" s="75"/>
      <c r="R81" s="76"/>
      <c r="S81" s="72"/>
      <c r="T81" s="60"/>
      <c r="U81" s="60"/>
      <c r="V81" s="60"/>
      <c r="W81" s="102"/>
      <c r="X81" s="102"/>
      <c r="Y81" s="102"/>
      <c r="Z81" s="102"/>
      <c r="AA81" s="102"/>
      <c r="AB81" s="102"/>
      <c r="AC81" s="102"/>
      <c r="AD81" s="102"/>
      <c r="AE81" s="102"/>
      <c r="AF81" s="310"/>
      <c r="AG81" s="310"/>
      <c r="AH81" s="310"/>
      <c r="AI81" s="310"/>
      <c r="AJ81" s="96"/>
    </row>
    <row r="82" spans="1:36" s="103" customFormat="1" ht="30" customHeight="1" x14ac:dyDescent="0.25">
      <c r="A82" s="94"/>
      <c r="B82" s="94"/>
      <c r="C82" s="413"/>
      <c r="D82" s="95"/>
      <c r="E82" s="96"/>
      <c r="F82" s="96"/>
      <c r="G82" s="96"/>
      <c r="H82" s="96"/>
      <c r="I82" s="97"/>
      <c r="J82" s="98"/>
      <c r="K82" s="98"/>
      <c r="L82" s="99"/>
      <c r="M82" s="72"/>
      <c r="N82" s="100"/>
      <c r="O82" s="101"/>
      <c r="P82" s="316"/>
      <c r="Q82" s="75"/>
      <c r="R82" s="76"/>
      <c r="S82" s="72"/>
      <c r="T82" s="60"/>
      <c r="U82" s="60"/>
      <c r="V82" s="60"/>
      <c r="W82" s="102"/>
      <c r="X82" s="102"/>
      <c r="Y82" s="102"/>
      <c r="Z82" s="102"/>
      <c r="AA82" s="102"/>
      <c r="AB82" s="102"/>
      <c r="AC82" s="102"/>
      <c r="AD82" s="102"/>
      <c r="AE82" s="102"/>
      <c r="AF82" s="310"/>
      <c r="AG82" s="310"/>
      <c r="AH82" s="310"/>
      <c r="AI82" s="310"/>
      <c r="AJ82" s="96"/>
    </row>
    <row r="83" spans="1:36" s="103" customFormat="1" ht="30" customHeight="1" x14ac:dyDescent="0.25">
      <c r="A83" s="94"/>
      <c r="B83" s="94"/>
      <c r="C83" s="413"/>
      <c r="D83" s="95"/>
      <c r="E83" s="96"/>
      <c r="F83" s="96"/>
      <c r="G83" s="96"/>
      <c r="H83" s="96"/>
      <c r="I83" s="97"/>
      <c r="J83" s="98"/>
      <c r="K83" s="98"/>
      <c r="L83" s="99"/>
      <c r="M83" s="72"/>
      <c r="N83" s="100"/>
      <c r="O83" s="101"/>
      <c r="P83" s="316"/>
      <c r="Q83" s="75"/>
      <c r="R83" s="76"/>
      <c r="S83" s="72"/>
      <c r="T83" s="60"/>
      <c r="U83" s="60"/>
      <c r="V83" s="60"/>
      <c r="W83" s="102"/>
      <c r="X83" s="102"/>
      <c r="Y83" s="102"/>
      <c r="Z83" s="102"/>
      <c r="AA83" s="102"/>
      <c r="AB83" s="102"/>
      <c r="AC83" s="102"/>
      <c r="AD83" s="102"/>
      <c r="AE83" s="102"/>
      <c r="AF83" s="310"/>
      <c r="AG83" s="310"/>
      <c r="AH83" s="310"/>
      <c r="AI83" s="310"/>
      <c r="AJ83" s="96"/>
    </row>
    <row r="84" spans="1:36" s="103" customFormat="1" ht="30" customHeight="1" x14ac:dyDescent="0.25">
      <c r="A84" s="94"/>
      <c r="B84" s="94"/>
      <c r="C84" s="413"/>
      <c r="D84" s="95"/>
      <c r="E84" s="96"/>
      <c r="F84" s="96"/>
      <c r="G84" s="96"/>
      <c r="H84" s="96"/>
      <c r="I84" s="97"/>
      <c r="J84" s="98"/>
      <c r="K84" s="98"/>
      <c r="L84" s="99"/>
      <c r="M84" s="72"/>
      <c r="N84" s="100"/>
      <c r="O84" s="101"/>
      <c r="P84" s="316"/>
      <c r="Q84" s="75"/>
      <c r="R84" s="76"/>
      <c r="S84" s="72"/>
      <c r="T84" s="60"/>
      <c r="U84" s="60"/>
      <c r="V84" s="60"/>
      <c r="W84" s="102"/>
      <c r="X84" s="102"/>
      <c r="Y84" s="102"/>
      <c r="Z84" s="102"/>
      <c r="AA84" s="102"/>
      <c r="AB84" s="102"/>
      <c r="AC84" s="102"/>
      <c r="AD84" s="102"/>
      <c r="AE84" s="102"/>
      <c r="AF84" s="310"/>
      <c r="AG84" s="310"/>
      <c r="AH84" s="310"/>
      <c r="AI84" s="310"/>
      <c r="AJ84" s="96"/>
    </row>
    <row r="85" spans="1:36" s="103" customFormat="1" ht="30" customHeight="1" x14ac:dyDescent="0.25">
      <c r="A85" s="94"/>
      <c r="B85" s="94"/>
      <c r="C85" s="413"/>
      <c r="D85" s="95"/>
      <c r="E85" s="96"/>
      <c r="F85" s="96"/>
      <c r="G85" s="96"/>
      <c r="H85" s="96"/>
      <c r="I85" s="97"/>
      <c r="J85" s="98"/>
      <c r="K85" s="98"/>
      <c r="L85" s="99"/>
      <c r="M85" s="72"/>
      <c r="N85" s="100"/>
      <c r="O85" s="101"/>
      <c r="P85" s="316"/>
      <c r="Q85" s="75"/>
      <c r="R85" s="76"/>
      <c r="S85" s="72"/>
      <c r="T85" s="60"/>
      <c r="U85" s="60"/>
      <c r="V85" s="60"/>
      <c r="W85" s="102"/>
      <c r="X85" s="102"/>
      <c r="Y85" s="102"/>
      <c r="Z85" s="102"/>
      <c r="AA85" s="102"/>
      <c r="AB85" s="102"/>
      <c r="AC85" s="102"/>
      <c r="AD85" s="102"/>
      <c r="AE85" s="102"/>
      <c r="AF85" s="310"/>
      <c r="AG85" s="310"/>
      <c r="AH85" s="310"/>
      <c r="AI85" s="310"/>
      <c r="AJ85" s="96"/>
    </row>
    <row r="86" spans="1:36" s="103" customFormat="1" ht="30" customHeight="1" x14ac:dyDescent="0.25">
      <c r="A86" s="94"/>
      <c r="B86" s="94"/>
      <c r="C86" s="413"/>
      <c r="D86" s="95"/>
      <c r="E86" s="96"/>
      <c r="F86" s="96"/>
      <c r="G86" s="96"/>
      <c r="H86" s="96"/>
      <c r="I86" s="97"/>
      <c r="J86" s="98"/>
      <c r="K86" s="98"/>
      <c r="L86" s="99"/>
      <c r="M86" s="72"/>
      <c r="N86" s="100"/>
      <c r="O86" s="101"/>
      <c r="P86" s="316"/>
      <c r="Q86" s="75"/>
      <c r="R86" s="76"/>
      <c r="S86" s="72"/>
      <c r="T86" s="60"/>
      <c r="U86" s="60"/>
      <c r="V86" s="60"/>
      <c r="W86" s="102"/>
      <c r="X86" s="102"/>
      <c r="Y86" s="102"/>
      <c r="Z86" s="102"/>
      <c r="AA86" s="102"/>
      <c r="AB86" s="102"/>
      <c r="AC86" s="102"/>
      <c r="AD86" s="102"/>
      <c r="AE86" s="102"/>
      <c r="AF86" s="310"/>
      <c r="AG86" s="310"/>
      <c r="AH86" s="310"/>
      <c r="AI86" s="310"/>
      <c r="AJ86" s="96"/>
    </row>
    <row r="87" spans="1:36" s="103" customFormat="1" ht="30" customHeight="1" x14ac:dyDescent="0.25">
      <c r="A87" s="94"/>
      <c r="B87" s="94"/>
      <c r="C87" s="413"/>
      <c r="D87" s="95"/>
      <c r="E87" s="96"/>
      <c r="F87" s="96"/>
      <c r="G87" s="96"/>
      <c r="H87" s="96"/>
      <c r="I87" s="97"/>
      <c r="J87" s="98"/>
      <c r="K87" s="98"/>
      <c r="L87" s="99"/>
      <c r="M87" s="72"/>
      <c r="N87" s="100"/>
      <c r="O87" s="101"/>
      <c r="P87" s="316"/>
      <c r="Q87" s="75"/>
      <c r="R87" s="76"/>
      <c r="S87" s="72"/>
      <c r="T87" s="60"/>
      <c r="U87" s="60"/>
      <c r="V87" s="60"/>
      <c r="W87" s="102"/>
      <c r="X87" s="102"/>
      <c r="Y87" s="102"/>
      <c r="Z87" s="102"/>
      <c r="AA87" s="102"/>
      <c r="AB87" s="102"/>
      <c r="AC87" s="102"/>
      <c r="AD87" s="102"/>
      <c r="AE87" s="102"/>
      <c r="AF87" s="310"/>
      <c r="AG87" s="310"/>
      <c r="AH87" s="310"/>
      <c r="AI87" s="310"/>
      <c r="AJ87" s="96"/>
    </row>
    <row r="88" spans="1:36" s="103" customFormat="1" ht="30" customHeight="1" x14ac:dyDescent="0.25">
      <c r="A88" s="94"/>
      <c r="B88" s="94"/>
      <c r="C88" s="413"/>
      <c r="D88" s="95"/>
      <c r="E88" s="96"/>
      <c r="F88" s="96"/>
      <c r="G88" s="96"/>
      <c r="H88" s="96"/>
      <c r="I88" s="97"/>
      <c r="J88" s="98"/>
      <c r="K88" s="98"/>
      <c r="L88" s="99"/>
      <c r="M88" s="72"/>
      <c r="N88" s="100"/>
      <c r="O88" s="101"/>
      <c r="P88" s="316"/>
      <c r="Q88" s="75"/>
      <c r="R88" s="76"/>
      <c r="S88" s="72"/>
      <c r="T88" s="60"/>
      <c r="U88" s="60"/>
      <c r="V88" s="60"/>
      <c r="W88" s="102"/>
      <c r="X88" s="102"/>
      <c r="Y88" s="102"/>
      <c r="Z88" s="102"/>
      <c r="AA88" s="102"/>
      <c r="AB88" s="102"/>
      <c r="AC88" s="102"/>
      <c r="AD88" s="102"/>
      <c r="AE88" s="102"/>
      <c r="AF88" s="310"/>
      <c r="AG88" s="310"/>
      <c r="AH88" s="310"/>
      <c r="AI88" s="310"/>
      <c r="AJ88" s="96"/>
    </row>
    <row r="89" spans="1:36" s="103" customFormat="1" ht="30" customHeight="1" x14ac:dyDescent="0.25">
      <c r="A89" s="94"/>
      <c r="B89" s="94"/>
      <c r="C89" s="413"/>
      <c r="D89" s="95"/>
      <c r="E89" s="96"/>
      <c r="F89" s="96"/>
      <c r="G89" s="96"/>
      <c r="H89" s="96"/>
      <c r="I89" s="97"/>
      <c r="J89" s="98"/>
      <c r="K89" s="98"/>
      <c r="L89" s="99"/>
      <c r="M89" s="72"/>
      <c r="N89" s="100"/>
      <c r="O89" s="101"/>
      <c r="P89" s="316"/>
      <c r="Q89" s="75"/>
      <c r="R89" s="76"/>
      <c r="S89" s="72"/>
      <c r="T89" s="60"/>
      <c r="U89" s="60"/>
      <c r="V89" s="60"/>
      <c r="W89" s="102"/>
      <c r="X89" s="102"/>
      <c r="Y89" s="102"/>
      <c r="Z89" s="102"/>
      <c r="AA89" s="102"/>
      <c r="AB89" s="102"/>
      <c r="AC89" s="102"/>
      <c r="AD89" s="102"/>
      <c r="AE89" s="102"/>
      <c r="AF89" s="310"/>
      <c r="AG89" s="310"/>
      <c r="AH89" s="310"/>
      <c r="AI89" s="310"/>
      <c r="AJ89" s="96"/>
    </row>
    <row r="90" spans="1:36" s="103" customFormat="1" ht="30" customHeight="1" x14ac:dyDescent="0.25">
      <c r="A90" s="94"/>
      <c r="B90" s="94"/>
      <c r="C90" s="413"/>
      <c r="D90" s="95"/>
      <c r="E90" s="96"/>
      <c r="F90" s="96"/>
      <c r="G90" s="96"/>
      <c r="H90" s="96"/>
      <c r="I90" s="97"/>
      <c r="J90" s="98"/>
      <c r="K90" s="98"/>
      <c r="L90" s="99"/>
      <c r="M90" s="72"/>
      <c r="N90" s="100"/>
      <c r="O90" s="101"/>
      <c r="P90" s="316"/>
      <c r="Q90" s="75"/>
      <c r="R90" s="76"/>
      <c r="S90" s="72"/>
      <c r="T90" s="60"/>
      <c r="U90" s="60"/>
      <c r="V90" s="60"/>
      <c r="W90" s="102"/>
      <c r="X90" s="102"/>
      <c r="Y90" s="102"/>
      <c r="Z90" s="102"/>
      <c r="AA90" s="102"/>
      <c r="AB90" s="102"/>
      <c r="AC90" s="102"/>
      <c r="AD90" s="102"/>
      <c r="AE90" s="102"/>
      <c r="AF90" s="310"/>
      <c r="AG90" s="310"/>
      <c r="AH90" s="310"/>
      <c r="AI90" s="310"/>
      <c r="AJ90" s="96"/>
    </row>
    <row r="91" spans="1:36" s="103" customFormat="1" ht="30" customHeight="1" x14ac:dyDescent="0.25">
      <c r="A91" s="94"/>
      <c r="B91" s="94"/>
      <c r="C91" s="413"/>
      <c r="D91" s="95"/>
      <c r="E91" s="96"/>
      <c r="F91" s="96"/>
      <c r="G91" s="96"/>
      <c r="H91" s="96"/>
      <c r="I91" s="97"/>
      <c r="J91" s="98"/>
      <c r="K91" s="98"/>
      <c r="L91" s="99"/>
      <c r="M91" s="72"/>
      <c r="N91" s="100"/>
      <c r="O91" s="101"/>
      <c r="P91" s="316"/>
      <c r="Q91" s="75"/>
      <c r="R91" s="76"/>
      <c r="S91" s="72"/>
      <c r="T91" s="60"/>
      <c r="U91" s="60"/>
      <c r="V91" s="60"/>
      <c r="W91" s="102"/>
      <c r="X91" s="102"/>
      <c r="Y91" s="102"/>
      <c r="Z91" s="102"/>
      <c r="AA91" s="102"/>
      <c r="AB91" s="102"/>
      <c r="AC91" s="102"/>
      <c r="AD91" s="102"/>
      <c r="AE91" s="102"/>
      <c r="AF91" s="310"/>
      <c r="AG91" s="310"/>
      <c r="AH91" s="310"/>
      <c r="AI91" s="310"/>
      <c r="AJ91" s="96"/>
    </row>
    <row r="92" spans="1:36" s="103" customFormat="1" ht="30" customHeight="1" x14ac:dyDescent="0.25">
      <c r="A92" s="94"/>
      <c r="B92" s="94"/>
      <c r="C92" s="413"/>
      <c r="D92" s="95"/>
      <c r="E92" s="96"/>
      <c r="F92" s="96"/>
      <c r="G92" s="96"/>
      <c r="H92" s="96"/>
      <c r="I92" s="97"/>
      <c r="J92" s="98"/>
      <c r="K92" s="98"/>
      <c r="L92" s="99"/>
      <c r="M92" s="72"/>
      <c r="N92" s="100"/>
      <c r="O92" s="101"/>
      <c r="P92" s="316"/>
      <c r="Q92" s="75"/>
      <c r="R92" s="76"/>
      <c r="S92" s="72"/>
      <c r="T92" s="60"/>
      <c r="U92" s="60"/>
      <c r="V92" s="60"/>
      <c r="W92" s="102"/>
      <c r="X92" s="102"/>
      <c r="Y92" s="102"/>
      <c r="Z92" s="102"/>
      <c r="AA92" s="102"/>
      <c r="AB92" s="102"/>
      <c r="AC92" s="102"/>
      <c r="AD92" s="102"/>
      <c r="AE92" s="102"/>
      <c r="AF92" s="310"/>
      <c r="AG92" s="310"/>
      <c r="AH92" s="310"/>
      <c r="AI92" s="310"/>
      <c r="AJ92" s="96"/>
    </row>
    <row r="93" spans="1:36" s="103" customFormat="1" ht="30" customHeight="1" x14ac:dyDescent="0.25">
      <c r="A93" s="94"/>
      <c r="B93" s="94"/>
      <c r="C93" s="413"/>
      <c r="D93" s="95"/>
      <c r="E93" s="96"/>
      <c r="F93" s="96"/>
      <c r="G93" s="96"/>
      <c r="H93" s="96"/>
      <c r="I93" s="97"/>
      <c r="J93" s="98"/>
      <c r="K93" s="98"/>
      <c r="L93" s="99"/>
      <c r="M93" s="72"/>
      <c r="N93" s="100"/>
      <c r="O93" s="101"/>
      <c r="P93" s="316"/>
      <c r="Q93" s="75"/>
      <c r="R93" s="76"/>
      <c r="S93" s="72"/>
      <c r="T93" s="60"/>
      <c r="U93" s="60"/>
      <c r="V93" s="60"/>
      <c r="W93" s="102"/>
      <c r="X93" s="102"/>
      <c r="Y93" s="102"/>
      <c r="Z93" s="102"/>
      <c r="AA93" s="102"/>
      <c r="AB93" s="102"/>
      <c r="AC93" s="102"/>
      <c r="AD93" s="102"/>
      <c r="AE93" s="102"/>
      <c r="AF93" s="310"/>
      <c r="AG93" s="310"/>
      <c r="AH93" s="310"/>
      <c r="AI93" s="310"/>
      <c r="AJ93" s="96"/>
    </row>
    <row r="94" spans="1:36" s="103" customFormat="1" ht="30" customHeight="1" x14ac:dyDescent="0.25">
      <c r="A94" s="94"/>
      <c r="B94" s="94"/>
      <c r="C94" s="413"/>
      <c r="D94" s="95"/>
      <c r="E94" s="96"/>
      <c r="F94" s="96"/>
      <c r="G94" s="96"/>
      <c r="H94" s="96"/>
      <c r="I94" s="97"/>
      <c r="J94" s="98"/>
      <c r="K94" s="98"/>
      <c r="L94" s="99"/>
      <c r="M94" s="72"/>
      <c r="N94" s="100"/>
      <c r="O94" s="101"/>
      <c r="P94" s="316"/>
      <c r="Q94" s="75"/>
      <c r="R94" s="76"/>
      <c r="S94" s="72"/>
      <c r="T94" s="60"/>
      <c r="U94" s="60"/>
      <c r="V94" s="60"/>
      <c r="W94" s="102"/>
      <c r="X94" s="102"/>
      <c r="Y94" s="102"/>
      <c r="Z94" s="102"/>
      <c r="AA94" s="102"/>
      <c r="AB94" s="102"/>
      <c r="AC94" s="102"/>
      <c r="AD94" s="102"/>
      <c r="AE94" s="102"/>
      <c r="AF94" s="310"/>
      <c r="AG94" s="310"/>
      <c r="AH94" s="310"/>
      <c r="AI94" s="310"/>
      <c r="AJ94" s="96"/>
    </row>
    <row r="95" spans="1:36" s="103" customFormat="1" ht="30" customHeight="1" x14ac:dyDescent="0.25">
      <c r="A95" s="94"/>
      <c r="B95" s="94"/>
      <c r="C95" s="413"/>
      <c r="D95" s="95"/>
      <c r="E95" s="96"/>
      <c r="F95" s="96"/>
      <c r="G95" s="96"/>
      <c r="H95" s="96"/>
      <c r="I95" s="97"/>
      <c r="J95" s="98"/>
      <c r="K95" s="98"/>
      <c r="L95" s="99"/>
      <c r="M95" s="72"/>
      <c r="N95" s="100"/>
      <c r="O95" s="101"/>
      <c r="P95" s="316"/>
      <c r="Q95" s="75"/>
      <c r="R95" s="76"/>
      <c r="S95" s="72"/>
      <c r="T95" s="60"/>
      <c r="U95" s="60"/>
      <c r="V95" s="60"/>
      <c r="W95" s="102"/>
      <c r="X95" s="102"/>
      <c r="Y95" s="102"/>
      <c r="Z95" s="102"/>
      <c r="AA95" s="102"/>
      <c r="AB95" s="102"/>
      <c r="AC95" s="102"/>
      <c r="AD95" s="102"/>
      <c r="AE95" s="102"/>
      <c r="AF95" s="310"/>
      <c r="AG95" s="310"/>
      <c r="AH95" s="310"/>
      <c r="AI95" s="310"/>
      <c r="AJ95" s="96"/>
    </row>
    <row r="96" spans="1:36" s="103" customFormat="1" ht="30" customHeight="1" x14ac:dyDescent="0.25">
      <c r="A96" s="94"/>
      <c r="B96" s="94"/>
      <c r="C96" s="413"/>
      <c r="D96" s="95"/>
      <c r="E96" s="96"/>
      <c r="F96" s="96"/>
      <c r="G96" s="96"/>
      <c r="H96" s="96"/>
      <c r="I96" s="97"/>
      <c r="J96" s="98"/>
      <c r="K96" s="98"/>
      <c r="L96" s="99"/>
      <c r="M96" s="72"/>
      <c r="N96" s="100"/>
      <c r="O96" s="101"/>
      <c r="P96" s="316"/>
      <c r="Q96" s="75"/>
      <c r="R96" s="76"/>
      <c r="S96" s="72"/>
      <c r="T96" s="60"/>
      <c r="U96" s="60"/>
      <c r="V96" s="60"/>
      <c r="W96" s="102"/>
      <c r="X96" s="102"/>
      <c r="Y96" s="102"/>
      <c r="Z96" s="102"/>
      <c r="AA96" s="102"/>
      <c r="AB96" s="102"/>
      <c r="AC96" s="102"/>
      <c r="AD96" s="102"/>
      <c r="AE96" s="102"/>
      <c r="AF96" s="310"/>
      <c r="AG96" s="310"/>
      <c r="AH96" s="310"/>
      <c r="AI96" s="310"/>
      <c r="AJ96" s="96"/>
    </row>
    <row r="97" spans="1:36" s="103" customFormat="1" ht="30" customHeight="1" x14ac:dyDescent="0.25">
      <c r="A97" s="94"/>
      <c r="B97" s="94"/>
      <c r="C97" s="413"/>
      <c r="D97" s="95"/>
      <c r="E97" s="96"/>
      <c r="F97" s="96"/>
      <c r="G97" s="96"/>
      <c r="H97" s="96"/>
      <c r="I97" s="97"/>
      <c r="J97" s="98"/>
      <c r="K97" s="98"/>
      <c r="L97" s="99"/>
      <c r="M97" s="72"/>
      <c r="N97" s="100"/>
      <c r="O97" s="101"/>
      <c r="P97" s="316"/>
      <c r="Q97" s="75"/>
      <c r="R97" s="76"/>
      <c r="S97" s="72"/>
      <c r="T97" s="60"/>
      <c r="U97" s="60"/>
      <c r="V97" s="60"/>
      <c r="W97" s="102"/>
      <c r="X97" s="102"/>
      <c r="Y97" s="102"/>
      <c r="Z97" s="102"/>
      <c r="AA97" s="102"/>
      <c r="AB97" s="102"/>
      <c r="AC97" s="102"/>
      <c r="AD97" s="102"/>
      <c r="AE97" s="102"/>
      <c r="AF97" s="310"/>
      <c r="AG97" s="310"/>
      <c r="AH97" s="310"/>
      <c r="AI97" s="310"/>
      <c r="AJ97" s="96"/>
    </row>
    <row r="98" spans="1:36" s="103" customFormat="1" ht="30" customHeight="1" x14ac:dyDescent="0.25">
      <c r="A98" s="94"/>
      <c r="B98" s="94"/>
      <c r="C98" s="413"/>
      <c r="D98" s="95"/>
      <c r="E98" s="96"/>
      <c r="F98" s="96"/>
      <c r="G98" s="96"/>
      <c r="H98" s="96"/>
      <c r="I98" s="97"/>
      <c r="J98" s="98"/>
      <c r="K98" s="98"/>
      <c r="L98" s="99"/>
      <c r="M98" s="72"/>
      <c r="N98" s="100"/>
      <c r="O98" s="101"/>
      <c r="P98" s="316"/>
      <c r="Q98" s="75"/>
      <c r="R98" s="76"/>
      <c r="S98" s="72"/>
      <c r="T98" s="60"/>
      <c r="U98" s="60"/>
      <c r="V98" s="60"/>
      <c r="W98" s="102"/>
      <c r="X98" s="102"/>
      <c r="Y98" s="102"/>
      <c r="Z98" s="102"/>
      <c r="AA98" s="102"/>
      <c r="AB98" s="102"/>
      <c r="AC98" s="102"/>
      <c r="AD98" s="102"/>
      <c r="AE98" s="102"/>
      <c r="AF98" s="310"/>
      <c r="AG98" s="310"/>
      <c r="AH98" s="310"/>
      <c r="AI98" s="310"/>
      <c r="AJ98" s="96"/>
    </row>
    <row r="99" spans="1:36" s="103" customFormat="1" ht="30" customHeight="1" x14ac:dyDescent="0.25">
      <c r="A99" s="94"/>
      <c r="B99" s="94"/>
      <c r="C99" s="413"/>
      <c r="D99" s="95"/>
      <c r="E99" s="96"/>
      <c r="F99" s="96"/>
      <c r="G99" s="96"/>
      <c r="H99" s="96"/>
      <c r="I99" s="97"/>
      <c r="J99" s="98"/>
      <c r="K99" s="98"/>
      <c r="L99" s="99"/>
      <c r="M99" s="72"/>
      <c r="N99" s="100"/>
      <c r="O99" s="101"/>
      <c r="P99" s="316"/>
      <c r="Q99" s="75"/>
      <c r="R99" s="76"/>
      <c r="S99" s="72"/>
      <c r="T99" s="60"/>
      <c r="U99" s="60"/>
      <c r="V99" s="60"/>
      <c r="W99" s="102"/>
      <c r="X99" s="102"/>
      <c r="Y99" s="102"/>
      <c r="Z99" s="102"/>
      <c r="AA99" s="102"/>
      <c r="AB99" s="102"/>
      <c r="AC99" s="102"/>
      <c r="AD99" s="102"/>
      <c r="AE99" s="102"/>
      <c r="AF99" s="310"/>
      <c r="AG99" s="310"/>
      <c r="AH99" s="310"/>
      <c r="AI99" s="310"/>
      <c r="AJ99" s="96"/>
    </row>
    <row r="100" spans="1:36" s="103" customFormat="1" ht="30" customHeight="1" x14ac:dyDescent="0.25">
      <c r="A100" s="94"/>
      <c r="B100" s="94"/>
      <c r="C100" s="413"/>
      <c r="D100" s="95"/>
      <c r="E100" s="96"/>
      <c r="F100" s="96"/>
      <c r="G100" s="96"/>
      <c r="H100" s="96"/>
      <c r="I100" s="97"/>
      <c r="J100" s="98"/>
      <c r="K100" s="98"/>
      <c r="L100" s="99"/>
      <c r="M100" s="72"/>
      <c r="N100" s="100"/>
      <c r="O100" s="101"/>
      <c r="P100" s="316"/>
      <c r="Q100" s="75"/>
      <c r="R100" s="76"/>
      <c r="S100" s="72"/>
      <c r="T100" s="60"/>
      <c r="U100" s="60"/>
      <c r="V100" s="60"/>
      <c r="W100" s="102"/>
      <c r="X100" s="102"/>
      <c r="Y100" s="102"/>
      <c r="Z100" s="102"/>
      <c r="AA100" s="102"/>
      <c r="AB100" s="102"/>
      <c r="AC100" s="102"/>
      <c r="AD100" s="102"/>
      <c r="AE100" s="102"/>
      <c r="AF100" s="310"/>
      <c r="AG100" s="310"/>
      <c r="AH100" s="310"/>
      <c r="AI100" s="310"/>
      <c r="AJ100" s="96"/>
    </row>
    <row r="101" spans="1:36" s="103" customFormat="1" ht="30" customHeight="1" x14ac:dyDescent="0.25">
      <c r="A101" s="94"/>
      <c r="B101" s="94"/>
      <c r="C101" s="413"/>
      <c r="D101" s="95"/>
      <c r="E101" s="96"/>
      <c r="F101" s="96"/>
      <c r="G101" s="96"/>
      <c r="H101" s="96"/>
      <c r="I101" s="97"/>
      <c r="J101" s="98"/>
      <c r="K101" s="98"/>
      <c r="L101" s="99"/>
      <c r="M101" s="72"/>
      <c r="N101" s="100"/>
      <c r="O101" s="101"/>
      <c r="P101" s="316"/>
      <c r="Q101" s="75"/>
      <c r="R101" s="76"/>
      <c r="S101" s="72"/>
      <c r="T101" s="60"/>
      <c r="U101" s="60"/>
      <c r="V101" s="60"/>
      <c r="W101" s="102"/>
      <c r="X101" s="102"/>
      <c r="Y101" s="102"/>
      <c r="Z101" s="102"/>
      <c r="AA101" s="102"/>
      <c r="AB101" s="102"/>
      <c r="AC101" s="102"/>
      <c r="AD101" s="102"/>
      <c r="AE101" s="102"/>
      <c r="AF101" s="310"/>
      <c r="AG101" s="310"/>
      <c r="AH101" s="310"/>
      <c r="AI101" s="310"/>
      <c r="AJ101" s="96"/>
    </row>
    <row r="102" spans="1:36" s="103" customFormat="1" ht="30" customHeight="1" x14ac:dyDescent="0.25">
      <c r="A102" s="94"/>
      <c r="B102" s="94"/>
      <c r="C102" s="413"/>
      <c r="D102" s="95"/>
      <c r="E102" s="96"/>
      <c r="F102" s="96"/>
      <c r="G102" s="96"/>
      <c r="H102" s="96"/>
      <c r="I102" s="97"/>
      <c r="J102" s="98"/>
      <c r="K102" s="98"/>
      <c r="L102" s="99"/>
      <c r="M102" s="72"/>
      <c r="N102" s="100"/>
      <c r="O102" s="101"/>
      <c r="P102" s="316"/>
      <c r="Q102" s="75"/>
      <c r="R102" s="76"/>
      <c r="S102" s="72"/>
      <c r="T102" s="60"/>
      <c r="U102" s="60"/>
      <c r="V102" s="60"/>
      <c r="W102" s="102"/>
      <c r="X102" s="102"/>
      <c r="Y102" s="102"/>
      <c r="Z102" s="102"/>
      <c r="AA102" s="102"/>
      <c r="AB102" s="102"/>
      <c r="AC102" s="102"/>
      <c r="AD102" s="102"/>
      <c r="AE102" s="102"/>
      <c r="AF102" s="310"/>
      <c r="AG102" s="310"/>
      <c r="AH102" s="310"/>
      <c r="AI102" s="310"/>
      <c r="AJ102" s="96"/>
    </row>
    <row r="103" spans="1:36" s="103" customFormat="1" ht="30" customHeight="1" x14ac:dyDescent="0.25">
      <c r="A103" s="94"/>
      <c r="B103" s="94"/>
      <c r="C103" s="413"/>
      <c r="D103" s="95"/>
      <c r="E103" s="96"/>
      <c r="F103" s="96"/>
      <c r="G103" s="96"/>
      <c r="H103" s="96"/>
      <c r="I103" s="97"/>
      <c r="J103" s="98"/>
      <c r="K103" s="98"/>
      <c r="L103" s="99"/>
      <c r="M103" s="72"/>
      <c r="N103" s="100"/>
      <c r="O103" s="101"/>
      <c r="P103" s="316"/>
      <c r="Q103" s="75"/>
      <c r="R103" s="76"/>
      <c r="S103" s="72"/>
      <c r="T103" s="60"/>
      <c r="U103" s="60"/>
      <c r="V103" s="60"/>
      <c r="W103" s="102"/>
      <c r="X103" s="102"/>
      <c r="Y103" s="102"/>
      <c r="Z103" s="102"/>
      <c r="AA103" s="102"/>
      <c r="AB103" s="102"/>
      <c r="AC103" s="102"/>
      <c r="AD103" s="102"/>
      <c r="AE103" s="102"/>
      <c r="AF103" s="310"/>
      <c r="AG103" s="310"/>
      <c r="AH103" s="310"/>
      <c r="AI103" s="310"/>
      <c r="AJ103" s="96"/>
    </row>
    <row r="104" spans="1:36" s="103" customFormat="1" ht="30" customHeight="1" x14ac:dyDescent="0.25">
      <c r="A104" s="94"/>
      <c r="B104" s="94"/>
      <c r="C104" s="413"/>
      <c r="D104" s="95"/>
      <c r="E104" s="96"/>
      <c r="F104" s="96"/>
      <c r="G104" s="96"/>
      <c r="H104" s="96"/>
      <c r="I104" s="97"/>
      <c r="J104" s="98"/>
      <c r="K104" s="98"/>
      <c r="L104" s="99"/>
      <c r="M104" s="72"/>
      <c r="N104" s="100"/>
      <c r="O104" s="101"/>
      <c r="P104" s="316"/>
      <c r="Q104" s="75"/>
      <c r="R104" s="76"/>
      <c r="S104" s="72"/>
      <c r="T104" s="60"/>
      <c r="U104" s="60"/>
      <c r="V104" s="60"/>
      <c r="W104" s="102"/>
      <c r="X104" s="102"/>
      <c r="Y104" s="102"/>
      <c r="Z104" s="102"/>
      <c r="AA104" s="102"/>
      <c r="AB104" s="102"/>
      <c r="AC104" s="102"/>
      <c r="AD104" s="102"/>
      <c r="AE104" s="102"/>
      <c r="AF104" s="310"/>
      <c r="AG104" s="310"/>
      <c r="AH104" s="310"/>
      <c r="AI104" s="310"/>
      <c r="AJ104" s="96"/>
    </row>
    <row r="105" spans="1:36" s="103" customFormat="1" ht="30" customHeight="1" x14ac:dyDescent="0.25">
      <c r="A105" s="94"/>
      <c r="B105" s="94"/>
      <c r="C105" s="413"/>
      <c r="D105" s="95"/>
      <c r="E105" s="96"/>
      <c r="F105" s="96"/>
      <c r="G105" s="96"/>
      <c r="H105" s="96"/>
      <c r="I105" s="97"/>
      <c r="J105" s="98"/>
      <c r="K105" s="98"/>
      <c r="L105" s="99"/>
      <c r="M105" s="72"/>
      <c r="N105" s="100"/>
      <c r="O105" s="101"/>
      <c r="P105" s="316"/>
      <c r="Q105" s="75"/>
      <c r="R105" s="76"/>
      <c r="S105" s="72"/>
      <c r="T105" s="60"/>
      <c r="U105" s="60"/>
      <c r="V105" s="60"/>
      <c r="W105" s="102"/>
      <c r="X105" s="102"/>
      <c r="Y105" s="102"/>
      <c r="Z105" s="102"/>
      <c r="AA105" s="102"/>
      <c r="AB105" s="102"/>
      <c r="AC105" s="102"/>
      <c r="AD105" s="102"/>
      <c r="AE105" s="102"/>
      <c r="AF105" s="310"/>
      <c r="AG105" s="310"/>
      <c r="AH105" s="310"/>
      <c r="AI105" s="310"/>
      <c r="AJ105" s="96"/>
    </row>
    <row r="106" spans="1:36" s="103" customFormat="1" ht="30" customHeight="1" x14ac:dyDescent="0.25">
      <c r="A106" s="94"/>
      <c r="B106" s="94"/>
      <c r="C106" s="413"/>
      <c r="D106" s="95"/>
      <c r="E106" s="96"/>
      <c r="F106" s="96"/>
      <c r="G106" s="96"/>
      <c r="H106" s="96"/>
      <c r="I106" s="97"/>
      <c r="J106" s="98"/>
      <c r="K106" s="98"/>
      <c r="L106" s="99"/>
      <c r="M106" s="72"/>
      <c r="N106" s="100"/>
      <c r="O106" s="101"/>
      <c r="P106" s="316"/>
      <c r="Q106" s="75"/>
      <c r="R106" s="76"/>
      <c r="S106" s="72"/>
      <c r="T106" s="60"/>
      <c r="U106" s="60"/>
      <c r="V106" s="60"/>
      <c r="W106" s="102"/>
      <c r="X106" s="102"/>
      <c r="Y106" s="102"/>
      <c r="Z106" s="102"/>
      <c r="AA106" s="102"/>
      <c r="AB106" s="102"/>
      <c r="AC106" s="102"/>
      <c r="AD106" s="102"/>
      <c r="AE106" s="102"/>
      <c r="AF106" s="310"/>
      <c r="AG106" s="310"/>
      <c r="AH106" s="310"/>
      <c r="AI106" s="310"/>
      <c r="AJ106" s="96"/>
    </row>
    <row r="107" spans="1:36" s="103" customFormat="1" ht="30" customHeight="1" x14ac:dyDescent="0.25">
      <c r="A107" s="94"/>
      <c r="B107" s="94"/>
      <c r="C107" s="413"/>
      <c r="D107" s="95"/>
      <c r="E107" s="96"/>
      <c r="F107" s="96"/>
      <c r="G107" s="96"/>
      <c r="H107" s="96"/>
      <c r="I107" s="97"/>
      <c r="J107" s="98"/>
      <c r="K107" s="98"/>
      <c r="L107" s="99"/>
      <c r="M107" s="72"/>
      <c r="N107" s="100"/>
      <c r="O107" s="101"/>
      <c r="P107" s="316"/>
      <c r="Q107" s="75"/>
      <c r="R107" s="76"/>
      <c r="S107" s="72"/>
      <c r="T107" s="60"/>
      <c r="U107" s="60"/>
      <c r="V107" s="60"/>
      <c r="W107" s="102"/>
      <c r="X107" s="102"/>
      <c r="Y107" s="102"/>
      <c r="Z107" s="102"/>
      <c r="AA107" s="102"/>
      <c r="AB107" s="102"/>
      <c r="AC107" s="102"/>
      <c r="AD107" s="102"/>
      <c r="AE107" s="102"/>
      <c r="AF107" s="310"/>
      <c r="AG107" s="310"/>
      <c r="AH107" s="310"/>
      <c r="AI107" s="310"/>
      <c r="AJ107" s="96"/>
    </row>
    <row r="108" spans="1:36" s="103" customFormat="1" ht="30" customHeight="1" x14ac:dyDescent="0.25">
      <c r="A108" s="94"/>
      <c r="B108" s="94"/>
      <c r="C108" s="413"/>
      <c r="D108" s="95"/>
      <c r="E108" s="96"/>
      <c r="F108" s="96"/>
      <c r="G108" s="96"/>
      <c r="H108" s="96"/>
      <c r="I108" s="97"/>
      <c r="J108" s="98"/>
      <c r="K108" s="98"/>
      <c r="L108" s="99"/>
      <c r="M108" s="72"/>
      <c r="N108" s="100"/>
      <c r="O108" s="101"/>
      <c r="P108" s="316"/>
      <c r="Q108" s="75"/>
      <c r="R108" s="76"/>
      <c r="S108" s="72"/>
      <c r="T108" s="60"/>
      <c r="U108" s="60"/>
      <c r="V108" s="60"/>
      <c r="W108" s="102"/>
      <c r="X108" s="102"/>
      <c r="Y108" s="102"/>
      <c r="Z108" s="102"/>
      <c r="AA108" s="102"/>
      <c r="AB108" s="102"/>
      <c r="AC108" s="102"/>
      <c r="AD108" s="102"/>
      <c r="AE108" s="102"/>
      <c r="AF108" s="310"/>
      <c r="AG108" s="310"/>
      <c r="AH108" s="310"/>
      <c r="AI108" s="310"/>
      <c r="AJ108" s="96"/>
    </row>
    <row r="109" spans="1:36" s="103" customFormat="1" ht="30" customHeight="1" x14ac:dyDescent="0.25">
      <c r="A109" s="94"/>
      <c r="B109" s="94"/>
      <c r="C109" s="413"/>
      <c r="D109" s="95"/>
      <c r="E109" s="96"/>
      <c r="F109" s="96"/>
      <c r="G109" s="96"/>
      <c r="H109" s="96"/>
      <c r="I109" s="97"/>
      <c r="J109" s="98"/>
      <c r="K109" s="98"/>
      <c r="L109" s="99"/>
      <c r="M109" s="72"/>
      <c r="N109" s="100"/>
      <c r="O109" s="101"/>
      <c r="P109" s="316"/>
      <c r="Q109" s="75"/>
      <c r="R109" s="76"/>
      <c r="S109" s="72"/>
      <c r="T109" s="60"/>
      <c r="U109" s="60"/>
      <c r="V109" s="60"/>
      <c r="W109" s="102"/>
      <c r="X109" s="102"/>
      <c r="Y109" s="102"/>
      <c r="Z109" s="102"/>
      <c r="AA109" s="102"/>
      <c r="AB109" s="102"/>
      <c r="AC109" s="102"/>
      <c r="AD109" s="102"/>
      <c r="AE109" s="102"/>
      <c r="AF109" s="310"/>
      <c r="AG109" s="310"/>
      <c r="AH109" s="310"/>
      <c r="AI109" s="310"/>
      <c r="AJ109" s="96"/>
    </row>
    <row r="110" spans="1:36" s="103" customFormat="1" ht="30" customHeight="1" x14ac:dyDescent="0.25">
      <c r="A110" s="94"/>
      <c r="B110" s="94"/>
      <c r="C110" s="413"/>
      <c r="D110" s="95"/>
      <c r="E110" s="96"/>
      <c r="F110" s="96"/>
      <c r="G110" s="96"/>
      <c r="H110" s="96"/>
      <c r="I110" s="97"/>
      <c r="J110" s="98"/>
      <c r="K110" s="98"/>
      <c r="L110" s="99"/>
      <c r="M110" s="72"/>
      <c r="N110" s="100"/>
      <c r="O110" s="101"/>
      <c r="P110" s="316"/>
      <c r="Q110" s="75"/>
      <c r="R110" s="76"/>
      <c r="S110" s="72"/>
      <c r="T110" s="60"/>
      <c r="U110" s="60"/>
      <c r="V110" s="60"/>
      <c r="W110" s="102"/>
      <c r="X110" s="102"/>
      <c r="Y110" s="102"/>
      <c r="Z110" s="102"/>
      <c r="AA110" s="102"/>
      <c r="AB110" s="102"/>
      <c r="AC110" s="102"/>
      <c r="AD110" s="102"/>
      <c r="AE110" s="102"/>
      <c r="AF110" s="310"/>
      <c r="AG110" s="310"/>
      <c r="AH110" s="310"/>
      <c r="AI110" s="310"/>
      <c r="AJ110" s="96"/>
    </row>
    <row r="111" spans="1:36" s="103" customFormat="1" ht="30" customHeight="1" x14ac:dyDescent="0.25">
      <c r="A111" s="94"/>
      <c r="B111" s="94"/>
      <c r="C111" s="413"/>
      <c r="D111" s="95"/>
      <c r="E111" s="96"/>
      <c r="F111" s="96"/>
      <c r="G111" s="96"/>
      <c r="H111" s="96"/>
      <c r="I111" s="97"/>
      <c r="J111" s="98"/>
      <c r="K111" s="98"/>
      <c r="L111" s="99"/>
      <c r="M111" s="72"/>
      <c r="N111" s="100"/>
      <c r="O111" s="101"/>
      <c r="P111" s="316"/>
      <c r="Q111" s="75"/>
      <c r="R111" s="76"/>
      <c r="S111" s="72"/>
      <c r="T111" s="60"/>
      <c r="U111" s="60"/>
      <c r="V111" s="60"/>
      <c r="W111" s="102"/>
      <c r="X111" s="102"/>
      <c r="Y111" s="102"/>
      <c r="Z111" s="102"/>
      <c r="AA111" s="102"/>
      <c r="AB111" s="102"/>
      <c r="AC111" s="102"/>
      <c r="AD111" s="102"/>
      <c r="AE111" s="102"/>
      <c r="AF111" s="310"/>
      <c r="AG111" s="310"/>
      <c r="AH111" s="310"/>
      <c r="AI111" s="310"/>
      <c r="AJ111" s="96"/>
    </row>
    <row r="112" spans="1:36" s="103" customFormat="1" ht="30" customHeight="1" x14ac:dyDescent="0.25">
      <c r="A112" s="94"/>
      <c r="B112" s="94"/>
      <c r="C112" s="413"/>
      <c r="D112" s="95"/>
      <c r="E112" s="96"/>
      <c r="F112" s="96"/>
      <c r="G112" s="96"/>
      <c r="H112" s="96"/>
      <c r="I112" s="97"/>
      <c r="J112" s="98"/>
      <c r="K112" s="98"/>
      <c r="L112" s="99"/>
      <c r="M112" s="72"/>
      <c r="N112" s="100"/>
      <c r="O112" s="101"/>
      <c r="P112" s="316"/>
      <c r="Q112" s="75"/>
      <c r="R112" s="76"/>
      <c r="S112" s="72"/>
      <c r="T112" s="60"/>
      <c r="U112" s="60"/>
      <c r="V112" s="60"/>
      <c r="W112" s="102"/>
      <c r="X112" s="102"/>
      <c r="Y112" s="102"/>
      <c r="Z112" s="102"/>
      <c r="AA112" s="102"/>
      <c r="AB112" s="102"/>
      <c r="AC112" s="102"/>
      <c r="AD112" s="102"/>
      <c r="AE112" s="102"/>
      <c r="AF112" s="310"/>
      <c r="AG112" s="310"/>
      <c r="AH112" s="310"/>
      <c r="AI112" s="310"/>
      <c r="AJ112" s="96"/>
    </row>
    <row r="113" spans="1:36" s="103" customFormat="1" ht="30" customHeight="1" x14ac:dyDescent="0.25">
      <c r="A113" s="94"/>
      <c r="B113" s="94"/>
      <c r="C113" s="413"/>
      <c r="D113" s="95"/>
      <c r="E113" s="96"/>
      <c r="F113" s="96"/>
      <c r="G113" s="96"/>
      <c r="H113" s="96"/>
      <c r="I113" s="97"/>
      <c r="J113" s="98"/>
      <c r="K113" s="98"/>
      <c r="L113" s="99"/>
      <c r="M113" s="72"/>
      <c r="N113" s="100"/>
      <c r="O113" s="101"/>
      <c r="P113" s="316"/>
      <c r="Q113" s="75"/>
      <c r="R113" s="76"/>
      <c r="S113" s="72"/>
      <c r="T113" s="60"/>
      <c r="U113" s="60"/>
      <c r="V113" s="60"/>
      <c r="W113" s="102"/>
      <c r="X113" s="102"/>
      <c r="Y113" s="102"/>
      <c r="Z113" s="102"/>
      <c r="AA113" s="102"/>
      <c r="AB113" s="102"/>
      <c r="AC113" s="102"/>
      <c r="AD113" s="102"/>
      <c r="AE113" s="102"/>
      <c r="AF113" s="310"/>
      <c r="AG113" s="310"/>
      <c r="AH113" s="310"/>
      <c r="AI113" s="310"/>
      <c r="AJ113" s="96"/>
    </row>
    <row r="114" spans="1:36" s="103" customFormat="1" ht="30" customHeight="1" x14ac:dyDescent="0.25">
      <c r="A114" s="94"/>
      <c r="B114" s="94"/>
      <c r="C114" s="413"/>
      <c r="D114" s="95"/>
      <c r="E114" s="96"/>
      <c r="F114" s="96"/>
      <c r="G114" s="96"/>
      <c r="H114" s="96"/>
      <c r="I114" s="97"/>
      <c r="J114" s="98"/>
      <c r="K114" s="98"/>
      <c r="L114" s="99"/>
      <c r="M114" s="72"/>
      <c r="N114" s="100"/>
      <c r="O114" s="101"/>
      <c r="P114" s="316"/>
      <c r="Q114" s="75"/>
      <c r="R114" s="76"/>
      <c r="S114" s="72"/>
      <c r="T114" s="60"/>
      <c r="U114" s="60"/>
      <c r="V114" s="60"/>
      <c r="W114" s="102"/>
      <c r="X114" s="102"/>
      <c r="Y114" s="102"/>
      <c r="Z114" s="102"/>
      <c r="AA114" s="102"/>
      <c r="AB114" s="102"/>
      <c r="AC114" s="102"/>
      <c r="AD114" s="102"/>
      <c r="AE114" s="102"/>
      <c r="AF114" s="310"/>
      <c r="AG114" s="310"/>
      <c r="AH114" s="310"/>
      <c r="AI114" s="310"/>
      <c r="AJ114" s="96"/>
    </row>
    <row r="115" spans="1:36" s="103" customFormat="1" ht="30" customHeight="1" x14ac:dyDescent="0.25">
      <c r="A115" s="94"/>
      <c r="B115" s="94"/>
      <c r="C115" s="413"/>
      <c r="D115" s="95"/>
      <c r="E115" s="96"/>
      <c r="F115" s="96"/>
      <c r="G115" s="96"/>
      <c r="H115" s="96"/>
      <c r="I115" s="97"/>
      <c r="J115" s="98"/>
      <c r="K115" s="98"/>
      <c r="L115" s="99"/>
      <c r="M115" s="72"/>
      <c r="N115" s="100"/>
      <c r="O115" s="101"/>
      <c r="P115" s="316"/>
      <c r="Q115" s="75"/>
      <c r="R115" s="76"/>
      <c r="S115" s="72"/>
      <c r="T115" s="60"/>
      <c r="U115" s="60"/>
      <c r="V115" s="60"/>
      <c r="W115" s="102"/>
      <c r="X115" s="102"/>
      <c r="Y115" s="102"/>
      <c r="Z115" s="102"/>
      <c r="AA115" s="102"/>
      <c r="AB115" s="102"/>
      <c r="AC115" s="102"/>
      <c r="AD115" s="102"/>
      <c r="AE115" s="102"/>
      <c r="AF115" s="310"/>
      <c r="AG115" s="310"/>
      <c r="AH115" s="310"/>
      <c r="AI115" s="310"/>
      <c r="AJ115" s="96"/>
    </row>
    <row r="116" spans="1:36" s="103" customFormat="1" ht="30" customHeight="1" x14ac:dyDescent="0.25">
      <c r="A116" s="94"/>
      <c r="B116" s="94"/>
      <c r="C116" s="413"/>
      <c r="D116" s="95"/>
      <c r="E116" s="96"/>
      <c r="F116" s="96"/>
      <c r="G116" s="96"/>
      <c r="H116" s="96"/>
      <c r="I116" s="97"/>
      <c r="J116" s="98"/>
      <c r="K116" s="98"/>
      <c r="L116" s="99"/>
      <c r="M116" s="72"/>
      <c r="N116" s="100"/>
      <c r="O116" s="101"/>
      <c r="P116" s="316"/>
      <c r="Q116" s="75"/>
      <c r="R116" s="76"/>
      <c r="S116" s="72"/>
      <c r="T116" s="60"/>
      <c r="U116" s="60"/>
      <c r="V116" s="60"/>
      <c r="W116" s="102"/>
      <c r="X116" s="102"/>
      <c r="Y116" s="102"/>
      <c r="Z116" s="102"/>
      <c r="AA116" s="102"/>
      <c r="AB116" s="102"/>
      <c r="AC116" s="102"/>
      <c r="AD116" s="102"/>
      <c r="AE116" s="102"/>
      <c r="AF116" s="310"/>
      <c r="AG116" s="310"/>
      <c r="AH116" s="310"/>
      <c r="AI116" s="310"/>
      <c r="AJ116" s="96"/>
    </row>
    <row r="117" spans="1:36" s="103" customFormat="1" ht="30" customHeight="1" x14ac:dyDescent="0.25">
      <c r="A117" s="94"/>
      <c r="B117" s="94"/>
      <c r="C117" s="413"/>
      <c r="D117" s="95"/>
      <c r="E117" s="96"/>
      <c r="F117" s="96"/>
      <c r="G117" s="96"/>
      <c r="H117" s="96"/>
      <c r="I117" s="97"/>
      <c r="J117" s="98"/>
      <c r="K117" s="98"/>
      <c r="L117" s="99"/>
      <c r="M117" s="72"/>
      <c r="N117" s="100"/>
      <c r="O117" s="101"/>
      <c r="P117" s="316"/>
      <c r="Q117" s="75"/>
      <c r="R117" s="76"/>
      <c r="S117" s="72"/>
      <c r="T117" s="60"/>
      <c r="U117" s="60"/>
      <c r="V117" s="60"/>
      <c r="W117" s="102"/>
      <c r="X117" s="102"/>
      <c r="Y117" s="102"/>
      <c r="Z117" s="102"/>
      <c r="AA117" s="102"/>
      <c r="AB117" s="102"/>
      <c r="AC117" s="102"/>
      <c r="AD117" s="102"/>
      <c r="AE117" s="102"/>
      <c r="AF117" s="310"/>
      <c r="AG117" s="310"/>
      <c r="AH117" s="310"/>
      <c r="AI117" s="310"/>
      <c r="AJ117" s="96"/>
    </row>
    <row r="118" spans="1:36" s="103" customFormat="1" ht="30" customHeight="1" x14ac:dyDescent="0.25">
      <c r="A118" s="94"/>
      <c r="B118" s="94"/>
      <c r="C118" s="413"/>
      <c r="D118" s="95"/>
      <c r="E118" s="96"/>
      <c r="F118" s="96"/>
      <c r="G118" s="96"/>
      <c r="H118" s="96"/>
      <c r="I118" s="97"/>
      <c r="J118" s="98"/>
      <c r="K118" s="98"/>
      <c r="L118" s="99"/>
      <c r="M118" s="72"/>
      <c r="N118" s="100"/>
      <c r="O118" s="101"/>
      <c r="P118" s="316"/>
      <c r="Q118" s="75"/>
      <c r="R118" s="76"/>
      <c r="S118" s="72"/>
      <c r="T118" s="60"/>
      <c r="U118" s="60"/>
      <c r="V118" s="60"/>
      <c r="W118" s="102"/>
      <c r="X118" s="102"/>
      <c r="Y118" s="102"/>
      <c r="Z118" s="102"/>
      <c r="AA118" s="102"/>
      <c r="AB118" s="102"/>
      <c r="AC118" s="102"/>
      <c r="AD118" s="102"/>
      <c r="AE118" s="102"/>
      <c r="AF118" s="310"/>
      <c r="AG118" s="310"/>
      <c r="AH118" s="310"/>
      <c r="AI118" s="310"/>
      <c r="AJ118" s="96"/>
    </row>
    <row r="119" spans="1:36" s="103" customFormat="1" ht="30" customHeight="1" x14ac:dyDescent="0.25">
      <c r="A119" s="94"/>
      <c r="B119" s="94"/>
      <c r="C119" s="413"/>
      <c r="D119" s="95"/>
      <c r="E119" s="96"/>
      <c r="F119" s="96"/>
      <c r="G119" s="96"/>
      <c r="H119" s="96"/>
      <c r="I119" s="97"/>
      <c r="J119" s="98"/>
      <c r="K119" s="98"/>
      <c r="L119" s="99"/>
      <c r="M119" s="72"/>
      <c r="N119" s="100"/>
      <c r="O119" s="101"/>
      <c r="P119" s="316"/>
      <c r="Q119" s="75"/>
      <c r="R119" s="76"/>
      <c r="S119" s="72"/>
      <c r="T119" s="60"/>
      <c r="U119" s="60"/>
      <c r="V119" s="60"/>
      <c r="W119" s="102"/>
      <c r="X119" s="102"/>
      <c r="Y119" s="102"/>
      <c r="Z119" s="102"/>
      <c r="AA119" s="102"/>
      <c r="AB119" s="102"/>
      <c r="AC119" s="102"/>
      <c r="AD119" s="102"/>
      <c r="AE119" s="102"/>
      <c r="AF119" s="310"/>
      <c r="AG119" s="310"/>
      <c r="AH119" s="310"/>
      <c r="AI119" s="310"/>
      <c r="AJ119" s="96"/>
    </row>
    <row r="120" spans="1:36" s="103" customFormat="1" ht="30" customHeight="1" x14ac:dyDescent="0.25">
      <c r="A120" s="94"/>
      <c r="B120" s="94"/>
      <c r="C120" s="413"/>
      <c r="D120" s="95"/>
      <c r="E120" s="96"/>
      <c r="F120" s="96"/>
      <c r="G120" s="96"/>
      <c r="H120" s="96"/>
      <c r="I120" s="97"/>
      <c r="J120" s="98"/>
      <c r="K120" s="98"/>
      <c r="L120" s="99"/>
      <c r="M120" s="72"/>
      <c r="N120" s="100"/>
      <c r="O120" s="101"/>
      <c r="P120" s="316"/>
      <c r="Q120" s="75"/>
      <c r="R120" s="76"/>
      <c r="S120" s="72"/>
      <c r="T120" s="60"/>
      <c r="U120" s="60"/>
      <c r="V120" s="60"/>
      <c r="W120" s="102"/>
      <c r="X120" s="102"/>
      <c r="Y120" s="102"/>
      <c r="Z120" s="102"/>
      <c r="AA120" s="102"/>
      <c r="AB120" s="102"/>
      <c r="AC120" s="102"/>
      <c r="AD120" s="102"/>
      <c r="AE120" s="102"/>
      <c r="AF120" s="310"/>
      <c r="AG120" s="310"/>
      <c r="AH120" s="310"/>
      <c r="AI120" s="310"/>
      <c r="AJ120" s="96"/>
    </row>
    <row r="121" spans="1:36" s="103" customFormat="1" ht="30" customHeight="1" x14ac:dyDescent="0.25">
      <c r="A121" s="94"/>
      <c r="B121" s="94"/>
      <c r="C121" s="413"/>
      <c r="D121" s="95"/>
      <c r="E121" s="96"/>
      <c r="F121" s="96"/>
      <c r="G121" s="96"/>
      <c r="H121" s="96"/>
      <c r="I121" s="97"/>
      <c r="J121" s="98"/>
      <c r="K121" s="98"/>
      <c r="L121" s="99"/>
      <c r="M121" s="72"/>
      <c r="N121" s="100"/>
      <c r="O121" s="101"/>
      <c r="P121" s="316"/>
      <c r="Q121" s="75"/>
      <c r="R121" s="76"/>
      <c r="S121" s="72"/>
      <c r="T121" s="60"/>
      <c r="U121" s="60"/>
      <c r="V121" s="60"/>
      <c r="W121" s="102"/>
      <c r="X121" s="102"/>
      <c r="Y121" s="102"/>
      <c r="Z121" s="102"/>
      <c r="AA121" s="102"/>
      <c r="AB121" s="102"/>
      <c r="AC121" s="102"/>
      <c r="AD121" s="102"/>
      <c r="AE121" s="102"/>
      <c r="AF121" s="310"/>
      <c r="AG121" s="310"/>
      <c r="AH121" s="310"/>
      <c r="AI121" s="310"/>
      <c r="AJ121" s="96"/>
    </row>
    <row r="122" spans="1:36" s="103" customFormat="1" ht="30" customHeight="1" x14ac:dyDescent="0.25">
      <c r="A122" s="94"/>
      <c r="B122" s="94"/>
      <c r="C122" s="413"/>
      <c r="D122" s="95"/>
      <c r="E122" s="96"/>
      <c r="F122" s="96"/>
      <c r="G122" s="96"/>
      <c r="H122" s="96"/>
      <c r="I122" s="97"/>
      <c r="J122" s="98"/>
      <c r="K122" s="98"/>
      <c r="L122" s="99"/>
      <c r="M122" s="72"/>
      <c r="N122" s="100"/>
      <c r="O122" s="101"/>
      <c r="P122" s="316"/>
      <c r="Q122" s="75"/>
      <c r="R122" s="76"/>
      <c r="S122" s="72"/>
      <c r="T122" s="60"/>
      <c r="U122" s="60"/>
      <c r="V122" s="60"/>
      <c r="W122" s="102"/>
      <c r="X122" s="102"/>
      <c r="Y122" s="102"/>
      <c r="Z122" s="102"/>
      <c r="AA122" s="102"/>
      <c r="AB122" s="102"/>
      <c r="AC122" s="102"/>
      <c r="AD122" s="102"/>
      <c r="AE122" s="102"/>
      <c r="AF122" s="310"/>
      <c r="AG122" s="310"/>
      <c r="AH122" s="310"/>
      <c r="AI122" s="310"/>
      <c r="AJ122" s="96"/>
    </row>
    <row r="123" spans="1:36" s="103" customFormat="1" ht="30" customHeight="1" x14ac:dyDescent="0.25">
      <c r="A123" s="94"/>
      <c r="B123" s="94"/>
      <c r="C123" s="413"/>
      <c r="D123" s="95"/>
      <c r="E123" s="96"/>
      <c r="F123" s="96"/>
      <c r="G123" s="96"/>
      <c r="H123" s="96"/>
      <c r="I123" s="97"/>
      <c r="J123" s="98"/>
      <c r="K123" s="98"/>
      <c r="L123" s="99"/>
      <c r="M123" s="72"/>
      <c r="N123" s="100"/>
      <c r="O123" s="101"/>
      <c r="P123" s="316"/>
      <c r="Q123" s="75"/>
      <c r="R123" s="76"/>
      <c r="S123" s="72"/>
      <c r="T123" s="60"/>
      <c r="U123" s="60"/>
      <c r="V123" s="60"/>
      <c r="W123" s="102"/>
      <c r="X123" s="102"/>
      <c r="Y123" s="102"/>
      <c r="Z123" s="102"/>
      <c r="AA123" s="102"/>
      <c r="AB123" s="102"/>
      <c r="AC123" s="102"/>
      <c r="AD123" s="102"/>
      <c r="AE123" s="102"/>
      <c r="AF123" s="310"/>
      <c r="AG123" s="310"/>
      <c r="AH123" s="310"/>
      <c r="AI123" s="310"/>
      <c r="AJ123" s="96"/>
    </row>
    <row r="124" spans="1:36" s="103" customFormat="1" ht="65.099999999999994" customHeight="1" x14ac:dyDescent="0.25">
      <c r="A124" s="94"/>
      <c r="B124" s="94"/>
      <c r="C124" s="413"/>
      <c r="D124" s="95"/>
      <c r="E124" s="96"/>
      <c r="F124" s="96"/>
      <c r="G124" s="96"/>
      <c r="H124" s="96"/>
      <c r="I124" s="97"/>
      <c r="J124" s="98"/>
      <c r="K124" s="98"/>
      <c r="L124" s="99"/>
      <c r="M124" s="72"/>
      <c r="N124" s="100"/>
      <c r="O124" s="101"/>
      <c r="P124" s="316"/>
      <c r="Q124" s="75"/>
      <c r="R124" s="76"/>
      <c r="S124" s="72"/>
      <c r="T124" s="60"/>
      <c r="U124" s="60"/>
      <c r="V124" s="60"/>
      <c r="W124" s="102"/>
      <c r="X124" s="102"/>
      <c r="Y124" s="102"/>
      <c r="Z124" s="102"/>
      <c r="AA124" s="102"/>
      <c r="AB124" s="102"/>
      <c r="AC124" s="102"/>
      <c r="AD124" s="102"/>
      <c r="AE124" s="102"/>
      <c r="AF124" s="310"/>
      <c r="AG124" s="310"/>
      <c r="AH124" s="310"/>
      <c r="AI124" s="310"/>
      <c r="AJ124" s="96"/>
    </row>
    <row r="125" spans="1:36" s="103" customFormat="1" ht="65.099999999999994" customHeight="1" x14ac:dyDescent="0.25">
      <c r="A125" s="94"/>
      <c r="B125" s="94"/>
      <c r="C125" s="413"/>
      <c r="D125" s="95"/>
      <c r="E125" s="96"/>
      <c r="F125" s="96"/>
      <c r="G125" s="96"/>
      <c r="H125" s="96"/>
      <c r="I125" s="97"/>
      <c r="J125" s="98"/>
      <c r="K125" s="98"/>
      <c r="L125" s="99"/>
      <c r="M125" s="72"/>
      <c r="N125" s="100"/>
      <c r="O125" s="101"/>
      <c r="P125" s="316"/>
      <c r="Q125" s="75"/>
      <c r="R125" s="76"/>
      <c r="S125" s="72"/>
      <c r="T125" s="60"/>
      <c r="U125" s="60"/>
      <c r="V125" s="60"/>
      <c r="W125" s="102"/>
      <c r="X125" s="102"/>
      <c r="Y125" s="102"/>
      <c r="Z125" s="102"/>
      <c r="AA125" s="102"/>
      <c r="AB125" s="102"/>
      <c r="AC125" s="102"/>
      <c r="AD125" s="102"/>
      <c r="AE125" s="102"/>
      <c r="AF125" s="310"/>
      <c r="AG125" s="310"/>
      <c r="AH125" s="310"/>
      <c r="AI125" s="310"/>
      <c r="AJ125" s="96"/>
    </row>
    <row r="126" spans="1:36" s="103" customFormat="1" ht="65.099999999999994" customHeight="1" x14ac:dyDescent="0.25">
      <c r="A126" s="94"/>
      <c r="B126" s="94"/>
      <c r="C126" s="413"/>
      <c r="D126" s="95"/>
      <c r="E126" s="96"/>
      <c r="F126" s="96"/>
      <c r="G126" s="96"/>
      <c r="H126" s="96"/>
      <c r="I126" s="97"/>
      <c r="J126" s="98"/>
      <c r="K126" s="98"/>
      <c r="L126" s="99"/>
      <c r="M126" s="72"/>
      <c r="N126" s="100"/>
      <c r="O126" s="101"/>
      <c r="P126" s="316"/>
      <c r="Q126" s="75"/>
      <c r="R126" s="76"/>
      <c r="S126" s="72"/>
      <c r="T126" s="60"/>
      <c r="U126" s="60"/>
      <c r="V126" s="60"/>
      <c r="W126" s="102"/>
      <c r="X126" s="102"/>
      <c r="Y126" s="102"/>
      <c r="Z126" s="102"/>
      <c r="AA126" s="102"/>
      <c r="AB126" s="102"/>
      <c r="AC126" s="102"/>
      <c r="AD126" s="102"/>
      <c r="AE126" s="102"/>
      <c r="AF126" s="310"/>
      <c r="AG126" s="310"/>
      <c r="AH126" s="310"/>
      <c r="AI126" s="310"/>
      <c r="AJ126" s="96"/>
    </row>
    <row r="127" spans="1:36" s="103" customFormat="1" ht="65.099999999999994" customHeight="1" x14ac:dyDescent="0.25">
      <c r="A127" s="94"/>
      <c r="B127" s="94"/>
      <c r="C127" s="413"/>
      <c r="D127" s="95"/>
      <c r="E127" s="96"/>
      <c r="F127" s="96"/>
      <c r="G127" s="96"/>
      <c r="H127" s="96"/>
      <c r="I127" s="97"/>
      <c r="J127" s="98"/>
      <c r="K127" s="98"/>
      <c r="L127" s="99"/>
      <c r="M127" s="72"/>
      <c r="N127" s="100"/>
      <c r="O127" s="101"/>
      <c r="P127" s="316"/>
      <c r="Q127" s="75"/>
      <c r="R127" s="76"/>
      <c r="S127" s="72"/>
      <c r="T127" s="60"/>
      <c r="U127" s="60"/>
      <c r="V127" s="60"/>
      <c r="W127" s="102"/>
      <c r="X127" s="102"/>
      <c r="Y127" s="102"/>
      <c r="Z127" s="102"/>
      <c r="AA127" s="102"/>
      <c r="AB127" s="102"/>
      <c r="AC127" s="102"/>
      <c r="AD127" s="102"/>
      <c r="AE127" s="102"/>
      <c r="AF127" s="310"/>
      <c r="AG127" s="310"/>
      <c r="AH127" s="310"/>
      <c r="AI127" s="310"/>
      <c r="AJ127" s="96"/>
    </row>
    <row r="128" spans="1:36" s="103" customFormat="1" ht="65.099999999999994" customHeight="1" x14ac:dyDescent="0.25">
      <c r="A128" s="94"/>
      <c r="B128" s="94"/>
      <c r="C128" s="413"/>
      <c r="D128" s="95"/>
      <c r="E128" s="96"/>
      <c r="F128" s="96"/>
      <c r="G128" s="96"/>
      <c r="H128" s="96"/>
      <c r="I128" s="97"/>
      <c r="J128" s="98"/>
      <c r="K128" s="98"/>
      <c r="L128" s="99"/>
      <c r="M128" s="72"/>
      <c r="N128" s="100"/>
      <c r="O128" s="101"/>
      <c r="P128" s="316"/>
      <c r="Q128" s="75"/>
      <c r="R128" s="76"/>
      <c r="S128" s="72"/>
      <c r="T128" s="60"/>
      <c r="U128" s="60"/>
      <c r="V128" s="60"/>
      <c r="W128" s="102"/>
      <c r="X128" s="102"/>
      <c r="Y128" s="102"/>
      <c r="Z128" s="102"/>
      <c r="AA128" s="102"/>
      <c r="AB128" s="102"/>
      <c r="AC128" s="102"/>
      <c r="AD128" s="102"/>
      <c r="AE128" s="102"/>
      <c r="AF128" s="310"/>
      <c r="AG128" s="310"/>
      <c r="AH128" s="310"/>
      <c r="AI128" s="310"/>
      <c r="AJ128" s="96"/>
    </row>
    <row r="129" spans="1:36" s="103" customFormat="1" ht="65.099999999999994" customHeight="1" x14ac:dyDescent="0.25">
      <c r="A129" s="94"/>
      <c r="B129" s="94"/>
      <c r="C129" s="413"/>
      <c r="D129" s="95"/>
      <c r="E129" s="96"/>
      <c r="F129" s="96"/>
      <c r="G129" s="96"/>
      <c r="H129" s="96"/>
      <c r="I129" s="97"/>
      <c r="J129" s="98"/>
      <c r="K129" s="98"/>
      <c r="L129" s="99"/>
      <c r="M129" s="72"/>
      <c r="N129" s="100"/>
      <c r="O129" s="101"/>
      <c r="P129" s="316"/>
      <c r="Q129" s="75"/>
      <c r="R129" s="76"/>
      <c r="S129" s="72"/>
      <c r="T129" s="60"/>
      <c r="U129" s="60"/>
      <c r="V129" s="60"/>
      <c r="W129" s="102"/>
      <c r="X129" s="102"/>
      <c r="Y129" s="102"/>
      <c r="Z129" s="102"/>
      <c r="AA129" s="102"/>
      <c r="AB129" s="102"/>
      <c r="AC129" s="102"/>
      <c r="AD129" s="102"/>
      <c r="AE129" s="102"/>
      <c r="AF129" s="310"/>
      <c r="AG129" s="310"/>
      <c r="AH129" s="310"/>
      <c r="AI129" s="310"/>
      <c r="AJ129" s="96"/>
    </row>
    <row r="130" spans="1:36" s="103" customFormat="1" ht="65.099999999999994" customHeight="1" x14ac:dyDescent="0.25">
      <c r="A130" s="94"/>
      <c r="B130" s="94"/>
      <c r="C130" s="413"/>
      <c r="D130" s="95"/>
      <c r="E130" s="96"/>
      <c r="F130" s="96"/>
      <c r="G130" s="96"/>
      <c r="H130" s="96"/>
      <c r="I130" s="97"/>
      <c r="J130" s="98"/>
      <c r="K130" s="98"/>
      <c r="L130" s="99"/>
      <c r="M130" s="72"/>
      <c r="N130" s="100"/>
      <c r="O130" s="101"/>
      <c r="P130" s="316"/>
      <c r="Q130" s="75"/>
      <c r="R130" s="76"/>
      <c r="S130" s="72"/>
      <c r="T130" s="60"/>
      <c r="U130" s="60"/>
      <c r="V130" s="60"/>
      <c r="W130" s="102"/>
      <c r="X130" s="102"/>
      <c r="Y130" s="102"/>
      <c r="Z130" s="102"/>
      <c r="AA130" s="102"/>
      <c r="AB130" s="102"/>
      <c r="AC130" s="102"/>
      <c r="AD130" s="102"/>
      <c r="AE130" s="102"/>
      <c r="AF130" s="310"/>
      <c r="AG130" s="310"/>
      <c r="AH130" s="310"/>
      <c r="AI130" s="310"/>
      <c r="AJ130" s="96"/>
    </row>
    <row r="131" spans="1:36" s="103" customFormat="1" ht="65.099999999999994" customHeight="1" x14ac:dyDescent="0.25">
      <c r="A131" s="94"/>
      <c r="B131" s="94"/>
      <c r="C131" s="413"/>
      <c r="D131" s="95"/>
      <c r="E131" s="96"/>
      <c r="F131" s="96"/>
      <c r="G131" s="96"/>
      <c r="H131" s="96"/>
      <c r="I131" s="97"/>
      <c r="J131" s="98"/>
      <c r="K131" s="98"/>
      <c r="L131" s="99"/>
      <c r="M131" s="72"/>
      <c r="N131" s="100"/>
      <c r="O131" s="101"/>
      <c r="P131" s="316"/>
      <c r="Q131" s="75"/>
      <c r="R131" s="76"/>
      <c r="S131" s="72"/>
      <c r="T131" s="60"/>
      <c r="U131" s="60"/>
      <c r="V131" s="60"/>
      <c r="W131" s="102"/>
      <c r="X131" s="102"/>
      <c r="Y131" s="102"/>
      <c r="Z131" s="102"/>
      <c r="AA131" s="102"/>
      <c r="AB131" s="102"/>
      <c r="AC131" s="102"/>
      <c r="AD131" s="102"/>
      <c r="AE131" s="102"/>
      <c r="AF131" s="310"/>
      <c r="AG131" s="310"/>
      <c r="AH131" s="310"/>
      <c r="AI131" s="310"/>
      <c r="AJ131" s="96"/>
    </row>
    <row r="132" spans="1:36" s="103" customFormat="1" ht="65.099999999999994" customHeight="1" x14ac:dyDescent="0.25">
      <c r="A132" s="94"/>
      <c r="B132" s="94"/>
      <c r="C132" s="413"/>
      <c r="D132" s="95"/>
      <c r="E132" s="96"/>
      <c r="F132" s="96"/>
      <c r="G132" s="96"/>
      <c r="H132" s="96"/>
      <c r="I132" s="97"/>
      <c r="J132" s="98"/>
      <c r="K132" s="98"/>
      <c r="L132" s="99"/>
      <c r="M132" s="72"/>
      <c r="N132" s="100"/>
      <c r="O132" s="101"/>
      <c r="P132" s="316"/>
      <c r="Q132" s="75"/>
      <c r="R132" s="76"/>
      <c r="S132" s="72"/>
      <c r="T132" s="60"/>
      <c r="U132" s="60"/>
      <c r="V132" s="60"/>
      <c r="W132" s="102"/>
      <c r="X132" s="102"/>
      <c r="Y132" s="102"/>
      <c r="Z132" s="102"/>
      <c r="AA132" s="102"/>
      <c r="AB132" s="102"/>
      <c r="AC132" s="102"/>
      <c r="AD132" s="102"/>
      <c r="AE132" s="102"/>
      <c r="AF132" s="310"/>
      <c r="AG132" s="310"/>
      <c r="AH132" s="310"/>
      <c r="AI132" s="310"/>
      <c r="AJ132" s="96"/>
    </row>
    <row r="133" spans="1:36" s="103" customFormat="1" ht="65.099999999999994" customHeight="1" x14ac:dyDescent="0.25">
      <c r="A133" s="94"/>
      <c r="B133" s="94"/>
      <c r="C133" s="413"/>
      <c r="D133" s="95"/>
      <c r="E133" s="96"/>
      <c r="F133" s="96"/>
      <c r="G133" s="96"/>
      <c r="H133" s="96"/>
      <c r="I133" s="97"/>
      <c r="J133" s="98"/>
      <c r="K133" s="98"/>
      <c r="L133" s="99"/>
      <c r="M133" s="72"/>
      <c r="N133" s="100"/>
      <c r="O133" s="101"/>
      <c r="P133" s="316"/>
      <c r="Q133" s="75"/>
      <c r="R133" s="76"/>
      <c r="S133" s="72"/>
      <c r="T133" s="60"/>
      <c r="U133" s="60"/>
      <c r="V133" s="60"/>
      <c r="W133" s="102"/>
      <c r="X133" s="102"/>
      <c r="Y133" s="102"/>
      <c r="Z133" s="102"/>
      <c r="AA133" s="102"/>
      <c r="AB133" s="102"/>
      <c r="AC133" s="102"/>
      <c r="AD133" s="102"/>
      <c r="AE133" s="102"/>
      <c r="AF133" s="310"/>
      <c r="AG133" s="310"/>
      <c r="AH133" s="310"/>
      <c r="AI133" s="310"/>
      <c r="AJ133" s="96"/>
    </row>
    <row r="134" spans="1:36" s="103" customFormat="1" ht="65.099999999999994" customHeight="1" x14ac:dyDescent="0.25">
      <c r="A134" s="94"/>
      <c r="B134" s="94"/>
      <c r="C134" s="413"/>
      <c r="D134" s="95"/>
      <c r="E134" s="96"/>
      <c r="F134" s="96"/>
      <c r="G134" s="96"/>
      <c r="H134" s="96"/>
      <c r="I134" s="97"/>
      <c r="J134" s="98"/>
      <c r="K134" s="98"/>
      <c r="L134" s="99"/>
      <c r="M134" s="72"/>
      <c r="N134" s="100"/>
      <c r="O134" s="101"/>
      <c r="P134" s="316"/>
      <c r="Q134" s="75"/>
      <c r="R134" s="76"/>
      <c r="S134" s="72"/>
      <c r="T134" s="60"/>
      <c r="U134" s="60"/>
      <c r="V134" s="60"/>
      <c r="W134" s="102"/>
      <c r="X134" s="102"/>
      <c r="Y134" s="102"/>
      <c r="Z134" s="102"/>
      <c r="AA134" s="102"/>
      <c r="AB134" s="102"/>
      <c r="AC134" s="102"/>
      <c r="AD134" s="102"/>
      <c r="AE134" s="102"/>
      <c r="AF134" s="310"/>
      <c r="AG134" s="310"/>
      <c r="AH134" s="310"/>
      <c r="AI134" s="310"/>
      <c r="AJ134" s="96"/>
    </row>
    <row r="135" spans="1:36" s="103" customFormat="1" ht="65.099999999999994" customHeight="1" x14ac:dyDescent="0.25">
      <c r="A135" s="94"/>
      <c r="B135" s="94"/>
      <c r="C135" s="413"/>
      <c r="D135" s="95"/>
      <c r="E135" s="96"/>
      <c r="F135" s="96"/>
      <c r="G135" s="96"/>
      <c r="H135" s="96"/>
      <c r="I135" s="97"/>
      <c r="J135" s="98"/>
      <c r="K135" s="98"/>
      <c r="L135" s="99"/>
      <c r="M135" s="72"/>
      <c r="N135" s="100"/>
      <c r="O135" s="101"/>
      <c r="P135" s="316"/>
      <c r="Q135" s="75"/>
      <c r="R135" s="76"/>
      <c r="S135" s="72"/>
      <c r="T135" s="60"/>
      <c r="U135" s="60"/>
      <c r="V135" s="60"/>
      <c r="W135" s="102"/>
      <c r="X135" s="102"/>
      <c r="Y135" s="102"/>
      <c r="Z135" s="102"/>
      <c r="AA135" s="102"/>
      <c r="AB135" s="102"/>
      <c r="AC135" s="102"/>
      <c r="AD135" s="102"/>
      <c r="AE135" s="102"/>
      <c r="AF135" s="310"/>
      <c r="AG135" s="310"/>
      <c r="AH135" s="310"/>
      <c r="AI135" s="310"/>
      <c r="AJ135" s="96"/>
    </row>
    <row r="136" spans="1:36" s="103" customFormat="1" ht="65.099999999999994" customHeight="1" x14ac:dyDescent="0.25">
      <c r="A136" s="94"/>
      <c r="B136" s="94"/>
      <c r="C136" s="413"/>
      <c r="D136" s="95"/>
      <c r="E136" s="96"/>
      <c r="F136" s="96"/>
      <c r="G136" s="96"/>
      <c r="H136" s="96"/>
      <c r="I136" s="97"/>
      <c r="J136" s="98"/>
      <c r="K136" s="98"/>
      <c r="L136" s="99"/>
      <c r="M136" s="72"/>
      <c r="N136" s="100"/>
      <c r="O136" s="101"/>
      <c r="P136" s="316"/>
      <c r="Q136" s="75"/>
      <c r="R136" s="76"/>
      <c r="S136" s="72"/>
      <c r="T136" s="60"/>
      <c r="U136" s="60"/>
      <c r="V136" s="60"/>
      <c r="W136" s="102"/>
      <c r="X136" s="102"/>
      <c r="Y136" s="102"/>
      <c r="Z136" s="102"/>
      <c r="AA136" s="102"/>
      <c r="AB136" s="102"/>
      <c r="AC136" s="102"/>
      <c r="AD136" s="102"/>
      <c r="AE136" s="102"/>
      <c r="AF136" s="310"/>
      <c r="AG136" s="310"/>
      <c r="AH136" s="310"/>
      <c r="AI136" s="310"/>
      <c r="AJ136" s="96"/>
    </row>
    <row r="137" spans="1:36" s="103" customFormat="1" ht="65.099999999999994" customHeight="1" x14ac:dyDescent="0.25">
      <c r="A137" s="94"/>
      <c r="B137" s="94"/>
      <c r="C137" s="413"/>
      <c r="D137" s="95"/>
      <c r="E137" s="96"/>
      <c r="F137" s="96"/>
      <c r="G137" s="96"/>
      <c r="H137" s="96"/>
      <c r="I137" s="97"/>
      <c r="J137" s="98"/>
      <c r="K137" s="98"/>
      <c r="L137" s="99"/>
      <c r="M137" s="72"/>
      <c r="N137" s="100"/>
      <c r="O137" s="101"/>
      <c r="P137" s="316"/>
      <c r="Q137" s="75"/>
      <c r="R137" s="76"/>
      <c r="S137" s="72"/>
      <c r="T137" s="60"/>
      <c r="U137" s="60"/>
      <c r="V137" s="60"/>
      <c r="W137" s="102"/>
      <c r="X137" s="102"/>
      <c r="Y137" s="102"/>
      <c r="Z137" s="102"/>
      <c r="AA137" s="102"/>
      <c r="AB137" s="102"/>
      <c r="AC137" s="102"/>
      <c r="AD137" s="102"/>
      <c r="AE137" s="102"/>
      <c r="AF137" s="310"/>
      <c r="AG137" s="310"/>
      <c r="AH137" s="310"/>
      <c r="AI137" s="310"/>
      <c r="AJ137" s="96"/>
    </row>
    <row r="138" spans="1:36" s="103" customFormat="1" ht="65.099999999999994" customHeight="1" x14ac:dyDescent="0.25">
      <c r="A138" s="94"/>
      <c r="B138" s="94"/>
      <c r="C138" s="413"/>
      <c r="D138" s="95"/>
      <c r="E138" s="96"/>
      <c r="F138" s="96"/>
      <c r="G138" s="96"/>
      <c r="H138" s="96"/>
      <c r="I138" s="97"/>
      <c r="J138" s="98"/>
      <c r="K138" s="98"/>
      <c r="L138" s="99"/>
      <c r="M138" s="72"/>
      <c r="N138" s="100"/>
      <c r="O138" s="101"/>
      <c r="P138" s="316"/>
      <c r="Q138" s="75"/>
      <c r="R138" s="76"/>
      <c r="S138" s="72"/>
      <c r="T138" s="60"/>
      <c r="U138" s="60"/>
      <c r="V138" s="60"/>
      <c r="W138" s="102"/>
      <c r="X138" s="102"/>
      <c r="Y138" s="102"/>
      <c r="Z138" s="102"/>
      <c r="AA138" s="102"/>
      <c r="AB138" s="102"/>
      <c r="AC138" s="102"/>
      <c r="AD138" s="102"/>
      <c r="AE138" s="102"/>
      <c r="AF138" s="310"/>
      <c r="AG138" s="310"/>
      <c r="AH138" s="310"/>
      <c r="AI138" s="310"/>
      <c r="AJ138" s="96"/>
    </row>
    <row r="139" spans="1:36" s="103" customFormat="1" ht="65.099999999999994" customHeight="1" x14ac:dyDescent="0.25">
      <c r="A139" s="94"/>
      <c r="B139" s="94"/>
      <c r="C139" s="413"/>
      <c r="D139" s="95"/>
      <c r="E139" s="96"/>
      <c r="F139" s="96"/>
      <c r="G139" s="96"/>
      <c r="H139" s="96"/>
      <c r="I139" s="97"/>
      <c r="J139" s="98"/>
      <c r="K139" s="98"/>
      <c r="L139" s="99"/>
      <c r="M139" s="72"/>
      <c r="N139" s="100"/>
      <c r="O139" s="101"/>
      <c r="P139" s="316"/>
      <c r="Q139" s="75"/>
      <c r="R139" s="76"/>
      <c r="S139" s="72"/>
      <c r="T139" s="60"/>
      <c r="U139" s="60"/>
      <c r="V139" s="60"/>
      <c r="W139" s="102"/>
      <c r="X139" s="102"/>
      <c r="Y139" s="102"/>
      <c r="Z139" s="102"/>
      <c r="AA139" s="102"/>
      <c r="AB139" s="102"/>
      <c r="AC139" s="102"/>
      <c r="AD139" s="102"/>
      <c r="AE139" s="102"/>
      <c r="AF139" s="310"/>
      <c r="AG139" s="310"/>
      <c r="AH139" s="310"/>
      <c r="AI139" s="310"/>
      <c r="AJ139" s="96"/>
    </row>
    <row r="140" spans="1:36" s="103" customFormat="1" ht="65.099999999999994" customHeight="1" x14ac:dyDescent="0.25">
      <c r="A140" s="94"/>
      <c r="B140" s="94"/>
      <c r="C140" s="413"/>
      <c r="D140" s="95"/>
      <c r="E140" s="96"/>
      <c r="F140" s="96"/>
      <c r="G140" s="96"/>
      <c r="H140" s="96"/>
      <c r="I140" s="97"/>
      <c r="J140" s="98"/>
      <c r="K140" s="98"/>
      <c r="L140" s="99"/>
      <c r="M140" s="72"/>
      <c r="N140" s="100"/>
      <c r="O140" s="101"/>
      <c r="P140" s="316"/>
      <c r="Q140" s="75"/>
      <c r="R140" s="76"/>
      <c r="S140" s="72"/>
      <c r="T140" s="60"/>
      <c r="U140" s="60"/>
      <c r="V140" s="60"/>
      <c r="W140" s="102"/>
      <c r="X140" s="102"/>
      <c r="Y140" s="102"/>
      <c r="Z140" s="102"/>
      <c r="AA140" s="102"/>
      <c r="AB140" s="102"/>
      <c r="AC140" s="102"/>
      <c r="AD140" s="102"/>
      <c r="AE140" s="102"/>
      <c r="AF140" s="310"/>
      <c r="AG140" s="310"/>
      <c r="AH140" s="310"/>
      <c r="AI140" s="310"/>
      <c r="AJ140" s="96"/>
    </row>
    <row r="141" spans="1:36" s="103" customFormat="1" ht="65.099999999999994" customHeight="1" x14ac:dyDescent="0.25">
      <c r="A141" s="94"/>
      <c r="B141" s="94"/>
      <c r="C141" s="413"/>
      <c r="D141" s="95"/>
      <c r="E141" s="96"/>
      <c r="F141" s="96"/>
      <c r="G141" s="96"/>
      <c r="H141" s="96"/>
      <c r="I141" s="97"/>
      <c r="J141" s="98"/>
      <c r="K141" s="98"/>
      <c r="L141" s="99"/>
      <c r="M141" s="72"/>
      <c r="N141" s="100"/>
      <c r="O141" s="101"/>
      <c r="P141" s="316"/>
      <c r="Q141" s="75"/>
      <c r="R141" s="76"/>
      <c r="S141" s="72"/>
      <c r="T141" s="60"/>
      <c r="U141" s="60"/>
      <c r="V141" s="60"/>
      <c r="W141" s="102"/>
      <c r="X141" s="102"/>
      <c r="Y141" s="102"/>
      <c r="Z141" s="102"/>
      <c r="AA141" s="102"/>
      <c r="AB141" s="102"/>
      <c r="AC141" s="102"/>
      <c r="AD141" s="102"/>
      <c r="AE141" s="102"/>
      <c r="AF141" s="310"/>
      <c r="AG141" s="310"/>
      <c r="AH141" s="310"/>
      <c r="AI141" s="310"/>
      <c r="AJ141" s="96"/>
    </row>
    <row r="142" spans="1:36" s="103" customFormat="1" ht="65.099999999999994" customHeight="1" x14ac:dyDescent="0.25">
      <c r="A142" s="94"/>
      <c r="B142" s="94"/>
      <c r="C142" s="413"/>
      <c r="D142" s="95"/>
      <c r="E142" s="96"/>
      <c r="F142" s="96"/>
      <c r="G142" s="96"/>
      <c r="H142" s="96"/>
      <c r="I142" s="97"/>
      <c r="J142" s="98"/>
      <c r="K142" s="98"/>
      <c r="L142" s="99"/>
      <c r="M142" s="72"/>
      <c r="N142" s="100"/>
      <c r="O142" s="101"/>
      <c r="P142" s="316"/>
      <c r="Q142" s="75"/>
      <c r="R142" s="76"/>
      <c r="S142" s="72"/>
      <c r="T142" s="60"/>
      <c r="U142" s="60"/>
      <c r="V142" s="60"/>
      <c r="W142" s="102"/>
      <c r="X142" s="102"/>
      <c r="Y142" s="102"/>
      <c r="Z142" s="102"/>
      <c r="AA142" s="102"/>
      <c r="AB142" s="102"/>
      <c r="AC142" s="102"/>
      <c r="AD142" s="102"/>
      <c r="AE142" s="102"/>
      <c r="AF142" s="310"/>
      <c r="AG142" s="310"/>
      <c r="AH142" s="310"/>
      <c r="AI142" s="310"/>
      <c r="AJ142" s="96"/>
    </row>
    <row r="143" spans="1:36" s="103" customFormat="1" ht="65.099999999999994" customHeight="1" x14ac:dyDescent="0.25">
      <c r="A143" s="94"/>
      <c r="B143" s="94"/>
      <c r="C143" s="413"/>
      <c r="D143" s="95"/>
      <c r="E143" s="96"/>
      <c r="F143" s="96"/>
      <c r="G143" s="96"/>
      <c r="H143" s="96"/>
      <c r="I143" s="97"/>
      <c r="J143" s="98"/>
      <c r="K143" s="98"/>
      <c r="L143" s="99"/>
      <c r="M143" s="72"/>
      <c r="N143" s="100"/>
      <c r="O143" s="101"/>
      <c r="P143" s="316"/>
      <c r="Q143" s="75"/>
      <c r="R143" s="76"/>
      <c r="S143" s="72"/>
      <c r="T143" s="60"/>
      <c r="U143" s="60"/>
      <c r="V143" s="60"/>
      <c r="W143" s="102"/>
      <c r="X143" s="102"/>
      <c r="Y143" s="102"/>
      <c r="Z143" s="102"/>
      <c r="AA143" s="102"/>
      <c r="AB143" s="102"/>
      <c r="AC143" s="102"/>
      <c r="AD143" s="102"/>
      <c r="AE143" s="102"/>
      <c r="AF143" s="310"/>
      <c r="AG143" s="310"/>
      <c r="AH143" s="310"/>
      <c r="AI143" s="310"/>
      <c r="AJ143" s="96"/>
    </row>
    <row r="144" spans="1:36" s="103" customFormat="1" ht="65.099999999999994" customHeight="1" x14ac:dyDescent="0.25">
      <c r="A144" s="94"/>
      <c r="B144" s="94"/>
      <c r="C144" s="413"/>
      <c r="D144" s="95"/>
      <c r="E144" s="96"/>
      <c r="F144" s="96"/>
      <c r="G144" s="96"/>
      <c r="H144" s="96"/>
      <c r="I144" s="97"/>
      <c r="J144" s="98"/>
      <c r="K144" s="98"/>
      <c r="L144" s="99"/>
      <c r="M144" s="72"/>
      <c r="N144" s="100"/>
      <c r="O144" s="101"/>
      <c r="P144" s="316"/>
      <c r="Q144" s="75"/>
      <c r="R144" s="76"/>
      <c r="S144" s="72"/>
      <c r="T144" s="60"/>
      <c r="U144" s="60"/>
      <c r="V144" s="60"/>
      <c r="W144" s="102"/>
      <c r="X144" s="102"/>
      <c r="Y144" s="102"/>
      <c r="Z144" s="102"/>
      <c r="AA144" s="102"/>
      <c r="AB144" s="102"/>
      <c r="AC144" s="102"/>
      <c r="AD144" s="102"/>
      <c r="AE144" s="102"/>
      <c r="AF144" s="310"/>
      <c r="AG144" s="310"/>
      <c r="AH144" s="310"/>
      <c r="AI144" s="310"/>
      <c r="AJ144" s="96"/>
    </row>
    <row r="145" spans="1:36" s="103" customFormat="1" ht="65.099999999999994" customHeight="1" x14ac:dyDescent="0.25">
      <c r="A145" s="94"/>
      <c r="B145" s="94"/>
      <c r="C145" s="413"/>
      <c r="D145" s="95"/>
      <c r="E145" s="96"/>
      <c r="F145" s="96"/>
      <c r="G145" s="96"/>
      <c r="H145" s="96"/>
      <c r="I145" s="97"/>
      <c r="J145" s="98"/>
      <c r="K145" s="98"/>
      <c r="L145" s="99"/>
      <c r="M145" s="72"/>
      <c r="N145" s="100"/>
      <c r="O145" s="101"/>
      <c r="P145" s="316"/>
      <c r="Q145" s="75"/>
      <c r="R145" s="76"/>
      <c r="S145" s="72"/>
      <c r="T145" s="60"/>
      <c r="U145" s="60"/>
      <c r="V145" s="60"/>
      <c r="W145" s="102"/>
      <c r="X145" s="102"/>
      <c r="Y145" s="102"/>
      <c r="Z145" s="102"/>
      <c r="AA145" s="102"/>
      <c r="AB145" s="102"/>
      <c r="AC145" s="102"/>
      <c r="AD145" s="102"/>
      <c r="AE145" s="102"/>
      <c r="AF145" s="310"/>
      <c r="AG145" s="310"/>
      <c r="AH145" s="310"/>
      <c r="AI145" s="310"/>
      <c r="AJ145" s="96"/>
    </row>
    <row r="146" spans="1:36" s="103" customFormat="1" ht="65.099999999999994" customHeight="1" x14ac:dyDescent="0.25">
      <c r="A146" s="94"/>
      <c r="B146" s="94"/>
      <c r="C146" s="413"/>
      <c r="D146" s="95"/>
      <c r="E146" s="96"/>
      <c r="F146" s="96"/>
      <c r="G146" s="96"/>
      <c r="H146" s="96"/>
      <c r="I146" s="97"/>
      <c r="J146" s="98"/>
      <c r="K146" s="98"/>
      <c r="L146" s="99"/>
      <c r="M146" s="72"/>
      <c r="N146" s="100"/>
      <c r="O146" s="101"/>
      <c r="P146" s="316"/>
      <c r="Q146" s="75"/>
      <c r="R146" s="76"/>
      <c r="S146" s="72"/>
      <c r="T146" s="60"/>
      <c r="U146" s="60"/>
      <c r="V146" s="60"/>
      <c r="W146" s="102"/>
      <c r="X146" s="102"/>
      <c r="Y146" s="102"/>
      <c r="Z146" s="102"/>
      <c r="AA146" s="102"/>
      <c r="AB146" s="102"/>
      <c r="AC146" s="102"/>
      <c r="AD146" s="102"/>
      <c r="AE146" s="102"/>
      <c r="AF146" s="310"/>
      <c r="AG146" s="310"/>
      <c r="AH146" s="310"/>
      <c r="AI146" s="310"/>
      <c r="AJ146" s="96"/>
    </row>
    <row r="147" spans="1:36" s="103" customFormat="1" ht="65.099999999999994" customHeight="1" x14ac:dyDescent="0.25">
      <c r="A147" s="94"/>
      <c r="B147" s="94"/>
      <c r="C147" s="413"/>
      <c r="D147" s="95"/>
      <c r="E147" s="96"/>
      <c r="F147" s="96"/>
      <c r="G147" s="96"/>
      <c r="H147" s="96"/>
      <c r="I147" s="97"/>
      <c r="J147" s="98"/>
      <c r="K147" s="98"/>
      <c r="L147" s="99"/>
      <c r="M147" s="72"/>
      <c r="N147" s="100"/>
      <c r="O147" s="101"/>
      <c r="P147" s="316"/>
      <c r="Q147" s="75"/>
      <c r="R147" s="76"/>
      <c r="S147" s="72"/>
      <c r="T147" s="60"/>
      <c r="U147" s="60"/>
      <c r="V147" s="60"/>
      <c r="W147" s="102"/>
      <c r="X147" s="102"/>
      <c r="Y147" s="102"/>
      <c r="Z147" s="102"/>
      <c r="AA147" s="102"/>
      <c r="AB147" s="102"/>
      <c r="AC147" s="102"/>
      <c r="AD147" s="102"/>
      <c r="AE147" s="102"/>
      <c r="AF147" s="310"/>
      <c r="AG147" s="310"/>
      <c r="AH147" s="310"/>
      <c r="AI147" s="310"/>
      <c r="AJ147" s="96"/>
    </row>
    <row r="148" spans="1:36" s="103" customFormat="1" ht="65.099999999999994" customHeight="1" x14ac:dyDescent="0.25">
      <c r="A148" s="94"/>
      <c r="B148" s="94"/>
      <c r="C148" s="413"/>
      <c r="D148" s="95"/>
      <c r="E148" s="96"/>
      <c r="F148" s="96"/>
      <c r="G148" s="96"/>
      <c r="H148" s="96"/>
      <c r="I148" s="97"/>
      <c r="J148" s="98"/>
      <c r="K148" s="98"/>
      <c r="L148" s="99"/>
      <c r="M148" s="72"/>
      <c r="N148" s="100"/>
      <c r="O148" s="101"/>
      <c r="P148" s="316"/>
      <c r="Q148" s="75"/>
      <c r="R148" s="76"/>
      <c r="S148" s="72"/>
      <c r="T148" s="60"/>
      <c r="U148" s="60"/>
      <c r="V148" s="60"/>
      <c r="W148" s="102"/>
      <c r="X148" s="102"/>
      <c r="Y148" s="102"/>
      <c r="Z148" s="102"/>
      <c r="AA148" s="102"/>
      <c r="AB148" s="102"/>
      <c r="AC148" s="102"/>
      <c r="AD148" s="102"/>
      <c r="AE148" s="102"/>
      <c r="AF148" s="310"/>
      <c r="AG148" s="310"/>
      <c r="AH148" s="310"/>
      <c r="AI148" s="310"/>
      <c r="AJ148" s="96"/>
    </row>
    <row r="149" spans="1:36" s="103" customFormat="1" ht="65.099999999999994" customHeight="1" x14ac:dyDescent="0.25">
      <c r="A149" s="94"/>
      <c r="B149" s="94"/>
      <c r="C149" s="413"/>
      <c r="D149" s="95"/>
      <c r="E149" s="96"/>
      <c r="F149" s="96"/>
      <c r="G149" s="96"/>
      <c r="H149" s="96"/>
      <c r="I149" s="97"/>
      <c r="J149" s="98"/>
      <c r="K149" s="98"/>
      <c r="L149" s="99"/>
      <c r="M149" s="72"/>
      <c r="N149" s="100"/>
      <c r="O149" s="101"/>
      <c r="P149" s="316"/>
      <c r="Q149" s="75"/>
      <c r="R149" s="76"/>
      <c r="S149" s="72"/>
      <c r="T149" s="60"/>
      <c r="U149" s="60"/>
      <c r="V149" s="60"/>
      <c r="W149" s="102"/>
      <c r="X149" s="102"/>
      <c r="Y149" s="102"/>
      <c r="Z149" s="102"/>
      <c r="AA149" s="102"/>
      <c r="AB149" s="102"/>
      <c r="AC149" s="102"/>
      <c r="AD149" s="102"/>
      <c r="AE149" s="102"/>
      <c r="AF149" s="310"/>
      <c r="AG149" s="310"/>
      <c r="AH149" s="310"/>
      <c r="AI149" s="310"/>
      <c r="AJ149" s="96"/>
    </row>
    <row r="150" spans="1:36" s="103" customFormat="1" ht="65.099999999999994" customHeight="1" x14ac:dyDescent="0.25">
      <c r="A150" s="94"/>
      <c r="B150" s="94"/>
      <c r="C150" s="413"/>
      <c r="D150" s="95"/>
      <c r="E150" s="96"/>
      <c r="F150" s="96"/>
      <c r="G150" s="96"/>
      <c r="H150" s="96"/>
      <c r="I150" s="97"/>
      <c r="J150" s="98"/>
      <c r="K150" s="98"/>
      <c r="L150" s="99"/>
      <c r="M150" s="72"/>
      <c r="N150" s="100"/>
      <c r="O150" s="101"/>
      <c r="P150" s="316"/>
      <c r="Q150" s="75"/>
      <c r="R150" s="76"/>
      <c r="S150" s="72"/>
      <c r="T150" s="60"/>
      <c r="U150" s="60"/>
      <c r="V150" s="60"/>
      <c r="W150" s="102"/>
      <c r="X150" s="102"/>
      <c r="Y150" s="102"/>
      <c r="Z150" s="102"/>
      <c r="AA150" s="102"/>
      <c r="AB150" s="102"/>
      <c r="AC150" s="102"/>
      <c r="AD150" s="102"/>
      <c r="AE150" s="102"/>
      <c r="AF150" s="310"/>
      <c r="AG150" s="310"/>
      <c r="AH150" s="310"/>
      <c r="AI150" s="310"/>
      <c r="AJ150" s="96"/>
    </row>
    <row r="151" spans="1:36" s="103" customFormat="1" ht="65.099999999999994" customHeight="1" x14ac:dyDescent="0.25">
      <c r="A151" s="94"/>
      <c r="B151" s="94"/>
      <c r="C151" s="413"/>
      <c r="D151" s="95"/>
      <c r="E151" s="96"/>
      <c r="F151" s="96"/>
      <c r="G151" s="96"/>
      <c r="H151" s="96"/>
      <c r="I151" s="97"/>
      <c r="J151" s="98"/>
      <c r="K151" s="98"/>
      <c r="L151" s="99"/>
      <c r="M151" s="72"/>
      <c r="N151" s="100"/>
      <c r="O151" s="101"/>
      <c r="P151" s="316"/>
      <c r="Q151" s="75"/>
      <c r="R151" s="76"/>
      <c r="S151" s="72"/>
      <c r="T151" s="60"/>
      <c r="U151" s="60"/>
      <c r="V151" s="60"/>
      <c r="W151" s="102"/>
      <c r="X151" s="102"/>
      <c r="Y151" s="102"/>
      <c r="Z151" s="102"/>
      <c r="AA151" s="102"/>
      <c r="AB151" s="102"/>
      <c r="AC151" s="102"/>
      <c r="AD151" s="102"/>
      <c r="AE151" s="102"/>
      <c r="AF151" s="310"/>
      <c r="AG151" s="310"/>
      <c r="AH151" s="310"/>
      <c r="AI151" s="310"/>
      <c r="AJ151" s="96"/>
    </row>
    <row r="152" spans="1:36" s="103" customFormat="1" ht="65.099999999999994" customHeight="1" x14ac:dyDescent="0.25">
      <c r="A152" s="94"/>
      <c r="B152" s="94"/>
      <c r="C152" s="413"/>
      <c r="D152" s="95"/>
      <c r="E152" s="96"/>
      <c r="F152" s="96"/>
      <c r="G152" s="96"/>
      <c r="H152" s="96"/>
      <c r="I152" s="97"/>
      <c r="J152" s="98"/>
      <c r="K152" s="98"/>
      <c r="L152" s="99"/>
      <c r="M152" s="72"/>
      <c r="N152" s="100"/>
      <c r="O152" s="101"/>
      <c r="P152" s="316"/>
      <c r="Q152" s="75"/>
      <c r="R152" s="76"/>
      <c r="S152" s="72"/>
      <c r="T152" s="60"/>
      <c r="U152" s="60"/>
      <c r="V152" s="60"/>
      <c r="W152" s="102"/>
      <c r="X152" s="102"/>
      <c r="Y152" s="102"/>
      <c r="Z152" s="102"/>
      <c r="AA152" s="102"/>
      <c r="AB152" s="102"/>
      <c r="AC152" s="102"/>
      <c r="AD152" s="102"/>
      <c r="AE152" s="102"/>
      <c r="AF152" s="310"/>
      <c r="AG152" s="310"/>
      <c r="AH152" s="310"/>
      <c r="AI152" s="310"/>
      <c r="AJ152" s="96"/>
    </row>
    <row r="153" spans="1:36" s="103" customFormat="1" ht="65.099999999999994" customHeight="1" x14ac:dyDescent="0.25">
      <c r="A153" s="94"/>
      <c r="B153" s="94"/>
      <c r="C153" s="413"/>
      <c r="D153" s="95"/>
      <c r="E153" s="96"/>
      <c r="F153" s="96"/>
      <c r="G153" s="96"/>
      <c r="H153" s="96"/>
      <c r="I153" s="97"/>
      <c r="J153" s="98"/>
      <c r="K153" s="98"/>
      <c r="L153" s="99"/>
      <c r="M153" s="72"/>
      <c r="N153" s="100"/>
      <c r="O153" s="101"/>
      <c r="P153" s="316"/>
      <c r="Q153" s="75"/>
      <c r="R153" s="76"/>
      <c r="S153" s="72"/>
      <c r="T153" s="60"/>
      <c r="U153" s="60"/>
      <c r="V153" s="60"/>
      <c r="W153" s="102"/>
      <c r="X153" s="102"/>
      <c r="Y153" s="102"/>
      <c r="Z153" s="102"/>
      <c r="AA153" s="102"/>
      <c r="AB153" s="102"/>
      <c r="AC153" s="102"/>
      <c r="AD153" s="102"/>
      <c r="AE153" s="102"/>
      <c r="AF153" s="310"/>
      <c r="AG153" s="310"/>
      <c r="AH153" s="310"/>
      <c r="AI153" s="310"/>
      <c r="AJ153" s="96"/>
    </row>
    <row r="154" spans="1:36" s="103" customFormat="1" ht="65.099999999999994" customHeight="1" x14ac:dyDescent="0.25">
      <c r="A154" s="94"/>
      <c r="B154" s="94"/>
      <c r="C154" s="413"/>
      <c r="D154" s="95"/>
      <c r="E154" s="96"/>
      <c r="F154" s="96"/>
      <c r="G154" s="96"/>
      <c r="H154" s="96"/>
      <c r="I154" s="97"/>
      <c r="J154" s="98"/>
      <c r="K154" s="98"/>
      <c r="L154" s="99"/>
      <c r="M154" s="72"/>
      <c r="N154" s="100"/>
      <c r="O154" s="101"/>
      <c r="P154" s="316"/>
      <c r="Q154" s="75"/>
      <c r="R154" s="76"/>
      <c r="S154" s="72"/>
      <c r="T154" s="60"/>
      <c r="U154" s="60"/>
      <c r="V154" s="60"/>
      <c r="W154" s="102"/>
      <c r="X154" s="102"/>
      <c r="Y154" s="102"/>
      <c r="Z154" s="102"/>
      <c r="AA154" s="102"/>
      <c r="AB154" s="102"/>
      <c r="AC154" s="102"/>
      <c r="AD154" s="102"/>
      <c r="AE154" s="102"/>
      <c r="AF154" s="310"/>
      <c r="AG154" s="310"/>
      <c r="AH154" s="310"/>
      <c r="AI154" s="310"/>
      <c r="AJ154" s="96"/>
    </row>
    <row r="155" spans="1:36" s="103" customFormat="1" ht="65.099999999999994" customHeight="1" x14ac:dyDescent="0.25">
      <c r="A155" s="94"/>
      <c r="B155" s="94"/>
      <c r="C155" s="413"/>
      <c r="D155" s="95"/>
      <c r="E155" s="96"/>
      <c r="F155" s="96"/>
      <c r="G155" s="96"/>
      <c r="H155" s="96"/>
      <c r="I155" s="97"/>
      <c r="J155" s="98"/>
      <c r="K155" s="98"/>
      <c r="L155" s="99"/>
      <c r="M155" s="72"/>
      <c r="N155" s="100"/>
      <c r="O155" s="101"/>
      <c r="P155" s="316"/>
      <c r="Q155" s="75"/>
      <c r="R155" s="76"/>
      <c r="S155" s="72"/>
      <c r="T155" s="60"/>
      <c r="U155" s="60"/>
      <c r="V155" s="60"/>
      <c r="W155" s="102"/>
      <c r="X155" s="102"/>
      <c r="Y155" s="102"/>
      <c r="Z155" s="102"/>
      <c r="AA155" s="102"/>
      <c r="AB155" s="102"/>
      <c r="AC155" s="102"/>
      <c r="AD155" s="102"/>
      <c r="AE155" s="102"/>
      <c r="AF155" s="310"/>
      <c r="AG155" s="310"/>
      <c r="AH155" s="310"/>
      <c r="AI155" s="310"/>
      <c r="AJ155" s="96"/>
    </row>
    <row r="156" spans="1:36" s="103" customFormat="1" ht="65.099999999999994" customHeight="1" x14ac:dyDescent="0.25">
      <c r="A156" s="94"/>
      <c r="B156" s="94"/>
      <c r="C156" s="413"/>
      <c r="D156" s="95"/>
      <c r="E156" s="96"/>
      <c r="F156" s="96"/>
      <c r="G156" s="96"/>
      <c r="H156" s="96"/>
      <c r="I156" s="97"/>
      <c r="J156" s="98"/>
      <c r="K156" s="98"/>
      <c r="L156" s="99"/>
      <c r="M156" s="72"/>
      <c r="N156" s="100"/>
      <c r="O156" s="101"/>
      <c r="P156" s="316"/>
      <c r="Q156" s="75"/>
      <c r="R156" s="76"/>
      <c r="S156" s="72"/>
      <c r="T156" s="60"/>
      <c r="U156" s="60"/>
      <c r="V156" s="60"/>
      <c r="W156" s="102"/>
      <c r="X156" s="102"/>
      <c r="Y156" s="102"/>
      <c r="Z156" s="102"/>
      <c r="AA156" s="102"/>
      <c r="AB156" s="102"/>
      <c r="AC156" s="102"/>
      <c r="AD156" s="102"/>
      <c r="AE156" s="102"/>
      <c r="AF156" s="310"/>
      <c r="AG156" s="310"/>
      <c r="AH156" s="310"/>
      <c r="AI156" s="310"/>
      <c r="AJ156" s="96"/>
    </row>
    <row r="157" spans="1:36" s="103" customFormat="1" ht="65.099999999999994" customHeight="1" x14ac:dyDescent="0.25">
      <c r="A157" s="94"/>
      <c r="B157" s="94"/>
      <c r="C157" s="413"/>
      <c r="D157" s="95"/>
      <c r="E157" s="96"/>
      <c r="F157" s="96"/>
      <c r="G157" s="96"/>
      <c r="H157" s="96"/>
      <c r="I157" s="97"/>
      <c r="J157" s="98"/>
      <c r="K157" s="98"/>
      <c r="L157" s="99"/>
      <c r="M157" s="72"/>
      <c r="N157" s="100"/>
      <c r="O157" s="101"/>
      <c r="P157" s="316"/>
      <c r="Q157" s="75"/>
      <c r="R157" s="76"/>
      <c r="S157" s="72"/>
      <c r="T157" s="60"/>
      <c r="U157" s="60"/>
      <c r="V157" s="60"/>
      <c r="W157" s="102"/>
      <c r="X157" s="102"/>
      <c r="Y157" s="102"/>
      <c r="Z157" s="102"/>
      <c r="AA157" s="102"/>
      <c r="AB157" s="102"/>
      <c r="AC157" s="102"/>
      <c r="AD157" s="102"/>
      <c r="AE157" s="102"/>
      <c r="AF157" s="310"/>
      <c r="AG157" s="310"/>
      <c r="AH157" s="310"/>
      <c r="AI157" s="310"/>
      <c r="AJ157" s="96"/>
    </row>
    <row r="158" spans="1:36" s="103" customFormat="1" ht="65.099999999999994" customHeight="1" x14ac:dyDescent="0.25">
      <c r="A158" s="94"/>
      <c r="B158" s="94"/>
      <c r="C158" s="413"/>
      <c r="D158" s="95"/>
      <c r="E158" s="96"/>
      <c r="F158" s="96"/>
      <c r="G158" s="96"/>
      <c r="H158" s="96"/>
      <c r="I158" s="97"/>
      <c r="J158" s="98"/>
      <c r="K158" s="98"/>
      <c r="L158" s="99"/>
      <c r="M158" s="72"/>
      <c r="N158" s="100"/>
      <c r="O158" s="101"/>
      <c r="P158" s="316"/>
      <c r="Q158" s="75"/>
      <c r="R158" s="76"/>
      <c r="S158" s="72"/>
      <c r="T158" s="60"/>
      <c r="U158" s="60"/>
      <c r="V158" s="60"/>
      <c r="W158" s="102"/>
      <c r="X158" s="102"/>
      <c r="Y158" s="102"/>
      <c r="Z158" s="102"/>
      <c r="AA158" s="102"/>
      <c r="AB158" s="102"/>
      <c r="AC158" s="102"/>
      <c r="AD158" s="102"/>
      <c r="AE158" s="102"/>
      <c r="AF158" s="310"/>
      <c r="AG158" s="310"/>
      <c r="AH158" s="310"/>
      <c r="AI158" s="310"/>
      <c r="AJ158" s="96"/>
    </row>
    <row r="159" spans="1:36" s="103" customFormat="1" ht="65.099999999999994" customHeight="1" x14ac:dyDescent="0.25">
      <c r="A159" s="94"/>
      <c r="B159" s="94"/>
      <c r="C159" s="413"/>
      <c r="D159" s="95"/>
      <c r="E159" s="96"/>
      <c r="F159" s="96"/>
      <c r="G159" s="96"/>
      <c r="H159" s="96"/>
      <c r="I159" s="97"/>
      <c r="J159" s="98"/>
      <c r="K159" s="98"/>
      <c r="L159" s="99"/>
      <c r="M159" s="72"/>
      <c r="N159" s="100"/>
      <c r="O159" s="101"/>
      <c r="P159" s="316"/>
      <c r="Q159" s="75"/>
      <c r="R159" s="76"/>
      <c r="S159" s="72"/>
      <c r="T159" s="60"/>
      <c r="U159" s="60"/>
      <c r="V159" s="60"/>
      <c r="W159" s="102"/>
      <c r="X159" s="102"/>
      <c r="Y159" s="102"/>
      <c r="Z159" s="102"/>
      <c r="AA159" s="102"/>
      <c r="AB159" s="102"/>
      <c r="AC159" s="102"/>
      <c r="AD159" s="102"/>
      <c r="AE159" s="102"/>
      <c r="AF159" s="310"/>
      <c r="AG159" s="310"/>
      <c r="AH159" s="310"/>
      <c r="AI159" s="310"/>
      <c r="AJ159" s="96"/>
    </row>
    <row r="160" spans="1:36" s="103" customFormat="1" ht="65.099999999999994" customHeight="1" x14ac:dyDescent="0.25">
      <c r="A160" s="94"/>
      <c r="B160" s="94"/>
      <c r="C160" s="413"/>
      <c r="D160" s="95"/>
      <c r="E160" s="96"/>
      <c r="F160" s="96"/>
      <c r="G160" s="96"/>
      <c r="H160" s="96"/>
      <c r="I160" s="97"/>
      <c r="J160" s="98"/>
      <c r="K160" s="98"/>
      <c r="L160" s="99"/>
      <c r="M160" s="72"/>
      <c r="N160" s="100"/>
      <c r="O160" s="101"/>
      <c r="P160" s="316"/>
      <c r="Q160" s="75"/>
      <c r="R160" s="76"/>
      <c r="S160" s="72"/>
      <c r="T160" s="60"/>
      <c r="U160" s="60"/>
      <c r="V160" s="60"/>
      <c r="W160" s="102"/>
      <c r="X160" s="102"/>
      <c r="Y160" s="102"/>
      <c r="Z160" s="102"/>
      <c r="AA160" s="102"/>
      <c r="AB160" s="102"/>
      <c r="AC160" s="102"/>
      <c r="AD160" s="102"/>
      <c r="AE160" s="102"/>
      <c r="AF160" s="310"/>
      <c r="AG160" s="310"/>
      <c r="AH160" s="310"/>
      <c r="AI160" s="310"/>
      <c r="AJ160" s="96"/>
    </row>
    <row r="161" spans="1:36" s="103" customFormat="1" ht="65.099999999999994" customHeight="1" x14ac:dyDescent="0.25">
      <c r="A161" s="94"/>
      <c r="B161" s="94"/>
      <c r="C161" s="413"/>
      <c r="D161" s="95"/>
      <c r="E161" s="96"/>
      <c r="F161" s="96"/>
      <c r="G161" s="96"/>
      <c r="H161" s="96"/>
      <c r="I161" s="97"/>
      <c r="J161" s="98"/>
      <c r="K161" s="98"/>
      <c r="L161" s="99"/>
      <c r="M161" s="72"/>
      <c r="N161" s="100"/>
      <c r="O161" s="101"/>
      <c r="P161" s="316"/>
      <c r="Q161" s="75"/>
      <c r="R161" s="76"/>
      <c r="S161" s="72"/>
      <c r="T161" s="60"/>
      <c r="U161" s="60"/>
      <c r="V161" s="60"/>
      <c r="W161" s="102"/>
      <c r="X161" s="102"/>
      <c r="Y161" s="102"/>
      <c r="Z161" s="102"/>
      <c r="AA161" s="102"/>
      <c r="AB161" s="102"/>
      <c r="AC161" s="102"/>
      <c r="AD161" s="102"/>
      <c r="AE161" s="102"/>
      <c r="AF161" s="310"/>
      <c r="AG161" s="310"/>
      <c r="AH161" s="310"/>
      <c r="AI161" s="310"/>
      <c r="AJ161" s="96"/>
    </row>
    <row r="162" spans="1:36" s="103" customFormat="1" ht="65.099999999999994" customHeight="1" x14ac:dyDescent="0.25">
      <c r="A162" s="94"/>
      <c r="B162" s="94"/>
      <c r="C162" s="413"/>
      <c r="D162" s="95"/>
      <c r="E162" s="96"/>
      <c r="F162" s="96"/>
      <c r="G162" s="96"/>
      <c r="H162" s="96"/>
      <c r="I162" s="97"/>
      <c r="J162" s="98"/>
      <c r="K162" s="98"/>
      <c r="L162" s="99"/>
      <c r="M162" s="72"/>
      <c r="N162" s="100"/>
      <c r="O162" s="101"/>
      <c r="P162" s="316"/>
      <c r="Q162" s="75"/>
      <c r="R162" s="76"/>
      <c r="S162" s="72"/>
      <c r="T162" s="60"/>
      <c r="U162" s="60"/>
      <c r="V162" s="60"/>
      <c r="W162" s="102"/>
      <c r="X162" s="102"/>
      <c r="Y162" s="102"/>
      <c r="Z162" s="102"/>
      <c r="AA162" s="102"/>
      <c r="AB162" s="102"/>
      <c r="AC162" s="102"/>
      <c r="AD162" s="102"/>
      <c r="AE162" s="102"/>
      <c r="AF162" s="310"/>
      <c r="AG162" s="310"/>
      <c r="AH162" s="310"/>
      <c r="AI162" s="310"/>
      <c r="AJ162" s="96"/>
    </row>
    <row r="163" spans="1:36" s="103" customFormat="1" ht="65.099999999999994" customHeight="1" x14ac:dyDescent="0.25">
      <c r="A163" s="94"/>
      <c r="B163" s="94"/>
      <c r="C163" s="413"/>
      <c r="D163" s="95"/>
      <c r="E163" s="96"/>
      <c r="F163" s="96"/>
      <c r="G163" s="96"/>
      <c r="H163" s="96"/>
      <c r="I163" s="97"/>
      <c r="J163" s="98"/>
      <c r="K163" s="98"/>
      <c r="L163" s="99"/>
      <c r="M163" s="72"/>
      <c r="N163" s="100"/>
      <c r="O163" s="101"/>
      <c r="P163" s="316"/>
      <c r="Q163" s="75"/>
      <c r="R163" s="76"/>
      <c r="S163" s="72"/>
      <c r="T163" s="60"/>
      <c r="U163" s="60"/>
      <c r="V163" s="60"/>
      <c r="W163" s="102"/>
      <c r="X163" s="102"/>
      <c r="Y163" s="102"/>
      <c r="Z163" s="102"/>
      <c r="AA163" s="102"/>
      <c r="AB163" s="102"/>
      <c r="AC163" s="102"/>
      <c r="AD163" s="102"/>
      <c r="AE163" s="102"/>
      <c r="AF163" s="310"/>
      <c r="AG163" s="310"/>
      <c r="AH163" s="310"/>
      <c r="AI163" s="310"/>
      <c r="AJ163" s="96"/>
    </row>
    <row r="164" spans="1:36" s="103" customFormat="1" ht="65.099999999999994" customHeight="1" x14ac:dyDescent="0.25">
      <c r="A164" s="94"/>
      <c r="B164" s="94"/>
      <c r="C164" s="413"/>
      <c r="D164" s="95"/>
      <c r="E164" s="96"/>
      <c r="F164" s="96"/>
      <c r="G164" s="96"/>
      <c r="H164" s="96"/>
      <c r="I164" s="97"/>
      <c r="J164" s="98"/>
      <c r="K164" s="98"/>
      <c r="L164" s="99"/>
      <c r="M164" s="72"/>
      <c r="N164" s="100"/>
      <c r="O164" s="101"/>
      <c r="P164" s="316"/>
      <c r="Q164" s="75"/>
      <c r="R164" s="76"/>
      <c r="S164" s="72"/>
      <c r="T164" s="60"/>
      <c r="U164" s="60"/>
      <c r="V164" s="60"/>
      <c r="W164" s="102"/>
      <c r="X164" s="102"/>
      <c r="Y164" s="102"/>
      <c r="Z164" s="102"/>
      <c r="AA164" s="102"/>
      <c r="AB164" s="102"/>
      <c r="AC164" s="102"/>
      <c r="AD164" s="102"/>
      <c r="AE164" s="102"/>
      <c r="AF164" s="310"/>
      <c r="AG164" s="310"/>
      <c r="AH164" s="310"/>
      <c r="AI164" s="310"/>
      <c r="AJ164" s="96"/>
    </row>
    <row r="165" spans="1:36" s="103" customFormat="1" ht="65.099999999999994" customHeight="1" x14ac:dyDescent="0.25">
      <c r="A165" s="94"/>
      <c r="B165" s="94"/>
      <c r="C165" s="413"/>
      <c r="D165" s="95"/>
      <c r="E165" s="96"/>
      <c r="F165" s="96"/>
      <c r="G165" s="96"/>
      <c r="H165" s="96"/>
      <c r="I165" s="97"/>
      <c r="J165" s="98"/>
      <c r="K165" s="98"/>
      <c r="L165" s="99"/>
      <c r="M165" s="72"/>
      <c r="N165" s="100"/>
      <c r="O165" s="101"/>
      <c r="P165" s="316"/>
      <c r="Q165" s="75"/>
      <c r="R165" s="76"/>
      <c r="S165" s="72"/>
      <c r="T165" s="60"/>
      <c r="U165" s="60"/>
      <c r="V165" s="60"/>
      <c r="W165" s="102"/>
      <c r="X165" s="102"/>
      <c r="Y165" s="102"/>
      <c r="Z165" s="102"/>
      <c r="AA165" s="102"/>
      <c r="AB165" s="102"/>
      <c r="AC165" s="102"/>
      <c r="AD165" s="102"/>
      <c r="AE165" s="102"/>
      <c r="AF165" s="310"/>
      <c r="AG165" s="310"/>
      <c r="AH165" s="310"/>
      <c r="AI165" s="310"/>
      <c r="AJ165" s="96"/>
    </row>
    <row r="166" spans="1:36" s="103" customFormat="1" ht="65.099999999999994" customHeight="1" x14ac:dyDescent="0.25">
      <c r="A166" s="94"/>
      <c r="B166" s="94"/>
      <c r="C166" s="413"/>
      <c r="D166" s="95"/>
      <c r="E166" s="96"/>
      <c r="F166" s="96"/>
      <c r="G166" s="96"/>
      <c r="H166" s="96"/>
      <c r="I166" s="97"/>
      <c r="J166" s="98"/>
      <c r="K166" s="98"/>
      <c r="L166" s="99"/>
      <c r="M166" s="72"/>
      <c r="N166" s="100"/>
      <c r="O166" s="101"/>
      <c r="P166" s="316"/>
      <c r="Q166" s="75"/>
      <c r="R166" s="76"/>
      <c r="S166" s="72"/>
      <c r="T166" s="60"/>
      <c r="U166" s="60"/>
      <c r="V166" s="60"/>
      <c r="W166" s="102"/>
      <c r="X166" s="102"/>
      <c r="Y166" s="102"/>
      <c r="Z166" s="102"/>
      <c r="AA166" s="102"/>
      <c r="AB166" s="102"/>
      <c r="AC166" s="102"/>
      <c r="AD166" s="102"/>
      <c r="AE166" s="102"/>
      <c r="AF166" s="310"/>
      <c r="AG166" s="310"/>
      <c r="AH166" s="310"/>
      <c r="AI166" s="310"/>
      <c r="AJ166" s="96"/>
    </row>
    <row r="167" spans="1:36" s="103" customFormat="1" ht="65.099999999999994" customHeight="1" x14ac:dyDescent="0.25">
      <c r="A167" s="94"/>
      <c r="B167" s="94"/>
      <c r="C167" s="413"/>
      <c r="D167" s="95"/>
      <c r="E167" s="96"/>
      <c r="F167" s="96"/>
      <c r="G167" s="96"/>
      <c r="H167" s="96"/>
      <c r="I167" s="97"/>
      <c r="J167" s="98"/>
      <c r="K167" s="98"/>
      <c r="L167" s="99"/>
      <c r="M167" s="72"/>
      <c r="N167" s="100"/>
      <c r="O167" s="101"/>
      <c r="P167" s="316"/>
      <c r="Q167" s="75"/>
      <c r="R167" s="76"/>
      <c r="S167" s="72"/>
      <c r="T167" s="60"/>
      <c r="U167" s="60"/>
      <c r="V167" s="60"/>
      <c r="W167" s="102"/>
      <c r="X167" s="102"/>
      <c r="Y167" s="102"/>
      <c r="Z167" s="102"/>
      <c r="AA167" s="102"/>
      <c r="AB167" s="102"/>
      <c r="AC167" s="102"/>
      <c r="AD167" s="102"/>
      <c r="AE167" s="102"/>
      <c r="AF167" s="310"/>
      <c r="AG167" s="310"/>
      <c r="AH167" s="310"/>
      <c r="AI167" s="310"/>
      <c r="AJ167" s="96"/>
    </row>
    <row r="168" spans="1:36" s="103" customFormat="1" ht="65.099999999999994" customHeight="1" x14ac:dyDescent="0.25">
      <c r="A168" s="94"/>
      <c r="B168" s="94"/>
      <c r="C168" s="413"/>
      <c r="D168" s="95"/>
      <c r="E168" s="96"/>
      <c r="F168" s="96"/>
      <c r="G168" s="96"/>
      <c r="H168" s="96"/>
      <c r="I168" s="97"/>
      <c r="J168" s="98"/>
      <c r="K168" s="98"/>
      <c r="L168" s="99"/>
      <c r="M168" s="72"/>
      <c r="N168" s="100"/>
      <c r="O168" s="101"/>
      <c r="P168" s="316"/>
      <c r="Q168" s="75"/>
      <c r="R168" s="76"/>
      <c r="S168" s="72"/>
      <c r="T168" s="60"/>
      <c r="U168" s="60"/>
      <c r="V168" s="60"/>
      <c r="W168" s="102"/>
      <c r="X168" s="102"/>
      <c r="Y168" s="102"/>
      <c r="Z168" s="102"/>
      <c r="AA168" s="102"/>
      <c r="AB168" s="102"/>
      <c r="AC168" s="102"/>
      <c r="AD168" s="102"/>
      <c r="AE168" s="102"/>
      <c r="AF168" s="310"/>
      <c r="AG168" s="310"/>
      <c r="AH168" s="310"/>
      <c r="AI168" s="310"/>
      <c r="AJ168" s="96"/>
    </row>
    <row r="169" spans="1:36" s="103" customFormat="1" ht="65.099999999999994" customHeight="1" x14ac:dyDescent="0.25">
      <c r="A169" s="94"/>
      <c r="B169" s="94"/>
      <c r="C169" s="413"/>
      <c r="D169" s="95"/>
      <c r="E169" s="96"/>
      <c r="F169" s="96"/>
      <c r="G169" s="96"/>
      <c r="H169" s="96"/>
      <c r="I169" s="97"/>
      <c r="J169" s="98"/>
      <c r="K169" s="98"/>
      <c r="L169" s="99"/>
      <c r="M169" s="72"/>
      <c r="N169" s="100"/>
      <c r="O169" s="101"/>
      <c r="P169" s="316"/>
      <c r="Q169" s="75"/>
      <c r="R169" s="76"/>
      <c r="S169" s="72"/>
      <c r="T169" s="60"/>
      <c r="U169" s="60"/>
      <c r="V169" s="60"/>
      <c r="W169" s="102"/>
      <c r="X169" s="102"/>
      <c r="Y169" s="102"/>
      <c r="Z169" s="102"/>
      <c r="AA169" s="102"/>
      <c r="AB169" s="102"/>
      <c r="AC169" s="102"/>
      <c r="AD169" s="102"/>
      <c r="AE169" s="102"/>
      <c r="AF169" s="310"/>
      <c r="AG169" s="310"/>
      <c r="AH169" s="310"/>
      <c r="AI169" s="310"/>
      <c r="AJ169" s="96"/>
    </row>
    <row r="170" spans="1:36" s="103" customFormat="1" ht="65.099999999999994" customHeight="1" x14ac:dyDescent="0.25">
      <c r="A170" s="94"/>
      <c r="B170" s="94"/>
      <c r="C170" s="413"/>
      <c r="D170" s="95"/>
      <c r="E170" s="96"/>
      <c r="F170" s="96"/>
      <c r="G170" s="96"/>
      <c r="H170" s="96"/>
      <c r="I170" s="97"/>
      <c r="J170" s="98"/>
      <c r="K170" s="98"/>
      <c r="L170" s="99"/>
      <c r="M170" s="72"/>
      <c r="N170" s="100"/>
      <c r="O170" s="101"/>
      <c r="P170" s="316"/>
      <c r="Q170" s="75"/>
      <c r="R170" s="76"/>
      <c r="S170" s="72"/>
      <c r="T170" s="60"/>
      <c r="U170" s="60"/>
      <c r="V170" s="60"/>
      <c r="W170" s="102"/>
      <c r="X170" s="102"/>
      <c r="Y170" s="102"/>
      <c r="Z170" s="102"/>
      <c r="AA170" s="102"/>
      <c r="AB170" s="102"/>
      <c r="AC170" s="102"/>
      <c r="AD170" s="102"/>
      <c r="AE170" s="102"/>
      <c r="AF170" s="310"/>
      <c r="AG170" s="310"/>
      <c r="AH170" s="310"/>
      <c r="AI170" s="310"/>
      <c r="AJ170" s="96"/>
    </row>
    <row r="171" spans="1:36" s="103" customFormat="1" ht="65.099999999999994" customHeight="1" x14ac:dyDescent="0.25">
      <c r="A171" s="94"/>
      <c r="B171" s="94"/>
      <c r="C171" s="413"/>
      <c r="D171" s="95"/>
      <c r="E171" s="96"/>
      <c r="F171" s="96"/>
      <c r="G171" s="96"/>
      <c r="H171" s="96"/>
      <c r="I171" s="97"/>
      <c r="J171" s="98"/>
      <c r="K171" s="98"/>
      <c r="L171" s="99"/>
      <c r="M171" s="72"/>
      <c r="N171" s="100"/>
      <c r="O171" s="101"/>
      <c r="P171" s="316"/>
      <c r="Q171" s="75"/>
      <c r="R171" s="76"/>
      <c r="S171" s="72"/>
      <c r="T171" s="60"/>
      <c r="U171" s="60"/>
      <c r="V171" s="60"/>
      <c r="W171" s="102"/>
      <c r="X171" s="102"/>
      <c r="Y171" s="102"/>
      <c r="Z171" s="102"/>
      <c r="AA171" s="102"/>
      <c r="AB171" s="102"/>
      <c r="AC171" s="102"/>
      <c r="AD171" s="102"/>
      <c r="AE171" s="102"/>
      <c r="AF171" s="310"/>
      <c r="AG171" s="310"/>
      <c r="AH171" s="310"/>
      <c r="AI171" s="310"/>
      <c r="AJ171" s="96"/>
    </row>
    <row r="172" spans="1:36" s="103" customFormat="1" ht="65.099999999999994" customHeight="1" x14ac:dyDescent="0.25">
      <c r="A172" s="94"/>
      <c r="B172" s="94"/>
      <c r="C172" s="413"/>
      <c r="D172" s="95"/>
      <c r="E172" s="96"/>
      <c r="F172" s="96"/>
      <c r="G172" s="96"/>
      <c r="H172" s="96"/>
      <c r="I172" s="97"/>
      <c r="J172" s="98"/>
      <c r="K172" s="98"/>
      <c r="L172" s="99"/>
      <c r="M172" s="72"/>
      <c r="N172" s="100"/>
      <c r="O172" s="101"/>
      <c r="P172" s="316"/>
      <c r="Q172" s="75"/>
      <c r="R172" s="76"/>
      <c r="S172" s="72"/>
      <c r="T172" s="60"/>
      <c r="U172" s="60"/>
      <c r="V172" s="60"/>
      <c r="W172" s="102"/>
      <c r="X172" s="102"/>
      <c r="Y172" s="102"/>
      <c r="Z172" s="102"/>
      <c r="AA172" s="102"/>
      <c r="AB172" s="102"/>
      <c r="AC172" s="102"/>
      <c r="AD172" s="102"/>
      <c r="AE172" s="102"/>
      <c r="AF172" s="310"/>
      <c r="AG172" s="310"/>
      <c r="AH172" s="310"/>
      <c r="AI172" s="310"/>
      <c r="AJ172" s="96"/>
    </row>
    <row r="173" spans="1:36" s="103" customFormat="1" ht="65.099999999999994" customHeight="1" x14ac:dyDescent="0.25">
      <c r="A173" s="94"/>
      <c r="B173" s="94"/>
      <c r="C173" s="413"/>
      <c r="D173" s="95"/>
      <c r="E173" s="96"/>
      <c r="F173" s="96"/>
      <c r="G173" s="96"/>
      <c r="H173" s="96"/>
      <c r="I173" s="97"/>
      <c r="J173" s="98"/>
      <c r="K173" s="98"/>
      <c r="L173" s="99"/>
      <c r="M173" s="72"/>
      <c r="N173" s="100"/>
      <c r="O173" s="101"/>
      <c r="P173" s="316"/>
      <c r="Q173" s="75"/>
      <c r="R173" s="76"/>
      <c r="S173" s="72"/>
      <c r="T173" s="60"/>
      <c r="U173" s="60"/>
      <c r="V173" s="60"/>
      <c r="W173" s="102"/>
      <c r="X173" s="102"/>
      <c r="Y173" s="102"/>
      <c r="Z173" s="102"/>
      <c r="AA173" s="102"/>
      <c r="AB173" s="102"/>
      <c r="AC173" s="102"/>
      <c r="AD173" s="102"/>
      <c r="AE173" s="102"/>
      <c r="AF173" s="310"/>
      <c r="AG173" s="310"/>
      <c r="AH173" s="310"/>
      <c r="AI173" s="310"/>
      <c r="AJ173" s="96"/>
    </row>
    <row r="174" spans="1:36" s="103" customFormat="1" ht="65.099999999999994" customHeight="1" x14ac:dyDescent="0.25">
      <c r="A174" s="94"/>
      <c r="B174" s="94"/>
      <c r="C174" s="413"/>
      <c r="D174" s="95"/>
      <c r="E174" s="96"/>
      <c r="F174" s="96"/>
      <c r="G174" s="96"/>
      <c r="H174" s="96"/>
      <c r="I174" s="97"/>
      <c r="J174" s="98"/>
      <c r="K174" s="98"/>
      <c r="L174" s="99"/>
      <c r="M174" s="72"/>
      <c r="N174" s="100"/>
      <c r="O174" s="101"/>
      <c r="P174" s="316"/>
      <c r="Q174" s="75"/>
      <c r="R174" s="76"/>
      <c r="S174" s="72"/>
      <c r="T174" s="60"/>
      <c r="U174" s="60"/>
      <c r="V174" s="60"/>
      <c r="W174" s="102"/>
      <c r="X174" s="102"/>
      <c r="Y174" s="102"/>
      <c r="Z174" s="102"/>
      <c r="AA174" s="102"/>
      <c r="AB174" s="102"/>
      <c r="AC174" s="102"/>
      <c r="AD174" s="102"/>
      <c r="AE174" s="102"/>
      <c r="AF174" s="310"/>
      <c r="AG174" s="310"/>
      <c r="AH174" s="310"/>
      <c r="AI174" s="310"/>
      <c r="AJ174" s="96"/>
    </row>
    <row r="175" spans="1:36" s="103" customFormat="1" ht="65.099999999999994" customHeight="1" x14ac:dyDescent="0.25">
      <c r="A175" s="94"/>
      <c r="B175" s="94"/>
      <c r="C175" s="413"/>
      <c r="D175" s="95"/>
      <c r="E175" s="96"/>
      <c r="F175" s="96"/>
      <c r="G175" s="96"/>
      <c r="H175" s="96"/>
      <c r="I175" s="97"/>
      <c r="J175" s="98"/>
      <c r="K175" s="98"/>
      <c r="L175" s="99"/>
      <c r="M175" s="72"/>
      <c r="N175" s="100"/>
      <c r="O175" s="101"/>
      <c r="P175" s="316"/>
      <c r="Q175" s="75"/>
      <c r="R175" s="76"/>
      <c r="S175" s="72"/>
      <c r="T175" s="60"/>
      <c r="U175" s="60"/>
      <c r="V175" s="60"/>
      <c r="W175" s="102"/>
      <c r="X175" s="102"/>
      <c r="Y175" s="102"/>
      <c r="Z175" s="102"/>
      <c r="AA175" s="102"/>
      <c r="AB175" s="102"/>
      <c r="AC175" s="102"/>
      <c r="AD175" s="102"/>
      <c r="AE175" s="102"/>
      <c r="AF175" s="310"/>
      <c r="AG175" s="310"/>
      <c r="AH175" s="310"/>
      <c r="AI175" s="310"/>
      <c r="AJ175" s="96"/>
    </row>
    <row r="176" spans="1:36" s="103" customFormat="1" ht="65.099999999999994" customHeight="1" x14ac:dyDescent="0.25">
      <c r="A176" s="94"/>
      <c r="B176" s="94"/>
      <c r="C176" s="413"/>
      <c r="D176" s="95"/>
      <c r="E176" s="96"/>
      <c r="F176" s="96"/>
      <c r="G176" s="96"/>
      <c r="H176" s="96"/>
      <c r="I176" s="97"/>
      <c r="J176" s="98"/>
      <c r="K176" s="98"/>
      <c r="L176" s="99"/>
      <c r="M176" s="72"/>
      <c r="N176" s="100"/>
      <c r="O176" s="101"/>
      <c r="P176" s="316"/>
      <c r="Q176" s="75"/>
      <c r="R176" s="76"/>
      <c r="S176" s="72"/>
      <c r="T176" s="60"/>
      <c r="U176" s="60"/>
      <c r="V176" s="60"/>
      <c r="W176" s="102"/>
      <c r="X176" s="102"/>
      <c r="Y176" s="102"/>
      <c r="Z176" s="102"/>
      <c r="AA176" s="102"/>
      <c r="AB176" s="102"/>
      <c r="AC176" s="102"/>
      <c r="AD176" s="102"/>
      <c r="AE176" s="102"/>
      <c r="AF176" s="310"/>
      <c r="AG176" s="310"/>
      <c r="AH176" s="310"/>
      <c r="AI176" s="310"/>
      <c r="AJ176" s="96"/>
    </row>
    <row r="177" spans="1:36" s="103" customFormat="1" ht="65.099999999999994" customHeight="1" x14ac:dyDescent="0.25">
      <c r="A177" s="94"/>
      <c r="B177" s="94"/>
      <c r="C177" s="413"/>
      <c r="D177" s="95"/>
      <c r="E177" s="96"/>
      <c r="F177" s="96"/>
      <c r="G177" s="96"/>
      <c r="H177" s="96"/>
      <c r="I177" s="97"/>
      <c r="J177" s="98"/>
      <c r="K177" s="98"/>
      <c r="L177" s="99"/>
      <c r="M177" s="72"/>
      <c r="N177" s="100"/>
      <c r="O177" s="101"/>
      <c r="P177" s="316"/>
      <c r="Q177" s="75"/>
      <c r="R177" s="76"/>
      <c r="S177" s="72"/>
      <c r="T177" s="60"/>
      <c r="U177" s="60"/>
      <c r="V177" s="60"/>
      <c r="W177" s="102"/>
      <c r="X177" s="102"/>
      <c r="Y177" s="102"/>
      <c r="Z177" s="102"/>
      <c r="AA177" s="102"/>
      <c r="AB177" s="102"/>
      <c r="AC177" s="102"/>
      <c r="AD177" s="102"/>
      <c r="AE177" s="102"/>
      <c r="AF177" s="310"/>
      <c r="AG177" s="310"/>
      <c r="AH177" s="310"/>
      <c r="AI177" s="310"/>
      <c r="AJ177" s="96"/>
    </row>
    <row r="178" spans="1:36" s="103" customFormat="1" ht="65.099999999999994" customHeight="1" x14ac:dyDescent="0.25">
      <c r="A178" s="94"/>
      <c r="B178" s="94"/>
      <c r="C178" s="413"/>
      <c r="D178" s="95"/>
      <c r="E178" s="96"/>
      <c r="F178" s="96"/>
      <c r="G178" s="96"/>
      <c r="H178" s="96"/>
      <c r="I178" s="97"/>
      <c r="J178" s="98"/>
      <c r="K178" s="98"/>
      <c r="L178" s="99"/>
      <c r="M178" s="72"/>
      <c r="N178" s="100"/>
      <c r="O178" s="101"/>
      <c r="P178" s="316"/>
      <c r="Q178" s="75"/>
      <c r="R178" s="76"/>
      <c r="S178" s="72"/>
      <c r="T178" s="60"/>
      <c r="U178" s="60"/>
      <c r="V178" s="60"/>
      <c r="W178" s="102"/>
      <c r="X178" s="102"/>
      <c r="Y178" s="102"/>
      <c r="Z178" s="102"/>
      <c r="AA178" s="102"/>
      <c r="AB178" s="102"/>
      <c r="AC178" s="102"/>
      <c r="AD178" s="102"/>
      <c r="AE178" s="102"/>
      <c r="AF178" s="310"/>
      <c r="AG178" s="310"/>
      <c r="AH178" s="310"/>
      <c r="AI178" s="310"/>
      <c r="AJ178" s="96"/>
    </row>
    <row r="179" spans="1:36" s="103" customFormat="1" ht="65.099999999999994" customHeight="1" x14ac:dyDescent="0.25">
      <c r="A179" s="94"/>
      <c r="B179" s="94"/>
      <c r="C179" s="413"/>
      <c r="D179" s="95"/>
      <c r="E179" s="96"/>
      <c r="F179" s="96"/>
      <c r="G179" s="96"/>
      <c r="H179" s="96"/>
      <c r="I179" s="97"/>
      <c r="J179" s="98"/>
      <c r="K179" s="98"/>
      <c r="L179" s="99"/>
      <c r="M179" s="72"/>
      <c r="N179" s="100"/>
      <c r="O179" s="101"/>
      <c r="P179" s="316"/>
      <c r="Q179" s="75"/>
      <c r="R179" s="76"/>
      <c r="S179" s="72"/>
      <c r="T179" s="60"/>
      <c r="U179" s="60"/>
      <c r="V179" s="60"/>
      <c r="W179" s="102"/>
      <c r="X179" s="102"/>
      <c r="Y179" s="102"/>
      <c r="Z179" s="102"/>
      <c r="AA179" s="102"/>
      <c r="AB179" s="102"/>
      <c r="AC179" s="102"/>
      <c r="AD179" s="102"/>
      <c r="AE179" s="102"/>
      <c r="AF179" s="310"/>
      <c r="AG179" s="310"/>
      <c r="AH179" s="310"/>
      <c r="AI179" s="310"/>
      <c r="AJ179" s="96"/>
    </row>
    <row r="180" spans="1:36" s="103" customFormat="1" ht="65.099999999999994" customHeight="1" x14ac:dyDescent="0.25">
      <c r="A180" s="94"/>
      <c r="B180" s="94"/>
      <c r="C180" s="413"/>
      <c r="D180" s="95"/>
      <c r="E180" s="96"/>
      <c r="F180" s="96"/>
      <c r="G180" s="96"/>
      <c r="H180" s="96"/>
      <c r="I180" s="97"/>
      <c r="J180" s="98"/>
      <c r="K180" s="98"/>
      <c r="L180" s="99"/>
      <c r="M180" s="72"/>
      <c r="N180" s="100"/>
      <c r="O180" s="101"/>
      <c r="P180" s="316"/>
      <c r="Q180" s="75"/>
      <c r="R180" s="76"/>
      <c r="S180" s="72"/>
      <c r="T180" s="60"/>
      <c r="U180" s="60"/>
      <c r="V180" s="60"/>
      <c r="W180" s="102"/>
      <c r="X180" s="102"/>
      <c r="Y180" s="102"/>
      <c r="Z180" s="102"/>
      <c r="AA180" s="102"/>
      <c r="AB180" s="102"/>
      <c r="AC180" s="102"/>
      <c r="AD180" s="102"/>
      <c r="AE180" s="102"/>
      <c r="AF180" s="310"/>
      <c r="AG180" s="310"/>
      <c r="AH180" s="310"/>
      <c r="AI180" s="310"/>
      <c r="AJ180" s="96"/>
    </row>
    <row r="181" spans="1:36" s="103" customFormat="1" ht="65.099999999999994" customHeight="1" x14ac:dyDescent="0.25">
      <c r="A181" s="94"/>
      <c r="B181" s="94"/>
      <c r="C181" s="413"/>
      <c r="D181" s="95"/>
      <c r="E181" s="96"/>
      <c r="F181" s="96"/>
      <c r="G181" s="96"/>
      <c r="H181" s="96"/>
      <c r="I181" s="97"/>
      <c r="J181" s="98"/>
      <c r="K181" s="98"/>
      <c r="L181" s="99"/>
      <c r="M181" s="72"/>
      <c r="N181" s="100"/>
      <c r="O181" s="101"/>
      <c r="P181" s="316"/>
      <c r="Q181" s="75"/>
      <c r="R181" s="76"/>
      <c r="S181" s="72"/>
      <c r="T181" s="60"/>
      <c r="U181" s="60"/>
      <c r="V181" s="60"/>
      <c r="W181" s="102"/>
      <c r="X181" s="102"/>
      <c r="Y181" s="102"/>
      <c r="Z181" s="102"/>
      <c r="AA181" s="102"/>
      <c r="AB181" s="102"/>
      <c r="AC181" s="102"/>
      <c r="AD181" s="102"/>
      <c r="AE181" s="102"/>
      <c r="AF181" s="310"/>
      <c r="AG181" s="310"/>
      <c r="AH181" s="310"/>
      <c r="AI181" s="310"/>
      <c r="AJ181" s="96"/>
    </row>
    <row r="182" spans="1:36" s="103" customFormat="1" ht="65.099999999999994" customHeight="1" x14ac:dyDescent="0.25">
      <c r="A182" s="94"/>
      <c r="B182" s="94"/>
      <c r="C182" s="413"/>
      <c r="D182" s="95"/>
      <c r="E182" s="96"/>
      <c r="F182" s="96"/>
      <c r="G182" s="96"/>
      <c r="H182" s="96"/>
      <c r="I182" s="97"/>
      <c r="J182" s="98"/>
      <c r="K182" s="98"/>
      <c r="L182" s="99"/>
      <c r="M182" s="72"/>
      <c r="N182" s="100"/>
      <c r="O182" s="101"/>
      <c r="P182" s="316"/>
      <c r="Q182" s="75"/>
      <c r="R182" s="76"/>
      <c r="S182" s="72"/>
      <c r="T182" s="60"/>
      <c r="U182" s="60"/>
      <c r="V182" s="60"/>
      <c r="W182" s="102"/>
      <c r="X182" s="102"/>
      <c r="Y182" s="102"/>
      <c r="Z182" s="102"/>
      <c r="AA182" s="102"/>
      <c r="AB182" s="102"/>
      <c r="AC182" s="102"/>
      <c r="AD182" s="102"/>
      <c r="AE182" s="102"/>
      <c r="AF182" s="310"/>
      <c r="AG182" s="310"/>
      <c r="AH182" s="310"/>
      <c r="AI182" s="310"/>
      <c r="AJ182" s="96"/>
    </row>
    <row r="183" spans="1:36" s="103" customFormat="1" ht="65.099999999999994" customHeight="1" x14ac:dyDescent="0.25">
      <c r="A183" s="94"/>
      <c r="B183" s="94"/>
      <c r="C183" s="413"/>
      <c r="D183" s="95"/>
      <c r="E183" s="96"/>
      <c r="F183" s="96"/>
      <c r="G183" s="96"/>
      <c r="H183" s="96"/>
      <c r="I183" s="97"/>
      <c r="J183" s="98"/>
      <c r="K183" s="98"/>
      <c r="L183" s="99"/>
      <c r="M183" s="72"/>
      <c r="N183" s="100"/>
      <c r="O183" s="101"/>
      <c r="P183" s="316"/>
      <c r="Q183" s="75"/>
      <c r="R183" s="76"/>
      <c r="S183" s="72"/>
      <c r="T183" s="60"/>
      <c r="U183" s="60"/>
      <c r="V183" s="60"/>
      <c r="W183" s="102"/>
      <c r="X183" s="102"/>
      <c r="Y183" s="102"/>
      <c r="Z183" s="102"/>
      <c r="AA183" s="102"/>
      <c r="AB183" s="102"/>
      <c r="AC183" s="102"/>
      <c r="AD183" s="102"/>
      <c r="AE183" s="102"/>
      <c r="AF183" s="310"/>
      <c r="AG183" s="310"/>
      <c r="AH183" s="310"/>
      <c r="AI183" s="310"/>
      <c r="AJ183" s="96"/>
    </row>
    <row r="184" spans="1:36" s="103" customFormat="1" ht="65.099999999999994" customHeight="1" x14ac:dyDescent="0.25">
      <c r="A184" s="94"/>
      <c r="B184" s="94"/>
      <c r="C184" s="413"/>
      <c r="D184" s="95"/>
      <c r="E184" s="96"/>
      <c r="F184" s="96"/>
      <c r="G184" s="96"/>
      <c r="H184" s="96"/>
      <c r="I184" s="97"/>
      <c r="J184" s="98"/>
      <c r="K184" s="98"/>
      <c r="L184" s="99"/>
      <c r="M184" s="72"/>
      <c r="N184" s="100"/>
      <c r="O184" s="101"/>
      <c r="P184" s="316"/>
      <c r="Q184" s="75"/>
      <c r="R184" s="76"/>
      <c r="S184" s="72"/>
      <c r="T184" s="60"/>
      <c r="U184" s="60"/>
      <c r="V184" s="60"/>
      <c r="W184" s="102"/>
      <c r="X184" s="102"/>
      <c r="Y184" s="102"/>
      <c r="Z184" s="102"/>
      <c r="AA184" s="102"/>
      <c r="AB184" s="102"/>
      <c r="AC184" s="102"/>
      <c r="AD184" s="102"/>
      <c r="AE184" s="102"/>
      <c r="AF184" s="310"/>
      <c r="AG184" s="310"/>
      <c r="AH184" s="310"/>
      <c r="AI184" s="310"/>
      <c r="AJ184" s="96"/>
    </row>
    <row r="185" spans="1:36" s="103" customFormat="1" ht="65.099999999999994" customHeight="1" x14ac:dyDescent="0.25">
      <c r="A185" s="94"/>
      <c r="B185" s="94"/>
      <c r="C185" s="413"/>
      <c r="D185" s="95"/>
      <c r="E185" s="96"/>
      <c r="F185" s="96"/>
      <c r="G185" s="96"/>
      <c r="H185" s="96"/>
      <c r="I185" s="97"/>
      <c r="J185" s="98"/>
      <c r="K185" s="98"/>
      <c r="L185" s="99"/>
      <c r="M185" s="72"/>
      <c r="N185" s="100"/>
      <c r="O185" s="101"/>
      <c r="P185" s="316"/>
      <c r="Q185" s="75"/>
      <c r="R185" s="76"/>
      <c r="S185" s="72"/>
      <c r="T185" s="60"/>
      <c r="U185" s="60"/>
      <c r="V185" s="60"/>
      <c r="W185" s="102"/>
      <c r="X185" s="102"/>
      <c r="Y185" s="102"/>
      <c r="Z185" s="102"/>
      <c r="AA185" s="102"/>
      <c r="AB185" s="102"/>
      <c r="AC185" s="102"/>
      <c r="AD185" s="102"/>
      <c r="AE185" s="102"/>
      <c r="AF185" s="310"/>
      <c r="AG185" s="310"/>
      <c r="AH185" s="310"/>
      <c r="AI185" s="310"/>
      <c r="AJ185" s="96"/>
    </row>
    <row r="186" spans="1:36" s="103" customFormat="1" ht="65.099999999999994" customHeight="1" x14ac:dyDescent="0.25">
      <c r="A186" s="94"/>
      <c r="B186" s="94"/>
      <c r="C186" s="413"/>
      <c r="D186" s="95"/>
      <c r="E186" s="96"/>
      <c r="F186" s="96"/>
      <c r="G186" s="96"/>
      <c r="H186" s="96"/>
      <c r="I186" s="97"/>
      <c r="J186" s="98"/>
      <c r="K186" s="98"/>
      <c r="L186" s="99"/>
      <c r="M186" s="72"/>
      <c r="N186" s="100"/>
      <c r="O186" s="101"/>
      <c r="P186" s="316"/>
      <c r="Q186" s="75"/>
      <c r="R186" s="76"/>
      <c r="S186" s="72"/>
      <c r="T186" s="60"/>
      <c r="U186" s="60"/>
      <c r="V186" s="60"/>
      <c r="W186" s="102"/>
      <c r="X186" s="102"/>
      <c r="Y186" s="102"/>
      <c r="Z186" s="102"/>
      <c r="AA186" s="102"/>
      <c r="AB186" s="102"/>
      <c r="AC186" s="102"/>
      <c r="AD186" s="102"/>
      <c r="AE186" s="102"/>
      <c r="AF186" s="310"/>
      <c r="AG186" s="310"/>
      <c r="AH186" s="310"/>
      <c r="AI186" s="310"/>
      <c r="AJ186" s="96"/>
    </row>
    <row r="187" spans="1:36" s="103" customFormat="1" ht="65.099999999999994" customHeight="1" x14ac:dyDescent="0.25">
      <c r="A187" s="94"/>
      <c r="B187" s="94"/>
      <c r="C187" s="413"/>
      <c r="D187" s="95"/>
      <c r="E187" s="96"/>
      <c r="F187" s="96"/>
      <c r="G187" s="96"/>
      <c r="H187" s="96"/>
      <c r="I187" s="97"/>
      <c r="J187" s="98"/>
      <c r="K187" s="98"/>
      <c r="L187" s="99"/>
      <c r="M187" s="72"/>
      <c r="N187" s="100"/>
      <c r="O187" s="101"/>
      <c r="P187" s="316"/>
      <c r="Q187" s="75"/>
      <c r="R187" s="76"/>
      <c r="S187" s="72"/>
      <c r="T187" s="60"/>
      <c r="U187" s="60"/>
      <c r="V187" s="60"/>
      <c r="W187" s="102"/>
      <c r="X187" s="102"/>
      <c r="Y187" s="102"/>
      <c r="Z187" s="102"/>
      <c r="AA187" s="102"/>
      <c r="AB187" s="102"/>
      <c r="AC187" s="102"/>
      <c r="AD187" s="102"/>
      <c r="AE187" s="102"/>
      <c r="AF187" s="310"/>
      <c r="AG187" s="310"/>
      <c r="AH187" s="310"/>
      <c r="AI187" s="310"/>
      <c r="AJ187" s="96"/>
    </row>
    <row r="188" spans="1:36" s="103" customFormat="1" ht="65.099999999999994" customHeight="1" x14ac:dyDescent="0.25">
      <c r="A188" s="94"/>
      <c r="B188" s="94"/>
      <c r="C188" s="413"/>
      <c r="D188" s="95"/>
      <c r="E188" s="96"/>
      <c r="F188" s="96"/>
      <c r="G188" s="96"/>
      <c r="H188" s="96"/>
      <c r="I188" s="97"/>
      <c r="J188" s="98"/>
      <c r="K188" s="98"/>
      <c r="L188" s="99"/>
      <c r="M188" s="72"/>
      <c r="N188" s="100"/>
      <c r="O188" s="101"/>
      <c r="P188" s="316"/>
      <c r="Q188" s="75"/>
      <c r="R188" s="76"/>
      <c r="S188" s="72"/>
      <c r="T188" s="60"/>
      <c r="U188" s="60"/>
      <c r="V188" s="60"/>
      <c r="W188" s="102"/>
      <c r="X188" s="102"/>
      <c r="Y188" s="102"/>
      <c r="Z188" s="102"/>
      <c r="AA188" s="102"/>
      <c r="AB188" s="102"/>
      <c r="AC188" s="102"/>
      <c r="AD188" s="102"/>
      <c r="AE188" s="102"/>
      <c r="AF188" s="310"/>
      <c r="AG188" s="310"/>
      <c r="AH188" s="310"/>
      <c r="AI188" s="310"/>
      <c r="AJ188" s="96"/>
    </row>
    <row r="189" spans="1:36" s="103" customFormat="1" ht="65.099999999999994" customHeight="1" x14ac:dyDescent="0.25">
      <c r="A189" s="94"/>
      <c r="B189" s="94"/>
      <c r="C189" s="413"/>
      <c r="D189" s="95"/>
      <c r="E189" s="96"/>
      <c r="F189" s="96"/>
      <c r="G189" s="96"/>
      <c r="H189" s="96"/>
      <c r="I189" s="97"/>
      <c r="J189" s="98"/>
      <c r="K189" s="98"/>
      <c r="L189" s="99"/>
      <c r="M189" s="72"/>
      <c r="N189" s="100"/>
      <c r="O189" s="101"/>
      <c r="P189" s="316"/>
      <c r="Q189" s="75"/>
      <c r="R189" s="76"/>
      <c r="S189" s="72"/>
      <c r="T189" s="60"/>
      <c r="U189" s="60"/>
      <c r="V189" s="60"/>
      <c r="W189" s="102"/>
      <c r="X189" s="102"/>
      <c r="Y189" s="102"/>
      <c r="Z189" s="102"/>
      <c r="AA189" s="102"/>
      <c r="AB189" s="102"/>
      <c r="AC189" s="102"/>
      <c r="AD189" s="102"/>
      <c r="AE189" s="102"/>
      <c r="AF189" s="310"/>
      <c r="AG189" s="310"/>
      <c r="AH189" s="310"/>
      <c r="AI189" s="310"/>
      <c r="AJ189" s="96"/>
    </row>
    <row r="190" spans="1:36" s="103" customFormat="1" ht="65.099999999999994" customHeight="1" x14ac:dyDescent="0.25">
      <c r="A190" s="94"/>
      <c r="B190" s="94"/>
      <c r="C190" s="413"/>
      <c r="D190" s="95"/>
      <c r="E190" s="96"/>
      <c r="F190" s="96"/>
      <c r="G190" s="96"/>
      <c r="H190" s="96"/>
      <c r="I190" s="97"/>
      <c r="J190" s="98"/>
      <c r="K190" s="98"/>
      <c r="L190" s="99"/>
      <c r="M190" s="72"/>
      <c r="N190" s="100"/>
      <c r="O190" s="101"/>
      <c r="P190" s="316"/>
      <c r="Q190" s="75"/>
      <c r="R190" s="76"/>
      <c r="S190" s="72"/>
      <c r="T190" s="60"/>
      <c r="U190" s="60"/>
      <c r="V190" s="60"/>
      <c r="W190" s="102"/>
      <c r="X190" s="102"/>
      <c r="Y190" s="102"/>
      <c r="Z190" s="102"/>
      <c r="AA190" s="102"/>
      <c r="AB190" s="102"/>
      <c r="AC190" s="102"/>
      <c r="AD190" s="102"/>
      <c r="AE190" s="102"/>
      <c r="AF190" s="310"/>
      <c r="AG190" s="310"/>
      <c r="AH190" s="310"/>
      <c r="AI190" s="310"/>
      <c r="AJ190" s="96"/>
    </row>
    <row r="191" spans="1:36" s="103" customFormat="1" ht="65.099999999999994" customHeight="1" x14ac:dyDescent="0.25">
      <c r="A191" s="94"/>
      <c r="B191" s="94"/>
      <c r="C191" s="413"/>
      <c r="D191" s="95"/>
      <c r="E191" s="96"/>
      <c r="F191" s="96"/>
      <c r="G191" s="96"/>
      <c r="H191" s="96"/>
      <c r="I191" s="97"/>
      <c r="J191" s="98"/>
      <c r="K191" s="98"/>
      <c r="L191" s="99"/>
      <c r="M191" s="72"/>
      <c r="N191" s="100"/>
      <c r="O191" s="101"/>
      <c r="P191" s="316"/>
      <c r="Q191" s="75"/>
      <c r="R191" s="76"/>
      <c r="S191" s="72"/>
      <c r="T191" s="60"/>
      <c r="U191" s="60"/>
      <c r="V191" s="60"/>
      <c r="W191" s="102"/>
      <c r="X191" s="102"/>
      <c r="Y191" s="102"/>
      <c r="Z191" s="102"/>
      <c r="AA191" s="102"/>
      <c r="AB191" s="102"/>
      <c r="AC191" s="102"/>
      <c r="AD191" s="102"/>
      <c r="AE191" s="102"/>
      <c r="AF191" s="310"/>
      <c r="AG191" s="310"/>
      <c r="AH191" s="310"/>
      <c r="AI191" s="310"/>
      <c r="AJ191" s="96"/>
    </row>
    <row r="192" spans="1:36" s="103" customFormat="1" ht="65.099999999999994" customHeight="1" x14ac:dyDescent="0.25">
      <c r="A192" s="94"/>
      <c r="B192" s="94"/>
      <c r="C192" s="413"/>
      <c r="D192" s="95"/>
      <c r="E192" s="96"/>
      <c r="F192" s="96"/>
      <c r="G192" s="96"/>
      <c r="H192" s="96"/>
      <c r="I192" s="97"/>
      <c r="J192" s="98"/>
      <c r="K192" s="98"/>
      <c r="L192" s="99"/>
      <c r="M192" s="72"/>
      <c r="N192" s="100"/>
      <c r="O192" s="101"/>
      <c r="P192" s="316"/>
      <c r="Q192" s="75"/>
      <c r="R192" s="76"/>
      <c r="S192" s="72"/>
      <c r="T192" s="60"/>
      <c r="U192" s="60"/>
      <c r="V192" s="60"/>
      <c r="W192" s="102"/>
      <c r="X192" s="102"/>
      <c r="Y192" s="102"/>
      <c r="Z192" s="102"/>
      <c r="AA192" s="102"/>
      <c r="AB192" s="102"/>
      <c r="AC192" s="102"/>
      <c r="AD192" s="102"/>
      <c r="AE192" s="102"/>
      <c r="AF192" s="310"/>
      <c r="AG192" s="310"/>
      <c r="AH192" s="310"/>
      <c r="AI192" s="310"/>
      <c r="AJ192" s="96"/>
    </row>
    <row r="193" spans="1:36" s="103" customFormat="1" ht="65.099999999999994" customHeight="1" x14ac:dyDescent="0.25">
      <c r="A193" s="94"/>
      <c r="B193" s="94"/>
      <c r="C193" s="413"/>
      <c r="D193" s="95"/>
      <c r="E193" s="96"/>
      <c r="F193" s="96"/>
      <c r="G193" s="96"/>
      <c r="H193" s="96"/>
      <c r="I193" s="97"/>
      <c r="J193" s="98"/>
      <c r="K193" s="98"/>
      <c r="L193" s="99"/>
      <c r="M193" s="72"/>
      <c r="N193" s="100"/>
      <c r="O193" s="101"/>
      <c r="P193" s="316"/>
      <c r="Q193" s="75"/>
      <c r="R193" s="76"/>
      <c r="S193" s="72"/>
      <c r="T193" s="60"/>
      <c r="U193" s="60"/>
      <c r="V193" s="60"/>
      <c r="W193" s="102"/>
      <c r="X193" s="102"/>
      <c r="Y193" s="102"/>
      <c r="Z193" s="102"/>
      <c r="AA193" s="102"/>
      <c r="AB193" s="102"/>
      <c r="AC193" s="102"/>
      <c r="AD193" s="102"/>
      <c r="AE193" s="102"/>
      <c r="AF193" s="310"/>
      <c r="AG193" s="310"/>
      <c r="AH193" s="310"/>
      <c r="AI193" s="310"/>
      <c r="AJ193" s="96"/>
    </row>
    <row r="194" spans="1:36" s="103" customFormat="1" ht="65.099999999999994" customHeight="1" x14ac:dyDescent="0.25">
      <c r="A194" s="94"/>
      <c r="B194" s="94"/>
      <c r="C194" s="413"/>
      <c r="D194" s="95"/>
      <c r="E194" s="96"/>
      <c r="F194" s="96"/>
      <c r="G194" s="96"/>
      <c r="H194" s="96"/>
      <c r="I194" s="97"/>
      <c r="J194" s="98"/>
      <c r="K194" s="98"/>
      <c r="L194" s="99"/>
      <c r="M194" s="72"/>
      <c r="N194" s="100"/>
      <c r="O194" s="101"/>
      <c r="P194" s="316"/>
      <c r="Q194" s="75"/>
      <c r="R194" s="76"/>
      <c r="S194" s="72"/>
      <c r="T194" s="60"/>
      <c r="U194" s="60"/>
      <c r="V194" s="60"/>
      <c r="W194" s="102"/>
      <c r="X194" s="102"/>
      <c r="Y194" s="102"/>
      <c r="Z194" s="102"/>
      <c r="AA194" s="102"/>
      <c r="AB194" s="102"/>
      <c r="AC194" s="102"/>
      <c r="AD194" s="102"/>
      <c r="AE194" s="102"/>
      <c r="AF194" s="310"/>
      <c r="AG194" s="310"/>
      <c r="AH194" s="310"/>
      <c r="AI194" s="310"/>
      <c r="AJ194" s="96"/>
    </row>
    <row r="195" spans="1:36" s="103" customFormat="1" ht="65.099999999999994" customHeight="1" x14ac:dyDescent="0.25">
      <c r="A195" s="94"/>
      <c r="B195" s="94"/>
      <c r="C195" s="413"/>
      <c r="D195" s="95"/>
      <c r="E195" s="96"/>
      <c r="F195" s="96"/>
      <c r="G195" s="96"/>
      <c r="H195" s="96"/>
      <c r="I195" s="97"/>
      <c r="J195" s="98"/>
      <c r="K195" s="98"/>
      <c r="L195" s="99"/>
      <c r="M195" s="72"/>
      <c r="N195" s="100"/>
      <c r="O195" s="101"/>
      <c r="P195" s="316"/>
      <c r="Q195" s="75"/>
      <c r="R195" s="76"/>
      <c r="S195" s="72"/>
      <c r="T195" s="60"/>
      <c r="U195" s="60"/>
      <c r="V195" s="60"/>
      <c r="W195" s="102"/>
      <c r="X195" s="102"/>
      <c r="Y195" s="102"/>
      <c r="Z195" s="102"/>
      <c r="AA195" s="102"/>
      <c r="AB195" s="102"/>
      <c r="AC195" s="102"/>
      <c r="AD195" s="102"/>
      <c r="AE195" s="102"/>
      <c r="AF195" s="310"/>
      <c r="AG195" s="310"/>
      <c r="AH195" s="310"/>
      <c r="AI195" s="310"/>
      <c r="AJ195" s="96"/>
    </row>
    <row r="196" spans="1:36" s="103" customFormat="1" ht="65.099999999999994" customHeight="1" x14ac:dyDescent="0.25">
      <c r="A196" s="94"/>
      <c r="B196" s="94"/>
      <c r="C196" s="413"/>
      <c r="D196" s="95"/>
      <c r="E196" s="96"/>
      <c r="F196" s="96"/>
      <c r="G196" s="96"/>
      <c r="H196" s="96"/>
      <c r="I196" s="97"/>
      <c r="J196" s="98"/>
      <c r="K196" s="98"/>
      <c r="L196" s="99"/>
      <c r="M196" s="72"/>
      <c r="N196" s="100"/>
      <c r="O196" s="101"/>
      <c r="P196" s="316"/>
      <c r="Q196" s="75"/>
      <c r="R196" s="76"/>
      <c r="S196" s="72"/>
      <c r="T196" s="60"/>
      <c r="U196" s="60"/>
      <c r="V196" s="60"/>
      <c r="W196" s="102"/>
      <c r="X196" s="102"/>
      <c r="Y196" s="102"/>
      <c r="Z196" s="102"/>
      <c r="AA196" s="102"/>
      <c r="AB196" s="102"/>
      <c r="AC196" s="102"/>
      <c r="AD196" s="102"/>
      <c r="AE196" s="102"/>
      <c r="AF196" s="310"/>
      <c r="AG196" s="310"/>
      <c r="AH196" s="310"/>
      <c r="AI196" s="310"/>
      <c r="AJ196" s="96"/>
    </row>
    <row r="197" spans="1:36" s="103" customFormat="1" ht="65.099999999999994" customHeight="1" x14ac:dyDescent="0.25">
      <c r="A197" s="94"/>
      <c r="B197" s="94"/>
      <c r="C197" s="413"/>
      <c r="D197" s="95"/>
      <c r="E197" s="96"/>
      <c r="F197" s="96"/>
      <c r="G197" s="96"/>
      <c r="H197" s="96"/>
      <c r="I197" s="97"/>
      <c r="J197" s="98"/>
      <c r="K197" s="98"/>
      <c r="L197" s="99"/>
      <c r="M197" s="72"/>
      <c r="N197" s="100"/>
      <c r="O197" s="101"/>
      <c r="P197" s="316"/>
      <c r="Q197" s="75"/>
      <c r="R197" s="76"/>
      <c r="S197" s="72"/>
      <c r="T197" s="60"/>
      <c r="U197" s="60"/>
      <c r="V197" s="60"/>
      <c r="W197" s="102"/>
      <c r="X197" s="102"/>
      <c r="Y197" s="102"/>
      <c r="Z197" s="102"/>
      <c r="AA197" s="102"/>
      <c r="AB197" s="102"/>
      <c r="AC197" s="102"/>
      <c r="AD197" s="102"/>
      <c r="AE197" s="102"/>
      <c r="AF197" s="310"/>
      <c r="AG197" s="310"/>
      <c r="AH197" s="310"/>
      <c r="AI197" s="310"/>
      <c r="AJ197" s="96"/>
    </row>
    <row r="198" spans="1:36" s="103" customFormat="1" ht="65.099999999999994" customHeight="1" x14ac:dyDescent="0.25">
      <c r="A198" s="94"/>
      <c r="B198" s="94"/>
      <c r="C198" s="413"/>
      <c r="D198" s="95"/>
      <c r="E198" s="96"/>
      <c r="F198" s="96"/>
      <c r="G198" s="96"/>
      <c r="H198" s="96"/>
      <c r="I198" s="97"/>
      <c r="J198" s="98"/>
      <c r="K198" s="98"/>
      <c r="L198" s="99"/>
      <c r="M198" s="72"/>
      <c r="N198" s="100"/>
      <c r="O198" s="101"/>
      <c r="P198" s="316"/>
      <c r="Q198" s="75"/>
      <c r="R198" s="76"/>
      <c r="S198" s="72"/>
      <c r="T198" s="60"/>
      <c r="U198" s="60"/>
      <c r="V198" s="60"/>
      <c r="W198" s="102"/>
      <c r="X198" s="102"/>
      <c r="Y198" s="102"/>
      <c r="Z198" s="102"/>
      <c r="AA198" s="102"/>
      <c r="AB198" s="102"/>
      <c r="AC198" s="102"/>
      <c r="AD198" s="102"/>
      <c r="AE198" s="102"/>
      <c r="AF198" s="310"/>
      <c r="AG198" s="310"/>
      <c r="AH198" s="310"/>
      <c r="AI198" s="310"/>
      <c r="AJ198" s="96"/>
    </row>
    <row r="199" spans="1:36" s="103" customFormat="1" ht="65.099999999999994" customHeight="1" x14ac:dyDescent="0.25">
      <c r="A199" s="94"/>
      <c r="B199" s="94"/>
      <c r="C199" s="413"/>
      <c r="D199" s="95"/>
      <c r="E199" s="96"/>
      <c r="F199" s="96"/>
      <c r="G199" s="96"/>
      <c r="H199" s="96"/>
      <c r="I199" s="97"/>
      <c r="J199" s="98"/>
      <c r="K199" s="98"/>
      <c r="L199" s="99"/>
      <c r="M199" s="72"/>
      <c r="N199" s="100"/>
      <c r="O199" s="101"/>
      <c r="P199" s="316"/>
      <c r="Q199" s="75"/>
      <c r="R199" s="76"/>
      <c r="S199" s="72"/>
      <c r="T199" s="60"/>
      <c r="U199" s="60"/>
      <c r="V199" s="60"/>
      <c r="W199" s="102"/>
      <c r="X199" s="102"/>
      <c r="Y199" s="102"/>
      <c r="Z199" s="102"/>
      <c r="AA199" s="102"/>
      <c r="AB199" s="102"/>
      <c r="AC199" s="102"/>
      <c r="AD199" s="102"/>
      <c r="AE199" s="102"/>
      <c r="AF199" s="310"/>
      <c r="AG199" s="310"/>
      <c r="AH199" s="310"/>
      <c r="AI199" s="310"/>
      <c r="AJ199" s="96"/>
    </row>
    <row r="200" spans="1:36" s="103" customFormat="1" ht="65.099999999999994" customHeight="1" x14ac:dyDescent="0.25">
      <c r="A200" s="94"/>
      <c r="B200" s="94"/>
      <c r="C200" s="413"/>
      <c r="D200" s="95"/>
      <c r="E200" s="96"/>
      <c r="F200" s="96"/>
      <c r="G200" s="96"/>
      <c r="H200" s="96"/>
      <c r="I200" s="97"/>
      <c r="J200" s="98"/>
      <c r="K200" s="98"/>
      <c r="L200" s="99"/>
      <c r="M200" s="72"/>
      <c r="N200" s="100"/>
      <c r="O200" s="101"/>
      <c r="P200" s="316"/>
      <c r="Q200" s="75"/>
      <c r="R200" s="76"/>
      <c r="S200" s="72"/>
      <c r="T200" s="60"/>
      <c r="U200" s="60"/>
      <c r="V200" s="60"/>
      <c r="W200" s="102"/>
      <c r="X200" s="102"/>
      <c r="Y200" s="102"/>
      <c r="Z200" s="102"/>
      <c r="AA200" s="102"/>
      <c r="AB200" s="102"/>
      <c r="AC200" s="102"/>
      <c r="AD200" s="102"/>
      <c r="AE200" s="102"/>
      <c r="AF200" s="310"/>
      <c r="AG200" s="310"/>
      <c r="AH200" s="310"/>
      <c r="AI200" s="310"/>
      <c r="AJ200" s="96"/>
    </row>
    <row r="201" spans="1:36" s="103" customFormat="1" ht="65.099999999999994" customHeight="1" x14ac:dyDescent="0.25">
      <c r="A201" s="94"/>
      <c r="B201" s="94"/>
      <c r="C201" s="413"/>
      <c r="D201" s="95"/>
      <c r="E201" s="96"/>
      <c r="F201" s="96"/>
      <c r="G201" s="96"/>
      <c r="H201" s="96"/>
      <c r="I201" s="97"/>
      <c r="J201" s="98"/>
      <c r="K201" s="98"/>
      <c r="L201" s="99"/>
      <c r="M201" s="72"/>
      <c r="N201" s="100"/>
      <c r="O201" s="101"/>
      <c r="P201" s="316"/>
      <c r="Q201" s="75"/>
      <c r="R201" s="76"/>
      <c r="S201" s="72"/>
      <c r="T201" s="60"/>
      <c r="U201" s="60"/>
      <c r="V201" s="60"/>
      <c r="W201" s="102"/>
      <c r="X201" s="102"/>
      <c r="Y201" s="102"/>
      <c r="Z201" s="102"/>
      <c r="AA201" s="102"/>
      <c r="AB201" s="102"/>
      <c r="AC201" s="102"/>
      <c r="AD201" s="102"/>
      <c r="AE201" s="102"/>
      <c r="AF201" s="310"/>
      <c r="AG201" s="310"/>
      <c r="AH201" s="310"/>
      <c r="AI201" s="310"/>
      <c r="AJ201" s="96"/>
    </row>
    <row r="202" spans="1:36" s="103" customFormat="1" ht="65.099999999999994" customHeight="1" x14ac:dyDescent="0.25">
      <c r="A202" s="94"/>
      <c r="B202" s="94"/>
      <c r="C202" s="413"/>
      <c r="D202" s="95"/>
      <c r="E202" s="96"/>
      <c r="F202" s="96"/>
      <c r="G202" s="96"/>
      <c r="H202" s="96"/>
      <c r="I202" s="97"/>
      <c r="J202" s="98"/>
      <c r="K202" s="98"/>
      <c r="L202" s="99"/>
      <c r="M202" s="72"/>
      <c r="N202" s="100"/>
      <c r="O202" s="101"/>
      <c r="P202" s="316"/>
      <c r="Q202" s="75"/>
      <c r="R202" s="76"/>
      <c r="S202" s="72"/>
      <c r="T202" s="60"/>
      <c r="U202" s="60"/>
      <c r="V202" s="60"/>
      <c r="W202" s="102"/>
      <c r="X202" s="102"/>
      <c r="Y202" s="102"/>
      <c r="Z202" s="102"/>
      <c r="AA202" s="102"/>
      <c r="AB202" s="102"/>
      <c r="AC202" s="102"/>
      <c r="AD202" s="102"/>
      <c r="AE202" s="102"/>
      <c r="AF202" s="310"/>
      <c r="AG202" s="310"/>
      <c r="AH202" s="310"/>
      <c r="AI202" s="310"/>
      <c r="AJ202" s="96"/>
    </row>
    <row r="203" spans="1:36" s="103" customFormat="1" ht="65.099999999999994" customHeight="1" x14ac:dyDescent="0.25">
      <c r="A203" s="94"/>
      <c r="B203" s="94"/>
      <c r="C203" s="413"/>
      <c r="D203" s="95"/>
      <c r="E203" s="96"/>
      <c r="F203" s="96"/>
      <c r="G203" s="96"/>
      <c r="H203" s="96"/>
      <c r="I203" s="97"/>
      <c r="J203" s="98"/>
      <c r="K203" s="98"/>
      <c r="L203" s="99"/>
      <c r="M203" s="72"/>
      <c r="N203" s="100"/>
      <c r="O203" s="101"/>
      <c r="P203" s="316"/>
      <c r="Q203" s="75"/>
      <c r="R203" s="76"/>
      <c r="S203" s="72"/>
      <c r="T203" s="60"/>
      <c r="U203" s="60"/>
      <c r="V203" s="60"/>
      <c r="W203" s="102"/>
      <c r="X203" s="102"/>
      <c r="Y203" s="102"/>
      <c r="Z203" s="102"/>
      <c r="AA203" s="102"/>
      <c r="AB203" s="102"/>
      <c r="AC203" s="102"/>
      <c r="AD203" s="102"/>
      <c r="AE203" s="102"/>
      <c r="AF203" s="310"/>
      <c r="AG203" s="310"/>
      <c r="AH203" s="310"/>
      <c r="AI203" s="310"/>
      <c r="AJ203" s="96"/>
    </row>
    <row r="204" spans="1:36" s="103" customFormat="1" ht="65.099999999999994" customHeight="1" x14ac:dyDescent="0.25">
      <c r="A204" s="94"/>
      <c r="B204" s="94"/>
      <c r="C204" s="413"/>
      <c r="D204" s="95"/>
      <c r="E204" s="96"/>
      <c r="F204" s="96"/>
      <c r="G204" s="96"/>
      <c r="H204" s="96"/>
      <c r="I204" s="97"/>
      <c r="J204" s="98"/>
      <c r="K204" s="98"/>
      <c r="L204" s="99"/>
      <c r="M204" s="72"/>
      <c r="N204" s="100"/>
      <c r="O204" s="101"/>
      <c r="P204" s="316"/>
      <c r="Q204" s="75"/>
      <c r="R204" s="76"/>
      <c r="S204" s="72"/>
      <c r="T204" s="60"/>
      <c r="U204" s="60"/>
      <c r="V204" s="60"/>
      <c r="W204" s="102"/>
      <c r="X204" s="102"/>
      <c r="Y204" s="102"/>
      <c r="Z204" s="102"/>
      <c r="AA204" s="102"/>
      <c r="AB204" s="102"/>
      <c r="AC204" s="102"/>
      <c r="AD204" s="102"/>
      <c r="AE204" s="102"/>
      <c r="AF204" s="310"/>
      <c r="AG204" s="310"/>
      <c r="AH204" s="310"/>
      <c r="AI204" s="310"/>
      <c r="AJ204" s="96"/>
    </row>
    <row r="205" spans="1:36" s="103" customFormat="1" ht="65.099999999999994" customHeight="1" x14ac:dyDescent="0.25">
      <c r="A205" s="94"/>
      <c r="B205" s="94"/>
      <c r="C205" s="413"/>
      <c r="D205" s="95"/>
      <c r="E205" s="96"/>
      <c r="F205" s="96"/>
      <c r="G205" s="96"/>
      <c r="H205" s="96"/>
      <c r="I205" s="97"/>
      <c r="J205" s="98"/>
      <c r="K205" s="98"/>
      <c r="L205" s="99"/>
      <c r="M205" s="72"/>
      <c r="N205" s="100"/>
      <c r="O205" s="101"/>
      <c r="P205" s="316"/>
      <c r="Q205" s="75"/>
      <c r="R205" s="76"/>
      <c r="S205" s="72"/>
      <c r="T205" s="60"/>
      <c r="U205" s="60"/>
      <c r="V205" s="60"/>
      <c r="W205" s="102"/>
      <c r="X205" s="102"/>
      <c r="Y205" s="102"/>
      <c r="Z205" s="102"/>
      <c r="AA205" s="102"/>
      <c r="AB205" s="102"/>
      <c r="AC205" s="102"/>
      <c r="AD205" s="102"/>
      <c r="AE205" s="102"/>
      <c r="AF205" s="310"/>
      <c r="AG205" s="310"/>
      <c r="AH205" s="310"/>
      <c r="AI205" s="310"/>
      <c r="AJ205" s="96"/>
    </row>
    <row r="206" spans="1:36" s="103" customFormat="1" ht="65.099999999999994" customHeight="1" x14ac:dyDescent="0.25">
      <c r="A206" s="94"/>
      <c r="B206" s="94"/>
      <c r="C206" s="413"/>
      <c r="D206" s="95"/>
      <c r="E206" s="96"/>
      <c r="F206" s="96"/>
      <c r="G206" s="96"/>
      <c r="H206" s="96"/>
      <c r="I206" s="97"/>
      <c r="J206" s="98"/>
      <c r="K206" s="98"/>
      <c r="L206" s="99"/>
      <c r="M206" s="72"/>
      <c r="N206" s="100"/>
      <c r="O206" s="101"/>
      <c r="P206" s="316"/>
      <c r="Q206" s="75"/>
      <c r="R206" s="76"/>
      <c r="S206" s="72"/>
      <c r="T206" s="60"/>
      <c r="U206" s="60"/>
      <c r="V206" s="60"/>
      <c r="W206" s="102"/>
      <c r="X206" s="102"/>
      <c r="Y206" s="102"/>
      <c r="Z206" s="102"/>
      <c r="AA206" s="102"/>
      <c r="AB206" s="102"/>
      <c r="AC206" s="102"/>
      <c r="AD206" s="102"/>
      <c r="AE206" s="102"/>
      <c r="AF206" s="310"/>
      <c r="AG206" s="310"/>
      <c r="AH206" s="310"/>
      <c r="AI206" s="310"/>
      <c r="AJ206" s="96"/>
    </row>
    <row r="207" spans="1:36" s="103" customFormat="1" ht="65.099999999999994" customHeight="1" x14ac:dyDescent="0.25">
      <c r="A207" s="94"/>
      <c r="B207" s="94"/>
      <c r="C207" s="413"/>
      <c r="D207" s="95"/>
      <c r="E207" s="96"/>
      <c r="F207" s="96"/>
      <c r="G207" s="96"/>
      <c r="H207" s="96"/>
      <c r="I207" s="97"/>
      <c r="J207" s="98"/>
      <c r="K207" s="98"/>
      <c r="L207" s="99"/>
      <c r="M207" s="72"/>
      <c r="N207" s="100"/>
      <c r="O207" s="101"/>
      <c r="P207" s="316"/>
      <c r="Q207" s="75"/>
      <c r="R207" s="76"/>
      <c r="S207" s="72"/>
      <c r="T207" s="60"/>
      <c r="U207" s="60"/>
      <c r="V207" s="60"/>
      <c r="W207" s="102"/>
      <c r="X207" s="102"/>
      <c r="Y207" s="102"/>
      <c r="Z207" s="102"/>
      <c r="AA207" s="102"/>
      <c r="AB207" s="102"/>
      <c r="AC207" s="102"/>
      <c r="AD207" s="102"/>
      <c r="AE207" s="102"/>
      <c r="AF207" s="310"/>
      <c r="AG207" s="310"/>
      <c r="AH207" s="310"/>
      <c r="AI207" s="310"/>
      <c r="AJ207" s="96"/>
    </row>
    <row r="208" spans="1:36" s="103" customFormat="1" ht="65.099999999999994" customHeight="1" x14ac:dyDescent="0.25">
      <c r="A208" s="94"/>
      <c r="B208" s="94"/>
      <c r="C208" s="413"/>
      <c r="D208" s="95"/>
      <c r="E208" s="96"/>
      <c r="F208" s="96"/>
      <c r="G208" s="96"/>
      <c r="H208" s="96"/>
      <c r="I208" s="97"/>
      <c r="J208" s="98"/>
      <c r="K208" s="98"/>
      <c r="L208" s="99"/>
      <c r="M208" s="72"/>
      <c r="N208" s="100"/>
      <c r="O208" s="101"/>
      <c r="P208" s="316"/>
      <c r="Q208" s="75"/>
      <c r="R208" s="76"/>
      <c r="S208" s="72"/>
      <c r="T208" s="60"/>
      <c r="U208" s="60"/>
      <c r="V208" s="60"/>
      <c r="W208" s="102"/>
      <c r="X208" s="102"/>
      <c r="Y208" s="102"/>
      <c r="Z208" s="102"/>
      <c r="AA208" s="102"/>
      <c r="AB208" s="102"/>
      <c r="AC208" s="102"/>
      <c r="AD208" s="102"/>
      <c r="AE208" s="102"/>
      <c r="AF208" s="310"/>
      <c r="AG208" s="310"/>
      <c r="AH208" s="310"/>
      <c r="AI208" s="310"/>
      <c r="AJ208" s="96"/>
    </row>
    <row r="209" spans="1:36" s="103" customFormat="1" ht="65.099999999999994" customHeight="1" x14ac:dyDescent="0.25">
      <c r="A209" s="94"/>
      <c r="B209" s="94"/>
      <c r="C209" s="413"/>
      <c r="D209" s="95"/>
      <c r="E209" s="96"/>
      <c r="F209" s="96"/>
      <c r="G209" s="96"/>
      <c r="H209" s="96"/>
      <c r="I209" s="97"/>
      <c r="J209" s="98"/>
      <c r="K209" s="98"/>
      <c r="L209" s="99"/>
      <c r="M209" s="72"/>
      <c r="N209" s="100"/>
      <c r="O209" s="101"/>
      <c r="P209" s="316"/>
      <c r="Q209" s="75"/>
      <c r="R209" s="76"/>
      <c r="S209" s="72"/>
      <c r="T209" s="60"/>
      <c r="U209" s="60"/>
      <c r="V209" s="60"/>
      <c r="W209" s="102"/>
      <c r="X209" s="102"/>
      <c r="Y209" s="102"/>
      <c r="Z209" s="102"/>
      <c r="AA209" s="102"/>
      <c r="AB209" s="102"/>
      <c r="AC209" s="102"/>
      <c r="AD209" s="102"/>
      <c r="AE209" s="102"/>
      <c r="AF209" s="310"/>
      <c r="AG209" s="310"/>
      <c r="AH209" s="310"/>
      <c r="AI209" s="310"/>
      <c r="AJ209" s="96"/>
    </row>
    <row r="210" spans="1:36" s="103" customFormat="1" ht="65.099999999999994" customHeight="1" x14ac:dyDescent="0.25">
      <c r="A210" s="94"/>
      <c r="B210" s="94"/>
      <c r="C210" s="413"/>
      <c r="D210" s="95"/>
      <c r="E210" s="96"/>
      <c r="F210" s="96"/>
      <c r="G210" s="96"/>
      <c r="H210" s="96"/>
      <c r="I210" s="97"/>
      <c r="J210" s="98"/>
      <c r="K210" s="98"/>
      <c r="L210" s="99"/>
      <c r="M210" s="72"/>
      <c r="N210" s="100"/>
      <c r="O210" s="101"/>
      <c r="P210" s="316"/>
      <c r="Q210" s="75"/>
      <c r="R210" s="76"/>
      <c r="S210" s="72"/>
      <c r="T210" s="60"/>
      <c r="U210" s="60"/>
      <c r="V210" s="60"/>
      <c r="W210" s="102"/>
      <c r="X210" s="102"/>
      <c r="Y210" s="102"/>
      <c r="Z210" s="102"/>
      <c r="AA210" s="102"/>
      <c r="AB210" s="102"/>
      <c r="AC210" s="102"/>
      <c r="AD210" s="102"/>
      <c r="AE210" s="102"/>
      <c r="AF210" s="310"/>
      <c r="AG210" s="310"/>
      <c r="AH210" s="310"/>
      <c r="AI210" s="310"/>
      <c r="AJ210" s="96"/>
    </row>
    <row r="211" spans="1:36" s="103" customFormat="1" ht="65.099999999999994" customHeight="1" x14ac:dyDescent="0.25">
      <c r="A211" s="94"/>
      <c r="B211" s="94"/>
      <c r="C211" s="413"/>
      <c r="D211" s="95"/>
      <c r="E211" s="96"/>
      <c r="F211" s="96"/>
      <c r="G211" s="96"/>
      <c r="H211" s="96"/>
      <c r="I211" s="97"/>
      <c r="J211" s="98"/>
      <c r="K211" s="98"/>
      <c r="L211" s="99"/>
      <c r="M211" s="72"/>
      <c r="N211" s="100"/>
      <c r="O211" s="101"/>
      <c r="P211" s="316"/>
      <c r="Q211" s="75"/>
      <c r="R211" s="76"/>
      <c r="S211" s="72"/>
      <c r="T211" s="60"/>
      <c r="U211" s="60"/>
      <c r="V211" s="60"/>
      <c r="W211" s="102"/>
      <c r="X211" s="102"/>
      <c r="Y211" s="102"/>
      <c r="Z211" s="102"/>
      <c r="AA211" s="102"/>
      <c r="AB211" s="102"/>
      <c r="AC211" s="102"/>
      <c r="AD211" s="102"/>
      <c r="AE211" s="102"/>
      <c r="AF211" s="310"/>
      <c r="AG211" s="310"/>
      <c r="AH211" s="310"/>
      <c r="AI211" s="310"/>
      <c r="AJ211" s="96"/>
    </row>
    <row r="212" spans="1:36" s="103" customFormat="1" ht="65.099999999999994" customHeight="1" x14ac:dyDescent="0.25">
      <c r="A212" s="94"/>
      <c r="B212" s="94"/>
      <c r="C212" s="413"/>
      <c r="D212" s="95"/>
      <c r="E212" s="96"/>
      <c r="F212" s="96"/>
      <c r="G212" s="96"/>
      <c r="H212" s="96"/>
      <c r="I212" s="97"/>
      <c r="J212" s="98"/>
      <c r="K212" s="98"/>
      <c r="L212" s="99"/>
      <c r="M212" s="72"/>
      <c r="N212" s="100"/>
      <c r="O212" s="101"/>
      <c r="P212" s="316"/>
      <c r="Q212" s="75"/>
      <c r="R212" s="76"/>
      <c r="S212" s="72"/>
      <c r="T212" s="60"/>
      <c r="U212" s="60"/>
      <c r="V212" s="60"/>
      <c r="W212" s="102"/>
      <c r="X212" s="102"/>
      <c r="Y212" s="102"/>
      <c r="Z212" s="102"/>
      <c r="AA212" s="102"/>
      <c r="AB212" s="102"/>
      <c r="AC212" s="102"/>
      <c r="AD212" s="102"/>
      <c r="AE212" s="102"/>
      <c r="AF212" s="310"/>
      <c r="AG212" s="310"/>
      <c r="AH212" s="310"/>
      <c r="AI212" s="310"/>
      <c r="AJ212" s="96"/>
    </row>
  </sheetData>
  <autoFilter ref="A1:AJ18">
    <filterColumn colId="22" showButton="0"/>
    <filterColumn colId="23" showButton="0"/>
    <filterColumn colId="25" showButton="0"/>
    <filterColumn colId="26" showButton="0"/>
  </autoFilter>
  <mergeCells count="267">
    <mergeCell ref="Q1:Q2"/>
    <mergeCell ref="R1:R2"/>
    <mergeCell ref="G1:G2"/>
    <mergeCell ref="H1:H2"/>
    <mergeCell ref="I1:I2"/>
    <mergeCell ref="J1:J2"/>
    <mergeCell ref="K1:K2"/>
    <mergeCell ref="L1:L2"/>
    <mergeCell ref="A1:A2"/>
    <mergeCell ref="B1:B2"/>
    <mergeCell ref="C1:C2"/>
    <mergeCell ref="D1:D2"/>
    <mergeCell ref="E1:E2"/>
    <mergeCell ref="F1:F2"/>
    <mergeCell ref="AJ1:AJ2"/>
    <mergeCell ref="A3:A7"/>
    <mergeCell ref="W3:Y3"/>
    <mergeCell ref="Z3:AB3"/>
    <mergeCell ref="AC3:AE3"/>
    <mergeCell ref="AG3:AG7"/>
    <mergeCell ref="AH3:AH7"/>
    <mergeCell ref="W4:Y4"/>
    <mergeCell ref="Z4:AB4"/>
    <mergeCell ref="AC1:AE1"/>
    <mergeCell ref="AF1:AF2"/>
    <mergeCell ref="AG1:AG2"/>
    <mergeCell ref="AH1:AH2"/>
    <mergeCell ref="AI1:AI2"/>
    <mergeCell ref="S1:S2"/>
    <mergeCell ref="T1:T2"/>
    <mergeCell ref="U1:U2"/>
    <mergeCell ref="V1:V2"/>
    <mergeCell ref="W1:Y1"/>
    <mergeCell ref="Z1:AB1"/>
    <mergeCell ref="M1:M2"/>
    <mergeCell ref="N1:N2"/>
    <mergeCell ref="O1:O2"/>
    <mergeCell ref="P1:P2"/>
    <mergeCell ref="W6:Y6"/>
    <mergeCell ref="Z6:AB6"/>
    <mergeCell ref="AC6:AE6"/>
    <mergeCell ref="W7:Y7"/>
    <mergeCell ref="Z7:AB7"/>
    <mergeCell ref="AC7:AE7"/>
    <mergeCell ref="AC4:AE4"/>
    <mergeCell ref="W5:Y5"/>
    <mergeCell ref="Z5:AB5"/>
    <mergeCell ref="AC5:AE5"/>
    <mergeCell ref="AH8:AH11"/>
    <mergeCell ref="W9:Y9"/>
    <mergeCell ref="Z9:AB9"/>
    <mergeCell ref="AC9:AE9"/>
    <mergeCell ref="W10:Y10"/>
    <mergeCell ref="Z10:AB10"/>
    <mergeCell ref="AC10:AE10"/>
    <mergeCell ref="W11:Y11"/>
    <mergeCell ref="A8:A11"/>
    <mergeCell ref="W8:Y8"/>
    <mergeCell ref="Z8:AB8"/>
    <mergeCell ref="AC8:AE8"/>
    <mergeCell ref="AG8:AG11"/>
    <mergeCell ref="Z11:AB11"/>
    <mergeCell ref="AC11:AE11"/>
    <mergeCell ref="A16:A21"/>
    <mergeCell ref="W16:Y16"/>
    <mergeCell ref="Z16:AB16"/>
    <mergeCell ref="AC16:AE16"/>
    <mergeCell ref="AG16:AG21"/>
    <mergeCell ref="Z19:AB19"/>
    <mergeCell ref="AC19:AE19"/>
    <mergeCell ref="W20:Y20"/>
    <mergeCell ref="AH12:AH15"/>
    <mergeCell ref="W13:Y13"/>
    <mergeCell ref="Z13:AB13"/>
    <mergeCell ref="AC13:AE13"/>
    <mergeCell ref="W14:Y14"/>
    <mergeCell ref="Z14:AB14"/>
    <mergeCell ref="AC14:AE14"/>
    <mergeCell ref="W15:Y15"/>
    <mergeCell ref="A12:A15"/>
    <mergeCell ref="W12:Y12"/>
    <mergeCell ref="Z12:AB12"/>
    <mergeCell ref="AC12:AE12"/>
    <mergeCell ref="AG12:AG15"/>
    <mergeCell ref="Z15:AB15"/>
    <mergeCell ref="AC15:AE15"/>
    <mergeCell ref="Z20:AB20"/>
    <mergeCell ref="AC20:AE20"/>
    <mergeCell ref="W21:Y21"/>
    <mergeCell ref="Z21:AB21"/>
    <mergeCell ref="AC21:AE21"/>
    <mergeCell ref="AH16:AH21"/>
    <mergeCell ref="W17:Y17"/>
    <mergeCell ref="Z17:AB17"/>
    <mergeCell ref="AC17:AE17"/>
    <mergeCell ref="W18:Y18"/>
    <mergeCell ref="Z18:AB18"/>
    <mergeCell ref="AC18:AE18"/>
    <mergeCell ref="W19:Y19"/>
    <mergeCell ref="A26:A31"/>
    <mergeCell ref="W26:Y26"/>
    <mergeCell ref="Z26:AB26"/>
    <mergeCell ref="AC26:AE26"/>
    <mergeCell ref="AG26:AG31"/>
    <mergeCell ref="Z29:AB29"/>
    <mergeCell ref="AC29:AE29"/>
    <mergeCell ref="W30:Y30"/>
    <mergeCell ref="AH22:AH25"/>
    <mergeCell ref="W23:Y23"/>
    <mergeCell ref="Z23:AB23"/>
    <mergeCell ref="AC23:AE23"/>
    <mergeCell ref="W24:Y24"/>
    <mergeCell ref="Z24:AB24"/>
    <mergeCell ref="AC24:AE24"/>
    <mergeCell ref="W25:Y25"/>
    <mergeCell ref="A22:A25"/>
    <mergeCell ref="W22:Y22"/>
    <mergeCell ref="Z22:AB22"/>
    <mergeCell ref="AC22:AE22"/>
    <mergeCell ref="AG22:AG25"/>
    <mergeCell ref="Z25:AB25"/>
    <mergeCell ref="AC25:AE25"/>
    <mergeCell ref="Z30:AB30"/>
    <mergeCell ref="AC30:AE30"/>
    <mergeCell ref="W31:Y31"/>
    <mergeCell ref="Z31:AB31"/>
    <mergeCell ref="AC31:AE31"/>
    <mergeCell ref="AH26:AH31"/>
    <mergeCell ref="W27:Y27"/>
    <mergeCell ref="Z27:AB27"/>
    <mergeCell ref="AC27:AE27"/>
    <mergeCell ref="W28:Y28"/>
    <mergeCell ref="Z28:AB28"/>
    <mergeCell ref="AC28:AE28"/>
    <mergeCell ref="W29:Y29"/>
    <mergeCell ref="AH32:AH34"/>
    <mergeCell ref="W33:Y33"/>
    <mergeCell ref="Z33:AB33"/>
    <mergeCell ref="AC33:AE33"/>
    <mergeCell ref="W34:Y34"/>
    <mergeCell ref="Z34:AB34"/>
    <mergeCell ref="AC34:AE34"/>
    <mergeCell ref="A32:A34"/>
    <mergeCell ref="W32:Y32"/>
    <mergeCell ref="Z32:AB32"/>
    <mergeCell ref="AC32:AE32"/>
    <mergeCell ref="AG32:AG34"/>
    <mergeCell ref="A39:A44"/>
    <mergeCell ref="W39:Y39"/>
    <mergeCell ref="Z39:AB39"/>
    <mergeCell ref="AC39:AE39"/>
    <mergeCell ref="AG39:AG44"/>
    <mergeCell ref="Z42:AB42"/>
    <mergeCell ref="AC42:AE42"/>
    <mergeCell ref="W43:Y43"/>
    <mergeCell ref="AH35:AH38"/>
    <mergeCell ref="W36:Y36"/>
    <mergeCell ref="Z36:AB36"/>
    <mergeCell ref="AC36:AE36"/>
    <mergeCell ref="W37:Y37"/>
    <mergeCell ref="Z37:AB37"/>
    <mergeCell ref="AC37:AE37"/>
    <mergeCell ref="W38:Y38"/>
    <mergeCell ref="A35:A38"/>
    <mergeCell ref="W35:Y35"/>
    <mergeCell ref="Z35:AB35"/>
    <mergeCell ref="AC35:AE35"/>
    <mergeCell ref="AG35:AG38"/>
    <mergeCell ref="Z38:AB38"/>
    <mergeCell ref="AC38:AE38"/>
    <mergeCell ref="Z43:AB43"/>
    <mergeCell ref="AC43:AE43"/>
    <mergeCell ref="W44:Y44"/>
    <mergeCell ref="Z44:AB44"/>
    <mergeCell ref="AC44:AE44"/>
    <mergeCell ref="AH39:AH44"/>
    <mergeCell ref="W40:Y40"/>
    <mergeCell ref="Z40:AB40"/>
    <mergeCell ref="AC40:AE40"/>
    <mergeCell ref="W41:Y41"/>
    <mergeCell ref="Z41:AB41"/>
    <mergeCell ref="AC41:AE41"/>
    <mergeCell ref="W42:Y42"/>
    <mergeCell ref="AH45:AH50"/>
    <mergeCell ref="W46:Y46"/>
    <mergeCell ref="Z46:AB46"/>
    <mergeCell ref="AC46:AE46"/>
    <mergeCell ref="W47:Y47"/>
    <mergeCell ref="Z47:AB47"/>
    <mergeCell ref="AC47:AE47"/>
    <mergeCell ref="W48:Y48"/>
    <mergeCell ref="A45:A50"/>
    <mergeCell ref="W45:Y45"/>
    <mergeCell ref="Z45:AB45"/>
    <mergeCell ref="AC45:AE45"/>
    <mergeCell ref="AG45:AG50"/>
    <mergeCell ref="Z48:AB48"/>
    <mergeCell ref="AC48:AE48"/>
    <mergeCell ref="W49:Y49"/>
    <mergeCell ref="A51:A56"/>
    <mergeCell ref="W51:Y51"/>
    <mergeCell ref="Z51:AB51"/>
    <mergeCell ref="AC51:AE51"/>
    <mergeCell ref="AG51:AG56"/>
    <mergeCell ref="Z54:AB54"/>
    <mergeCell ref="AC54:AE54"/>
    <mergeCell ref="W55:Y55"/>
    <mergeCell ref="Z49:AB49"/>
    <mergeCell ref="AC49:AE49"/>
    <mergeCell ref="W50:Y50"/>
    <mergeCell ref="Z50:AB50"/>
    <mergeCell ref="AC50:AE50"/>
    <mergeCell ref="Z55:AB55"/>
    <mergeCell ref="AC55:AE55"/>
    <mergeCell ref="W56:Y56"/>
    <mergeCell ref="Z56:AB56"/>
    <mergeCell ref="AC56:AE56"/>
    <mergeCell ref="AH51:AH56"/>
    <mergeCell ref="W52:Y52"/>
    <mergeCell ref="Z52:AB52"/>
    <mergeCell ref="AC52:AE52"/>
    <mergeCell ref="W53:Y53"/>
    <mergeCell ref="Z53:AB53"/>
    <mergeCell ref="AC53:AE53"/>
    <mergeCell ref="W54:Y54"/>
    <mergeCell ref="AH57:AH62"/>
    <mergeCell ref="W58:Y58"/>
    <mergeCell ref="Z58:AB58"/>
    <mergeCell ref="AC58:AE58"/>
    <mergeCell ref="W59:Y59"/>
    <mergeCell ref="Z59:AB59"/>
    <mergeCell ref="AC59:AE59"/>
    <mergeCell ref="W60:Y60"/>
    <mergeCell ref="A57:A62"/>
    <mergeCell ref="W57:Y57"/>
    <mergeCell ref="Z57:AB57"/>
    <mergeCell ref="AC57:AE57"/>
    <mergeCell ref="AG57:AG62"/>
    <mergeCell ref="Z60:AB60"/>
    <mergeCell ref="AC60:AE60"/>
    <mergeCell ref="W61:Y61"/>
    <mergeCell ref="A63:A68"/>
    <mergeCell ref="W63:Y63"/>
    <mergeCell ref="Z63:AB63"/>
    <mergeCell ref="AC63:AE63"/>
    <mergeCell ref="AG63:AG68"/>
    <mergeCell ref="Z66:AB66"/>
    <mergeCell ref="AC66:AE66"/>
    <mergeCell ref="W67:Y67"/>
    <mergeCell ref="Z61:AB61"/>
    <mergeCell ref="AC61:AE61"/>
    <mergeCell ref="W62:Y62"/>
    <mergeCell ref="Z62:AB62"/>
    <mergeCell ref="AC62:AE62"/>
    <mergeCell ref="Z67:AB67"/>
    <mergeCell ref="AC67:AE67"/>
    <mergeCell ref="W68:Y68"/>
    <mergeCell ref="Z68:AB68"/>
    <mergeCell ref="AC68:AE68"/>
    <mergeCell ref="AH63:AH68"/>
    <mergeCell ref="W64:Y64"/>
    <mergeCell ref="Z64:AB64"/>
    <mergeCell ref="AC64:AE64"/>
    <mergeCell ref="W65:Y65"/>
    <mergeCell ref="Z65:AB65"/>
    <mergeCell ref="AC65:AE65"/>
    <mergeCell ref="W66:Y66"/>
  </mergeCells>
  <conditionalFormatting sqref="G3:H68 AF4:AF68">
    <cfRule type="containsText" dxfId="54" priority="3" operator="containsText" text="NO">
      <formula>NOT(ISERROR(SEARCH("NO",G3)))</formula>
    </cfRule>
  </conditionalFormatting>
  <conditionalFormatting sqref="AF3:AH3 AG8:AH8 AG12:AH12 AG16:AH16 AG22:AH22 AG26:AH26 AG32:AH32 AG35:AH35 AG39:AH39 AG45:AH45 AG51:AH51 AG57:AH57 AG63:AH63">
    <cfRule type="containsText" dxfId="53" priority="2" operator="containsText" text="NO">
      <formula>NOT(ISERROR(SEARCH("NO",AF3)))</formula>
    </cfRule>
  </conditionalFormatting>
  <conditionalFormatting sqref="G35:H35">
    <cfRule type="containsText" dxfId="52" priority="1" operator="containsText" text="NO">
      <formula>NOT(ISERROR(SEARCH("NO",G35)))</formula>
    </cfRule>
  </conditionalFormatting>
  <dataValidations count="2">
    <dataValidation type="list" allowBlank="1" showInputMessage="1" showErrorMessage="1" sqref="W3:Y7 Z3:AF68 G3:H34 G36:H68">
      <formula1>$AL$1:$AM$1</formula1>
    </dataValidation>
    <dataValidation type="list" allowBlank="1" showInputMessage="1" showErrorMessage="1" sqref="G35:H35">
      <formula1>$AO$1:$AP$1</formula1>
    </dataValidation>
  </dataValidations>
  <pageMargins left="0.75" right="0.75" top="1" bottom="1" header="0.5" footer="0.5"/>
  <pageSetup orientation="portrait"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B198"/>
  <sheetViews>
    <sheetView zoomScale="55" zoomScaleNormal="55" zoomScalePageLayoutView="75" workbookViewId="0">
      <pane xSplit="1" ySplit="2" topLeftCell="J36" activePane="bottomRight" state="frozen"/>
      <selection pane="topRight" activeCell="B1" sqref="B1"/>
      <selection pane="bottomLeft" activeCell="A3" sqref="A3"/>
      <selection pane="bottomRight" activeCell="D18" sqref="D18"/>
    </sheetView>
  </sheetViews>
  <sheetFormatPr baseColWidth="10" defaultColWidth="10.875" defaultRowHeight="15.75" x14ac:dyDescent="0.25"/>
  <cols>
    <col min="1" max="1" width="10.875" style="94" bestFit="1" customWidth="1"/>
    <col min="2" max="2" width="8.875" style="94" customWidth="1"/>
    <col min="3" max="3" width="10.75" style="413" customWidth="1"/>
    <col min="4" max="4" width="15.25" style="96" customWidth="1"/>
    <col min="5" max="5" width="17.5" style="96" customWidth="1"/>
    <col min="6" max="6" width="66.125" style="104" customWidth="1"/>
    <col min="7" max="7" width="18.5" style="104" customWidth="1"/>
    <col min="8" max="8" width="23.875" style="104" customWidth="1"/>
    <col min="9" max="10" width="18.875" style="104" customWidth="1"/>
    <col min="11" max="11" width="13.625" style="105" customWidth="1"/>
    <col min="12" max="12" width="10.625" style="106" customWidth="1"/>
    <col min="13" max="13" width="11" style="107" customWidth="1"/>
    <col min="14" max="14" width="11" style="108" customWidth="1"/>
    <col min="15" max="15" width="11" style="74" customWidth="1"/>
    <col min="16" max="16" width="18.5" style="109" customWidth="1"/>
    <col min="17" max="17" width="8.75" style="109" customWidth="1"/>
    <col min="18" max="18" width="9.5" style="74" bestFit="1" customWidth="1"/>
    <col min="19" max="19" width="12.5" style="74" customWidth="1"/>
    <col min="20" max="20" width="9.625" style="74" bestFit="1" customWidth="1"/>
    <col min="21" max="22" width="15.5" style="74" customWidth="1"/>
    <col min="23" max="23" width="18.375" style="87" customWidth="1"/>
    <col min="24" max="24" width="19.5" style="316" customWidth="1"/>
    <col min="25" max="25" width="59.125" style="96" customWidth="1"/>
    <col min="26" max="28" width="10.875" style="111"/>
    <col min="29" max="30" width="15.125" style="111" bestFit="1" customWidth="1"/>
    <col min="31" max="16384" width="10.875" style="111"/>
  </cols>
  <sheetData>
    <row r="1" spans="1:28" s="61" customFormat="1" ht="15" customHeight="1" x14ac:dyDescent="0.25">
      <c r="A1" s="661" t="s">
        <v>2</v>
      </c>
      <c r="B1" s="661" t="s">
        <v>1</v>
      </c>
      <c r="C1" s="676" t="s">
        <v>369</v>
      </c>
      <c r="D1" s="661" t="s">
        <v>7</v>
      </c>
      <c r="E1" s="661" t="s">
        <v>8</v>
      </c>
      <c r="F1" s="661" t="s">
        <v>9</v>
      </c>
      <c r="G1" s="662" t="s">
        <v>382</v>
      </c>
      <c r="H1" s="662" t="s">
        <v>857</v>
      </c>
      <c r="I1" s="663" t="s">
        <v>383</v>
      </c>
      <c r="J1" s="663" t="s">
        <v>18</v>
      </c>
      <c r="K1" s="670" t="s">
        <v>56</v>
      </c>
      <c r="L1" s="672" t="s">
        <v>10</v>
      </c>
      <c r="M1" s="672" t="s">
        <v>443</v>
      </c>
      <c r="N1" s="674" t="s">
        <v>65</v>
      </c>
      <c r="O1" s="661" t="s">
        <v>64</v>
      </c>
      <c r="P1" s="661" t="s">
        <v>11</v>
      </c>
      <c r="Q1" s="661" t="s">
        <v>12</v>
      </c>
      <c r="R1" s="662" t="s">
        <v>13</v>
      </c>
      <c r="S1" s="662" t="s">
        <v>14</v>
      </c>
      <c r="T1" s="662" t="s">
        <v>15</v>
      </c>
      <c r="U1" s="662" t="s">
        <v>16</v>
      </c>
      <c r="V1" s="661" t="s">
        <v>17</v>
      </c>
      <c r="W1" s="662" t="s">
        <v>385</v>
      </c>
      <c r="X1" s="664" t="s">
        <v>686</v>
      </c>
      <c r="Y1" s="659" t="s">
        <v>0</v>
      </c>
      <c r="AA1" s="62" t="s">
        <v>5</v>
      </c>
      <c r="AB1" s="62" t="s">
        <v>6</v>
      </c>
    </row>
    <row r="2" spans="1:28" s="61" customFormat="1" ht="80.25" customHeight="1" thickBot="1" x14ac:dyDescent="0.3">
      <c r="A2" s="667"/>
      <c r="B2" s="667"/>
      <c r="C2" s="677"/>
      <c r="D2" s="667"/>
      <c r="E2" s="667"/>
      <c r="F2" s="667"/>
      <c r="G2" s="663"/>
      <c r="H2" s="663"/>
      <c r="I2" s="678"/>
      <c r="J2" s="678"/>
      <c r="K2" s="671"/>
      <c r="L2" s="673"/>
      <c r="M2" s="673"/>
      <c r="N2" s="675"/>
      <c r="O2" s="667"/>
      <c r="P2" s="667"/>
      <c r="Q2" s="667"/>
      <c r="R2" s="663"/>
      <c r="S2" s="663"/>
      <c r="T2" s="663"/>
      <c r="U2" s="663"/>
      <c r="V2" s="667"/>
      <c r="W2" s="663"/>
      <c r="X2" s="665"/>
      <c r="Y2" s="660"/>
    </row>
    <row r="3" spans="1:28" s="79" customFormat="1" ht="57" x14ac:dyDescent="0.25">
      <c r="A3" s="695" t="s">
        <v>621</v>
      </c>
      <c r="B3" s="332" t="s">
        <v>297</v>
      </c>
      <c r="C3" s="333">
        <v>5</v>
      </c>
      <c r="D3" s="334" t="str">
        <f>+IFERROR(INDEX([9]CONSOLIDADO!$D$4:$D$109,MATCH('EXP ESPEC. 17-24'!B3,[9]CONSOLIDADO!$C$4:$C$109,0)),"")</f>
        <v>J FELIPE ARDILA V &amp; CIA S.A.S.</v>
      </c>
      <c r="E3" s="335" t="s">
        <v>19</v>
      </c>
      <c r="F3" s="336" t="s">
        <v>626</v>
      </c>
      <c r="G3" s="450" t="s">
        <v>6</v>
      </c>
      <c r="H3" s="444" t="s">
        <v>5</v>
      </c>
      <c r="I3" s="444" t="s">
        <v>5</v>
      </c>
      <c r="J3" s="444" t="s">
        <v>6</v>
      </c>
      <c r="K3" s="337">
        <v>0.5</v>
      </c>
      <c r="L3" s="338">
        <v>39595</v>
      </c>
      <c r="M3" s="338" t="s">
        <v>678</v>
      </c>
      <c r="N3" s="339">
        <v>2015</v>
      </c>
      <c r="O3" s="340">
        <f>+IFERROR(INDEX([9]PARÁMETROS!$B$11:$B$37,MATCH(N3,[9]PARÁMETROS!$A$11:$A$37,0)),"")</f>
        <v>644350</v>
      </c>
      <c r="P3" s="324">
        <v>36074618420</v>
      </c>
      <c r="Q3" s="341" t="s">
        <v>20</v>
      </c>
      <c r="R3" s="125" t="s">
        <v>54</v>
      </c>
      <c r="S3" s="137" t="s">
        <v>54</v>
      </c>
      <c r="T3" s="138">
        <v>1</v>
      </c>
      <c r="U3" s="134">
        <f>IF(T3&lt;&gt;"",P3*T3,"")</f>
        <v>36074618420</v>
      </c>
      <c r="V3" s="139">
        <f>+IFERROR(U3/O3,"")</f>
        <v>55986.061022736088</v>
      </c>
      <c r="W3" s="139">
        <f>IFERROR(V3*K3,"")</f>
        <v>27993.030511368044</v>
      </c>
      <c r="X3" s="313" t="str">
        <f>+IF(W3="","",IF(W3&gt;=[9]PARÁMETROS!$J$5,"CUMPLE","NO CUMPLE"))</f>
        <v>CUMPLE</v>
      </c>
      <c r="Y3" s="142"/>
      <c r="Z3" s="112"/>
    </row>
    <row r="4" spans="1:28" s="79" customFormat="1" ht="72.75" customHeight="1" x14ac:dyDescent="0.25">
      <c r="A4" s="696"/>
      <c r="B4" s="332" t="s">
        <v>296</v>
      </c>
      <c r="C4" s="342">
        <v>16</v>
      </c>
      <c r="D4" s="343" t="str">
        <f>+IFERROR(INDEX([9]CONSOLIDADO!$D$4:$D$109,MATCH('EXP ESPEC. 17-24'!B4,[9]CONSOLIDADO!$C$4:$C$109,0)),"")</f>
        <v>CIVING INGENIEROS CONTRATISTAS S EN C</v>
      </c>
      <c r="E4" s="335" t="s">
        <v>628</v>
      </c>
      <c r="F4" s="336" t="s">
        <v>629</v>
      </c>
      <c r="G4" s="449" t="s">
        <v>5</v>
      </c>
      <c r="H4" s="443" t="s">
        <v>6</v>
      </c>
      <c r="I4" s="443" t="s">
        <v>5</v>
      </c>
      <c r="J4" s="443" t="s">
        <v>6</v>
      </c>
      <c r="K4" s="344">
        <v>1</v>
      </c>
      <c r="L4" s="338">
        <v>40190</v>
      </c>
      <c r="M4" s="338">
        <v>41240</v>
      </c>
      <c r="N4" s="345">
        <f t="shared" ref="N4:N54" si="0">IF(M4="","",YEAR(M4))</f>
        <v>2012</v>
      </c>
      <c r="O4" s="346">
        <f>+IFERROR(INDEX([9]PARÁMETROS!$B$11:$B$37,MATCH(N4,[9]PARÁMETROS!$A$11:$A$37,0)),"")</f>
        <v>566700</v>
      </c>
      <c r="P4" s="324">
        <v>3164576487</v>
      </c>
      <c r="Q4" s="183" t="s">
        <v>20</v>
      </c>
      <c r="R4" s="316" t="s">
        <v>54</v>
      </c>
      <c r="S4" s="75" t="s">
        <v>54</v>
      </c>
      <c r="T4" s="76">
        <v>1</v>
      </c>
      <c r="U4" s="72">
        <f t="shared" ref="U4:U54" si="1">IF(T4&lt;&gt;"",P4*T4,"")</f>
        <v>3164576487</v>
      </c>
      <c r="V4" s="60">
        <f t="shared" ref="V4:V54" si="2">+IFERROR(U4/O4,"")</f>
        <v>5584.2182583377453</v>
      </c>
      <c r="W4" s="60">
        <f t="shared" ref="W4:W54" si="3">IFERROR(V4*K4,"")</f>
        <v>5584.2182583377453</v>
      </c>
      <c r="X4" s="310" t="str">
        <f>+IF(W4="","",IF(W4&gt;=[9]PARÁMETROS!$J$5,"CUMPLE","NO CUMPLE"))</f>
        <v>CUMPLE</v>
      </c>
      <c r="Y4" s="143"/>
      <c r="Z4" s="112"/>
    </row>
    <row r="5" spans="1:28" s="79" customFormat="1" ht="85.5" x14ac:dyDescent="0.25">
      <c r="A5" s="696"/>
      <c r="B5" s="332" t="s">
        <v>295</v>
      </c>
      <c r="C5" s="342">
        <v>19</v>
      </c>
      <c r="D5" s="343" t="str">
        <f>+IFERROR(INDEX([9]CONSOLIDADO!$D$4:$D$109,MATCH('EXP ESPEC. 17-24'!B5,[9]CONSOLIDADO!$C$4:$C$109,0)),"")</f>
        <v>INZETT S.A.S.</v>
      </c>
      <c r="E5" s="335" t="s">
        <v>622</v>
      </c>
      <c r="F5" s="336" t="s">
        <v>623</v>
      </c>
      <c r="G5" s="449" t="s">
        <v>5</v>
      </c>
      <c r="H5" s="443" t="s">
        <v>6</v>
      </c>
      <c r="I5" s="443" t="s">
        <v>5</v>
      </c>
      <c r="J5" s="443" t="s">
        <v>6</v>
      </c>
      <c r="K5" s="347">
        <v>0.7</v>
      </c>
      <c r="L5" s="338">
        <v>40186</v>
      </c>
      <c r="M5" s="338">
        <v>40561</v>
      </c>
      <c r="N5" s="345">
        <f t="shared" si="0"/>
        <v>2011</v>
      </c>
      <c r="O5" s="346">
        <f>+IFERROR(INDEX([9]PARÁMETROS!$B$11:$B$37,MATCH(N5,[9]PARÁMETROS!$A$11:$A$37,0)),"")</f>
        <v>535600</v>
      </c>
      <c r="P5" s="324">
        <v>3104182180</v>
      </c>
      <c r="Q5" s="348" t="s">
        <v>20</v>
      </c>
      <c r="R5" s="316" t="s">
        <v>54</v>
      </c>
      <c r="S5" s="75" t="s">
        <v>54</v>
      </c>
      <c r="T5" s="76">
        <v>1</v>
      </c>
      <c r="U5" s="72">
        <f t="shared" si="1"/>
        <v>3104182180</v>
      </c>
      <c r="V5" s="60">
        <f t="shared" si="2"/>
        <v>5795.7098207617628</v>
      </c>
      <c r="W5" s="60">
        <f t="shared" si="3"/>
        <v>4056.9968745332335</v>
      </c>
      <c r="X5" s="310" t="str">
        <f>+IF(W5="","",IF(W5&gt;=[9]PARÁMETROS!$J$5,"CUMPLE","NO CUMPLE"))</f>
        <v>CUMPLE</v>
      </c>
      <c r="Y5" s="144"/>
      <c r="Z5" s="112"/>
    </row>
    <row r="6" spans="1:28" s="79" customFormat="1" ht="86.25" thickBot="1" x14ac:dyDescent="0.3">
      <c r="A6" s="697"/>
      <c r="B6" s="349" t="s">
        <v>295</v>
      </c>
      <c r="C6" s="350">
        <v>24</v>
      </c>
      <c r="D6" s="351" t="str">
        <f>+IFERROR(INDEX([9]CONSOLIDADO!$D$4:$D$109,MATCH('EXP ESPEC. 17-24'!B6,[9]CONSOLIDADO!$C$4:$C$109,0)),"")</f>
        <v>INZETT S.A.S.</v>
      </c>
      <c r="E6" s="352" t="s">
        <v>622</v>
      </c>
      <c r="F6" s="353" t="s">
        <v>623</v>
      </c>
      <c r="G6" s="451" t="s">
        <v>5</v>
      </c>
      <c r="H6" s="445" t="s">
        <v>6</v>
      </c>
      <c r="I6" s="445" t="s">
        <v>5</v>
      </c>
      <c r="J6" s="445" t="s">
        <v>6</v>
      </c>
      <c r="K6" s="354">
        <v>0.7</v>
      </c>
      <c r="L6" s="355">
        <v>40561</v>
      </c>
      <c r="M6" s="356">
        <v>41500</v>
      </c>
      <c r="N6" s="357">
        <f t="shared" si="0"/>
        <v>2013</v>
      </c>
      <c r="O6" s="358">
        <f>+IFERROR(INDEX([9]PARÁMETROS!$B$11:$B$37,MATCH(N6,[9]PARÁMETROS!$A$11:$A$37,0)),"")</f>
        <v>589500</v>
      </c>
      <c r="P6" s="359">
        <v>4481543752</v>
      </c>
      <c r="Q6" s="360" t="s">
        <v>20</v>
      </c>
      <c r="R6" s="145" t="s">
        <v>54</v>
      </c>
      <c r="S6" s="156" t="s">
        <v>54</v>
      </c>
      <c r="T6" s="157">
        <v>1</v>
      </c>
      <c r="U6" s="153">
        <f t="shared" si="1"/>
        <v>4481543752</v>
      </c>
      <c r="V6" s="158">
        <f t="shared" si="2"/>
        <v>7602.2794775233251</v>
      </c>
      <c r="W6" s="158">
        <f t="shared" si="3"/>
        <v>5321.5956342663276</v>
      </c>
      <c r="X6" s="308" t="str">
        <f>+IF(W6="","",IF(W6&gt;=[9]PARÁMETROS!$D$5,"CUMPLE","NO CUMPLE"))</f>
        <v>CUMPLE</v>
      </c>
      <c r="Y6" s="178"/>
      <c r="Z6" s="112"/>
    </row>
    <row r="7" spans="1:28" s="79" customFormat="1" ht="57" x14ac:dyDescent="0.25">
      <c r="A7" s="683" t="s">
        <v>630</v>
      </c>
      <c r="B7" s="113" t="s">
        <v>298</v>
      </c>
      <c r="C7" s="415">
        <v>302</v>
      </c>
      <c r="D7" s="114" t="str">
        <f>+IFERROR(INDEX([9]CONSOLIDADO!$D$4:$D$109,MATCH('EXP ESPEC. 17-24'!B7,[9]CONSOLIDADO!$C$4:$C$109,0)),"")</f>
        <v>GRUPO POSSO S.A.S.</v>
      </c>
      <c r="E7" s="128" t="s">
        <v>631</v>
      </c>
      <c r="F7" s="116" t="s">
        <v>632</v>
      </c>
      <c r="G7" s="446" t="s">
        <v>5</v>
      </c>
      <c r="H7" s="446" t="s">
        <v>6</v>
      </c>
      <c r="I7" s="446" t="s">
        <v>5</v>
      </c>
      <c r="J7" s="446" t="s">
        <v>6</v>
      </c>
      <c r="K7" s="117">
        <v>0.95</v>
      </c>
      <c r="L7" s="132">
        <v>41815</v>
      </c>
      <c r="M7" s="118" t="s">
        <v>678</v>
      </c>
      <c r="N7" s="168">
        <v>2015</v>
      </c>
      <c r="O7" s="119">
        <f>+IFERROR(INDEX([9]PARÁMETROS!$B$11:$B$37,MATCH(N7,[9]PARÁMETROS!$A$11:$A$37,0)),"")</f>
        <v>644350</v>
      </c>
      <c r="P7" s="120">
        <v>10736226648</v>
      </c>
      <c r="Q7" s="265" t="s">
        <v>20</v>
      </c>
      <c r="R7" s="113" t="s">
        <v>54</v>
      </c>
      <c r="S7" s="121" t="s">
        <v>54</v>
      </c>
      <c r="T7" s="122">
        <v>1</v>
      </c>
      <c r="U7" s="119">
        <f t="shared" si="1"/>
        <v>10736226648</v>
      </c>
      <c r="V7" s="123">
        <f t="shared" si="2"/>
        <v>16662.103900054317</v>
      </c>
      <c r="W7" s="123">
        <f t="shared" si="3"/>
        <v>15828.998705051601</v>
      </c>
      <c r="X7" s="313" t="str">
        <f>+IF(W7="","",IF(W7&gt;=[9]PARÁMETROS!$D$5,"CUMPLE","NO CUMPLE"))</f>
        <v>CUMPLE</v>
      </c>
      <c r="Y7" s="175"/>
      <c r="Z7" s="112"/>
    </row>
    <row r="8" spans="1:28" s="79" customFormat="1" ht="42.75" x14ac:dyDescent="0.25">
      <c r="A8" s="653"/>
      <c r="B8" s="316" t="s">
        <v>298</v>
      </c>
      <c r="C8" s="342">
        <v>312</v>
      </c>
      <c r="D8" s="65" t="str">
        <f>+IFERROR(INDEX([9]CONSOLIDADO!$D$4:$D$109,MATCH('EXP ESPEC. 17-24'!B8,[9]CONSOLIDADO!$C$4:$C$109,0)),"")</f>
        <v>GRUPO POSSO S.A.S.</v>
      </c>
      <c r="E8" s="66" t="s">
        <v>631</v>
      </c>
      <c r="F8" s="67" t="s">
        <v>633</v>
      </c>
      <c r="G8" s="443" t="s">
        <v>5</v>
      </c>
      <c r="H8" s="443" t="s">
        <v>6</v>
      </c>
      <c r="I8" s="443" t="s">
        <v>5</v>
      </c>
      <c r="J8" s="443" t="s">
        <v>6</v>
      </c>
      <c r="K8" s="69">
        <v>0.95</v>
      </c>
      <c r="L8" s="70">
        <v>41995</v>
      </c>
      <c r="M8" s="70" t="s">
        <v>678</v>
      </c>
      <c r="N8" s="71">
        <v>2015</v>
      </c>
      <c r="O8" s="72">
        <f>+IFERROR(INDEX([9]PARÁMETROS!$B$11:$B$37,MATCH(N8,[9]PARÁMETROS!$A$11:$A$37,0)),"")</f>
        <v>644350</v>
      </c>
      <c r="P8" s="73">
        <v>2590423144</v>
      </c>
      <c r="Q8" s="74" t="s">
        <v>20</v>
      </c>
      <c r="R8" s="316" t="s">
        <v>54</v>
      </c>
      <c r="S8" s="75" t="s">
        <v>54</v>
      </c>
      <c r="T8" s="76">
        <v>1</v>
      </c>
      <c r="U8" s="72">
        <f t="shared" si="1"/>
        <v>2590423144</v>
      </c>
      <c r="V8" s="60">
        <f t="shared" si="2"/>
        <v>4020.2112888957863</v>
      </c>
      <c r="W8" s="60">
        <f t="shared" si="3"/>
        <v>3819.2007244509969</v>
      </c>
      <c r="X8" s="310" t="str">
        <f>+IF(W8="","",IF(W8&gt;=[9]PARÁMETROS!$D$5,"CUMPLE","NO CUMPLE"))</f>
        <v>CUMPLE</v>
      </c>
      <c r="Y8" s="143"/>
      <c r="Z8" s="112"/>
    </row>
    <row r="9" spans="1:28" s="79" customFormat="1" ht="57" x14ac:dyDescent="0.25">
      <c r="A9" s="653"/>
      <c r="B9" s="316" t="s">
        <v>300</v>
      </c>
      <c r="C9" s="342">
        <v>322</v>
      </c>
      <c r="D9" s="65" t="str">
        <f>+IFERROR(INDEX([9]CONSOLIDADO!$D$4:$D$109,MATCH('EXP ESPEC. 17-24'!B9,[9]CONSOLIDADO!$C$4:$C$109,0)),"")</f>
        <v>C &amp; M CONSULTORES  S.A.</v>
      </c>
      <c r="E9" s="66" t="s">
        <v>19</v>
      </c>
      <c r="F9" s="67" t="s">
        <v>635</v>
      </c>
      <c r="G9" s="443" t="s">
        <v>6</v>
      </c>
      <c r="H9" s="443" t="s">
        <v>5</v>
      </c>
      <c r="I9" s="443" t="s">
        <v>5</v>
      </c>
      <c r="J9" s="443" t="s">
        <v>6</v>
      </c>
      <c r="K9" s="69">
        <v>0.51</v>
      </c>
      <c r="L9" s="70">
        <v>41878</v>
      </c>
      <c r="M9" s="70" t="s">
        <v>678</v>
      </c>
      <c r="N9" s="71">
        <v>2015</v>
      </c>
      <c r="O9" s="72">
        <f>+IFERROR(INDEX([9]PARÁMETROS!$B$11:$B$37,MATCH(N9,[9]PARÁMETROS!$A$11:$A$37,0)),"")</f>
        <v>644350</v>
      </c>
      <c r="P9" s="73">
        <v>4983941778</v>
      </c>
      <c r="Q9" s="74" t="s">
        <v>20</v>
      </c>
      <c r="R9" s="316" t="s">
        <v>54</v>
      </c>
      <c r="S9" s="75" t="s">
        <v>54</v>
      </c>
      <c r="T9" s="76">
        <v>1</v>
      </c>
      <c r="U9" s="72">
        <f t="shared" si="1"/>
        <v>4983941778</v>
      </c>
      <c r="V9" s="60">
        <f t="shared" si="2"/>
        <v>7734.8363125630476</v>
      </c>
      <c r="W9" s="60">
        <f t="shared" si="3"/>
        <v>3944.7665194071542</v>
      </c>
      <c r="X9" s="310" t="str">
        <f>+IF(W9="","",IF(W9&gt;=[9]PARÁMETROS!$D$5,"CUMPLE","NO CUMPLE"))</f>
        <v>CUMPLE</v>
      </c>
      <c r="Y9" s="143"/>
      <c r="Z9" s="112"/>
    </row>
    <row r="10" spans="1:28" s="79" customFormat="1" ht="48" thickBot="1" x14ac:dyDescent="0.3">
      <c r="A10" s="653"/>
      <c r="B10" s="316" t="s">
        <v>299</v>
      </c>
      <c r="C10" s="350">
        <v>391</v>
      </c>
      <c r="D10" s="65" t="str">
        <f>+IFERROR(INDEX([9]CONSOLIDADO!$D$4:$D$109,MATCH('EXP ESPEC. 17-24'!B10,[9]CONSOLIDADO!$C$4:$C$109,0)),"")</f>
        <v>GINPROSA COLOMBIA S.A.S.</v>
      </c>
      <c r="E10" s="66" t="s">
        <v>25</v>
      </c>
      <c r="F10" s="67" t="s">
        <v>634</v>
      </c>
      <c r="G10" s="443" t="s">
        <v>5</v>
      </c>
      <c r="H10" s="443" t="s">
        <v>6</v>
      </c>
      <c r="I10" s="443" t="s">
        <v>5</v>
      </c>
      <c r="J10" s="443" t="s">
        <v>6</v>
      </c>
      <c r="K10" s="69">
        <v>1</v>
      </c>
      <c r="L10" s="70">
        <v>38926</v>
      </c>
      <c r="M10" s="70">
        <v>40022</v>
      </c>
      <c r="N10" s="71">
        <f t="shared" si="0"/>
        <v>2009</v>
      </c>
      <c r="O10" s="72">
        <f>+IFERROR(INDEX([9]PARÁMETROS!$B$11:$B$37,MATCH(N10,[9]PARÁMETROS!$A$11:$A$37,0)),"")</f>
        <v>496900</v>
      </c>
      <c r="P10" s="73">
        <v>883372.84</v>
      </c>
      <c r="Q10" s="74" t="s">
        <v>24</v>
      </c>
      <c r="R10" s="316">
        <v>1.42344</v>
      </c>
      <c r="S10" s="75">
        <f>+P10*R10</f>
        <v>1257428.2353695999</v>
      </c>
      <c r="T10" s="76">
        <v>1982.43</v>
      </c>
      <c r="U10" s="72">
        <f>IF(T10&lt;&gt;"",S10*T10,"")</f>
        <v>2492763456.6437559</v>
      </c>
      <c r="V10" s="60">
        <f t="shared" si="2"/>
        <v>5016.6300194078403</v>
      </c>
      <c r="W10" s="60">
        <f t="shared" si="3"/>
        <v>5016.6300194078403</v>
      </c>
      <c r="X10" s="308" t="str">
        <f>+IF(W10="","",IF(W10&gt;=[9]PARÁMETROS!$D$5,"CUMPLE","NO CUMPLE"))</f>
        <v>CUMPLE</v>
      </c>
      <c r="Y10" s="143"/>
      <c r="Z10" s="112"/>
    </row>
    <row r="11" spans="1:28" s="79" customFormat="1" ht="85.5" x14ac:dyDescent="0.25">
      <c r="A11" s="652" t="s">
        <v>636</v>
      </c>
      <c r="B11" s="125" t="s">
        <v>302</v>
      </c>
      <c r="C11" s="361">
        <v>4</v>
      </c>
      <c r="D11" s="127" t="str">
        <f>+IFERROR(INDEX([9]CONSOLIDADO!$D$4:$D$109,MATCH('EXP ESPEC. 17-24'!B11,[9]CONSOLIDADO!$C$4:$C$109,0)),"")</f>
        <v>GC&amp;Q INGENIEROS CONSULTORES S.A.S.</v>
      </c>
      <c r="E11" s="128" t="s">
        <v>19</v>
      </c>
      <c r="F11" s="129" t="s">
        <v>637</v>
      </c>
      <c r="G11" s="444" t="s">
        <v>5</v>
      </c>
      <c r="H11" s="444" t="s">
        <v>5</v>
      </c>
      <c r="I11" s="444" t="s">
        <v>5</v>
      </c>
      <c r="J11" s="444" t="s">
        <v>6</v>
      </c>
      <c r="K11" s="131">
        <v>0.6</v>
      </c>
      <c r="L11" s="132">
        <v>41075</v>
      </c>
      <c r="M11" s="132" t="s">
        <v>678</v>
      </c>
      <c r="N11" s="133">
        <v>2014</v>
      </c>
      <c r="O11" s="134">
        <f>+IFERROR(INDEX([9]PARÁMETROS!$B$11:$B$37,MATCH(N11,[9]PARÁMETROS!$A$11:$A$37,0)),"")</f>
        <v>616000</v>
      </c>
      <c r="P11" s="135">
        <v>20776942881</v>
      </c>
      <c r="Q11" s="136" t="s">
        <v>20</v>
      </c>
      <c r="R11" s="125" t="s">
        <v>54</v>
      </c>
      <c r="S11" s="137" t="s">
        <v>54</v>
      </c>
      <c r="T11" s="138">
        <v>1</v>
      </c>
      <c r="U11" s="134">
        <f t="shared" si="1"/>
        <v>20776942881</v>
      </c>
      <c r="V11" s="139">
        <f t="shared" si="2"/>
        <v>33728.803378246754</v>
      </c>
      <c r="W11" s="139">
        <f t="shared" si="3"/>
        <v>20237.282026948051</v>
      </c>
      <c r="X11" s="313" t="str">
        <f>+IF(W11="","",IF(W11&gt;=[9]PARÁMETROS!$D$5,"CUMPLE","NO CUMPLE"))</f>
        <v>CUMPLE</v>
      </c>
      <c r="Y11" s="142"/>
      <c r="Z11" s="112"/>
    </row>
    <row r="12" spans="1:28" s="79" customFormat="1" ht="63" x14ac:dyDescent="0.25">
      <c r="A12" s="653"/>
      <c r="B12" s="113" t="s">
        <v>302</v>
      </c>
      <c r="C12" s="342">
        <v>9</v>
      </c>
      <c r="D12" s="65" t="str">
        <f>+IFERROR(INDEX([9]CONSOLIDADO!$D$4:$D$109,MATCH('EXP ESPEC. 17-24'!B12,[9]CONSOLIDADO!$C$4:$C$109,0)),"")</f>
        <v>GC&amp;Q INGENIEROS CONSULTORES S.A.S.</v>
      </c>
      <c r="E12" s="66" t="s">
        <v>638</v>
      </c>
      <c r="F12" s="66" t="s">
        <v>639</v>
      </c>
      <c r="G12" s="443" t="s">
        <v>5</v>
      </c>
      <c r="H12" s="443" t="s">
        <v>6</v>
      </c>
      <c r="I12" s="443" t="s">
        <v>5</v>
      </c>
      <c r="J12" s="443" t="s">
        <v>6</v>
      </c>
      <c r="K12" s="80">
        <v>1</v>
      </c>
      <c r="L12" s="70">
        <v>39671</v>
      </c>
      <c r="M12" s="70">
        <v>40273</v>
      </c>
      <c r="N12" s="71">
        <f t="shared" si="0"/>
        <v>2010</v>
      </c>
      <c r="O12" s="72">
        <f>+IFERROR(INDEX([9]PARÁMETROS!$B$11:$B$37,MATCH(N12,[9]PARÁMETROS!$A$11:$A$37,0)),"")</f>
        <v>515000</v>
      </c>
      <c r="P12" s="81">
        <v>612800000</v>
      </c>
      <c r="Q12" s="72" t="s">
        <v>640</v>
      </c>
      <c r="R12" s="316">
        <v>1.8699999999999999E-3</v>
      </c>
      <c r="S12" s="75">
        <f>+P12*R12</f>
        <v>1145936</v>
      </c>
      <c r="T12" s="76">
        <v>1921.88</v>
      </c>
      <c r="U12" s="72">
        <f>IF(T12&lt;&gt;"",S12*T12,"")</f>
        <v>2202351479.6800003</v>
      </c>
      <c r="V12" s="60">
        <f t="shared" si="2"/>
        <v>4276.4106401553408</v>
      </c>
      <c r="W12" s="60">
        <f t="shared" si="3"/>
        <v>4276.4106401553408</v>
      </c>
      <c r="X12" s="310" t="str">
        <f>+IF(W12="","",IF(W12&gt;=[9]PARÁMETROS!$D$5,"CUMPLE","NO CUMPLE"))</f>
        <v>CUMPLE</v>
      </c>
      <c r="Y12" s="143"/>
      <c r="Z12" s="112"/>
    </row>
    <row r="13" spans="1:28" s="79" customFormat="1" ht="78.75" x14ac:dyDescent="0.25">
      <c r="A13" s="653"/>
      <c r="B13" s="316" t="s">
        <v>301</v>
      </c>
      <c r="C13" s="342">
        <v>15</v>
      </c>
      <c r="D13" s="65" t="str">
        <f>+IFERROR(INDEX([9]CONSOLIDADO!$D$4:$D$109,MATCH('EXP ESPEC. 17-24'!B13,[9]CONSOLIDADO!$C$4:$C$109,0)),"")</f>
        <v>GRUPO METRO COLOMBIA (GMC INGENIEROS S.A.)</v>
      </c>
      <c r="E13" s="66" t="s">
        <v>641</v>
      </c>
      <c r="F13" s="330" t="s">
        <v>642</v>
      </c>
      <c r="G13" s="443" t="s">
        <v>5</v>
      </c>
      <c r="H13" s="443" t="s">
        <v>6</v>
      </c>
      <c r="I13" s="443" t="s">
        <v>5</v>
      </c>
      <c r="J13" s="443" t="s">
        <v>6</v>
      </c>
      <c r="K13" s="69">
        <v>0.9</v>
      </c>
      <c r="L13" s="70">
        <v>39167</v>
      </c>
      <c r="M13" s="70">
        <v>39758</v>
      </c>
      <c r="N13" s="71">
        <f t="shared" si="0"/>
        <v>2008</v>
      </c>
      <c r="O13" s="72">
        <f>+IFERROR(INDEX([9]PARÁMETROS!$B$11:$B$37,MATCH(N13,[9]PARÁMETROS!$A$11:$A$37,0)),"")</f>
        <v>461500</v>
      </c>
      <c r="P13" s="73">
        <v>1609517781</v>
      </c>
      <c r="Q13" s="74" t="s">
        <v>20</v>
      </c>
      <c r="R13" s="316" t="s">
        <v>54</v>
      </c>
      <c r="S13" s="75" t="s">
        <v>54</v>
      </c>
      <c r="T13" s="76">
        <v>1</v>
      </c>
      <c r="U13" s="72">
        <f t="shared" si="1"/>
        <v>1609517781</v>
      </c>
      <c r="V13" s="60">
        <f t="shared" si="2"/>
        <v>3487.5791570964248</v>
      </c>
      <c r="W13" s="60">
        <f t="shared" si="3"/>
        <v>3138.8212413867823</v>
      </c>
      <c r="X13" s="310" t="str">
        <f>+IF(W13="","",IF(W13&gt;=[9]PARÁMETROS!$D$5,"CUMPLE","NO CUMPLE"))</f>
        <v>CUMPLE</v>
      </c>
      <c r="Y13" s="143"/>
      <c r="Z13" s="112"/>
    </row>
    <row r="14" spans="1:28" s="79" customFormat="1" ht="79.5" thickBot="1" x14ac:dyDescent="0.3">
      <c r="A14" s="653"/>
      <c r="B14" s="316" t="s">
        <v>301</v>
      </c>
      <c r="C14" s="350">
        <v>22</v>
      </c>
      <c r="D14" s="65" t="str">
        <f>+IFERROR(INDEX([9]CONSOLIDADO!$D$4:$D$109,MATCH('EXP ESPEC. 17-24'!B14,[9]CONSOLIDADO!$C$4:$C$109,0)),"")</f>
        <v>GRUPO METRO COLOMBIA (GMC INGENIEROS S.A.)</v>
      </c>
      <c r="E14" s="66" t="s">
        <v>485</v>
      </c>
      <c r="F14" s="330" t="s">
        <v>643</v>
      </c>
      <c r="G14" s="443" t="s">
        <v>5</v>
      </c>
      <c r="H14" s="443" t="s">
        <v>6</v>
      </c>
      <c r="I14" s="443" t="s">
        <v>5</v>
      </c>
      <c r="J14" s="443" t="s">
        <v>6</v>
      </c>
      <c r="K14" s="69">
        <v>0.9</v>
      </c>
      <c r="L14" s="216">
        <v>41523</v>
      </c>
      <c r="M14" s="216">
        <v>42094</v>
      </c>
      <c r="N14" s="217">
        <f t="shared" si="0"/>
        <v>2015</v>
      </c>
      <c r="O14" s="202">
        <f>+IFERROR(INDEX([9]PARÁMETROS!$B$11:$B$37,MATCH(N14,[9]PARÁMETROS!$A$11:$A$37,0)),"")</f>
        <v>644350</v>
      </c>
      <c r="P14" s="218">
        <v>4539581069</v>
      </c>
      <c r="Q14" s="203" t="s">
        <v>20</v>
      </c>
      <c r="R14" s="210" t="s">
        <v>54</v>
      </c>
      <c r="S14" s="219" t="s">
        <v>54</v>
      </c>
      <c r="T14" s="220">
        <v>1</v>
      </c>
      <c r="U14" s="202">
        <f t="shared" si="1"/>
        <v>4539581069</v>
      </c>
      <c r="V14" s="204">
        <f t="shared" si="2"/>
        <v>7045.2100085357333</v>
      </c>
      <c r="W14" s="204">
        <f t="shared" si="3"/>
        <v>6340.6890076821601</v>
      </c>
      <c r="X14" s="311" t="str">
        <f>+IF(W14="","",IF(W14&gt;=[9]PARÁMETROS!$D$5,"CUMPLE","NO CUMPLE"))</f>
        <v>CUMPLE</v>
      </c>
      <c r="Y14" s="221"/>
      <c r="Z14" s="112"/>
    </row>
    <row r="15" spans="1:28" s="79" customFormat="1" ht="99.75" x14ac:dyDescent="0.25">
      <c r="A15" s="652" t="s">
        <v>644</v>
      </c>
      <c r="B15" s="125" t="s">
        <v>650</v>
      </c>
      <c r="C15" s="126">
        <v>25</v>
      </c>
      <c r="D15" s="127" t="str">
        <f>+IFERROR(INDEX([9]CONSOLIDADO!$D$4:$D$109,MATCH('EXP ESPEC. 17-24'!B15,[9]CONSOLIDADO!$C$4:$C$109,0)),"")</f>
        <v>ALPHA GRUPO CONSULTOR S.AS</v>
      </c>
      <c r="E15" s="128" t="s">
        <v>684</v>
      </c>
      <c r="F15" s="129" t="s">
        <v>653</v>
      </c>
      <c r="G15" s="444" t="s">
        <v>5</v>
      </c>
      <c r="H15" s="444" t="s">
        <v>5</v>
      </c>
      <c r="I15" s="444" t="s">
        <v>5</v>
      </c>
      <c r="J15" s="444" t="s">
        <v>6</v>
      </c>
      <c r="K15" s="131">
        <v>1</v>
      </c>
      <c r="L15" s="132">
        <v>40474</v>
      </c>
      <c r="M15" s="132">
        <v>41173</v>
      </c>
      <c r="N15" s="133">
        <f t="shared" si="0"/>
        <v>2012</v>
      </c>
      <c r="O15" s="134">
        <f>+IFERROR(INDEX([9]PARÁMETROS!$B$11:$B$37,MATCH(N15,[9]PARÁMETROS!$A$11:$A$37,0)),"")</f>
        <v>566700</v>
      </c>
      <c r="P15" s="135">
        <v>3241542005</v>
      </c>
      <c r="Q15" s="136" t="s">
        <v>649</v>
      </c>
      <c r="R15" s="125" t="s">
        <v>54</v>
      </c>
      <c r="S15" s="137" t="s">
        <v>54</v>
      </c>
      <c r="T15" s="138">
        <v>1</v>
      </c>
      <c r="U15" s="134">
        <f t="shared" si="1"/>
        <v>3241542005</v>
      </c>
      <c r="V15" s="139">
        <f t="shared" si="2"/>
        <v>5720.0317716604904</v>
      </c>
      <c r="W15" s="139">
        <f t="shared" si="3"/>
        <v>5720.0317716604904</v>
      </c>
      <c r="X15" s="309" t="str">
        <f>+IF(W15="","",IF(W15&gt;=[9]PARÁMETROS!$D$5,"CUMPLE","NO CUMPLE"))</f>
        <v>CUMPLE</v>
      </c>
      <c r="Y15" s="142"/>
      <c r="Z15" s="112"/>
    </row>
    <row r="16" spans="1:28" s="79" customFormat="1" ht="99.75" x14ac:dyDescent="0.25">
      <c r="A16" s="653"/>
      <c r="B16" s="316" t="s">
        <v>650</v>
      </c>
      <c r="C16" s="342">
        <v>84</v>
      </c>
      <c r="D16" s="65" t="str">
        <f>+IFERROR(INDEX([9]CONSOLIDADO!$D$4:$D$109,MATCH('EXP ESPEC. 17-24'!B16,[9]CONSOLIDADO!$C$4:$C$109,0)),"")</f>
        <v>ALPHA GRUPO CONSULTOR S.AS</v>
      </c>
      <c r="E16" s="66" t="s">
        <v>485</v>
      </c>
      <c r="F16" s="67" t="s">
        <v>651</v>
      </c>
      <c r="G16" s="443" t="s">
        <v>5</v>
      </c>
      <c r="H16" s="443" t="s">
        <v>6</v>
      </c>
      <c r="I16" s="443" t="s">
        <v>5</v>
      </c>
      <c r="J16" s="443" t="s">
        <v>6</v>
      </c>
      <c r="K16" s="215">
        <v>0.51</v>
      </c>
      <c r="L16" s="216">
        <v>38770</v>
      </c>
      <c r="M16" s="216">
        <v>39778</v>
      </c>
      <c r="N16" s="217">
        <f t="shared" si="0"/>
        <v>2008</v>
      </c>
      <c r="O16" s="202">
        <f>+IFERROR(INDEX([9]PARÁMETROS!$B$11:$B$37,MATCH(N16,[9]PARÁMETROS!$A$11:$A$37,0)),"")</f>
        <v>461500</v>
      </c>
      <c r="P16" s="218">
        <v>3501850677</v>
      </c>
      <c r="Q16" s="203" t="s">
        <v>649</v>
      </c>
      <c r="R16" s="210" t="s">
        <v>54</v>
      </c>
      <c r="S16" s="219" t="s">
        <v>54</v>
      </c>
      <c r="T16" s="220">
        <v>1</v>
      </c>
      <c r="U16" s="202">
        <f t="shared" si="1"/>
        <v>3501850677</v>
      </c>
      <c r="V16" s="204">
        <f t="shared" si="2"/>
        <v>7587.9754647887321</v>
      </c>
      <c r="W16" s="204">
        <f t="shared" si="3"/>
        <v>3869.8674870422533</v>
      </c>
      <c r="X16" s="310" t="str">
        <f>+IF(W16="","",IF(W16&gt;=[9]PARÁMETROS!$D$5,"CUMPLE","NO CUMPLE"))</f>
        <v>CUMPLE</v>
      </c>
      <c r="Y16" s="143"/>
      <c r="Z16" s="112"/>
    </row>
    <row r="17" spans="1:26" s="79" customFormat="1" ht="63" x14ac:dyDescent="0.25">
      <c r="A17" s="653"/>
      <c r="B17" s="316" t="s">
        <v>303</v>
      </c>
      <c r="C17" s="342">
        <v>150</v>
      </c>
      <c r="D17" s="65" t="str">
        <f>+IFERROR(INDEX([9]CONSOLIDADO!$D$4:$D$109,MATCH('EXP ESPEC. 17-24'!B17,[9]CONSOLIDADO!$C$4:$C$109,0)),"")</f>
        <v>IV INGENIEROS CONSULTORES E INTERVENTOR S.A.S.</v>
      </c>
      <c r="E17" s="66" t="s">
        <v>645</v>
      </c>
      <c r="F17" s="67" t="s">
        <v>646</v>
      </c>
      <c r="G17" s="443" t="s">
        <v>5</v>
      </c>
      <c r="H17" s="443" t="s">
        <v>6</v>
      </c>
      <c r="I17" s="443" t="s">
        <v>5</v>
      </c>
      <c r="J17" s="443" t="s">
        <v>6</v>
      </c>
      <c r="K17" s="69">
        <v>1</v>
      </c>
      <c r="L17" s="70">
        <v>37774</v>
      </c>
      <c r="M17" s="70">
        <v>38597</v>
      </c>
      <c r="N17" s="71">
        <f t="shared" si="0"/>
        <v>2005</v>
      </c>
      <c r="O17" s="72">
        <f>+IFERROR(INDEX([9]PARÁMETROS!$B$11:$B$37,MATCH(N17,[9]PARÁMETROS!$A$11:$A$37,0)),"")</f>
        <v>381500</v>
      </c>
      <c r="P17" s="73">
        <v>1207476.71</v>
      </c>
      <c r="Q17" s="74" t="s">
        <v>24</v>
      </c>
      <c r="R17" s="316">
        <v>1.2487999999999999</v>
      </c>
      <c r="S17" s="75">
        <f>+P17*R17</f>
        <v>1507896.915448</v>
      </c>
      <c r="T17" s="76">
        <v>2298.85</v>
      </c>
      <c r="U17" s="72">
        <f>IF(T17&lt;&gt;"",S17*T17,"")</f>
        <v>3466428824.0776343</v>
      </c>
      <c r="V17" s="60">
        <f t="shared" si="2"/>
        <v>9086.3140867041529</v>
      </c>
      <c r="W17" s="60">
        <f t="shared" si="3"/>
        <v>9086.3140867041529</v>
      </c>
      <c r="X17" s="310" t="str">
        <f>+IF(W17="","",IF(W17&gt;=[9]PARÁMETROS!$D$5,"CUMPLE","NO CUMPLE"))</f>
        <v>CUMPLE</v>
      </c>
      <c r="Y17" s="143"/>
      <c r="Z17" s="112"/>
    </row>
    <row r="18" spans="1:26" s="79" customFormat="1" ht="63.75" thickBot="1" x14ac:dyDescent="0.3">
      <c r="A18" s="653"/>
      <c r="B18" s="316" t="s">
        <v>303</v>
      </c>
      <c r="C18" s="350">
        <v>155</v>
      </c>
      <c r="D18" s="65" t="str">
        <f>+IFERROR(INDEX([9]CONSOLIDADO!$D$4:$D$109,MATCH('EXP ESPEC. 17-24'!B18,[9]CONSOLIDADO!$C$4:$C$109,0)),"")</f>
        <v>IV INGENIEROS CONSULTORES E INTERVENTOR S.A.S.</v>
      </c>
      <c r="E18" s="147" t="s">
        <v>645</v>
      </c>
      <c r="F18" s="362" t="s">
        <v>647</v>
      </c>
      <c r="G18" s="443" t="s">
        <v>5</v>
      </c>
      <c r="H18" s="443" t="s">
        <v>6</v>
      </c>
      <c r="I18" s="443" t="s">
        <v>5</v>
      </c>
      <c r="J18" s="443" t="s">
        <v>6</v>
      </c>
      <c r="K18" s="150">
        <v>1</v>
      </c>
      <c r="L18" s="151">
        <v>39329</v>
      </c>
      <c r="M18" s="151">
        <v>40578</v>
      </c>
      <c r="N18" s="152">
        <f t="shared" si="0"/>
        <v>2011</v>
      </c>
      <c r="O18" s="153">
        <f>+IFERROR(INDEX([9]PARÁMETROS!$B$11:$B$37,MATCH(N18,[9]PARÁMETROS!$A$11:$A$37,0)),"")</f>
        <v>535600</v>
      </c>
      <c r="P18" s="154">
        <v>1551350.29</v>
      </c>
      <c r="Q18" s="155" t="s">
        <v>24</v>
      </c>
      <c r="R18" s="145">
        <v>1.3747400000000001</v>
      </c>
      <c r="S18" s="156">
        <f>+R18*P18</f>
        <v>2132703.2976746</v>
      </c>
      <c r="T18" s="157">
        <v>1863.03</v>
      </c>
      <c r="U18" s="153">
        <f>IF(T18&lt;&gt;"",S18*T18,"")</f>
        <v>3973290224.6667099</v>
      </c>
      <c r="V18" s="158">
        <f t="shared" si="2"/>
        <v>7418.3910094598768</v>
      </c>
      <c r="W18" s="158">
        <f t="shared" si="3"/>
        <v>7418.3910094598768</v>
      </c>
      <c r="X18" s="308" t="str">
        <f>+IF(W18="","",IF(W18&gt;=[9]PARÁMETROS!$D$5,"CUMPLE","NO CUMPLE"))</f>
        <v>CUMPLE</v>
      </c>
      <c r="Y18" s="160"/>
      <c r="Z18" s="112"/>
    </row>
    <row r="19" spans="1:26" s="79" customFormat="1" ht="63" x14ac:dyDescent="0.25">
      <c r="A19" s="652" t="s">
        <v>656</v>
      </c>
      <c r="B19" s="125" t="s">
        <v>306</v>
      </c>
      <c r="C19" s="408">
        <v>2</v>
      </c>
      <c r="D19" s="127" t="str">
        <f>+IFERROR(INDEX([9]CONSOLIDADO!$D$4:$D$109,MATCH('EXP ESPEC. 17-24'!B19,[9]CONSOLIDADO!$C$4:$C$109,0)),"")</f>
        <v>INGENIEROS PROYECTOS CONSULTORIAS IPC S.A.S.</v>
      </c>
      <c r="E19" s="115" t="s">
        <v>26</v>
      </c>
      <c r="F19" s="129" t="s">
        <v>663</v>
      </c>
      <c r="G19" s="444" t="s">
        <v>5</v>
      </c>
      <c r="H19" s="444" t="s">
        <v>5</v>
      </c>
      <c r="I19" s="444" t="s">
        <v>5</v>
      </c>
      <c r="J19" s="444" t="s">
        <v>6</v>
      </c>
      <c r="K19" s="131">
        <v>0.5</v>
      </c>
      <c r="L19" s="132">
        <v>39722</v>
      </c>
      <c r="M19" s="132">
        <v>41211</v>
      </c>
      <c r="N19" s="133">
        <f t="shared" si="0"/>
        <v>2012</v>
      </c>
      <c r="O19" s="134">
        <f>+IFERROR(INDEX([9]PARÁMETROS!$B$11:$B$37,MATCH(N19,[9]PARÁMETROS!$A$11:$A$37,0)),"")</f>
        <v>566700</v>
      </c>
      <c r="P19" s="135">
        <v>2738296</v>
      </c>
      <c r="Q19" s="136" t="s">
        <v>24</v>
      </c>
      <c r="R19" s="125">
        <v>1.29355</v>
      </c>
      <c r="S19" s="137">
        <f>+P19*R19</f>
        <v>3542122.7908000001</v>
      </c>
      <c r="T19" s="138">
        <v>1823.18</v>
      </c>
      <c r="U19" s="134">
        <f>IF(T19&lt;&gt;"",S19*T19,"")</f>
        <v>6457927429.7307444</v>
      </c>
      <c r="V19" s="139">
        <f t="shared" si="2"/>
        <v>11395.672189396055</v>
      </c>
      <c r="W19" s="139">
        <f t="shared" si="3"/>
        <v>5697.8360946980274</v>
      </c>
      <c r="X19" s="314" t="str">
        <f>+IF(W19="","",IF(W19&gt;=[9]PARÁMETROS!$D$5,"CUMPLE","NO CUMPLE"))</f>
        <v>CUMPLE</v>
      </c>
      <c r="Y19" s="175"/>
      <c r="Z19" s="112"/>
    </row>
    <row r="20" spans="1:26" s="79" customFormat="1" ht="63" x14ac:dyDescent="0.25">
      <c r="A20" s="653"/>
      <c r="B20" s="316" t="s">
        <v>305</v>
      </c>
      <c r="C20" s="409">
        <v>5</v>
      </c>
      <c r="D20" s="65" t="str">
        <f>+IFERROR(INDEX([9]CONSOLIDADO!$D$4:$D$109,MATCH('EXP ESPEC. 17-24'!B20,[9]CONSOLIDADO!$C$4:$C$109,0)),"")</f>
        <v>BAG ENGINEERING CONSULTANCY GROUP S.A.S.</v>
      </c>
      <c r="E20" s="66" t="s">
        <v>657</v>
      </c>
      <c r="F20" s="67" t="s">
        <v>658</v>
      </c>
      <c r="G20" s="443" t="s">
        <v>5</v>
      </c>
      <c r="H20" s="443" t="s">
        <v>6</v>
      </c>
      <c r="I20" s="443" t="s">
        <v>5</v>
      </c>
      <c r="J20" s="443" t="s">
        <v>6</v>
      </c>
      <c r="K20" s="69">
        <v>0.5</v>
      </c>
      <c r="L20" s="70">
        <v>39328</v>
      </c>
      <c r="M20" s="70">
        <v>41486</v>
      </c>
      <c r="N20" s="71">
        <f t="shared" si="0"/>
        <v>2013</v>
      </c>
      <c r="O20" s="72">
        <f>+IFERROR(INDEX([9]PARÁMETROS!$B$11:$B$37,MATCH(N20,[9]PARÁMETROS!$A$11:$A$37,0)),"")</f>
        <v>589500</v>
      </c>
      <c r="P20" s="73">
        <v>2913489.22</v>
      </c>
      <c r="Q20" s="74" t="s">
        <v>24</v>
      </c>
      <c r="R20" s="316">
        <v>1.3262400000000001</v>
      </c>
      <c r="S20" s="75">
        <f>+P20*R20</f>
        <v>3863985.9431328005</v>
      </c>
      <c r="T20" s="76">
        <v>1890.33</v>
      </c>
      <c r="U20" s="72">
        <f>IF(T20&lt;&gt;"",S20*T20,"")</f>
        <v>7304208547.8822269</v>
      </c>
      <c r="V20" s="60">
        <f t="shared" si="2"/>
        <v>12390.514924312514</v>
      </c>
      <c r="W20" s="60">
        <f t="shared" si="3"/>
        <v>6195.2574621562571</v>
      </c>
      <c r="X20" s="310" t="str">
        <f>+IF(W20="","",IF(W20&gt;=[9]PARÁMETROS!$D$5,"CUMPLE","NO CUMPLE"))</f>
        <v>CUMPLE</v>
      </c>
      <c r="Y20" s="143"/>
      <c r="Z20" s="112"/>
    </row>
    <row r="21" spans="1:26" s="79" customFormat="1" ht="63" x14ac:dyDescent="0.25">
      <c r="A21" s="653"/>
      <c r="B21" s="316" t="s">
        <v>305</v>
      </c>
      <c r="C21" s="409">
        <v>15</v>
      </c>
      <c r="D21" s="65" t="str">
        <f>+IFERROR(INDEX([9]CONSOLIDADO!$D$4:$D$109,MATCH('EXP ESPEC. 17-24'!B21,[9]CONSOLIDADO!$C$4:$C$109,0)),"")</f>
        <v>BAG ENGINEERING CONSULTANCY GROUP S.A.S.</v>
      </c>
      <c r="E21" s="66" t="s">
        <v>659</v>
      </c>
      <c r="F21" s="67" t="s">
        <v>660</v>
      </c>
      <c r="G21" s="443" t="s">
        <v>5</v>
      </c>
      <c r="H21" s="443" t="s">
        <v>6</v>
      </c>
      <c r="I21" s="443" t="s">
        <v>5</v>
      </c>
      <c r="J21" s="443" t="s">
        <v>6</v>
      </c>
      <c r="K21" s="83">
        <v>0.5</v>
      </c>
      <c r="L21" s="70">
        <v>39575</v>
      </c>
      <c r="M21" s="70">
        <v>40663</v>
      </c>
      <c r="N21" s="71">
        <f t="shared" si="0"/>
        <v>2011</v>
      </c>
      <c r="O21" s="72">
        <f>+IFERROR(INDEX([9]PARÁMETROS!$B$11:$B$37,MATCH(N21,[9]PARÁMETROS!$A$11:$A$37,0)),"")</f>
        <v>535600</v>
      </c>
      <c r="P21" s="73">
        <v>4410425.8600000003</v>
      </c>
      <c r="Q21" s="74" t="s">
        <v>24</v>
      </c>
      <c r="R21" s="316">
        <v>1.4837899999999999</v>
      </c>
      <c r="S21" s="75">
        <f>+P21*R21</f>
        <v>6544145.7868094007</v>
      </c>
      <c r="T21" s="76">
        <v>1768.19</v>
      </c>
      <c r="U21" s="72">
        <f>IF(T21&lt;&gt;"",S21*T21,"")</f>
        <v>11571293138.778515</v>
      </c>
      <c r="V21" s="60">
        <f t="shared" si="2"/>
        <v>21604.356121692523</v>
      </c>
      <c r="W21" s="60">
        <f t="shared" si="3"/>
        <v>10802.178060846261</v>
      </c>
      <c r="X21" s="310" t="str">
        <f>+IF(W21="","",IF(W21&gt;=[9]PARÁMETROS!$D$5,"CUMPLE","NO CUMPLE"))</f>
        <v>CUMPLE</v>
      </c>
      <c r="Y21" s="174"/>
      <c r="Z21" s="112"/>
    </row>
    <row r="22" spans="1:26" s="88" customFormat="1" ht="63.75" thickBot="1" x14ac:dyDescent="0.3">
      <c r="A22" s="653"/>
      <c r="B22" s="316" t="s">
        <v>305</v>
      </c>
      <c r="C22" s="410">
        <v>24</v>
      </c>
      <c r="D22" s="65" t="str">
        <f>+IFERROR(INDEX([9]CONSOLIDADO!$D$4:$D$109,MATCH('EXP ESPEC. 17-24'!B22,[9]CONSOLIDADO!$C$4:$C$109,0)),"")</f>
        <v>BAG ENGINEERING CONSULTANCY GROUP S.A.S.</v>
      </c>
      <c r="E22" s="271" t="s">
        <v>661</v>
      </c>
      <c r="F22" s="213" t="s">
        <v>662</v>
      </c>
      <c r="G22" s="443" t="s">
        <v>5</v>
      </c>
      <c r="H22" s="443" t="s">
        <v>6</v>
      </c>
      <c r="I22" s="443" t="s">
        <v>5</v>
      </c>
      <c r="J22" s="443" t="s">
        <v>6</v>
      </c>
      <c r="K22" s="363">
        <v>0.15</v>
      </c>
      <c r="L22" s="364">
        <v>38397</v>
      </c>
      <c r="M22" s="365">
        <v>39933</v>
      </c>
      <c r="N22" s="217">
        <f t="shared" si="0"/>
        <v>2009</v>
      </c>
      <c r="O22" s="202">
        <f>+IFERROR(INDEX([9]PARÁMETROS!$B$11:$B$37,MATCH(N22,[9]PARÁMETROS!$A$11:$A$37,0)),"")</f>
        <v>496900</v>
      </c>
      <c r="P22" s="366">
        <v>8552787844</v>
      </c>
      <c r="Q22" s="203" t="s">
        <v>649</v>
      </c>
      <c r="R22" s="203" t="s">
        <v>54</v>
      </c>
      <c r="S22" s="203" t="s">
        <v>54</v>
      </c>
      <c r="T22" s="203">
        <v>1</v>
      </c>
      <c r="U22" s="202">
        <f t="shared" si="1"/>
        <v>8552787844</v>
      </c>
      <c r="V22" s="204">
        <f t="shared" si="2"/>
        <v>17212.29189776615</v>
      </c>
      <c r="W22" s="204">
        <f t="shared" si="3"/>
        <v>2581.8437846649226</v>
      </c>
      <c r="X22" s="308" t="str">
        <f>+IF(W22="","",IF(W22&gt;=[9]PARÁMETROS!$D$5,"CUMPLE","NO CUMPLE"))</f>
        <v>CUMPLE</v>
      </c>
      <c r="Y22" s="143"/>
      <c r="Z22" s="166"/>
    </row>
    <row r="23" spans="1:26" s="79" customFormat="1" ht="57" x14ac:dyDescent="0.25">
      <c r="A23" s="652" t="s">
        <v>664</v>
      </c>
      <c r="B23" s="125" t="s">
        <v>308</v>
      </c>
      <c r="C23" s="126">
        <v>6</v>
      </c>
      <c r="D23" s="127" t="str">
        <f>+IFERROR(INDEX([9]CONSOLIDADO!$D$4:$D$109,MATCH('EXP ESPEC. 17-24'!B23,[9]CONSOLIDADO!$C$4:$C$109,0)),"")</f>
        <v>B&amp;C S.A.</v>
      </c>
      <c r="E23" s="128" t="s">
        <v>19</v>
      </c>
      <c r="F23" s="129" t="s">
        <v>666</v>
      </c>
      <c r="G23" s="444" t="s">
        <v>5</v>
      </c>
      <c r="H23" s="444" t="s">
        <v>5</v>
      </c>
      <c r="I23" s="444" t="s">
        <v>5</v>
      </c>
      <c r="J23" s="444" t="s">
        <v>6</v>
      </c>
      <c r="K23" s="131">
        <v>0.3</v>
      </c>
      <c r="L23" s="132">
        <v>39934</v>
      </c>
      <c r="M23" s="132">
        <v>41029</v>
      </c>
      <c r="N23" s="133">
        <f t="shared" si="0"/>
        <v>2012</v>
      </c>
      <c r="O23" s="134">
        <f>+IFERROR(INDEX([9]PARÁMETROS!$B$11:$B$37,MATCH(N23,[9]PARÁMETROS!$A$11:$A$37,0)),"")</f>
        <v>566700</v>
      </c>
      <c r="P23" s="135">
        <v>9410306392</v>
      </c>
      <c r="Q23" s="136" t="s">
        <v>649</v>
      </c>
      <c r="R23" s="125" t="s">
        <v>54</v>
      </c>
      <c r="S23" s="137" t="s">
        <v>54</v>
      </c>
      <c r="T23" s="138">
        <v>1</v>
      </c>
      <c r="U23" s="134">
        <f t="shared" si="1"/>
        <v>9410306392</v>
      </c>
      <c r="V23" s="139">
        <f t="shared" si="2"/>
        <v>16605.446253749778</v>
      </c>
      <c r="W23" s="139">
        <f t="shared" si="3"/>
        <v>4981.6338761249335</v>
      </c>
      <c r="X23" s="313" t="str">
        <f>+IF(W23="","",IF(W23&gt;=[9]PARÁMETROS!$D$5,"CUMPLE","NO CUMPLE"))</f>
        <v>CUMPLE</v>
      </c>
      <c r="Y23" s="142"/>
      <c r="Z23" s="112"/>
    </row>
    <row r="24" spans="1:26" s="79" customFormat="1" ht="71.25" x14ac:dyDescent="0.25">
      <c r="A24" s="653"/>
      <c r="B24" s="113" t="s">
        <v>308</v>
      </c>
      <c r="C24" s="414">
        <v>10</v>
      </c>
      <c r="D24" s="114" t="str">
        <f>+IFERROR(INDEX([9]CONSOLIDADO!$D$4:$D$109,MATCH('EXP ESPEC. 17-24'!B24,[9]CONSOLIDADO!$C$4:$C$109,0)),"")</f>
        <v>B&amp;C S.A.</v>
      </c>
      <c r="E24" s="115" t="s">
        <v>26</v>
      </c>
      <c r="F24" s="116" t="s">
        <v>665</v>
      </c>
      <c r="G24" s="446" t="s">
        <v>6</v>
      </c>
      <c r="H24" s="446" t="s">
        <v>6</v>
      </c>
      <c r="I24" s="446" t="s">
        <v>5</v>
      </c>
      <c r="J24" s="446" t="s">
        <v>6</v>
      </c>
      <c r="K24" s="117">
        <v>0.5</v>
      </c>
      <c r="L24" s="118">
        <v>36333</v>
      </c>
      <c r="M24" s="118">
        <v>38915</v>
      </c>
      <c r="N24" s="168">
        <f t="shared" si="0"/>
        <v>2006</v>
      </c>
      <c r="O24" s="119">
        <f>+IFERROR(INDEX([9]PARÁMETROS!$B$11:$B$37,MATCH(N24,[9]PARÁMETROS!$A$11:$A$37,0)),"")</f>
        <v>408000</v>
      </c>
      <c r="P24" s="120">
        <v>19941780178.799999</v>
      </c>
      <c r="Q24" s="265" t="s">
        <v>649</v>
      </c>
      <c r="R24" s="113" t="s">
        <v>54</v>
      </c>
      <c r="S24" s="121" t="s">
        <v>54</v>
      </c>
      <c r="T24" s="122">
        <v>1</v>
      </c>
      <c r="U24" s="119">
        <f t="shared" si="1"/>
        <v>19941780178.799999</v>
      </c>
      <c r="V24" s="123">
        <f t="shared" si="2"/>
        <v>48876.912202941174</v>
      </c>
      <c r="W24" s="123">
        <f t="shared" si="3"/>
        <v>24438.456101470587</v>
      </c>
      <c r="X24" s="310" t="str">
        <f>+IF(W24="","",IF(W24&gt;=[9]PARÁMETROS!$D$5,"CUMPLE","NO CUMPLE"))</f>
        <v>CUMPLE</v>
      </c>
      <c r="Y24" s="143"/>
      <c r="Z24" s="112"/>
    </row>
    <row r="25" spans="1:26" s="79" customFormat="1" ht="99.75" x14ac:dyDescent="0.25">
      <c r="A25" s="653"/>
      <c r="B25" s="316" t="s">
        <v>307</v>
      </c>
      <c r="C25" s="409">
        <v>18</v>
      </c>
      <c r="D25" s="65" t="str">
        <f>+IFERROR(INDEX([9]CONSOLIDADO!$D$4:$D$109,MATCH('EXP ESPEC. 17-24'!B25,[9]CONSOLIDADO!$C$4:$C$109,0)),"")</f>
        <v>DIEGO FERNANDO FONSECA CHAVES</v>
      </c>
      <c r="E25" s="66" t="s">
        <v>641</v>
      </c>
      <c r="F25" s="67" t="s">
        <v>668</v>
      </c>
      <c r="G25" s="443" t="s">
        <v>5</v>
      </c>
      <c r="H25" s="443" t="s">
        <v>6</v>
      </c>
      <c r="I25" s="443" t="s">
        <v>5</v>
      </c>
      <c r="J25" s="443" t="s">
        <v>6</v>
      </c>
      <c r="K25" s="69">
        <v>0.5</v>
      </c>
      <c r="L25" s="70">
        <v>40137</v>
      </c>
      <c r="M25" s="70">
        <v>41232</v>
      </c>
      <c r="N25" s="71">
        <f t="shared" si="0"/>
        <v>2012</v>
      </c>
      <c r="O25" s="72">
        <f>+IFERROR(INDEX([9]PARÁMETROS!$B$11:$B$37,MATCH(N25,[9]PARÁMETROS!$A$11:$A$37,0)),"")</f>
        <v>566700</v>
      </c>
      <c r="P25" s="73">
        <v>4761160509</v>
      </c>
      <c r="Q25" s="74" t="s">
        <v>649</v>
      </c>
      <c r="R25" s="316" t="s">
        <v>54</v>
      </c>
      <c r="S25" s="75" t="s">
        <v>54</v>
      </c>
      <c r="T25" s="76">
        <v>1</v>
      </c>
      <c r="U25" s="72">
        <f t="shared" si="1"/>
        <v>4761160509</v>
      </c>
      <c r="V25" s="60">
        <f t="shared" si="2"/>
        <v>8401.5537480148232</v>
      </c>
      <c r="W25" s="60">
        <f t="shared" si="3"/>
        <v>4200.7768740074116</v>
      </c>
      <c r="X25" s="310" t="str">
        <f>+IF(W25="","",IF(W25&gt;=[9]PARÁMETROS!$D$5,"CUMPLE","NO CUMPLE"))</f>
        <v>CUMPLE</v>
      </c>
      <c r="Y25" s="143"/>
      <c r="Z25" s="112"/>
    </row>
    <row r="26" spans="1:26" s="79" customFormat="1" ht="129" thickBot="1" x14ac:dyDescent="0.3">
      <c r="A26" s="653"/>
      <c r="B26" s="316" t="s">
        <v>307</v>
      </c>
      <c r="C26" s="409">
        <v>54</v>
      </c>
      <c r="D26" s="65" t="str">
        <f>+IFERROR(INDEX([9]CONSOLIDADO!$D$4:$D$109,MATCH('EXP ESPEC. 17-24'!B26,[9]CONSOLIDADO!$C$4:$C$109,0)),"")</f>
        <v>DIEGO FERNANDO FONSECA CHAVES</v>
      </c>
      <c r="E26" s="66" t="s">
        <v>641</v>
      </c>
      <c r="F26" s="67" t="s">
        <v>669</v>
      </c>
      <c r="G26" s="443" t="s">
        <v>5</v>
      </c>
      <c r="H26" s="443" t="s">
        <v>6</v>
      </c>
      <c r="I26" s="443" t="s">
        <v>5</v>
      </c>
      <c r="J26" s="443" t="s">
        <v>6</v>
      </c>
      <c r="K26" s="69">
        <v>0.4</v>
      </c>
      <c r="L26" s="151">
        <v>40143</v>
      </c>
      <c r="M26" s="151">
        <v>41183</v>
      </c>
      <c r="N26" s="152">
        <f t="shared" si="0"/>
        <v>2012</v>
      </c>
      <c r="O26" s="153">
        <f>+IFERROR(INDEX([9]PARÁMETROS!$B$11:$B$37,MATCH(N26,[9]PARÁMETROS!$A$11:$A$37,0)),"")</f>
        <v>566700</v>
      </c>
      <c r="P26" s="154">
        <v>4331349652</v>
      </c>
      <c r="Q26" s="155" t="s">
        <v>649</v>
      </c>
      <c r="R26" s="145" t="s">
        <v>54</v>
      </c>
      <c r="S26" s="156" t="s">
        <v>54</v>
      </c>
      <c r="T26" s="157">
        <v>1</v>
      </c>
      <c r="U26" s="153">
        <f t="shared" si="1"/>
        <v>4331349652</v>
      </c>
      <c r="V26" s="158">
        <f t="shared" si="2"/>
        <v>7643.1086147873657</v>
      </c>
      <c r="W26" s="158">
        <f t="shared" si="3"/>
        <v>3057.2434459149463</v>
      </c>
      <c r="X26" s="308" t="str">
        <f>+IF(W26="","",IF(W26&gt;=[9]PARÁMETROS!$D$5,"CUMPLE","NO CUMPLE"))</f>
        <v>CUMPLE</v>
      </c>
      <c r="Y26" s="143"/>
      <c r="Z26" s="112"/>
    </row>
    <row r="27" spans="1:26" s="79" customFormat="1" ht="42.75" x14ac:dyDescent="0.25">
      <c r="A27" s="652" t="s">
        <v>672</v>
      </c>
      <c r="B27" s="125" t="s">
        <v>309</v>
      </c>
      <c r="C27" s="408"/>
      <c r="D27" s="127" t="str">
        <f>+IFERROR(INDEX([9]CONSOLIDADO!$D$4:$D$109,MATCH('EXP ESPEC. 17-24'!B27,[9]CONSOLIDADO!$C$4:$C$109,0)),"")</f>
        <v>INTERVENTORIAS Y DISEÑOS S.A.</v>
      </c>
      <c r="E27" s="128" t="s">
        <v>675</v>
      </c>
      <c r="F27" s="129" t="s">
        <v>676</v>
      </c>
      <c r="G27" s="444" t="s">
        <v>5</v>
      </c>
      <c r="H27" s="444" t="s">
        <v>6</v>
      </c>
      <c r="I27" s="444" t="s">
        <v>5</v>
      </c>
      <c r="J27" s="444" t="s">
        <v>6</v>
      </c>
      <c r="K27" s="131">
        <v>0.5</v>
      </c>
      <c r="L27" s="118">
        <v>37411</v>
      </c>
      <c r="M27" s="118">
        <v>38776</v>
      </c>
      <c r="N27" s="168">
        <f t="shared" si="0"/>
        <v>2006</v>
      </c>
      <c r="O27" s="119">
        <f>+IFERROR(INDEX([9]PARÁMETROS!$B$11:$B$37,MATCH(N27,[9]PARÁMETROS!$A$11:$A$37,0)),"")</f>
        <v>408000</v>
      </c>
      <c r="P27" s="120">
        <v>3791186167</v>
      </c>
      <c r="Q27" s="265" t="s">
        <v>649</v>
      </c>
      <c r="R27" s="113" t="s">
        <v>54</v>
      </c>
      <c r="S27" s="121" t="s">
        <v>54</v>
      </c>
      <c r="T27" s="122">
        <v>1</v>
      </c>
      <c r="U27" s="119">
        <f t="shared" si="1"/>
        <v>3791186167</v>
      </c>
      <c r="V27" s="123">
        <f t="shared" si="2"/>
        <v>9292.1229583333334</v>
      </c>
      <c r="W27" s="123">
        <f t="shared" si="3"/>
        <v>4646.0614791666667</v>
      </c>
      <c r="X27" s="314" t="str">
        <f>+IF(W27="","",IF(W27&gt;=[9]PARÁMETROS!$D$5,"CUMPLE","NO CUMPLE"))</f>
        <v>CUMPLE</v>
      </c>
      <c r="Y27" s="142"/>
      <c r="Z27" s="112"/>
    </row>
    <row r="28" spans="1:26" s="79" customFormat="1" ht="57" x14ac:dyDescent="0.25">
      <c r="A28" s="653"/>
      <c r="B28" s="316" t="s">
        <v>309</v>
      </c>
      <c r="C28" s="409">
        <v>41</v>
      </c>
      <c r="D28" s="65" t="str">
        <f>+IFERROR(INDEX([9]CONSOLIDADO!$D$4:$D$109,MATCH('EXP ESPEC. 17-24'!B28,[9]CONSOLIDADO!$C$4:$C$109,0)),"")</f>
        <v>INTERVENTORIAS Y DISEÑOS S.A.</v>
      </c>
      <c r="E28" s="66" t="s">
        <v>641</v>
      </c>
      <c r="F28" s="67" t="s">
        <v>685</v>
      </c>
      <c r="G28" s="443" t="s">
        <v>5</v>
      </c>
      <c r="H28" s="443" t="s">
        <v>6</v>
      </c>
      <c r="I28" s="443" t="s">
        <v>5</v>
      </c>
      <c r="J28" s="443" t="s">
        <v>6</v>
      </c>
      <c r="K28" s="69">
        <v>0.4</v>
      </c>
      <c r="L28" s="70">
        <v>37910</v>
      </c>
      <c r="M28" s="70">
        <v>40939</v>
      </c>
      <c r="N28" s="71">
        <f t="shared" si="0"/>
        <v>2012</v>
      </c>
      <c r="O28" s="72">
        <f>+IFERROR(INDEX([9]PARÁMETROS!$B$11:$B$37,MATCH(N28,[9]PARÁMETROS!$A$11:$A$37,0)),"")</f>
        <v>566700</v>
      </c>
      <c r="P28" s="73">
        <v>11747944351</v>
      </c>
      <c r="Q28" s="74" t="s">
        <v>649</v>
      </c>
      <c r="R28" s="316" t="s">
        <v>54</v>
      </c>
      <c r="S28" s="75" t="s">
        <v>54</v>
      </c>
      <c r="T28" s="76">
        <v>1</v>
      </c>
      <c r="U28" s="72">
        <f t="shared" si="1"/>
        <v>11747944351</v>
      </c>
      <c r="V28" s="60">
        <f t="shared" si="2"/>
        <v>20730.447063702137</v>
      </c>
      <c r="W28" s="60">
        <f t="shared" si="3"/>
        <v>8292.1788254808544</v>
      </c>
      <c r="X28" s="310" t="str">
        <f>+IF(W28="","",IF(W28&gt;=[9]PARÁMETROS!$D$5,"CUMPLE","NO CUMPLE"))</f>
        <v>CUMPLE</v>
      </c>
      <c r="Y28" s="143"/>
      <c r="Z28" s="112"/>
    </row>
    <row r="29" spans="1:26" s="79" customFormat="1" ht="47.25" x14ac:dyDescent="0.25">
      <c r="A29" s="653"/>
      <c r="B29" s="316" t="s">
        <v>310</v>
      </c>
      <c r="C29" s="409">
        <v>173</v>
      </c>
      <c r="D29" s="65" t="str">
        <f>+IFERROR(INDEX([9]CONSOLIDADO!$D$4:$D$109,MATCH('EXP ESPEC. 17-24'!B29,[9]CONSOLIDADO!$C$4:$C$109,0)),"")</f>
        <v>ESTRUCTURADOR COLOMBIA S.A.S.</v>
      </c>
      <c r="E29" s="66" t="s">
        <v>675</v>
      </c>
      <c r="F29" s="67" t="s">
        <v>677</v>
      </c>
      <c r="G29" s="443" t="s">
        <v>5</v>
      </c>
      <c r="H29" s="443" t="s">
        <v>6</v>
      </c>
      <c r="I29" s="443" t="s">
        <v>5</v>
      </c>
      <c r="J29" s="443" t="s">
        <v>6</v>
      </c>
      <c r="K29" s="69">
        <v>0.15</v>
      </c>
      <c r="L29" s="70">
        <v>40487</v>
      </c>
      <c r="M29" s="70" t="s">
        <v>678</v>
      </c>
      <c r="N29" s="71">
        <v>2015</v>
      </c>
      <c r="O29" s="72">
        <f>+IFERROR(INDEX([9]PARÁMETROS!$B$11:$B$37,MATCH(N29,[9]PARÁMETROS!$A$11:$A$37,0)),"")</f>
        <v>644350</v>
      </c>
      <c r="P29" s="73">
        <v>25305101612</v>
      </c>
      <c r="Q29" s="74" t="s">
        <v>649</v>
      </c>
      <c r="R29" s="316" t="s">
        <v>54</v>
      </c>
      <c r="S29" s="75" t="s">
        <v>54</v>
      </c>
      <c r="T29" s="76">
        <v>1</v>
      </c>
      <c r="U29" s="72">
        <f t="shared" si="1"/>
        <v>25305101612</v>
      </c>
      <c r="V29" s="60">
        <f t="shared" si="2"/>
        <v>39272.292406300927</v>
      </c>
      <c r="W29" s="60">
        <f t="shared" si="3"/>
        <v>5890.8438609451387</v>
      </c>
      <c r="X29" s="310" t="str">
        <f>+IF(W29="","",IF(W29&gt;=[9]PARÁMETROS!$D$5,"CUMPLE","NO CUMPLE"))</f>
        <v>CUMPLE</v>
      </c>
      <c r="Y29" s="143"/>
      <c r="Z29" s="112"/>
    </row>
    <row r="30" spans="1:26" s="79" customFormat="1" ht="57.75" thickBot="1" x14ac:dyDescent="0.3">
      <c r="A30" s="653"/>
      <c r="B30" s="316" t="s">
        <v>309</v>
      </c>
      <c r="C30" s="409">
        <v>180</v>
      </c>
      <c r="D30" s="65" t="str">
        <f>+IFERROR(INDEX([9]CONSOLIDADO!$D$4:$D$109,MATCH('EXP ESPEC. 17-24'!B30,[9]CONSOLIDADO!$C$4:$C$109,0)),"")</f>
        <v>INTERVENTORIAS Y DISEÑOS S.A.</v>
      </c>
      <c r="E30" s="89" t="s">
        <v>673</v>
      </c>
      <c r="F30" s="251" t="s">
        <v>674</v>
      </c>
      <c r="G30" s="443" t="s">
        <v>5</v>
      </c>
      <c r="H30" s="443" t="s">
        <v>6</v>
      </c>
      <c r="I30" s="443" t="s">
        <v>5</v>
      </c>
      <c r="J30" s="443" t="s">
        <v>6</v>
      </c>
      <c r="K30" s="90">
        <v>1</v>
      </c>
      <c r="L30" s="91">
        <v>39934</v>
      </c>
      <c r="M30" s="91">
        <v>40724</v>
      </c>
      <c r="N30" s="71">
        <f t="shared" si="0"/>
        <v>2011</v>
      </c>
      <c r="O30" s="72">
        <f>+IFERROR(INDEX([9]PARÁMETROS!$B$11:$B$37,MATCH(N30,[9]PARÁMETROS!$A$11:$A$37,0)),"")</f>
        <v>535600</v>
      </c>
      <c r="P30" s="92">
        <v>9389034669</v>
      </c>
      <c r="Q30" s="93" t="s">
        <v>649</v>
      </c>
      <c r="R30" s="316" t="s">
        <v>54</v>
      </c>
      <c r="S30" s="75" t="s">
        <v>54</v>
      </c>
      <c r="T30" s="76">
        <v>1</v>
      </c>
      <c r="U30" s="72">
        <f t="shared" si="1"/>
        <v>9389034669</v>
      </c>
      <c r="V30" s="60">
        <f t="shared" si="2"/>
        <v>17529.937768857355</v>
      </c>
      <c r="W30" s="60">
        <f t="shared" si="3"/>
        <v>17529.937768857355</v>
      </c>
      <c r="X30" s="308" t="str">
        <f>+IF(W30="","",IF(W30&gt;=[9]PARÁMETROS!$D$5,"CUMPLE","NO CUMPLE"))</f>
        <v>CUMPLE</v>
      </c>
      <c r="Y30" s="144"/>
      <c r="Z30" s="112"/>
    </row>
    <row r="31" spans="1:26" s="79" customFormat="1" ht="171" x14ac:dyDescent="0.25">
      <c r="A31" s="652" t="s">
        <v>679</v>
      </c>
      <c r="B31" s="461" t="s">
        <v>311</v>
      </c>
      <c r="C31" s="462">
        <v>6</v>
      </c>
      <c r="D31" s="463" t="str">
        <f>+IFERROR(INDEX([10]CONSOLIDADO!$D$4:$D$109,MATCH('[10]EXP ESPEC. 17-24'!B31,[10]CONSOLIDADO!$C$4:$C$109,0)),"")</f>
        <v>GRUSAMAR INGENIERIA Y CONSULTING SL SUCURSAL EN COLOMBIA</v>
      </c>
      <c r="E31" s="464" t="s">
        <v>19</v>
      </c>
      <c r="F31" s="459" t="s">
        <v>680</v>
      </c>
      <c r="G31" s="460" t="s">
        <v>5</v>
      </c>
      <c r="H31" s="460" t="s">
        <v>5</v>
      </c>
      <c r="I31" s="460" t="s">
        <v>5</v>
      </c>
      <c r="J31" s="460" t="s">
        <v>6</v>
      </c>
      <c r="K31" s="465">
        <v>0.35</v>
      </c>
      <c r="L31" s="466">
        <v>41075</v>
      </c>
      <c r="M31" s="466" t="s">
        <v>627</v>
      </c>
      <c r="N31" s="467">
        <v>2015</v>
      </c>
      <c r="O31" s="468">
        <f>+IFERROR(INDEX([10]PARÁMETROS!$B$11:$B$37,MATCH(N31,[10]PARÁMETROS!$A$11:$A$37,0)),"")</f>
        <v>644350</v>
      </c>
      <c r="P31" s="469">
        <v>7418064916</v>
      </c>
      <c r="Q31" s="470" t="s">
        <v>649</v>
      </c>
      <c r="R31" s="461" t="s">
        <v>54</v>
      </c>
      <c r="S31" s="471" t="s">
        <v>54</v>
      </c>
      <c r="T31" s="472">
        <v>1</v>
      </c>
      <c r="U31" s="468">
        <f t="shared" si="1"/>
        <v>7418064916</v>
      </c>
      <c r="V31" s="473">
        <f t="shared" si="2"/>
        <v>11512.477560332118</v>
      </c>
      <c r="W31" s="473">
        <f t="shared" si="3"/>
        <v>4029.3671461162407</v>
      </c>
      <c r="X31" s="447" t="str">
        <f>+IF(W31="","",IF(W31&gt;=[9]PARÁMETROS!$D$5,"CUMPLE","NO CUMPLE"))</f>
        <v>CUMPLE</v>
      </c>
      <c r="Y31" s="142"/>
      <c r="Z31" s="112"/>
    </row>
    <row r="32" spans="1:26" s="79" customFormat="1" ht="78.75" x14ac:dyDescent="0.25">
      <c r="A32" s="653"/>
      <c r="B32" s="316" t="s">
        <v>311</v>
      </c>
      <c r="C32" s="409">
        <v>53</v>
      </c>
      <c r="D32" s="65" t="str">
        <f>+IFERROR(INDEX([9]CONSOLIDADO!$D$4:$D$109,MATCH('EXP ESPEC. 17-24'!B32,[9]CONSOLIDADO!$C$4:$C$109,0)),"")</f>
        <v>GRUSAMAR INGENIERIA Y CONSULTING SL SUCURSAL EN COLOMBIA</v>
      </c>
      <c r="E32" s="66" t="s">
        <v>25</v>
      </c>
      <c r="F32" s="67" t="s">
        <v>681</v>
      </c>
      <c r="G32" s="443" t="s">
        <v>5</v>
      </c>
      <c r="H32" s="443" t="s">
        <v>6</v>
      </c>
      <c r="I32" s="443" t="s">
        <v>5</v>
      </c>
      <c r="J32" s="443" t="s">
        <v>6</v>
      </c>
      <c r="K32" s="69">
        <v>1</v>
      </c>
      <c r="L32" s="70">
        <v>39295</v>
      </c>
      <c r="M32" s="70">
        <v>40209</v>
      </c>
      <c r="N32" s="71">
        <f>IF(M32="","",YEAR(M32))</f>
        <v>2010</v>
      </c>
      <c r="O32" s="72">
        <f>+IFERROR(INDEX([9]PARÁMETROS!$B$11:$B$37,MATCH(N32,[9]PARÁMETROS!$A$11:$A$37,0)),"")</f>
        <v>515000</v>
      </c>
      <c r="P32" s="73">
        <v>1403754.99</v>
      </c>
      <c r="Q32" s="74" t="s">
        <v>24</v>
      </c>
      <c r="R32" s="316">
        <v>1.38575</v>
      </c>
      <c r="S32" s="75">
        <f>+P32*R32</f>
        <v>1945253.4773925</v>
      </c>
      <c r="T32" s="76">
        <v>1982.29</v>
      </c>
      <c r="U32" s="72">
        <f>IF(T32&lt;&gt;"",S32*T32,"")</f>
        <v>3856056515.7003789</v>
      </c>
      <c r="V32" s="60">
        <f t="shared" si="2"/>
        <v>7487.4883800007356</v>
      </c>
      <c r="W32" s="60">
        <f t="shared" si="3"/>
        <v>7487.4883800007356</v>
      </c>
      <c r="X32" s="310" t="str">
        <f>+IF(W32="","",IF(W32&gt;=[9]PARÁMETROS!$D$5,"CUMPLE","NO CUMPLE"))</f>
        <v>CUMPLE</v>
      </c>
      <c r="Y32" s="143"/>
      <c r="Z32" s="112"/>
    </row>
    <row r="33" spans="1:26" s="79" customFormat="1" ht="78.75" x14ac:dyDescent="0.25">
      <c r="A33" s="653"/>
      <c r="B33" s="316" t="s">
        <v>311</v>
      </c>
      <c r="C33" s="409">
        <v>58</v>
      </c>
      <c r="D33" s="65" t="str">
        <f>+IFERROR(INDEX([9]CONSOLIDADO!$D$4:$D$109,MATCH('EXP ESPEC. 17-24'!B33,[9]CONSOLIDADO!$C$4:$C$109,0)),"")</f>
        <v>GRUSAMAR INGENIERIA Y CONSULTING SL SUCURSAL EN COLOMBIA</v>
      </c>
      <c r="E33" s="66" t="s">
        <v>25</v>
      </c>
      <c r="F33" s="67" t="s">
        <v>682</v>
      </c>
      <c r="G33" s="443" t="s">
        <v>5</v>
      </c>
      <c r="H33" s="443" t="s">
        <v>6</v>
      </c>
      <c r="I33" s="443" t="s">
        <v>5</v>
      </c>
      <c r="J33" s="443" t="s">
        <v>6</v>
      </c>
      <c r="K33" s="69">
        <v>1</v>
      </c>
      <c r="L33" s="70">
        <v>39385</v>
      </c>
      <c r="M33" s="70">
        <v>41182</v>
      </c>
      <c r="N33" s="71">
        <f>IF(M33="","",YEAR(M33))</f>
        <v>2012</v>
      </c>
      <c r="O33" s="72">
        <f>+IFERROR(INDEX([9]PARÁMETROS!$B$11:$B$37,MATCH(N33,[9]PARÁMETROS!$A$11:$A$37,0)),"")</f>
        <v>566700</v>
      </c>
      <c r="P33" s="73">
        <v>1943712.48</v>
      </c>
      <c r="Q33" s="74" t="s">
        <v>24</v>
      </c>
      <c r="R33" s="316">
        <v>1.2855399999999999</v>
      </c>
      <c r="S33" s="75">
        <f>+P33*R33</f>
        <v>2498720.1415391997</v>
      </c>
      <c r="T33" s="76">
        <v>1800.52</v>
      </c>
      <c r="U33" s="72">
        <f>IF(T33&lt;&gt;"",S33*T33,"")</f>
        <v>4498995589.2441597</v>
      </c>
      <c r="V33" s="60">
        <f t="shared" si="2"/>
        <v>7938.9369847258858</v>
      </c>
      <c r="W33" s="60">
        <f t="shared" si="3"/>
        <v>7938.9369847258858</v>
      </c>
      <c r="X33" s="310" t="str">
        <f>+IF(W33="","",IF(W33&gt;=[9]PARÁMETROS!$D$5,"CUMPLE","NO CUMPLE"))</f>
        <v>CUMPLE</v>
      </c>
      <c r="Y33" s="143"/>
      <c r="Z33" s="112"/>
    </row>
    <row r="34" spans="1:26" s="79" customFormat="1" ht="57.75" thickBot="1" x14ac:dyDescent="0.3">
      <c r="A34" s="653"/>
      <c r="B34" s="316" t="s">
        <v>313</v>
      </c>
      <c r="C34" s="409">
        <v>63</v>
      </c>
      <c r="D34" s="65" t="str">
        <f>+IFERROR(INDEX([9]CONSOLIDADO!$D$4:$D$109,MATCH('EXP ESPEC. 17-24'!B34,[9]CONSOLIDADO!$C$4:$C$109,0)),"")</f>
        <v>JUAN AMADO LIZARAZO</v>
      </c>
      <c r="E34" s="66" t="s">
        <v>675</v>
      </c>
      <c r="F34" s="67" t="s">
        <v>683</v>
      </c>
      <c r="G34" s="443" t="s">
        <v>5</v>
      </c>
      <c r="H34" s="443" t="s">
        <v>6</v>
      </c>
      <c r="I34" s="443" t="s">
        <v>5</v>
      </c>
      <c r="J34" s="443" t="s">
        <v>6</v>
      </c>
      <c r="K34" s="69">
        <v>0.75</v>
      </c>
      <c r="L34" s="70">
        <v>38327</v>
      </c>
      <c r="M34" s="70">
        <v>40668</v>
      </c>
      <c r="N34" s="71">
        <f>IF(M34="","",YEAR(M34))</f>
        <v>2011</v>
      </c>
      <c r="O34" s="72">
        <f>+IFERROR(INDEX([9]PARÁMETROS!$B$11:$B$37,MATCH(N34,[9]PARÁMETROS!$A$11:$A$37,0)),"")</f>
        <v>535600</v>
      </c>
      <c r="P34" s="73">
        <v>6564670351</v>
      </c>
      <c r="Q34" s="74" t="s">
        <v>649</v>
      </c>
      <c r="R34" s="316" t="s">
        <v>54</v>
      </c>
      <c r="S34" s="75" t="s">
        <v>54</v>
      </c>
      <c r="T34" s="76">
        <v>1</v>
      </c>
      <c r="U34" s="72">
        <f>IF(T34&lt;&gt;"",P34*T34,"")</f>
        <v>6564670351</v>
      </c>
      <c r="V34" s="60">
        <f t="shared" si="2"/>
        <v>12256.66607729649</v>
      </c>
      <c r="W34" s="60">
        <f t="shared" si="3"/>
        <v>9192.4995579723673</v>
      </c>
      <c r="X34" s="308" t="str">
        <f>+IF(W34="","",IF(W34&gt;=[9]PARÁMETROS!$D$5,"CUMPLE","NO CUMPLE"))</f>
        <v>CUMPLE</v>
      </c>
      <c r="Y34" s="143"/>
      <c r="Z34" s="112"/>
    </row>
    <row r="35" spans="1:26" s="79" customFormat="1" ht="30" customHeight="1" x14ac:dyDescent="0.25">
      <c r="A35" s="652"/>
      <c r="B35" s="125"/>
      <c r="C35" s="408"/>
      <c r="D35" s="127" t="str">
        <f>+IFERROR(INDEX([9]CONSOLIDADO!$D$4:$D$109,MATCH('EXP ESPEC. 17-24'!B35,[9]CONSOLIDADO!$C$4:$C$109,0)),"")</f>
        <v/>
      </c>
      <c r="E35" s="128"/>
      <c r="F35" s="128"/>
      <c r="G35" s="444"/>
      <c r="H35" s="444"/>
      <c r="I35" s="444"/>
      <c r="J35" s="444"/>
      <c r="K35" s="170"/>
      <c r="L35" s="132"/>
      <c r="M35" s="132"/>
      <c r="N35" s="133" t="str">
        <f t="shared" si="0"/>
        <v/>
      </c>
      <c r="O35" s="134" t="str">
        <f>+IFERROR(INDEX([9]PARÁMETROS!$B$11:$B$37,MATCH(N35,[9]PARÁMETROS!$A$11:$A$37,0)),"")</f>
        <v/>
      </c>
      <c r="P35" s="171"/>
      <c r="Q35" s="134"/>
      <c r="R35" s="125"/>
      <c r="S35" s="137"/>
      <c r="T35" s="138"/>
      <c r="U35" s="134" t="str">
        <f t="shared" si="1"/>
        <v/>
      </c>
      <c r="V35" s="139" t="str">
        <f t="shared" si="2"/>
        <v/>
      </c>
      <c r="W35" s="139" t="str">
        <f t="shared" si="3"/>
        <v/>
      </c>
      <c r="X35" s="313" t="str">
        <f>+IF(W35="","",IF(W35&gt;=[9]PARÁMETROS!$D$5,"CUMPLE","NO CUMPLE"))</f>
        <v/>
      </c>
      <c r="Y35" s="142"/>
      <c r="Z35" s="112"/>
    </row>
    <row r="36" spans="1:26" s="79" customFormat="1" ht="30" customHeight="1" x14ac:dyDescent="0.25">
      <c r="A36" s="653"/>
      <c r="B36" s="316"/>
      <c r="C36" s="409"/>
      <c r="D36" s="65" t="str">
        <f>+IFERROR(INDEX([9]CONSOLIDADO!$D$4:$D$109,MATCH('EXP ESPEC. 17-24'!B36,[9]CONSOLIDADO!$C$4:$C$109,0)),"")</f>
        <v/>
      </c>
      <c r="E36" s="66"/>
      <c r="F36" s="66"/>
      <c r="G36" s="443"/>
      <c r="H36" s="443"/>
      <c r="I36" s="443"/>
      <c r="J36" s="443"/>
      <c r="K36" s="80"/>
      <c r="L36" s="70"/>
      <c r="M36" s="70"/>
      <c r="N36" s="71" t="str">
        <f t="shared" si="0"/>
        <v/>
      </c>
      <c r="O36" s="72" t="str">
        <f>+IFERROR(INDEX([9]PARÁMETROS!$B$11:$B$37,MATCH(N36,[9]PARÁMETROS!$A$11:$A$37,0)),"")</f>
        <v/>
      </c>
      <c r="P36" s="81"/>
      <c r="Q36" s="72"/>
      <c r="R36" s="316"/>
      <c r="S36" s="75"/>
      <c r="T36" s="76"/>
      <c r="U36" s="72" t="str">
        <f t="shared" si="1"/>
        <v/>
      </c>
      <c r="V36" s="60" t="str">
        <f t="shared" si="2"/>
        <v/>
      </c>
      <c r="W36" s="60" t="str">
        <f t="shared" si="3"/>
        <v/>
      </c>
      <c r="X36" s="310" t="str">
        <f>+IF(W36="","",IF(W36&gt;=[9]PARÁMETROS!$D$5,"CUMPLE","NO CUMPLE"))</f>
        <v/>
      </c>
      <c r="Y36" s="143"/>
      <c r="Z36" s="112"/>
    </row>
    <row r="37" spans="1:26" s="79" customFormat="1" ht="30" customHeight="1" x14ac:dyDescent="0.25">
      <c r="A37" s="653"/>
      <c r="B37" s="316"/>
      <c r="C37" s="409"/>
      <c r="D37" s="65" t="str">
        <f>+IFERROR(INDEX([9]CONSOLIDADO!$D$4:$D$109,MATCH('EXP ESPEC. 17-24'!B37,[9]CONSOLIDADO!$C$4:$C$109,0)),"")</f>
        <v/>
      </c>
      <c r="E37" s="66"/>
      <c r="F37" s="66"/>
      <c r="G37" s="310"/>
      <c r="H37" s="310"/>
      <c r="I37" s="310"/>
      <c r="J37" s="310"/>
      <c r="K37" s="80"/>
      <c r="L37" s="70"/>
      <c r="M37" s="70"/>
      <c r="N37" s="71" t="str">
        <f t="shared" si="0"/>
        <v/>
      </c>
      <c r="O37" s="72" t="str">
        <f>+IFERROR(INDEX([9]PARÁMETROS!$B$11:$B$37,MATCH(N37,[9]PARÁMETROS!$A$11:$A$37,0)),"")</f>
        <v/>
      </c>
      <c r="P37" s="81"/>
      <c r="Q37" s="72"/>
      <c r="R37" s="316"/>
      <c r="S37" s="75"/>
      <c r="T37" s="76"/>
      <c r="U37" s="72" t="str">
        <f t="shared" si="1"/>
        <v/>
      </c>
      <c r="V37" s="60" t="str">
        <f t="shared" si="2"/>
        <v/>
      </c>
      <c r="W37" s="60" t="str">
        <f t="shared" si="3"/>
        <v/>
      </c>
      <c r="X37" s="310" t="str">
        <f>+IF(W37="","",IF(W37&gt;=[9]PARÁMETROS!$D$5,"CUMPLE","NO CUMPLE"))</f>
        <v/>
      </c>
      <c r="Y37" s="143"/>
      <c r="Z37" s="112"/>
    </row>
    <row r="38" spans="1:26" s="79" customFormat="1" ht="30" customHeight="1" thickBot="1" x14ac:dyDescent="0.3">
      <c r="A38" s="653"/>
      <c r="B38" s="316"/>
      <c r="C38" s="409"/>
      <c r="D38" s="65" t="str">
        <f>+IFERROR(INDEX([9]CONSOLIDADO!$D$4:$D$109,MATCH('EXP ESPEC. 17-24'!B38,[9]CONSOLIDADO!$C$4:$C$109,0)),"")</f>
        <v/>
      </c>
      <c r="E38" s="66"/>
      <c r="F38" s="66"/>
      <c r="G38" s="310"/>
      <c r="H38" s="310"/>
      <c r="I38" s="310"/>
      <c r="J38" s="310"/>
      <c r="K38" s="80"/>
      <c r="L38" s="70"/>
      <c r="M38" s="70"/>
      <c r="N38" s="71" t="str">
        <f t="shared" si="0"/>
        <v/>
      </c>
      <c r="O38" s="72" t="str">
        <f>+IFERROR(INDEX([9]PARÁMETROS!$B$11:$B$37,MATCH(N38,[9]PARÁMETROS!$A$11:$A$37,0)),"")</f>
        <v/>
      </c>
      <c r="P38" s="81"/>
      <c r="Q38" s="72"/>
      <c r="R38" s="316"/>
      <c r="S38" s="75"/>
      <c r="T38" s="76"/>
      <c r="U38" s="72" t="str">
        <f t="shared" si="1"/>
        <v/>
      </c>
      <c r="V38" s="60" t="str">
        <f t="shared" si="2"/>
        <v/>
      </c>
      <c r="W38" s="60" t="str">
        <f t="shared" si="3"/>
        <v/>
      </c>
      <c r="X38" s="308" t="str">
        <f>+IF(W38="","",IF(W38&gt;=[9]PARÁMETROS!$D$5,"CUMPLE","NO CUMPLE"))</f>
        <v/>
      </c>
      <c r="Y38" s="143"/>
      <c r="Z38" s="112"/>
    </row>
    <row r="39" spans="1:26" s="79" customFormat="1" ht="30" customHeight="1" x14ac:dyDescent="0.25">
      <c r="A39" s="652"/>
      <c r="B39" s="125"/>
      <c r="C39" s="408"/>
      <c r="D39" s="127" t="str">
        <f>+IFERROR(INDEX([9]CONSOLIDADO!$D$4:$D$109,MATCH('EXP ESPEC. 17-24'!B39,[9]CONSOLIDADO!$C$4:$C$109,0)),"")</f>
        <v/>
      </c>
      <c r="E39" s="128"/>
      <c r="F39" s="128"/>
      <c r="G39" s="309"/>
      <c r="H39" s="309"/>
      <c r="I39" s="309"/>
      <c r="J39" s="309"/>
      <c r="K39" s="170"/>
      <c r="L39" s="132"/>
      <c r="M39" s="132"/>
      <c r="N39" s="133" t="str">
        <f t="shared" si="0"/>
        <v/>
      </c>
      <c r="O39" s="134" t="str">
        <f>+IFERROR(INDEX([9]PARÁMETROS!$B$11:$B$37,MATCH(N39,[9]PARÁMETROS!$A$11:$A$37,0)),"")</f>
        <v/>
      </c>
      <c r="P39" s="171"/>
      <c r="Q39" s="134"/>
      <c r="R39" s="125"/>
      <c r="S39" s="137"/>
      <c r="T39" s="138"/>
      <c r="U39" s="134" t="str">
        <f t="shared" si="1"/>
        <v/>
      </c>
      <c r="V39" s="139" t="str">
        <f t="shared" si="2"/>
        <v/>
      </c>
      <c r="W39" s="139" t="str">
        <f t="shared" si="3"/>
        <v/>
      </c>
      <c r="X39" s="313" t="str">
        <f>+IF(W39="","",IF(W39&gt;=[9]PARÁMETROS!$D$5,"CUMPLE","NO CUMPLE"))</f>
        <v/>
      </c>
      <c r="Y39" s="142"/>
      <c r="Z39" s="112"/>
    </row>
    <row r="40" spans="1:26" s="79" customFormat="1" ht="30" customHeight="1" x14ac:dyDescent="0.25">
      <c r="A40" s="653"/>
      <c r="B40" s="316"/>
      <c r="C40" s="409"/>
      <c r="D40" s="65" t="str">
        <f>+IFERROR(INDEX([9]CONSOLIDADO!$D$4:$D$109,MATCH('EXP ESPEC. 17-24'!B40,[9]CONSOLIDADO!$C$4:$C$109,0)),"")</f>
        <v/>
      </c>
      <c r="E40" s="66"/>
      <c r="F40" s="66"/>
      <c r="G40" s="310"/>
      <c r="H40" s="310"/>
      <c r="I40" s="310"/>
      <c r="J40" s="310"/>
      <c r="K40" s="80"/>
      <c r="L40" s="70"/>
      <c r="M40" s="70"/>
      <c r="N40" s="71" t="str">
        <f t="shared" si="0"/>
        <v/>
      </c>
      <c r="O40" s="72" t="str">
        <f>+IFERROR(INDEX([9]PARÁMETROS!$B$11:$B$37,MATCH(N40,[9]PARÁMETROS!$A$11:$A$37,0)),"")</f>
        <v/>
      </c>
      <c r="P40" s="81"/>
      <c r="Q40" s="72"/>
      <c r="R40" s="316"/>
      <c r="S40" s="75"/>
      <c r="T40" s="76"/>
      <c r="U40" s="72" t="str">
        <f t="shared" si="1"/>
        <v/>
      </c>
      <c r="V40" s="60" t="str">
        <f t="shared" si="2"/>
        <v/>
      </c>
      <c r="W40" s="60" t="str">
        <f t="shared" si="3"/>
        <v/>
      </c>
      <c r="X40" s="310" t="str">
        <f>+IF(W40="","",IF(W40&gt;=[9]PARÁMETROS!$D$5,"CUMPLE","NO CUMPLE"))</f>
        <v/>
      </c>
      <c r="Y40" s="143"/>
      <c r="Z40" s="112"/>
    </row>
    <row r="41" spans="1:26" s="79" customFormat="1" ht="30" customHeight="1" x14ac:dyDescent="0.25">
      <c r="A41" s="653"/>
      <c r="B41" s="316"/>
      <c r="C41" s="409"/>
      <c r="D41" s="65" t="str">
        <f>+IFERROR(INDEX([9]CONSOLIDADO!$D$4:$D$109,MATCH('EXP ESPEC. 17-24'!B41,[9]CONSOLIDADO!$C$4:$C$109,0)),"")</f>
        <v/>
      </c>
      <c r="E41" s="66"/>
      <c r="F41" s="66"/>
      <c r="G41" s="310"/>
      <c r="H41" s="310"/>
      <c r="I41" s="310"/>
      <c r="J41" s="310"/>
      <c r="K41" s="80"/>
      <c r="L41" s="70"/>
      <c r="M41" s="70"/>
      <c r="N41" s="71" t="str">
        <f t="shared" si="0"/>
        <v/>
      </c>
      <c r="O41" s="72" t="str">
        <f>+IFERROR(INDEX([9]PARÁMETROS!$B$11:$B$37,MATCH(N41,[9]PARÁMETROS!$A$11:$A$37,0)),"")</f>
        <v/>
      </c>
      <c r="P41" s="81"/>
      <c r="Q41" s="72"/>
      <c r="R41" s="316"/>
      <c r="S41" s="75"/>
      <c r="T41" s="76"/>
      <c r="U41" s="72" t="str">
        <f t="shared" si="1"/>
        <v/>
      </c>
      <c r="V41" s="60" t="str">
        <f t="shared" si="2"/>
        <v/>
      </c>
      <c r="W41" s="60" t="str">
        <f t="shared" si="3"/>
        <v/>
      </c>
      <c r="X41" s="310" t="str">
        <f>+IF(W41="","",IF(W41&gt;=[9]PARÁMETROS!$D$5,"CUMPLE","NO CUMPLE"))</f>
        <v/>
      </c>
      <c r="Y41" s="143"/>
      <c r="Z41" s="112"/>
    </row>
    <row r="42" spans="1:26" s="79" customFormat="1" ht="30" customHeight="1" thickBot="1" x14ac:dyDescent="0.3">
      <c r="A42" s="653"/>
      <c r="B42" s="316"/>
      <c r="C42" s="409"/>
      <c r="D42" s="65" t="str">
        <f>+IFERROR(INDEX([9]CONSOLIDADO!$D$4:$D$109,MATCH('EXP ESPEC. 17-24'!B42,[9]CONSOLIDADO!$C$4:$C$109,0)),"")</f>
        <v/>
      </c>
      <c r="E42" s="66"/>
      <c r="F42" s="66"/>
      <c r="G42" s="310"/>
      <c r="H42" s="310"/>
      <c r="I42" s="310"/>
      <c r="J42" s="310"/>
      <c r="K42" s="80"/>
      <c r="L42" s="70"/>
      <c r="M42" s="70"/>
      <c r="N42" s="71" t="str">
        <f t="shared" si="0"/>
        <v/>
      </c>
      <c r="O42" s="72" t="str">
        <f>+IFERROR(INDEX([9]PARÁMETROS!$B$11:$B$37,MATCH(N42,[9]PARÁMETROS!$A$11:$A$37,0)),"")</f>
        <v/>
      </c>
      <c r="P42" s="81"/>
      <c r="Q42" s="72"/>
      <c r="R42" s="316"/>
      <c r="S42" s="75"/>
      <c r="T42" s="76"/>
      <c r="U42" s="72" t="str">
        <f t="shared" si="1"/>
        <v/>
      </c>
      <c r="V42" s="60" t="str">
        <f t="shared" si="2"/>
        <v/>
      </c>
      <c r="W42" s="60" t="str">
        <f t="shared" si="3"/>
        <v/>
      </c>
      <c r="X42" s="308" t="str">
        <f>+IF(W42="","",IF(W42&gt;=[9]PARÁMETROS!$D$5,"CUMPLE","NO CUMPLE"))</f>
        <v/>
      </c>
      <c r="Y42" s="143"/>
      <c r="Z42" s="112"/>
    </row>
    <row r="43" spans="1:26" s="79" customFormat="1" ht="30" customHeight="1" x14ac:dyDescent="0.25">
      <c r="A43" s="652"/>
      <c r="B43" s="125"/>
      <c r="C43" s="408"/>
      <c r="D43" s="127" t="str">
        <f>+IFERROR(INDEX([9]CONSOLIDADO!$D$4:$D$109,MATCH('EXP ESPEC. 17-24'!B43,[9]CONSOLIDADO!$C$4:$C$109,0)),"")</f>
        <v/>
      </c>
      <c r="E43" s="128"/>
      <c r="F43" s="128"/>
      <c r="G43" s="309"/>
      <c r="H43" s="309"/>
      <c r="I43" s="309"/>
      <c r="J43" s="309"/>
      <c r="K43" s="170"/>
      <c r="L43" s="132"/>
      <c r="M43" s="132"/>
      <c r="N43" s="133" t="str">
        <f t="shared" si="0"/>
        <v/>
      </c>
      <c r="O43" s="134" t="str">
        <f>+IFERROR(INDEX([9]PARÁMETROS!$B$11:$B$37,MATCH(N43,[9]PARÁMETROS!$A$11:$A$37,0)),"")</f>
        <v/>
      </c>
      <c r="P43" s="171"/>
      <c r="Q43" s="134"/>
      <c r="R43" s="125"/>
      <c r="S43" s="137"/>
      <c r="T43" s="138"/>
      <c r="U43" s="134" t="str">
        <f t="shared" si="1"/>
        <v/>
      </c>
      <c r="V43" s="139" t="str">
        <f t="shared" si="2"/>
        <v/>
      </c>
      <c r="W43" s="139" t="str">
        <f t="shared" si="3"/>
        <v/>
      </c>
      <c r="X43" s="313" t="str">
        <f>+IF(W43="","",IF(W43&gt;=[9]PARÁMETROS!$D$5,"CUMPLE","NO CUMPLE"))</f>
        <v/>
      </c>
      <c r="Y43" s="142"/>
      <c r="Z43" s="112"/>
    </row>
    <row r="44" spans="1:26" s="79" customFormat="1" ht="30" customHeight="1" x14ac:dyDescent="0.25">
      <c r="A44" s="653"/>
      <c r="B44" s="316"/>
      <c r="C44" s="409"/>
      <c r="D44" s="65" t="str">
        <f>+IFERROR(INDEX([9]CONSOLIDADO!$D$4:$D$109,MATCH('EXP ESPEC. 17-24'!B44,[9]CONSOLIDADO!$C$4:$C$109,0)),"")</f>
        <v/>
      </c>
      <c r="E44" s="66"/>
      <c r="F44" s="66"/>
      <c r="G44" s="310"/>
      <c r="H44" s="310"/>
      <c r="I44" s="310"/>
      <c r="J44" s="310"/>
      <c r="K44" s="80"/>
      <c r="L44" s="70"/>
      <c r="M44" s="70"/>
      <c r="N44" s="71" t="str">
        <f t="shared" si="0"/>
        <v/>
      </c>
      <c r="O44" s="72" t="str">
        <f>+IFERROR(INDEX([9]PARÁMETROS!$B$11:$B$37,MATCH(N44,[9]PARÁMETROS!$A$11:$A$37,0)),"")</f>
        <v/>
      </c>
      <c r="P44" s="81"/>
      <c r="Q44" s="72"/>
      <c r="R44" s="316"/>
      <c r="S44" s="75"/>
      <c r="T44" s="76"/>
      <c r="U44" s="72" t="str">
        <f t="shared" si="1"/>
        <v/>
      </c>
      <c r="V44" s="60" t="str">
        <f t="shared" si="2"/>
        <v/>
      </c>
      <c r="W44" s="60" t="str">
        <f t="shared" si="3"/>
        <v/>
      </c>
      <c r="X44" s="310" t="str">
        <f>+IF(W44="","",IF(W44&gt;=[9]PARÁMETROS!$D$5,"CUMPLE","NO CUMPLE"))</f>
        <v/>
      </c>
      <c r="Y44" s="143"/>
      <c r="Z44" s="112"/>
    </row>
    <row r="45" spans="1:26" s="79" customFormat="1" ht="30" customHeight="1" x14ac:dyDescent="0.25">
      <c r="A45" s="653"/>
      <c r="B45" s="316"/>
      <c r="C45" s="409"/>
      <c r="D45" s="65" t="str">
        <f>+IFERROR(INDEX([9]CONSOLIDADO!$D$4:$D$109,MATCH('EXP ESPEC. 17-24'!B45,[9]CONSOLIDADO!$C$4:$C$109,0)),"")</f>
        <v/>
      </c>
      <c r="E45" s="66"/>
      <c r="F45" s="66"/>
      <c r="G45" s="310"/>
      <c r="H45" s="310"/>
      <c r="I45" s="310"/>
      <c r="J45" s="310"/>
      <c r="K45" s="80"/>
      <c r="L45" s="70"/>
      <c r="M45" s="70"/>
      <c r="N45" s="71" t="str">
        <f t="shared" si="0"/>
        <v/>
      </c>
      <c r="O45" s="72" t="str">
        <f>+IFERROR(INDEX([9]PARÁMETROS!$B$11:$B$37,MATCH(N45,[9]PARÁMETROS!$A$11:$A$37,0)),"")</f>
        <v/>
      </c>
      <c r="P45" s="81"/>
      <c r="Q45" s="72"/>
      <c r="R45" s="316"/>
      <c r="S45" s="75"/>
      <c r="T45" s="76"/>
      <c r="U45" s="72" t="str">
        <f t="shared" si="1"/>
        <v/>
      </c>
      <c r="V45" s="60" t="str">
        <f t="shared" si="2"/>
        <v/>
      </c>
      <c r="W45" s="60" t="str">
        <f t="shared" si="3"/>
        <v/>
      </c>
      <c r="X45" s="310" t="str">
        <f>+IF(W45="","",IF(W45&gt;=[9]PARÁMETROS!$D$5,"CUMPLE","NO CUMPLE"))</f>
        <v/>
      </c>
      <c r="Y45" s="143"/>
      <c r="Z45" s="112"/>
    </row>
    <row r="46" spans="1:26" s="79" customFormat="1" ht="30" customHeight="1" thickBot="1" x14ac:dyDescent="0.3">
      <c r="A46" s="653"/>
      <c r="B46" s="316"/>
      <c r="C46" s="409"/>
      <c r="D46" s="65" t="str">
        <f>+IFERROR(INDEX([9]CONSOLIDADO!$D$4:$D$109,MATCH('EXP ESPEC. 17-24'!B46,[9]CONSOLIDADO!$C$4:$C$109,0)),"")</f>
        <v/>
      </c>
      <c r="E46" s="66"/>
      <c r="F46" s="66"/>
      <c r="G46" s="310"/>
      <c r="H46" s="310"/>
      <c r="I46" s="310"/>
      <c r="J46" s="310"/>
      <c r="K46" s="80"/>
      <c r="L46" s="70"/>
      <c r="M46" s="70"/>
      <c r="N46" s="71" t="str">
        <f t="shared" si="0"/>
        <v/>
      </c>
      <c r="O46" s="72" t="str">
        <f>+IFERROR(INDEX([9]PARÁMETROS!$B$11:$B$37,MATCH(N46,[9]PARÁMETROS!$A$11:$A$37,0)),"")</f>
        <v/>
      </c>
      <c r="P46" s="81"/>
      <c r="Q46" s="72"/>
      <c r="R46" s="316"/>
      <c r="S46" s="75"/>
      <c r="T46" s="76"/>
      <c r="U46" s="72" t="str">
        <f t="shared" si="1"/>
        <v/>
      </c>
      <c r="V46" s="60" t="str">
        <f t="shared" si="2"/>
        <v/>
      </c>
      <c r="W46" s="60" t="str">
        <f t="shared" si="3"/>
        <v/>
      </c>
      <c r="X46" s="308" t="str">
        <f>+IF(W46="","",IF(W46&gt;=[9]PARÁMETROS!$D$5,"CUMPLE","NO CUMPLE"))</f>
        <v/>
      </c>
      <c r="Y46" s="143"/>
      <c r="Z46" s="112"/>
    </row>
    <row r="47" spans="1:26" s="79" customFormat="1" ht="30" customHeight="1" x14ac:dyDescent="0.25">
      <c r="A47" s="652"/>
      <c r="B47" s="125"/>
      <c r="C47" s="408"/>
      <c r="D47" s="127" t="str">
        <f>+IFERROR(INDEX([9]CONSOLIDADO!$D$4:$D$109,MATCH('EXP ESPEC. 17-24'!B47,[9]CONSOLIDADO!$C$4:$C$109,0)),"")</f>
        <v/>
      </c>
      <c r="E47" s="128"/>
      <c r="F47" s="128"/>
      <c r="G47" s="309"/>
      <c r="H47" s="309"/>
      <c r="I47" s="309"/>
      <c r="J47" s="309"/>
      <c r="K47" s="170"/>
      <c r="L47" s="132"/>
      <c r="M47" s="132"/>
      <c r="N47" s="133" t="str">
        <f t="shared" si="0"/>
        <v/>
      </c>
      <c r="O47" s="134" t="str">
        <f>+IFERROR(INDEX([9]PARÁMETROS!$B$11:$B$37,MATCH(N47,[9]PARÁMETROS!$A$11:$A$37,0)),"")</f>
        <v/>
      </c>
      <c r="P47" s="171"/>
      <c r="Q47" s="134"/>
      <c r="R47" s="125"/>
      <c r="S47" s="137"/>
      <c r="T47" s="138"/>
      <c r="U47" s="134" t="str">
        <f t="shared" si="1"/>
        <v/>
      </c>
      <c r="V47" s="139" t="str">
        <f t="shared" si="2"/>
        <v/>
      </c>
      <c r="W47" s="139" t="str">
        <f t="shared" si="3"/>
        <v/>
      </c>
      <c r="X47" s="313" t="str">
        <f>+IF(W47="","",IF(W47&gt;=[9]PARÁMETROS!$D$5,"CUMPLE","NO CUMPLE"))</f>
        <v/>
      </c>
      <c r="Y47" s="142"/>
      <c r="Z47" s="112"/>
    </row>
    <row r="48" spans="1:26" s="79" customFormat="1" ht="30" customHeight="1" x14ac:dyDescent="0.25">
      <c r="A48" s="653"/>
      <c r="B48" s="316"/>
      <c r="C48" s="409"/>
      <c r="D48" s="65" t="str">
        <f>+IFERROR(INDEX([9]CONSOLIDADO!$D$4:$D$109,MATCH('EXP ESPEC. 17-24'!B48,[9]CONSOLIDADO!$C$4:$C$109,0)),"")</f>
        <v/>
      </c>
      <c r="E48" s="66"/>
      <c r="F48" s="66"/>
      <c r="G48" s="310"/>
      <c r="H48" s="310"/>
      <c r="I48" s="310"/>
      <c r="J48" s="310"/>
      <c r="K48" s="80"/>
      <c r="L48" s="70"/>
      <c r="M48" s="70"/>
      <c r="N48" s="71" t="str">
        <f t="shared" si="0"/>
        <v/>
      </c>
      <c r="O48" s="72" t="str">
        <f>+IFERROR(INDEX([9]PARÁMETROS!$B$11:$B$37,MATCH(N48,[9]PARÁMETROS!$A$11:$A$37,0)),"")</f>
        <v/>
      </c>
      <c r="P48" s="81"/>
      <c r="Q48" s="72"/>
      <c r="R48" s="316"/>
      <c r="S48" s="75"/>
      <c r="T48" s="76"/>
      <c r="U48" s="72" t="str">
        <f t="shared" si="1"/>
        <v/>
      </c>
      <c r="V48" s="60" t="str">
        <f t="shared" si="2"/>
        <v/>
      </c>
      <c r="W48" s="60" t="str">
        <f t="shared" si="3"/>
        <v/>
      </c>
      <c r="X48" s="310" t="str">
        <f>+IF(W48="","",IF(W48&gt;=[9]PARÁMETROS!$D$5,"CUMPLE","NO CUMPLE"))</f>
        <v/>
      </c>
      <c r="Y48" s="143"/>
      <c r="Z48" s="112"/>
    </row>
    <row r="49" spans="1:26" s="79" customFormat="1" ht="30" customHeight="1" x14ac:dyDescent="0.25">
      <c r="A49" s="653"/>
      <c r="B49" s="316"/>
      <c r="C49" s="409"/>
      <c r="D49" s="65" t="str">
        <f>+IFERROR(INDEX([9]CONSOLIDADO!$D$4:$D$109,MATCH('EXP ESPEC. 17-24'!B49,[9]CONSOLIDADO!$C$4:$C$109,0)),"")</f>
        <v/>
      </c>
      <c r="E49" s="66"/>
      <c r="F49" s="66"/>
      <c r="G49" s="310"/>
      <c r="H49" s="310"/>
      <c r="I49" s="310"/>
      <c r="J49" s="310"/>
      <c r="K49" s="80"/>
      <c r="L49" s="70"/>
      <c r="M49" s="70"/>
      <c r="N49" s="71" t="str">
        <f t="shared" si="0"/>
        <v/>
      </c>
      <c r="O49" s="72" t="str">
        <f>+IFERROR(INDEX([9]PARÁMETROS!$B$11:$B$37,MATCH(N49,[9]PARÁMETROS!$A$11:$A$37,0)),"")</f>
        <v/>
      </c>
      <c r="P49" s="81"/>
      <c r="Q49" s="72"/>
      <c r="R49" s="316"/>
      <c r="S49" s="75"/>
      <c r="T49" s="76"/>
      <c r="U49" s="72" t="str">
        <f t="shared" si="1"/>
        <v/>
      </c>
      <c r="V49" s="60" t="str">
        <f t="shared" si="2"/>
        <v/>
      </c>
      <c r="W49" s="60" t="str">
        <f t="shared" si="3"/>
        <v/>
      </c>
      <c r="X49" s="310" t="str">
        <f>+IF(W49="","",IF(W49&gt;=[9]PARÁMETROS!$D$5,"CUMPLE","NO CUMPLE"))</f>
        <v/>
      </c>
      <c r="Y49" s="143"/>
      <c r="Z49" s="112"/>
    </row>
    <row r="50" spans="1:26" s="79" customFormat="1" ht="30" customHeight="1" thickBot="1" x14ac:dyDescent="0.3">
      <c r="A50" s="653"/>
      <c r="B50" s="316"/>
      <c r="C50" s="409"/>
      <c r="D50" s="65" t="str">
        <f>+IFERROR(INDEX([9]CONSOLIDADO!$D$4:$D$109,MATCH('EXP ESPEC. 17-24'!B50,[9]CONSOLIDADO!$C$4:$C$109,0)),"")</f>
        <v/>
      </c>
      <c r="E50" s="66"/>
      <c r="F50" s="66"/>
      <c r="G50" s="310"/>
      <c r="H50" s="310"/>
      <c r="I50" s="310"/>
      <c r="J50" s="310"/>
      <c r="K50" s="80"/>
      <c r="L50" s="70"/>
      <c r="M50" s="70"/>
      <c r="N50" s="71" t="str">
        <f t="shared" si="0"/>
        <v/>
      </c>
      <c r="O50" s="72" t="str">
        <f>+IFERROR(INDEX([9]PARÁMETROS!$B$11:$B$37,MATCH(N50,[9]PARÁMETROS!$A$11:$A$37,0)),"")</f>
        <v/>
      </c>
      <c r="P50" s="81"/>
      <c r="Q50" s="72"/>
      <c r="R50" s="316"/>
      <c r="S50" s="75"/>
      <c r="T50" s="76"/>
      <c r="U50" s="72" t="str">
        <f t="shared" si="1"/>
        <v/>
      </c>
      <c r="V50" s="60" t="str">
        <f t="shared" si="2"/>
        <v/>
      </c>
      <c r="W50" s="60" t="str">
        <f t="shared" si="3"/>
        <v/>
      </c>
      <c r="X50" s="308" t="str">
        <f>+IF(W50="","",IF(W50&gt;=[9]PARÁMETROS!$D$5,"CUMPLE","NO CUMPLE"))</f>
        <v/>
      </c>
      <c r="Y50" s="143"/>
      <c r="Z50" s="112"/>
    </row>
    <row r="51" spans="1:26" s="79" customFormat="1" ht="30" customHeight="1" x14ac:dyDescent="0.25">
      <c r="A51" s="652"/>
      <c r="B51" s="125"/>
      <c r="C51" s="408"/>
      <c r="D51" s="127" t="str">
        <f>+IFERROR(INDEX([9]CONSOLIDADO!$D$4:$D$109,MATCH('EXP ESPEC. 17-24'!B51,[9]CONSOLIDADO!$C$4:$C$109,0)),"")</f>
        <v/>
      </c>
      <c r="E51" s="128"/>
      <c r="F51" s="128"/>
      <c r="G51" s="309"/>
      <c r="H51" s="309"/>
      <c r="I51" s="309"/>
      <c r="J51" s="309"/>
      <c r="K51" s="170"/>
      <c r="L51" s="132"/>
      <c r="M51" s="132"/>
      <c r="N51" s="133" t="str">
        <f t="shared" si="0"/>
        <v/>
      </c>
      <c r="O51" s="134" t="str">
        <f>+IFERROR(INDEX([9]PARÁMETROS!$B$11:$B$37,MATCH(N51,[9]PARÁMETROS!$A$11:$A$37,0)),"")</f>
        <v/>
      </c>
      <c r="P51" s="171"/>
      <c r="Q51" s="134"/>
      <c r="R51" s="125"/>
      <c r="S51" s="137"/>
      <c r="T51" s="138"/>
      <c r="U51" s="134" t="str">
        <f t="shared" si="1"/>
        <v/>
      </c>
      <c r="V51" s="139" t="str">
        <f t="shared" si="2"/>
        <v/>
      </c>
      <c r="W51" s="139" t="str">
        <f t="shared" si="3"/>
        <v/>
      </c>
      <c r="X51" s="313" t="str">
        <f>+IF(W51="","",IF(W51&gt;=[9]PARÁMETROS!$D$5,"CUMPLE","NO CUMPLE"))</f>
        <v/>
      </c>
      <c r="Y51" s="142"/>
      <c r="Z51" s="112"/>
    </row>
    <row r="52" spans="1:26" s="79" customFormat="1" ht="30" customHeight="1" x14ac:dyDescent="0.25">
      <c r="A52" s="653"/>
      <c r="B52" s="316"/>
      <c r="C52" s="409"/>
      <c r="D52" s="65" t="str">
        <f>+IFERROR(INDEX([9]CONSOLIDADO!$D$4:$D$109,MATCH('EXP ESPEC. 17-24'!B52,[9]CONSOLIDADO!$C$4:$C$109,0)),"")</f>
        <v/>
      </c>
      <c r="E52" s="66"/>
      <c r="F52" s="66"/>
      <c r="G52" s="310"/>
      <c r="H52" s="310"/>
      <c r="I52" s="310"/>
      <c r="J52" s="310"/>
      <c r="K52" s="80"/>
      <c r="L52" s="70"/>
      <c r="M52" s="70"/>
      <c r="N52" s="71" t="str">
        <f t="shared" si="0"/>
        <v/>
      </c>
      <c r="O52" s="72" t="str">
        <f>+IFERROR(INDEX([9]PARÁMETROS!$B$11:$B$37,MATCH(N52,[9]PARÁMETROS!$A$11:$A$37,0)),"")</f>
        <v/>
      </c>
      <c r="P52" s="81"/>
      <c r="Q52" s="72"/>
      <c r="R52" s="316"/>
      <c r="S52" s="75"/>
      <c r="T52" s="76"/>
      <c r="U52" s="72" t="str">
        <f t="shared" si="1"/>
        <v/>
      </c>
      <c r="V52" s="60" t="str">
        <f t="shared" si="2"/>
        <v/>
      </c>
      <c r="W52" s="60" t="str">
        <f t="shared" si="3"/>
        <v/>
      </c>
      <c r="X52" s="310" t="str">
        <f>+IF(W52="","",IF(W52&gt;=[9]PARÁMETROS!$D$5,"CUMPLE","NO CUMPLE"))</f>
        <v/>
      </c>
      <c r="Y52" s="143"/>
      <c r="Z52" s="112"/>
    </row>
    <row r="53" spans="1:26" s="79" customFormat="1" ht="30" customHeight="1" x14ac:dyDescent="0.25">
      <c r="A53" s="653"/>
      <c r="B53" s="316"/>
      <c r="C53" s="409"/>
      <c r="D53" s="65" t="str">
        <f>+IFERROR(INDEX([9]CONSOLIDADO!$D$4:$D$109,MATCH('EXP ESPEC. 17-24'!B53,[9]CONSOLIDADO!$C$4:$C$109,0)),"")</f>
        <v/>
      </c>
      <c r="E53" s="66"/>
      <c r="F53" s="66"/>
      <c r="G53" s="310"/>
      <c r="H53" s="310"/>
      <c r="I53" s="310"/>
      <c r="J53" s="310"/>
      <c r="K53" s="80"/>
      <c r="L53" s="70"/>
      <c r="M53" s="70"/>
      <c r="N53" s="71" t="str">
        <f t="shared" si="0"/>
        <v/>
      </c>
      <c r="O53" s="72" t="str">
        <f>+IFERROR(INDEX([9]PARÁMETROS!$B$11:$B$37,MATCH(N53,[9]PARÁMETROS!$A$11:$A$37,0)),"")</f>
        <v/>
      </c>
      <c r="P53" s="81"/>
      <c r="Q53" s="72"/>
      <c r="R53" s="316"/>
      <c r="S53" s="75"/>
      <c r="T53" s="76"/>
      <c r="U53" s="72" t="str">
        <f t="shared" si="1"/>
        <v/>
      </c>
      <c r="V53" s="60" t="str">
        <f t="shared" si="2"/>
        <v/>
      </c>
      <c r="W53" s="60" t="str">
        <f t="shared" si="3"/>
        <v/>
      </c>
      <c r="X53" s="310" t="str">
        <f>+IF(W53="","",IF(W53&gt;=[9]PARÁMETROS!$D$5,"CUMPLE","NO CUMPLE"))</f>
        <v/>
      </c>
      <c r="Y53" s="143"/>
      <c r="Z53" s="112"/>
    </row>
    <row r="54" spans="1:26" s="79" customFormat="1" ht="30" customHeight="1" thickBot="1" x14ac:dyDescent="0.3">
      <c r="A54" s="654"/>
      <c r="B54" s="145"/>
      <c r="C54" s="411"/>
      <c r="D54" s="146" t="str">
        <f>+IFERROR(INDEX([9]CONSOLIDADO!$D$4:$D$109,MATCH('EXP ESPEC. 17-24'!B54,[9]CONSOLIDADO!$C$4:$C$109,0)),"")</f>
        <v/>
      </c>
      <c r="E54" s="147"/>
      <c r="F54" s="147"/>
      <c r="G54" s="308"/>
      <c r="H54" s="308"/>
      <c r="I54" s="308"/>
      <c r="J54" s="308"/>
      <c r="K54" s="172"/>
      <c r="L54" s="151"/>
      <c r="M54" s="151"/>
      <c r="N54" s="152" t="str">
        <f t="shared" si="0"/>
        <v/>
      </c>
      <c r="O54" s="153" t="str">
        <f>+IFERROR(INDEX([9]PARÁMETROS!$B$11:$B$37,MATCH(N54,[9]PARÁMETROS!$A$11:$A$37,0)),"")</f>
        <v/>
      </c>
      <c r="P54" s="173"/>
      <c r="Q54" s="153"/>
      <c r="R54" s="145"/>
      <c r="S54" s="156"/>
      <c r="T54" s="157"/>
      <c r="U54" s="153" t="str">
        <f t="shared" si="1"/>
        <v/>
      </c>
      <c r="V54" s="158" t="str">
        <f t="shared" si="2"/>
        <v/>
      </c>
      <c r="W54" s="158" t="str">
        <f t="shared" si="3"/>
        <v/>
      </c>
      <c r="X54" s="308" t="str">
        <f>+IF(W54="","",IF(W54&gt;=[9]PARÁMETROS!$D$5,"CUMPLE","NO CUMPLE"))</f>
        <v/>
      </c>
      <c r="Y54" s="160"/>
      <c r="Z54" s="112"/>
    </row>
    <row r="55" spans="1:26" s="79" customFormat="1" ht="30" customHeight="1" x14ac:dyDescent="0.25">
      <c r="A55" s="113"/>
      <c r="B55" s="113"/>
      <c r="C55" s="414"/>
      <c r="D55" s="114"/>
      <c r="E55" s="115"/>
      <c r="F55" s="115"/>
      <c r="G55" s="115"/>
      <c r="H55" s="115"/>
      <c r="I55" s="115"/>
      <c r="J55" s="115"/>
      <c r="K55" s="167"/>
      <c r="L55" s="118"/>
      <c r="M55" s="118"/>
      <c r="N55" s="168"/>
      <c r="O55" s="119"/>
      <c r="P55" s="169"/>
      <c r="Q55" s="119"/>
      <c r="R55" s="113"/>
      <c r="S55" s="121"/>
      <c r="T55" s="122"/>
      <c r="U55" s="119"/>
      <c r="V55" s="123"/>
      <c r="W55" s="123"/>
      <c r="X55" s="315"/>
      <c r="Y55" s="115"/>
    </row>
    <row r="56" spans="1:26" s="79" customFormat="1" ht="30" customHeight="1" x14ac:dyDescent="0.25">
      <c r="A56" s="316"/>
      <c r="B56" s="316"/>
      <c r="C56" s="409"/>
      <c r="D56" s="65"/>
      <c r="E56" s="66"/>
      <c r="F56" s="66"/>
      <c r="G56" s="66"/>
      <c r="H56" s="66"/>
      <c r="I56" s="66"/>
      <c r="J56" s="66"/>
      <c r="K56" s="80"/>
      <c r="L56" s="70"/>
      <c r="M56" s="70"/>
      <c r="N56" s="71"/>
      <c r="O56" s="72"/>
      <c r="P56" s="81"/>
      <c r="Q56" s="72"/>
      <c r="R56" s="316"/>
      <c r="S56" s="75"/>
      <c r="T56" s="76"/>
      <c r="U56" s="72"/>
      <c r="V56" s="60"/>
      <c r="W56" s="60"/>
      <c r="X56" s="310"/>
      <c r="Y56" s="66"/>
    </row>
    <row r="57" spans="1:26" s="79" customFormat="1" ht="30" customHeight="1" x14ac:dyDescent="0.25">
      <c r="A57" s="316"/>
      <c r="B57" s="316"/>
      <c r="C57" s="409"/>
      <c r="D57" s="65"/>
      <c r="E57" s="66"/>
      <c r="F57" s="66"/>
      <c r="G57" s="66"/>
      <c r="H57" s="66"/>
      <c r="I57" s="66"/>
      <c r="J57" s="66"/>
      <c r="K57" s="80"/>
      <c r="L57" s="70"/>
      <c r="M57" s="70"/>
      <c r="N57" s="71"/>
      <c r="O57" s="72"/>
      <c r="P57" s="81"/>
      <c r="Q57" s="72"/>
      <c r="R57" s="316"/>
      <c r="S57" s="75"/>
      <c r="T57" s="76"/>
      <c r="U57" s="72"/>
      <c r="V57" s="60"/>
      <c r="W57" s="60"/>
      <c r="X57" s="310"/>
      <c r="Y57" s="66"/>
    </row>
    <row r="58" spans="1:26" s="79" customFormat="1" ht="30" customHeight="1" x14ac:dyDescent="0.25">
      <c r="A58" s="316"/>
      <c r="B58" s="316"/>
      <c r="C58" s="409"/>
      <c r="D58" s="65"/>
      <c r="E58" s="66"/>
      <c r="F58" s="66"/>
      <c r="G58" s="66"/>
      <c r="H58" s="66"/>
      <c r="I58" s="66"/>
      <c r="J58" s="66"/>
      <c r="K58" s="80"/>
      <c r="L58" s="70"/>
      <c r="M58" s="70"/>
      <c r="N58" s="71"/>
      <c r="O58" s="72"/>
      <c r="P58" s="81"/>
      <c r="Q58" s="72"/>
      <c r="R58" s="316"/>
      <c r="S58" s="75"/>
      <c r="T58" s="76"/>
      <c r="U58" s="72"/>
      <c r="V58" s="60"/>
      <c r="W58" s="60"/>
      <c r="X58" s="310"/>
      <c r="Y58" s="66"/>
    </row>
    <row r="59" spans="1:26" s="79" customFormat="1" ht="30" customHeight="1" x14ac:dyDescent="0.25">
      <c r="A59" s="316"/>
      <c r="B59" s="316"/>
      <c r="C59" s="409"/>
      <c r="D59" s="65"/>
      <c r="E59" s="66"/>
      <c r="F59" s="66"/>
      <c r="G59" s="66"/>
      <c r="H59" s="66"/>
      <c r="I59" s="66"/>
      <c r="J59" s="66"/>
      <c r="K59" s="80"/>
      <c r="L59" s="70"/>
      <c r="M59" s="70"/>
      <c r="N59" s="71"/>
      <c r="O59" s="72"/>
      <c r="P59" s="81"/>
      <c r="Q59" s="72"/>
      <c r="R59" s="316"/>
      <c r="S59" s="75"/>
      <c r="T59" s="76"/>
      <c r="U59" s="72"/>
      <c r="V59" s="60"/>
      <c r="W59" s="60"/>
      <c r="X59" s="310"/>
      <c r="Y59" s="66"/>
    </row>
    <row r="60" spans="1:26" s="79" customFormat="1" ht="30" customHeight="1" x14ac:dyDescent="0.25">
      <c r="A60" s="316"/>
      <c r="B60" s="316"/>
      <c r="C60" s="409"/>
      <c r="D60" s="65"/>
      <c r="E60" s="66"/>
      <c r="F60" s="66"/>
      <c r="G60" s="66"/>
      <c r="H60" s="66"/>
      <c r="I60" s="66"/>
      <c r="J60" s="66"/>
      <c r="K60" s="80"/>
      <c r="L60" s="70"/>
      <c r="M60" s="70"/>
      <c r="N60" s="71"/>
      <c r="O60" s="72"/>
      <c r="P60" s="81"/>
      <c r="Q60" s="72"/>
      <c r="R60" s="316"/>
      <c r="S60" s="75"/>
      <c r="T60" s="76"/>
      <c r="U60" s="72"/>
      <c r="V60" s="60"/>
      <c r="W60" s="60"/>
      <c r="X60" s="310"/>
      <c r="Y60" s="66"/>
    </row>
    <row r="61" spans="1:26" s="79" customFormat="1" ht="30" customHeight="1" x14ac:dyDescent="0.25">
      <c r="A61" s="316"/>
      <c r="B61" s="316"/>
      <c r="C61" s="409"/>
      <c r="D61" s="65"/>
      <c r="E61" s="66"/>
      <c r="F61" s="66"/>
      <c r="G61" s="66"/>
      <c r="H61" s="66"/>
      <c r="I61" s="66"/>
      <c r="J61" s="66"/>
      <c r="K61" s="80"/>
      <c r="L61" s="70"/>
      <c r="M61" s="70"/>
      <c r="N61" s="71"/>
      <c r="O61" s="72"/>
      <c r="P61" s="81"/>
      <c r="Q61" s="72"/>
      <c r="R61" s="316"/>
      <c r="S61" s="75"/>
      <c r="T61" s="76"/>
      <c r="U61" s="72"/>
      <c r="V61" s="60"/>
      <c r="W61" s="60"/>
      <c r="X61" s="310"/>
      <c r="Y61" s="66"/>
    </row>
    <row r="62" spans="1:26" s="79" customFormat="1" ht="30" customHeight="1" x14ac:dyDescent="0.25">
      <c r="A62" s="316"/>
      <c r="B62" s="316"/>
      <c r="C62" s="409"/>
      <c r="D62" s="65"/>
      <c r="E62" s="66"/>
      <c r="F62" s="66"/>
      <c r="G62" s="66"/>
      <c r="H62" s="66"/>
      <c r="I62" s="66"/>
      <c r="J62" s="66"/>
      <c r="K62" s="80"/>
      <c r="L62" s="70"/>
      <c r="M62" s="70"/>
      <c r="N62" s="71"/>
      <c r="O62" s="72"/>
      <c r="P62" s="81"/>
      <c r="Q62" s="72"/>
      <c r="R62" s="316"/>
      <c r="S62" s="75"/>
      <c r="T62" s="76"/>
      <c r="U62" s="72"/>
      <c r="V62" s="60"/>
      <c r="W62" s="60"/>
      <c r="X62" s="310"/>
      <c r="Y62" s="66"/>
    </row>
    <row r="63" spans="1:26" s="79" customFormat="1" ht="30" customHeight="1" x14ac:dyDescent="0.25">
      <c r="A63" s="316"/>
      <c r="B63" s="316"/>
      <c r="C63" s="409"/>
      <c r="D63" s="65"/>
      <c r="E63" s="66"/>
      <c r="F63" s="66"/>
      <c r="G63" s="66"/>
      <c r="H63" s="66"/>
      <c r="I63" s="66"/>
      <c r="J63" s="66"/>
      <c r="K63" s="80"/>
      <c r="L63" s="70"/>
      <c r="M63" s="70"/>
      <c r="N63" s="71"/>
      <c r="O63" s="72"/>
      <c r="P63" s="81"/>
      <c r="Q63" s="72"/>
      <c r="R63" s="316"/>
      <c r="S63" s="75"/>
      <c r="T63" s="76"/>
      <c r="U63" s="72"/>
      <c r="V63" s="60"/>
      <c r="W63" s="60"/>
      <c r="X63" s="310"/>
      <c r="Y63" s="66"/>
    </row>
    <row r="64" spans="1:26" s="79" customFormat="1" ht="30" customHeight="1" x14ac:dyDescent="0.25">
      <c r="A64" s="316"/>
      <c r="B64" s="316"/>
      <c r="C64" s="409"/>
      <c r="D64" s="65"/>
      <c r="E64" s="66"/>
      <c r="F64" s="66"/>
      <c r="G64" s="66"/>
      <c r="H64" s="66"/>
      <c r="I64" s="66"/>
      <c r="J64" s="66"/>
      <c r="K64" s="80"/>
      <c r="L64" s="70"/>
      <c r="M64" s="70"/>
      <c r="N64" s="71"/>
      <c r="O64" s="72"/>
      <c r="P64" s="81"/>
      <c r="Q64" s="72"/>
      <c r="R64" s="316"/>
      <c r="S64" s="75"/>
      <c r="T64" s="76"/>
      <c r="U64" s="72"/>
      <c r="V64" s="60"/>
      <c r="W64" s="60"/>
      <c r="X64" s="310"/>
      <c r="Y64" s="66"/>
    </row>
    <row r="65" spans="1:25" s="79" customFormat="1" ht="30" customHeight="1" x14ac:dyDescent="0.25">
      <c r="A65" s="316"/>
      <c r="B65" s="316"/>
      <c r="C65" s="409"/>
      <c r="D65" s="65"/>
      <c r="E65" s="66"/>
      <c r="F65" s="66"/>
      <c r="G65" s="66"/>
      <c r="H65" s="66"/>
      <c r="I65" s="66"/>
      <c r="J65" s="66"/>
      <c r="K65" s="80"/>
      <c r="L65" s="70"/>
      <c r="M65" s="70"/>
      <c r="N65" s="71"/>
      <c r="O65" s="72"/>
      <c r="P65" s="81"/>
      <c r="Q65" s="72"/>
      <c r="R65" s="316"/>
      <c r="S65" s="75"/>
      <c r="T65" s="76"/>
      <c r="U65" s="72"/>
      <c r="V65" s="60"/>
      <c r="W65" s="60"/>
      <c r="X65" s="310"/>
      <c r="Y65" s="66"/>
    </row>
    <row r="66" spans="1:25" s="79" customFormat="1" ht="30" customHeight="1" x14ac:dyDescent="0.25">
      <c r="A66" s="316"/>
      <c r="B66" s="316"/>
      <c r="C66" s="409"/>
      <c r="D66" s="65"/>
      <c r="E66" s="66"/>
      <c r="F66" s="66"/>
      <c r="G66" s="66"/>
      <c r="H66" s="66"/>
      <c r="I66" s="66"/>
      <c r="J66" s="66"/>
      <c r="K66" s="80"/>
      <c r="L66" s="70"/>
      <c r="M66" s="70"/>
      <c r="N66" s="71"/>
      <c r="O66" s="72"/>
      <c r="P66" s="81"/>
      <c r="Q66" s="72"/>
      <c r="R66" s="316"/>
      <c r="S66" s="75"/>
      <c r="T66" s="76"/>
      <c r="U66" s="72"/>
      <c r="V66" s="60"/>
      <c r="W66" s="60"/>
      <c r="X66" s="310"/>
      <c r="Y66" s="66"/>
    </row>
    <row r="67" spans="1:25" s="103" customFormat="1" ht="30" customHeight="1" x14ac:dyDescent="0.25">
      <c r="A67" s="94"/>
      <c r="B67" s="94"/>
      <c r="C67" s="413"/>
      <c r="D67" s="95"/>
      <c r="E67" s="96"/>
      <c r="F67" s="96"/>
      <c r="G67" s="96"/>
      <c r="H67" s="96"/>
      <c r="I67" s="96"/>
      <c r="J67" s="96"/>
      <c r="K67" s="97"/>
      <c r="L67" s="98"/>
      <c r="M67" s="98"/>
      <c r="N67" s="99"/>
      <c r="O67" s="72"/>
      <c r="P67" s="100"/>
      <c r="Q67" s="101"/>
      <c r="R67" s="316"/>
      <c r="S67" s="75"/>
      <c r="T67" s="76"/>
      <c r="U67" s="72"/>
      <c r="V67" s="60"/>
      <c r="W67" s="60"/>
      <c r="X67" s="310"/>
      <c r="Y67" s="96"/>
    </row>
    <row r="68" spans="1:25" s="103" customFormat="1" ht="30" customHeight="1" x14ac:dyDescent="0.25">
      <c r="A68" s="94"/>
      <c r="B68" s="94"/>
      <c r="C68" s="413"/>
      <c r="D68" s="95"/>
      <c r="E68" s="96"/>
      <c r="F68" s="96"/>
      <c r="G68" s="96"/>
      <c r="H68" s="96"/>
      <c r="I68" s="96"/>
      <c r="J68" s="96"/>
      <c r="K68" s="97"/>
      <c r="L68" s="98"/>
      <c r="M68" s="98"/>
      <c r="N68" s="99"/>
      <c r="O68" s="72"/>
      <c r="P68" s="100"/>
      <c r="Q68" s="101"/>
      <c r="R68" s="316"/>
      <c r="S68" s="75"/>
      <c r="T68" s="76"/>
      <c r="U68" s="72"/>
      <c r="V68" s="60"/>
      <c r="W68" s="60"/>
      <c r="X68" s="310"/>
      <c r="Y68" s="96"/>
    </row>
    <row r="69" spans="1:25" s="103" customFormat="1" ht="30" customHeight="1" x14ac:dyDescent="0.25">
      <c r="A69" s="94"/>
      <c r="B69" s="94"/>
      <c r="C69" s="413"/>
      <c r="D69" s="95"/>
      <c r="E69" s="96"/>
      <c r="F69" s="96"/>
      <c r="G69" s="96"/>
      <c r="H69" s="96"/>
      <c r="I69" s="96"/>
      <c r="J69" s="96"/>
      <c r="K69" s="97"/>
      <c r="L69" s="98"/>
      <c r="M69" s="98"/>
      <c r="N69" s="99"/>
      <c r="O69" s="72"/>
      <c r="P69" s="100"/>
      <c r="Q69" s="101"/>
      <c r="R69" s="316"/>
      <c r="S69" s="75"/>
      <c r="T69" s="76"/>
      <c r="U69" s="72"/>
      <c r="V69" s="60"/>
      <c r="W69" s="60"/>
      <c r="X69" s="310"/>
      <c r="Y69" s="96"/>
    </row>
    <row r="70" spans="1:25" s="103" customFormat="1" ht="30" customHeight="1" x14ac:dyDescent="0.25">
      <c r="A70" s="94"/>
      <c r="B70" s="94"/>
      <c r="C70" s="413"/>
      <c r="D70" s="95"/>
      <c r="E70" s="96"/>
      <c r="F70" s="96"/>
      <c r="G70" s="96"/>
      <c r="H70" s="96"/>
      <c r="I70" s="96"/>
      <c r="J70" s="96"/>
      <c r="K70" s="97"/>
      <c r="L70" s="98"/>
      <c r="M70" s="98"/>
      <c r="N70" s="99"/>
      <c r="O70" s="72"/>
      <c r="P70" s="100"/>
      <c r="Q70" s="101"/>
      <c r="R70" s="316"/>
      <c r="S70" s="75"/>
      <c r="T70" s="76"/>
      <c r="U70" s="72"/>
      <c r="V70" s="60"/>
      <c r="W70" s="60"/>
      <c r="X70" s="310"/>
      <c r="Y70" s="96"/>
    </row>
    <row r="71" spans="1:25" s="103" customFormat="1" ht="30" customHeight="1" x14ac:dyDescent="0.25">
      <c r="A71" s="94"/>
      <c r="B71" s="94"/>
      <c r="C71" s="413"/>
      <c r="D71" s="95"/>
      <c r="E71" s="96"/>
      <c r="F71" s="96"/>
      <c r="G71" s="96"/>
      <c r="H71" s="96"/>
      <c r="I71" s="96"/>
      <c r="J71" s="96"/>
      <c r="K71" s="97"/>
      <c r="L71" s="98"/>
      <c r="M71" s="98"/>
      <c r="N71" s="99"/>
      <c r="O71" s="72"/>
      <c r="P71" s="100"/>
      <c r="Q71" s="101"/>
      <c r="R71" s="316"/>
      <c r="S71" s="75"/>
      <c r="T71" s="76"/>
      <c r="U71" s="72"/>
      <c r="V71" s="60"/>
      <c r="W71" s="60"/>
      <c r="X71" s="310"/>
      <c r="Y71" s="96"/>
    </row>
    <row r="72" spans="1:25" s="103" customFormat="1" ht="30" customHeight="1" x14ac:dyDescent="0.25">
      <c r="A72" s="94"/>
      <c r="B72" s="94"/>
      <c r="C72" s="413"/>
      <c r="D72" s="95"/>
      <c r="E72" s="96"/>
      <c r="F72" s="96"/>
      <c r="G72" s="96"/>
      <c r="H72" s="96"/>
      <c r="I72" s="96"/>
      <c r="J72" s="96"/>
      <c r="K72" s="97"/>
      <c r="L72" s="98"/>
      <c r="M72" s="98"/>
      <c r="N72" s="99"/>
      <c r="O72" s="72"/>
      <c r="P72" s="100"/>
      <c r="Q72" s="101"/>
      <c r="R72" s="316"/>
      <c r="S72" s="75"/>
      <c r="T72" s="76"/>
      <c r="U72" s="72"/>
      <c r="V72" s="60"/>
      <c r="W72" s="60"/>
      <c r="X72" s="310"/>
      <c r="Y72" s="96"/>
    </row>
    <row r="73" spans="1:25" s="103" customFormat="1" ht="30" customHeight="1" x14ac:dyDescent="0.25">
      <c r="A73" s="94"/>
      <c r="B73" s="94"/>
      <c r="C73" s="413"/>
      <c r="D73" s="95"/>
      <c r="E73" s="96"/>
      <c r="F73" s="96"/>
      <c r="G73" s="96"/>
      <c r="H73" s="96"/>
      <c r="I73" s="96"/>
      <c r="J73" s="96"/>
      <c r="K73" s="97"/>
      <c r="L73" s="98"/>
      <c r="M73" s="98"/>
      <c r="N73" s="99"/>
      <c r="O73" s="72"/>
      <c r="P73" s="100"/>
      <c r="Q73" s="101"/>
      <c r="R73" s="316"/>
      <c r="S73" s="75"/>
      <c r="T73" s="76"/>
      <c r="U73" s="72"/>
      <c r="V73" s="60"/>
      <c r="W73" s="60"/>
      <c r="X73" s="310"/>
      <c r="Y73" s="96"/>
    </row>
    <row r="74" spans="1:25" s="103" customFormat="1" ht="30" customHeight="1" x14ac:dyDescent="0.25">
      <c r="A74" s="94"/>
      <c r="B74" s="94"/>
      <c r="C74" s="413"/>
      <c r="D74" s="95"/>
      <c r="E74" s="96"/>
      <c r="F74" s="96"/>
      <c r="G74" s="96"/>
      <c r="H74" s="96"/>
      <c r="I74" s="96"/>
      <c r="J74" s="96"/>
      <c r="K74" s="97"/>
      <c r="L74" s="98"/>
      <c r="M74" s="98"/>
      <c r="N74" s="99"/>
      <c r="O74" s="72"/>
      <c r="P74" s="100"/>
      <c r="Q74" s="101"/>
      <c r="R74" s="316"/>
      <c r="S74" s="75"/>
      <c r="T74" s="76"/>
      <c r="U74" s="72"/>
      <c r="V74" s="60"/>
      <c r="W74" s="60"/>
      <c r="X74" s="310"/>
      <c r="Y74" s="96"/>
    </row>
    <row r="75" spans="1:25" s="103" customFormat="1" ht="30" customHeight="1" x14ac:dyDescent="0.25">
      <c r="A75" s="94"/>
      <c r="B75" s="94"/>
      <c r="C75" s="413"/>
      <c r="D75" s="95"/>
      <c r="E75" s="96"/>
      <c r="F75" s="96"/>
      <c r="G75" s="96"/>
      <c r="H75" s="96"/>
      <c r="I75" s="96"/>
      <c r="J75" s="96"/>
      <c r="K75" s="97"/>
      <c r="L75" s="98"/>
      <c r="M75" s="98"/>
      <c r="N75" s="99"/>
      <c r="O75" s="72"/>
      <c r="P75" s="100"/>
      <c r="Q75" s="101"/>
      <c r="R75" s="316"/>
      <c r="S75" s="75"/>
      <c r="T75" s="76"/>
      <c r="U75" s="72"/>
      <c r="V75" s="60"/>
      <c r="W75" s="60"/>
      <c r="X75" s="310"/>
      <c r="Y75" s="96"/>
    </row>
    <row r="76" spans="1:25" s="103" customFormat="1" ht="30" customHeight="1" x14ac:dyDescent="0.25">
      <c r="A76" s="94"/>
      <c r="B76" s="94"/>
      <c r="C76" s="413"/>
      <c r="D76" s="95"/>
      <c r="E76" s="96"/>
      <c r="F76" s="96"/>
      <c r="G76" s="96"/>
      <c r="H76" s="96"/>
      <c r="I76" s="96"/>
      <c r="J76" s="96"/>
      <c r="K76" s="97"/>
      <c r="L76" s="98"/>
      <c r="M76" s="98"/>
      <c r="N76" s="99"/>
      <c r="O76" s="72"/>
      <c r="P76" s="100"/>
      <c r="Q76" s="101"/>
      <c r="R76" s="316"/>
      <c r="S76" s="75"/>
      <c r="T76" s="76"/>
      <c r="U76" s="72"/>
      <c r="V76" s="60"/>
      <c r="W76" s="60"/>
      <c r="X76" s="310"/>
      <c r="Y76" s="96"/>
    </row>
    <row r="77" spans="1:25" s="103" customFormat="1" ht="30" customHeight="1" x14ac:dyDescent="0.25">
      <c r="A77" s="94"/>
      <c r="B77" s="94"/>
      <c r="C77" s="413"/>
      <c r="D77" s="95"/>
      <c r="E77" s="96"/>
      <c r="F77" s="96"/>
      <c r="G77" s="96"/>
      <c r="H77" s="96"/>
      <c r="I77" s="96"/>
      <c r="J77" s="96"/>
      <c r="K77" s="97"/>
      <c r="L77" s="98"/>
      <c r="M77" s="98"/>
      <c r="N77" s="99"/>
      <c r="O77" s="72"/>
      <c r="P77" s="100"/>
      <c r="Q77" s="101"/>
      <c r="R77" s="316"/>
      <c r="S77" s="75"/>
      <c r="T77" s="76"/>
      <c r="U77" s="72"/>
      <c r="V77" s="60"/>
      <c r="W77" s="60"/>
      <c r="X77" s="310"/>
      <c r="Y77" s="96"/>
    </row>
    <row r="78" spans="1:25" s="103" customFormat="1" ht="30" customHeight="1" x14ac:dyDescent="0.25">
      <c r="A78" s="94"/>
      <c r="B78" s="94"/>
      <c r="C78" s="413"/>
      <c r="D78" s="95"/>
      <c r="E78" s="96"/>
      <c r="F78" s="96"/>
      <c r="G78" s="96"/>
      <c r="H78" s="96"/>
      <c r="I78" s="96"/>
      <c r="J78" s="96"/>
      <c r="K78" s="97"/>
      <c r="L78" s="98"/>
      <c r="M78" s="98"/>
      <c r="N78" s="99"/>
      <c r="O78" s="72"/>
      <c r="P78" s="100"/>
      <c r="Q78" s="101"/>
      <c r="R78" s="316"/>
      <c r="S78" s="75"/>
      <c r="T78" s="76"/>
      <c r="U78" s="72"/>
      <c r="V78" s="60"/>
      <c r="W78" s="60"/>
      <c r="X78" s="310"/>
      <c r="Y78" s="96"/>
    </row>
    <row r="79" spans="1:25" s="103" customFormat="1" ht="30" customHeight="1" x14ac:dyDescent="0.25">
      <c r="A79" s="94"/>
      <c r="B79" s="94"/>
      <c r="C79" s="413"/>
      <c r="D79" s="95"/>
      <c r="E79" s="96"/>
      <c r="F79" s="96"/>
      <c r="G79" s="96"/>
      <c r="H79" s="96"/>
      <c r="I79" s="96"/>
      <c r="J79" s="96"/>
      <c r="K79" s="97"/>
      <c r="L79" s="98"/>
      <c r="M79" s="98"/>
      <c r="N79" s="99"/>
      <c r="O79" s="72"/>
      <c r="P79" s="100"/>
      <c r="Q79" s="101"/>
      <c r="R79" s="316"/>
      <c r="S79" s="75"/>
      <c r="T79" s="76"/>
      <c r="U79" s="72"/>
      <c r="V79" s="60"/>
      <c r="W79" s="60"/>
      <c r="X79" s="310"/>
      <c r="Y79" s="96"/>
    </row>
    <row r="80" spans="1:25" s="103" customFormat="1" ht="30" customHeight="1" x14ac:dyDescent="0.25">
      <c r="A80" s="94"/>
      <c r="B80" s="94"/>
      <c r="C80" s="413"/>
      <c r="D80" s="95"/>
      <c r="E80" s="96"/>
      <c r="F80" s="96"/>
      <c r="G80" s="96"/>
      <c r="H80" s="96"/>
      <c r="I80" s="96"/>
      <c r="J80" s="96"/>
      <c r="K80" s="97"/>
      <c r="L80" s="98"/>
      <c r="M80" s="98"/>
      <c r="N80" s="99"/>
      <c r="O80" s="72"/>
      <c r="P80" s="100"/>
      <c r="Q80" s="101"/>
      <c r="R80" s="316"/>
      <c r="S80" s="75"/>
      <c r="T80" s="76"/>
      <c r="U80" s="72"/>
      <c r="V80" s="60"/>
      <c r="W80" s="60"/>
      <c r="X80" s="310"/>
      <c r="Y80" s="96"/>
    </row>
    <row r="81" spans="1:25" s="103" customFormat="1" ht="30" customHeight="1" x14ac:dyDescent="0.25">
      <c r="A81" s="94"/>
      <c r="B81" s="94"/>
      <c r="C81" s="413"/>
      <c r="D81" s="95"/>
      <c r="E81" s="96"/>
      <c r="F81" s="96"/>
      <c r="G81" s="96"/>
      <c r="H81" s="96"/>
      <c r="I81" s="96"/>
      <c r="J81" s="96"/>
      <c r="K81" s="97"/>
      <c r="L81" s="98"/>
      <c r="M81" s="98"/>
      <c r="N81" s="99"/>
      <c r="O81" s="72"/>
      <c r="P81" s="100"/>
      <c r="Q81" s="101"/>
      <c r="R81" s="316"/>
      <c r="S81" s="75"/>
      <c r="T81" s="76"/>
      <c r="U81" s="72"/>
      <c r="V81" s="60"/>
      <c r="W81" s="60"/>
      <c r="X81" s="310"/>
      <c r="Y81" s="96"/>
    </row>
    <row r="82" spans="1:25" s="103" customFormat="1" ht="30" customHeight="1" x14ac:dyDescent="0.25">
      <c r="A82" s="94"/>
      <c r="B82" s="94"/>
      <c r="C82" s="413"/>
      <c r="D82" s="95"/>
      <c r="E82" s="96"/>
      <c r="F82" s="96"/>
      <c r="G82" s="96"/>
      <c r="H82" s="96"/>
      <c r="I82" s="96"/>
      <c r="J82" s="96"/>
      <c r="K82" s="97"/>
      <c r="L82" s="98"/>
      <c r="M82" s="98"/>
      <c r="N82" s="99"/>
      <c r="O82" s="72"/>
      <c r="P82" s="100"/>
      <c r="Q82" s="101"/>
      <c r="R82" s="316"/>
      <c r="S82" s="75"/>
      <c r="T82" s="76"/>
      <c r="U82" s="72"/>
      <c r="V82" s="60"/>
      <c r="W82" s="60"/>
      <c r="X82" s="310"/>
      <c r="Y82" s="96"/>
    </row>
    <row r="83" spans="1:25" s="103" customFormat="1" ht="30" customHeight="1" x14ac:dyDescent="0.25">
      <c r="A83" s="94"/>
      <c r="B83" s="94"/>
      <c r="C83" s="413"/>
      <c r="D83" s="95"/>
      <c r="E83" s="96"/>
      <c r="F83" s="96"/>
      <c r="G83" s="96"/>
      <c r="H83" s="96"/>
      <c r="I83" s="96"/>
      <c r="J83" s="96"/>
      <c r="K83" s="97"/>
      <c r="L83" s="98"/>
      <c r="M83" s="98"/>
      <c r="N83" s="99"/>
      <c r="O83" s="72"/>
      <c r="P83" s="100"/>
      <c r="Q83" s="101"/>
      <c r="R83" s="316"/>
      <c r="S83" s="75"/>
      <c r="T83" s="76"/>
      <c r="U83" s="72"/>
      <c r="V83" s="60"/>
      <c r="W83" s="60"/>
      <c r="X83" s="310"/>
      <c r="Y83" s="96"/>
    </row>
    <row r="84" spans="1:25" s="103" customFormat="1" ht="30" customHeight="1" x14ac:dyDescent="0.25">
      <c r="A84" s="94"/>
      <c r="B84" s="94"/>
      <c r="C84" s="413"/>
      <c r="D84" s="95"/>
      <c r="E84" s="96"/>
      <c r="F84" s="96"/>
      <c r="G84" s="96"/>
      <c r="H84" s="96"/>
      <c r="I84" s="96"/>
      <c r="J84" s="96"/>
      <c r="K84" s="97"/>
      <c r="L84" s="98"/>
      <c r="M84" s="98"/>
      <c r="N84" s="99"/>
      <c r="O84" s="72"/>
      <c r="P84" s="100"/>
      <c r="Q84" s="101"/>
      <c r="R84" s="316"/>
      <c r="S84" s="75"/>
      <c r="T84" s="76"/>
      <c r="U84" s="72"/>
      <c r="V84" s="60"/>
      <c r="W84" s="60"/>
      <c r="X84" s="310"/>
      <c r="Y84" s="96"/>
    </row>
    <row r="85" spans="1:25" s="103" customFormat="1" ht="30" customHeight="1" x14ac:dyDescent="0.25">
      <c r="A85" s="94"/>
      <c r="B85" s="94"/>
      <c r="C85" s="413"/>
      <c r="D85" s="95"/>
      <c r="E85" s="96"/>
      <c r="F85" s="96"/>
      <c r="G85" s="96"/>
      <c r="H85" s="96"/>
      <c r="I85" s="96"/>
      <c r="J85" s="96"/>
      <c r="K85" s="97"/>
      <c r="L85" s="98"/>
      <c r="M85" s="98"/>
      <c r="N85" s="99"/>
      <c r="O85" s="72"/>
      <c r="P85" s="100"/>
      <c r="Q85" s="101"/>
      <c r="R85" s="316"/>
      <c r="S85" s="75"/>
      <c r="T85" s="76"/>
      <c r="U85" s="72"/>
      <c r="V85" s="60"/>
      <c r="W85" s="60"/>
      <c r="X85" s="310"/>
      <c r="Y85" s="96"/>
    </row>
    <row r="86" spans="1:25" s="103" customFormat="1" ht="30" customHeight="1" x14ac:dyDescent="0.25">
      <c r="A86" s="94"/>
      <c r="B86" s="94"/>
      <c r="C86" s="413"/>
      <c r="D86" s="95"/>
      <c r="E86" s="96"/>
      <c r="F86" s="96"/>
      <c r="G86" s="96"/>
      <c r="H86" s="96"/>
      <c r="I86" s="96"/>
      <c r="J86" s="96"/>
      <c r="K86" s="97"/>
      <c r="L86" s="98"/>
      <c r="M86" s="98"/>
      <c r="N86" s="99"/>
      <c r="O86" s="72"/>
      <c r="P86" s="100"/>
      <c r="Q86" s="101"/>
      <c r="R86" s="316"/>
      <c r="S86" s="75"/>
      <c r="T86" s="76"/>
      <c r="U86" s="72"/>
      <c r="V86" s="60"/>
      <c r="W86" s="60"/>
      <c r="X86" s="310"/>
      <c r="Y86" s="96"/>
    </row>
    <row r="87" spans="1:25" s="103" customFormat="1" ht="30" customHeight="1" x14ac:dyDescent="0.25">
      <c r="A87" s="94"/>
      <c r="B87" s="94"/>
      <c r="C87" s="413"/>
      <c r="D87" s="95"/>
      <c r="E87" s="96"/>
      <c r="F87" s="96"/>
      <c r="G87" s="96"/>
      <c r="H87" s="96"/>
      <c r="I87" s="96"/>
      <c r="J87" s="96"/>
      <c r="K87" s="97"/>
      <c r="L87" s="98"/>
      <c r="M87" s="98"/>
      <c r="N87" s="99"/>
      <c r="O87" s="72"/>
      <c r="P87" s="100"/>
      <c r="Q87" s="101"/>
      <c r="R87" s="316"/>
      <c r="S87" s="75"/>
      <c r="T87" s="76"/>
      <c r="U87" s="72"/>
      <c r="V87" s="60"/>
      <c r="W87" s="60"/>
      <c r="X87" s="310"/>
      <c r="Y87" s="96"/>
    </row>
    <row r="88" spans="1:25" s="103" customFormat="1" ht="30" customHeight="1" x14ac:dyDescent="0.25">
      <c r="A88" s="94"/>
      <c r="B88" s="94"/>
      <c r="C88" s="413"/>
      <c r="D88" s="95"/>
      <c r="E88" s="96"/>
      <c r="F88" s="96"/>
      <c r="G88" s="96"/>
      <c r="H88" s="96"/>
      <c r="I88" s="96"/>
      <c r="J88" s="96"/>
      <c r="K88" s="97"/>
      <c r="L88" s="98"/>
      <c r="M88" s="98"/>
      <c r="N88" s="99"/>
      <c r="O88" s="72"/>
      <c r="P88" s="100"/>
      <c r="Q88" s="101"/>
      <c r="R88" s="316"/>
      <c r="S88" s="75"/>
      <c r="T88" s="76"/>
      <c r="U88" s="72"/>
      <c r="V88" s="60"/>
      <c r="W88" s="60"/>
      <c r="X88" s="310"/>
      <c r="Y88" s="96"/>
    </row>
    <row r="89" spans="1:25" s="103" customFormat="1" ht="30" customHeight="1" x14ac:dyDescent="0.25">
      <c r="A89" s="94"/>
      <c r="B89" s="94"/>
      <c r="C89" s="413"/>
      <c r="D89" s="95"/>
      <c r="E89" s="96"/>
      <c r="F89" s="96"/>
      <c r="G89" s="96"/>
      <c r="H89" s="96"/>
      <c r="I89" s="96"/>
      <c r="J89" s="96"/>
      <c r="K89" s="97"/>
      <c r="L89" s="98"/>
      <c r="M89" s="98"/>
      <c r="N89" s="99"/>
      <c r="O89" s="72"/>
      <c r="P89" s="100"/>
      <c r="Q89" s="101"/>
      <c r="R89" s="316"/>
      <c r="S89" s="75"/>
      <c r="T89" s="76"/>
      <c r="U89" s="72"/>
      <c r="V89" s="60"/>
      <c r="W89" s="60"/>
      <c r="X89" s="310"/>
      <c r="Y89" s="96"/>
    </row>
    <row r="90" spans="1:25" s="103" customFormat="1" ht="30" customHeight="1" x14ac:dyDescent="0.25">
      <c r="A90" s="94"/>
      <c r="B90" s="94"/>
      <c r="C90" s="413"/>
      <c r="D90" s="95"/>
      <c r="E90" s="96"/>
      <c r="F90" s="96"/>
      <c r="G90" s="96"/>
      <c r="H90" s="96"/>
      <c r="I90" s="96"/>
      <c r="J90" s="96"/>
      <c r="K90" s="97"/>
      <c r="L90" s="98"/>
      <c r="M90" s="98"/>
      <c r="N90" s="99"/>
      <c r="O90" s="72"/>
      <c r="P90" s="100"/>
      <c r="Q90" s="101"/>
      <c r="R90" s="316"/>
      <c r="S90" s="75"/>
      <c r="T90" s="76"/>
      <c r="U90" s="72"/>
      <c r="V90" s="60"/>
      <c r="W90" s="60"/>
      <c r="X90" s="310"/>
      <c r="Y90" s="96"/>
    </row>
    <row r="91" spans="1:25" s="103" customFormat="1" ht="30" customHeight="1" x14ac:dyDescent="0.25">
      <c r="A91" s="94"/>
      <c r="B91" s="94"/>
      <c r="C91" s="413"/>
      <c r="D91" s="95"/>
      <c r="E91" s="96"/>
      <c r="F91" s="96"/>
      <c r="G91" s="96"/>
      <c r="H91" s="96"/>
      <c r="I91" s="96"/>
      <c r="J91" s="96"/>
      <c r="K91" s="97"/>
      <c r="L91" s="98"/>
      <c r="M91" s="98"/>
      <c r="N91" s="99"/>
      <c r="O91" s="72"/>
      <c r="P91" s="100"/>
      <c r="Q91" s="101"/>
      <c r="R91" s="316"/>
      <c r="S91" s="75"/>
      <c r="T91" s="76"/>
      <c r="U91" s="72"/>
      <c r="V91" s="60"/>
      <c r="W91" s="60"/>
      <c r="X91" s="310"/>
      <c r="Y91" s="96"/>
    </row>
    <row r="92" spans="1:25" s="103" customFormat="1" ht="30" customHeight="1" x14ac:dyDescent="0.25">
      <c r="A92" s="94"/>
      <c r="B92" s="94"/>
      <c r="C92" s="413"/>
      <c r="D92" s="95"/>
      <c r="E92" s="96"/>
      <c r="F92" s="96"/>
      <c r="G92" s="96"/>
      <c r="H92" s="96"/>
      <c r="I92" s="96"/>
      <c r="J92" s="96"/>
      <c r="K92" s="97"/>
      <c r="L92" s="98"/>
      <c r="M92" s="98"/>
      <c r="N92" s="99"/>
      <c r="O92" s="72"/>
      <c r="P92" s="100"/>
      <c r="Q92" s="101"/>
      <c r="R92" s="316"/>
      <c r="S92" s="75"/>
      <c r="T92" s="76"/>
      <c r="U92" s="72"/>
      <c r="V92" s="60"/>
      <c r="W92" s="60"/>
      <c r="X92" s="310"/>
      <c r="Y92" s="96"/>
    </row>
    <row r="93" spans="1:25" s="103" customFormat="1" ht="30" customHeight="1" x14ac:dyDescent="0.25">
      <c r="A93" s="94"/>
      <c r="B93" s="94"/>
      <c r="C93" s="413"/>
      <c r="D93" s="95"/>
      <c r="E93" s="96"/>
      <c r="F93" s="96"/>
      <c r="G93" s="96"/>
      <c r="H93" s="96"/>
      <c r="I93" s="96"/>
      <c r="J93" s="96"/>
      <c r="K93" s="97"/>
      <c r="L93" s="98"/>
      <c r="M93" s="98"/>
      <c r="N93" s="99"/>
      <c r="O93" s="72"/>
      <c r="P93" s="100"/>
      <c r="Q93" s="101"/>
      <c r="R93" s="316"/>
      <c r="S93" s="75"/>
      <c r="T93" s="76"/>
      <c r="U93" s="72"/>
      <c r="V93" s="60"/>
      <c r="W93" s="60"/>
      <c r="X93" s="310"/>
      <c r="Y93" s="96"/>
    </row>
    <row r="94" spans="1:25" s="103" customFormat="1" ht="30" customHeight="1" x14ac:dyDescent="0.25">
      <c r="A94" s="94"/>
      <c r="B94" s="94"/>
      <c r="C94" s="413"/>
      <c r="D94" s="95"/>
      <c r="E94" s="96"/>
      <c r="F94" s="96"/>
      <c r="G94" s="96"/>
      <c r="H94" s="96"/>
      <c r="I94" s="96"/>
      <c r="J94" s="96"/>
      <c r="K94" s="97"/>
      <c r="L94" s="98"/>
      <c r="M94" s="98"/>
      <c r="N94" s="99"/>
      <c r="O94" s="72"/>
      <c r="P94" s="100"/>
      <c r="Q94" s="101"/>
      <c r="R94" s="316"/>
      <c r="S94" s="75"/>
      <c r="T94" s="76"/>
      <c r="U94" s="72"/>
      <c r="V94" s="60"/>
      <c r="W94" s="60"/>
      <c r="X94" s="310"/>
      <c r="Y94" s="96"/>
    </row>
    <row r="95" spans="1:25" s="103" customFormat="1" ht="30" customHeight="1" x14ac:dyDescent="0.25">
      <c r="A95" s="94"/>
      <c r="B95" s="94"/>
      <c r="C95" s="413"/>
      <c r="D95" s="95"/>
      <c r="E95" s="96"/>
      <c r="F95" s="96"/>
      <c r="G95" s="96"/>
      <c r="H95" s="96"/>
      <c r="I95" s="96"/>
      <c r="J95" s="96"/>
      <c r="K95" s="97"/>
      <c r="L95" s="98"/>
      <c r="M95" s="98"/>
      <c r="N95" s="99"/>
      <c r="O95" s="72"/>
      <c r="P95" s="100"/>
      <c r="Q95" s="101"/>
      <c r="R95" s="316"/>
      <c r="S95" s="75"/>
      <c r="T95" s="76"/>
      <c r="U95" s="72"/>
      <c r="V95" s="60"/>
      <c r="W95" s="60"/>
      <c r="X95" s="310"/>
      <c r="Y95" s="96"/>
    </row>
    <row r="96" spans="1:25" s="103" customFormat="1" ht="30" customHeight="1" x14ac:dyDescent="0.25">
      <c r="A96" s="94"/>
      <c r="B96" s="94"/>
      <c r="C96" s="413"/>
      <c r="D96" s="95"/>
      <c r="E96" s="96"/>
      <c r="F96" s="96"/>
      <c r="G96" s="96"/>
      <c r="H96" s="96"/>
      <c r="I96" s="96"/>
      <c r="J96" s="96"/>
      <c r="K96" s="97"/>
      <c r="L96" s="98"/>
      <c r="M96" s="98"/>
      <c r="N96" s="99"/>
      <c r="O96" s="72"/>
      <c r="P96" s="100"/>
      <c r="Q96" s="101"/>
      <c r="R96" s="316"/>
      <c r="S96" s="75"/>
      <c r="T96" s="76"/>
      <c r="U96" s="72"/>
      <c r="V96" s="60"/>
      <c r="W96" s="60"/>
      <c r="X96" s="310"/>
      <c r="Y96" s="96"/>
    </row>
    <row r="97" spans="1:25" s="103" customFormat="1" ht="30" customHeight="1" x14ac:dyDescent="0.25">
      <c r="A97" s="94"/>
      <c r="B97" s="94"/>
      <c r="C97" s="413"/>
      <c r="D97" s="95"/>
      <c r="E97" s="96"/>
      <c r="F97" s="96"/>
      <c r="G97" s="96"/>
      <c r="H97" s="96"/>
      <c r="I97" s="96"/>
      <c r="J97" s="96"/>
      <c r="K97" s="97"/>
      <c r="L97" s="98"/>
      <c r="M97" s="98"/>
      <c r="N97" s="99"/>
      <c r="O97" s="72"/>
      <c r="P97" s="100"/>
      <c r="Q97" s="101"/>
      <c r="R97" s="316"/>
      <c r="S97" s="75"/>
      <c r="T97" s="76"/>
      <c r="U97" s="72"/>
      <c r="V97" s="60"/>
      <c r="W97" s="60"/>
      <c r="X97" s="310"/>
      <c r="Y97" s="96"/>
    </row>
    <row r="98" spans="1:25" s="103" customFormat="1" ht="30" customHeight="1" x14ac:dyDescent="0.25">
      <c r="A98" s="94"/>
      <c r="B98" s="94"/>
      <c r="C98" s="413"/>
      <c r="D98" s="95"/>
      <c r="E98" s="96"/>
      <c r="F98" s="96"/>
      <c r="G98" s="96"/>
      <c r="H98" s="96"/>
      <c r="I98" s="96"/>
      <c r="J98" s="96"/>
      <c r="K98" s="97"/>
      <c r="L98" s="98"/>
      <c r="M98" s="98"/>
      <c r="N98" s="99"/>
      <c r="O98" s="72"/>
      <c r="P98" s="100"/>
      <c r="Q98" s="101"/>
      <c r="R98" s="316"/>
      <c r="S98" s="75"/>
      <c r="T98" s="76"/>
      <c r="U98" s="72"/>
      <c r="V98" s="60"/>
      <c r="W98" s="60"/>
      <c r="X98" s="310"/>
      <c r="Y98" s="96"/>
    </row>
    <row r="99" spans="1:25" s="103" customFormat="1" ht="30" customHeight="1" x14ac:dyDescent="0.25">
      <c r="A99" s="94"/>
      <c r="B99" s="94"/>
      <c r="C99" s="413"/>
      <c r="D99" s="95"/>
      <c r="E99" s="96"/>
      <c r="F99" s="96"/>
      <c r="G99" s="96"/>
      <c r="H99" s="96"/>
      <c r="I99" s="96"/>
      <c r="J99" s="96"/>
      <c r="K99" s="97"/>
      <c r="L99" s="98"/>
      <c r="M99" s="98"/>
      <c r="N99" s="99"/>
      <c r="O99" s="72"/>
      <c r="P99" s="100"/>
      <c r="Q99" s="101"/>
      <c r="R99" s="316"/>
      <c r="S99" s="75"/>
      <c r="T99" s="76"/>
      <c r="U99" s="72"/>
      <c r="V99" s="60"/>
      <c r="W99" s="60"/>
      <c r="X99" s="310"/>
      <c r="Y99" s="96"/>
    </row>
    <row r="100" spans="1:25" s="103" customFormat="1" ht="30" customHeight="1" x14ac:dyDescent="0.25">
      <c r="A100" s="94"/>
      <c r="B100" s="94"/>
      <c r="C100" s="413"/>
      <c r="D100" s="95"/>
      <c r="E100" s="96"/>
      <c r="F100" s="96"/>
      <c r="G100" s="96"/>
      <c r="H100" s="96"/>
      <c r="I100" s="96"/>
      <c r="J100" s="96"/>
      <c r="K100" s="97"/>
      <c r="L100" s="98"/>
      <c r="M100" s="98"/>
      <c r="N100" s="99"/>
      <c r="O100" s="72"/>
      <c r="P100" s="100"/>
      <c r="Q100" s="101"/>
      <c r="R100" s="316"/>
      <c r="S100" s="75"/>
      <c r="T100" s="76"/>
      <c r="U100" s="72"/>
      <c r="V100" s="60"/>
      <c r="W100" s="60"/>
      <c r="X100" s="310"/>
      <c r="Y100" s="96"/>
    </row>
    <row r="101" spans="1:25" s="103" customFormat="1" ht="30" customHeight="1" x14ac:dyDescent="0.25">
      <c r="A101" s="94"/>
      <c r="B101" s="94"/>
      <c r="C101" s="413"/>
      <c r="D101" s="95"/>
      <c r="E101" s="96"/>
      <c r="F101" s="96"/>
      <c r="G101" s="96"/>
      <c r="H101" s="96"/>
      <c r="I101" s="96"/>
      <c r="J101" s="96"/>
      <c r="K101" s="97"/>
      <c r="L101" s="98"/>
      <c r="M101" s="98"/>
      <c r="N101" s="99"/>
      <c r="O101" s="72"/>
      <c r="P101" s="100"/>
      <c r="Q101" s="101"/>
      <c r="R101" s="316"/>
      <c r="S101" s="75"/>
      <c r="T101" s="76"/>
      <c r="U101" s="72"/>
      <c r="V101" s="60"/>
      <c r="W101" s="60"/>
      <c r="X101" s="310"/>
      <c r="Y101" s="96"/>
    </row>
    <row r="102" spans="1:25" s="103" customFormat="1" ht="30" customHeight="1" x14ac:dyDescent="0.25">
      <c r="A102" s="94"/>
      <c r="B102" s="94"/>
      <c r="C102" s="413"/>
      <c r="D102" s="95"/>
      <c r="E102" s="96"/>
      <c r="F102" s="96"/>
      <c r="G102" s="96"/>
      <c r="H102" s="96"/>
      <c r="I102" s="96"/>
      <c r="J102" s="96"/>
      <c r="K102" s="97"/>
      <c r="L102" s="98"/>
      <c r="M102" s="98"/>
      <c r="N102" s="99"/>
      <c r="O102" s="72"/>
      <c r="P102" s="100"/>
      <c r="Q102" s="101"/>
      <c r="R102" s="316"/>
      <c r="S102" s="75"/>
      <c r="T102" s="76"/>
      <c r="U102" s="72"/>
      <c r="V102" s="60"/>
      <c r="W102" s="60"/>
      <c r="X102" s="310"/>
      <c r="Y102" s="96"/>
    </row>
    <row r="103" spans="1:25" s="103" customFormat="1" ht="30" customHeight="1" x14ac:dyDescent="0.25">
      <c r="A103" s="94"/>
      <c r="B103" s="94"/>
      <c r="C103" s="413"/>
      <c r="D103" s="95"/>
      <c r="E103" s="96"/>
      <c r="F103" s="96"/>
      <c r="G103" s="96"/>
      <c r="H103" s="96"/>
      <c r="I103" s="96"/>
      <c r="J103" s="96"/>
      <c r="K103" s="97"/>
      <c r="L103" s="98"/>
      <c r="M103" s="98"/>
      <c r="N103" s="99"/>
      <c r="O103" s="72"/>
      <c r="P103" s="100"/>
      <c r="Q103" s="101"/>
      <c r="R103" s="316"/>
      <c r="S103" s="75"/>
      <c r="T103" s="76"/>
      <c r="U103" s="72"/>
      <c r="V103" s="60"/>
      <c r="W103" s="60"/>
      <c r="X103" s="310"/>
      <c r="Y103" s="96"/>
    </row>
    <row r="104" spans="1:25" s="103" customFormat="1" ht="30" customHeight="1" x14ac:dyDescent="0.25">
      <c r="A104" s="94"/>
      <c r="B104" s="94"/>
      <c r="C104" s="413"/>
      <c r="D104" s="95"/>
      <c r="E104" s="96"/>
      <c r="F104" s="96"/>
      <c r="G104" s="96"/>
      <c r="H104" s="96"/>
      <c r="I104" s="96"/>
      <c r="J104" s="96"/>
      <c r="K104" s="97"/>
      <c r="L104" s="98"/>
      <c r="M104" s="98"/>
      <c r="N104" s="99"/>
      <c r="O104" s="72"/>
      <c r="P104" s="100"/>
      <c r="Q104" s="101"/>
      <c r="R104" s="316"/>
      <c r="S104" s="75"/>
      <c r="T104" s="76"/>
      <c r="U104" s="72"/>
      <c r="V104" s="60"/>
      <c r="W104" s="60"/>
      <c r="X104" s="310"/>
      <c r="Y104" s="96"/>
    </row>
    <row r="105" spans="1:25" s="103" customFormat="1" ht="30" customHeight="1" x14ac:dyDescent="0.25">
      <c r="A105" s="94"/>
      <c r="B105" s="94"/>
      <c r="C105" s="413"/>
      <c r="D105" s="95"/>
      <c r="E105" s="96"/>
      <c r="F105" s="96"/>
      <c r="G105" s="96"/>
      <c r="H105" s="96"/>
      <c r="I105" s="96"/>
      <c r="J105" s="96"/>
      <c r="K105" s="97"/>
      <c r="L105" s="98"/>
      <c r="M105" s="98"/>
      <c r="N105" s="99"/>
      <c r="O105" s="72"/>
      <c r="P105" s="100"/>
      <c r="Q105" s="101"/>
      <c r="R105" s="316"/>
      <c r="S105" s="75"/>
      <c r="T105" s="76"/>
      <c r="U105" s="72"/>
      <c r="V105" s="60"/>
      <c r="W105" s="60"/>
      <c r="X105" s="310"/>
      <c r="Y105" s="96"/>
    </row>
    <row r="106" spans="1:25" s="103" customFormat="1" ht="30" customHeight="1" x14ac:dyDescent="0.25">
      <c r="A106" s="94"/>
      <c r="B106" s="94"/>
      <c r="C106" s="413"/>
      <c r="D106" s="95"/>
      <c r="E106" s="96"/>
      <c r="F106" s="96"/>
      <c r="G106" s="96"/>
      <c r="H106" s="96"/>
      <c r="I106" s="96"/>
      <c r="J106" s="96"/>
      <c r="K106" s="97"/>
      <c r="L106" s="98"/>
      <c r="M106" s="98"/>
      <c r="N106" s="99"/>
      <c r="O106" s="72"/>
      <c r="P106" s="100"/>
      <c r="Q106" s="101"/>
      <c r="R106" s="316"/>
      <c r="S106" s="75"/>
      <c r="T106" s="76"/>
      <c r="U106" s="72"/>
      <c r="V106" s="60"/>
      <c r="W106" s="60"/>
      <c r="X106" s="310"/>
      <c r="Y106" s="96"/>
    </row>
    <row r="107" spans="1:25" s="103" customFormat="1" ht="30" customHeight="1" x14ac:dyDescent="0.25">
      <c r="A107" s="94"/>
      <c r="B107" s="94"/>
      <c r="C107" s="413"/>
      <c r="D107" s="95"/>
      <c r="E107" s="96"/>
      <c r="F107" s="96"/>
      <c r="G107" s="96"/>
      <c r="H107" s="96"/>
      <c r="I107" s="96"/>
      <c r="J107" s="96"/>
      <c r="K107" s="97"/>
      <c r="L107" s="98"/>
      <c r="M107" s="98"/>
      <c r="N107" s="99"/>
      <c r="O107" s="72"/>
      <c r="P107" s="100"/>
      <c r="Q107" s="101"/>
      <c r="R107" s="316"/>
      <c r="S107" s="75"/>
      <c r="T107" s="76"/>
      <c r="U107" s="72"/>
      <c r="V107" s="60"/>
      <c r="W107" s="60"/>
      <c r="X107" s="310"/>
      <c r="Y107" s="96"/>
    </row>
    <row r="108" spans="1:25" s="103" customFormat="1" ht="30" customHeight="1" x14ac:dyDescent="0.25">
      <c r="A108" s="94"/>
      <c r="B108" s="94"/>
      <c r="C108" s="413"/>
      <c r="D108" s="95"/>
      <c r="E108" s="96"/>
      <c r="F108" s="96"/>
      <c r="G108" s="96"/>
      <c r="H108" s="96"/>
      <c r="I108" s="96"/>
      <c r="J108" s="96"/>
      <c r="K108" s="97"/>
      <c r="L108" s="98"/>
      <c r="M108" s="98"/>
      <c r="N108" s="99"/>
      <c r="O108" s="72"/>
      <c r="P108" s="100"/>
      <c r="Q108" s="101"/>
      <c r="R108" s="316"/>
      <c r="S108" s="75"/>
      <c r="T108" s="76"/>
      <c r="U108" s="72"/>
      <c r="V108" s="60"/>
      <c r="W108" s="60"/>
      <c r="X108" s="310"/>
      <c r="Y108" s="96"/>
    </row>
    <row r="109" spans="1:25" s="103" customFormat="1" ht="30" customHeight="1" x14ac:dyDescent="0.25">
      <c r="A109" s="94"/>
      <c r="B109" s="94"/>
      <c r="C109" s="413"/>
      <c r="D109" s="95"/>
      <c r="E109" s="96"/>
      <c r="F109" s="96"/>
      <c r="G109" s="96"/>
      <c r="H109" s="96"/>
      <c r="I109" s="96"/>
      <c r="J109" s="96"/>
      <c r="K109" s="97"/>
      <c r="L109" s="98"/>
      <c r="M109" s="98"/>
      <c r="N109" s="99"/>
      <c r="O109" s="72"/>
      <c r="P109" s="100"/>
      <c r="Q109" s="101"/>
      <c r="R109" s="316"/>
      <c r="S109" s="75"/>
      <c r="T109" s="76"/>
      <c r="U109" s="72"/>
      <c r="V109" s="60"/>
      <c r="W109" s="60"/>
      <c r="X109" s="310"/>
      <c r="Y109" s="96"/>
    </row>
    <row r="110" spans="1:25" s="103" customFormat="1" ht="65.099999999999994" customHeight="1" x14ac:dyDescent="0.25">
      <c r="A110" s="94"/>
      <c r="B110" s="94"/>
      <c r="C110" s="413"/>
      <c r="D110" s="95"/>
      <c r="E110" s="96"/>
      <c r="F110" s="96"/>
      <c r="G110" s="96"/>
      <c r="H110" s="96"/>
      <c r="I110" s="96"/>
      <c r="J110" s="96"/>
      <c r="K110" s="97"/>
      <c r="L110" s="98"/>
      <c r="M110" s="98"/>
      <c r="N110" s="99"/>
      <c r="O110" s="72"/>
      <c r="P110" s="100"/>
      <c r="Q110" s="101"/>
      <c r="R110" s="316"/>
      <c r="S110" s="75"/>
      <c r="T110" s="76"/>
      <c r="U110" s="72"/>
      <c r="V110" s="60"/>
      <c r="W110" s="60"/>
      <c r="X110" s="310"/>
      <c r="Y110" s="96"/>
    </row>
    <row r="111" spans="1:25" s="103" customFormat="1" ht="65.099999999999994" customHeight="1" x14ac:dyDescent="0.25">
      <c r="A111" s="94"/>
      <c r="B111" s="94"/>
      <c r="C111" s="413"/>
      <c r="D111" s="95"/>
      <c r="E111" s="96"/>
      <c r="F111" s="96"/>
      <c r="G111" s="96"/>
      <c r="H111" s="96"/>
      <c r="I111" s="96"/>
      <c r="J111" s="96"/>
      <c r="K111" s="97"/>
      <c r="L111" s="98"/>
      <c r="M111" s="98"/>
      <c r="N111" s="99"/>
      <c r="O111" s="72"/>
      <c r="P111" s="100"/>
      <c r="Q111" s="101"/>
      <c r="R111" s="316"/>
      <c r="S111" s="75"/>
      <c r="T111" s="76"/>
      <c r="U111" s="72"/>
      <c r="V111" s="60"/>
      <c r="W111" s="60"/>
      <c r="X111" s="310"/>
      <c r="Y111" s="96"/>
    </row>
    <row r="112" spans="1:25" s="103" customFormat="1" ht="65.099999999999994" customHeight="1" x14ac:dyDescent="0.25">
      <c r="A112" s="94"/>
      <c r="B112" s="94"/>
      <c r="C112" s="413"/>
      <c r="D112" s="95"/>
      <c r="E112" s="96"/>
      <c r="F112" s="96"/>
      <c r="G112" s="96"/>
      <c r="H112" s="96"/>
      <c r="I112" s="96"/>
      <c r="J112" s="96"/>
      <c r="K112" s="97"/>
      <c r="L112" s="98"/>
      <c r="M112" s="98"/>
      <c r="N112" s="99"/>
      <c r="O112" s="72"/>
      <c r="P112" s="100"/>
      <c r="Q112" s="101"/>
      <c r="R112" s="316"/>
      <c r="S112" s="75"/>
      <c r="T112" s="76"/>
      <c r="U112" s="72"/>
      <c r="V112" s="60"/>
      <c r="W112" s="60"/>
      <c r="X112" s="310"/>
      <c r="Y112" s="96"/>
    </row>
    <row r="113" spans="1:25" s="103" customFormat="1" ht="65.099999999999994" customHeight="1" x14ac:dyDescent="0.25">
      <c r="A113" s="94"/>
      <c r="B113" s="94"/>
      <c r="C113" s="413"/>
      <c r="D113" s="95"/>
      <c r="E113" s="96"/>
      <c r="F113" s="96"/>
      <c r="G113" s="96"/>
      <c r="H113" s="96"/>
      <c r="I113" s="96"/>
      <c r="J113" s="96"/>
      <c r="K113" s="97"/>
      <c r="L113" s="98"/>
      <c r="M113" s="98"/>
      <c r="N113" s="99"/>
      <c r="O113" s="72"/>
      <c r="P113" s="100"/>
      <c r="Q113" s="101"/>
      <c r="R113" s="316"/>
      <c r="S113" s="75"/>
      <c r="T113" s="76"/>
      <c r="U113" s="72"/>
      <c r="V113" s="60"/>
      <c r="W113" s="60"/>
      <c r="X113" s="310"/>
      <c r="Y113" s="96"/>
    </row>
    <row r="114" spans="1:25" s="103" customFormat="1" ht="65.099999999999994" customHeight="1" x14ac:dyDescent="0.25">
      <c r="A114" s="94"/>
      <c r="B114" s="94"/>
      <c r="C114" s="413"/>
      <c r="D114" s="95"/>
      <c r="E114" s="96"/>
      <c r="F114" s="96"/>
      <c r="G114" s="96"/>
      <c r="H114" s="96"/>
      <c r="I114" s="96"/>
      <c r="J114" s="96"/>
      <c r="K114" s="97"/>
      <c r="L114" s="98"/>
      <c r="M114" s="98"/>
      <c r="N114" s="99"/>
      <c r="O114" s="72"/>
      <c r="P114" s="100"/>
      <c r="Q114" s="101"/>
      <c r="R114" s="316"/>
      <c r="S114" s="75"/>
      <c r="T114" s="76"/>
      <c r="U114" s="72"/>
      <c r="V114" s="60"/>
      <c r="W114" s="60"/>
      <c r="X114" s="310"/>
      <c r="Y114" s="96"/>
    </row>
    <row r="115" spans="1:25" s="103" customFormat="1" ht="65.099999999999994" customHeight="1" x14ac:dyDescent="0.25">
      <c r="A115" s="94"/>
      <c r="B115" s="94"/>
      <c r="C115" s="413"/>
      <c r="D115" s="95"/>
      <c r="E115" s="96"/>
      <c r="F115" s="96"/>
      <c r="G115" s="96"/>
      <c r="H115" s="96"/>
      <c r="I115" s="96"/>
      <c r="J115" s="96"/>
      <c r="K115" s="97"/>
      <c r="L115" s="98"/>
      <c r="M115" s="98"/>
      <c r="N115" s="99"/>
      <c r="O115" s="72"/>
      <c r="P115" s="100"/>
      <c r="Q115" s="101"/>
      <c r="R115" s="316"/>
      <c r="S115" s="75"/>
      <c r="T115" s="76"/>
      <c r="U115" s="72"/>
      <c r="V115" s="60"/>
      <c r="W115" s="60"/>
      <c r="X115" s="310"/>
      <c r="Y115" s="96"/>
    </row>
    <row r="116" spans="1:25" s="103" customFormat="1" ht="65.099999999999994" customHeight="1" x14ac:dyDescent="0.25">
      <c r="A116" s="94"/>
      <c r="B116" s="94"/>
      <c r="C116" s="413"/>
      <c r="D116" s="95"/>
      <c r="E116" s="96"/>
      <c r="F116" s="96"/>
      <c r="G116" s="96"/>
      <c r="H116" s="96"/>
      <c r="I116" s="96"/>
      <c r="J116" s="96"/>
      <c r="K116" s="97"/>
      <c r="L116" s="98"/>
      <c r="M116" s="98"/>
      <c r="N116" s="99"/>
      <c r="O116" s="72"/>
      <c r="P116" s="100"/>
      <c r="Q116" s="101"/>
      <c r="R116" s="316"/>
      <c r="S116" s="75"/>
      <c r="T116" s="76"/>
      <c r="U116" s="72"/>
      <c r="V116" s="60"/>
      <c r="W116" s="60"/>
      <c r="X116" s="310"/>
      <c r="Y116" s="96"/>
    </row>
    <row r="117" spans="1:25" s="103" customFormat="1" ht="65.099999999999994" customHeight="1" x14ac:dyDescent="0.25">
      <c r="A117" s="94"/>
      <c r="B117" s="94"/>
      <c r="C117" s="413"/>
      <c r="D117" s="95"/>
      <c r="E117" s="96"/>
      <c r="F117" s="96"/>
      <c r="G117" s="96"/>
      <c r="H117" s="96"/>
      <c r="I117" s="96"/>
      <c r="J117" s="96"/>
      <c r="K117" s="97"/>
      <c r="L117" s="98"/>
      <c r="M117" s="98"/>
      <c r="N117" s="99"/>
      <c r="O117" s="72"/>
      <c r="P117" s="100"/>
      <c r="Q117" s="101"/>
      <c r="R117" s="316"/>
      <c r="S117" s="75"/>
      <c r="T117" s="76"/>
      <c r="U117" s="72"/>
      <c r="V117" s="60"/>
      <c r="W117" s="60"/>
      <c r="X117" s="310"/>
      <c r="Y117" s="96"/>
    </row>
    <row r="118" spans="1:25" s="103" customFormat="1" ht="65.099999999999994" customHeight="1" x14ac:dyDescent="0.25">
      <c r="A118" s="94"/>
      <c r="B118" s="94"/>
      <c r="C118" s="413"/>
      <c r="D118" s="95"/>
      <c r="E118" s="96"/>
      <c r="F118" s="96"/>
      <c r="G118" s="96"/>
      <c r="H118" s="96"/>
      <c r="I118" s="96"/>
      <c r="J118" s="96"/>
      <c r="K118" s="97"/>
      <c r="L118" s="98"/>
      <c r="M118" s="98"/>
      <c r="N118" s="99"/>
      <c r="O118" s="72"/>
      <c r="P118" s="100"/>
      <c r="Q118" s="101"/>
      <c r="R118" s="316"/>
      <c r="S118" s="75"/>
      <c r="T118" s="76"/>
      <c r="U118" s="72"/>
      <c r="V118" s="60"/>
      <c r="W118" s="60"/>
      <c r="X118" s="310"/>
      <c r="Y118" s="96"/>
    </row>
    <row r="119" spans="1:25" s="103" customFormat="1" ht="65.099999999999994" customHeight="1" x14ac:dyDescent="0.25">
      <c r="A119" s="94"/>
      <c r="B119" s="94"/>
      <c r="C119" s="413"/>
      <c r="D119" s="95"/>
      <c r="E119" s="96"/>
      <c r="F119" s="96"/>
      <c r="G119" s="96"/>
      <c r="H119" s="96"/>
      <c r="I119" s="96"/>
      <c r="J119" s="96"/>
      <c r="K119" s="97"/>
      <c r="L119" s="98"/>
      <c r="M119" s="98"/>
      <c r="N119" s="99"/>
      <c r="O119" s="72"/>
      <c r="P119" s="100"/>
      <c r="Q119" s="101"/>
      <c r="R119" s="316"/>
      <c r="S119" s="75"/>
      <c r="T119" s="76"/>
      <c r="U119" s="72"/>
      <c r="V119" s="60"/>
      <c r="W119" s="60"/>
      <c r="X119" s="310"/>
      <c r="Y119" s="96"/>
    </row>
    <row r="120" spans="1:25" s="103" customFormat="1" ht="65.099999999999994" customHeight="1" x14ac:dyDescent="0.25">
      <c r="A120" s="94"/>
      <c r="B120" s="94"/>
      <c r="C120" s="413"/>
      <c r="D120" s="95"/>
      <c r="E120" s="96"/>
      <c r="F120" s="96"/>
      <c r="G120" s="96"/>
      <c r="H120" s="96"/>
      <c r="I120" s="96"/>
      <c r="J120" s="96"/>
      <c r="K120" s="97"/>
      <c r="L120" s="98"/>
      <c r="M120" s="98"/>
      <c r="N120" s="99"/>
      <c r="O120" s="72"/>
      <c r="P120" s="100"/>
      <c r="Q120" s="101"/>
      <c r="R120" s="316"/>
      <c r="S120" s="75"/>
      <c r="T120" s="76"/>
      <c r="U120" s="72"/>
      <c r="V120" s="60"/>
      <c r="W120" s="60"/>
      <c r="X120" s="310"/>
      <c r="Y120" s="96"/>
    </row>
    <row r="121" spans="1:25" s="103" customFormat="1" ht="65.099999999999994" customHeight="1" x14ac:dyDescent="0.25">
      <c r="A121" s="94"/>
      <c r="B121" s="94"/>
      <c r="C121" s="413"/>
      <c r="D121" s="95"/>
      <c r="E121" s="96"/>
      <c r="F121" s="96"/>
      <c r="G121" s="96"/>
      <c r="H121" s="96"/>
      <c r="I121" s="96"/>
      <c r="J121" s="96"/>
      <c r="K121" s="97"/>
      <c r="L121" s="98"/>
      <c r="M121" s="98"/>
      <c r="N121" s="99"/>
      <c r="O121" s="72"/>
      <c r="P121" s="100"/>
      <c r="Q121" s="101"/>
      <c r="R121" s="316"/>
      <c r="S121" s="75"/>
      <c r="T121" s="76"/>
      <c r="U121" s="72"/>
      <c r="V121" s="60"/>
      <c r="W121" s="60"/>
      <c r="X121" s="310"/>
      <c r="Y121" s="96"/>
    </row>
    <row r="122" spans="1:25" s="103" customFormat="1" ht="65.099999999999994" customHeight="1" x14ac:dyDescent="0.25">
      <c r="A122" s="94"/>
      <c r="B122" s="94"/>
      <c r="C122" s="413"/>
      <c r="D122" s="95"/>
      <c r="E122" s="96"/>
      <c r="F122" s="96"/>
      <c r="G122" s="96"/>
      <c r="H122" s="96"/>
      <c r="I122" s="96"/>
      <c r="J122" s="96"/>
      <c r="K122" s="97"/>
      <c r="L122" s="98"/>
      <c r="M122" s="98"/>
      <c r="N122" s="99"/>
      <c r="O122" s="72"/>
      <c r="P122" s="100"/>
      <c r="Q122" s="101"/>
      <c r="R122" s="316"/>
      <c r="S122" s="75"/>
      <c r="T122" s="76"/>
      <c r="U122" s="72"/>
      <c r="V122" s="60"/>
      <c r="W122" s="60"/>
      <c r="X122" s="310"/>
      <c r="Y122" s="96"/>
    </row>
    <row r="123" spans="1:25" s="103" customFormat="1" ht="65.099999999999994" customHeight="1" x14ac:dyDescent="0.25">
      <c r="A123" s="94"/>
      <c r="B123" s="94"/>
      <c r="C123" s="413"/>
      <c r="D123" s="95"/>
      <c r="E123" s="96"/>
      <c r="F123" s="96"/>
      <c r="G123" s="96"/>
      <c r="H123" s="96"/>
      <c r="I123" s="96"/>
      <c r="J123" s="96"/>
      <c r="K123" s="97"/>
      <c r="L123" s="98"/>
      <c r="M123" s="98"/>
      <c r="N123" s="99"/>
      <c r="O123" s="72"/>
      <c r="P123" s="100"/>
      <c r="Q123" s="101"/>
      <c r="R123" s="316"/>
      <c r="S123" s="75"/>
      <c r="T123" s="76"/>
      <c r="U123" s="72"/>
      <c r="V123" s="60"/>
      <c r="W123" s="60"/>
      <c r="X123" s="310"/>
      <c r="Y123" s="96"/>
    </row>
    <row r="124" spans="1:25" s="103" customFormat="1" ht="65.099999999999994" customHeight="1" x14ac:dyDescent="0.25">
      <c r="A124" s="94"/>
      <c r="B124" s="94"/>
      <c r="C124" s="413"/>
      <c r="D124" s="95"/>
      <c r="E124" s="96"/>
      <c r="F124" s="96"/>
      <c r="G124" s="96"/>
      <c r="H124" s="96"/>
      <c r="I124" s="96"/>
      <c r="J124" s="96"/>
      <c r="K124" s="97"/>
      <c r="L124" s="98"/>
      <c r="M124" s="98"/>
      <c r="N124" s="99"/>
      <c r="O124" s="72"/>
      <c r="P124" s="100"/>
      <c r="Q124" s="101"/>
      <c r="R124" s="316"/>
      <c r="S124" s="75"/>
      <c r="T124" s="76"/>
      <c r="U124" s="72"/>
      <c r="V124" s="60"/>
      <c r="W124" s="60"/>
      <c r="X124" s="310"/>
      <c r="Y124" s="96"/>
    </row>
    <row r="125" spans="1:25" s="103" customFormat="1" ht="65.099999999999994" customHeight="1" x14ac:dyDescent="0.25">
      <c r="A125" s="94"/>
      <c r="B125" s="94"/>
      <c r="C125" s="413"/>
      <c r="D125" s="95"/>
      <c r="E125" s="96"/>
      <c r="F125" s="96"/>
      <c r="G125" s="96"/>
      <c r="H125" s="96"/>
      <c r="I125" s="96"/>
      <c r="J125" s="96"/>
      <c r="K125" s="97"/>
      <c r="L125" s="98"/>
      <c r="M125" s="98"/>
      <c r="N125" s="99"/>
      <c r="O125" s="72"/>
      <c r="P125" s="100"/>
      <c r="Q125" s="101"/>
      <c r="R125" s="316"/>
      <c r="S125" s="75"/>
      <c r="T125" s="76"/>
      <c r="U125" s="72"/>
      <c r="V125" s="60"/>
      <c r="W125" s="60"/>
      <c r="X125" s="310"/>
      <c r="Y125" s="96"/>
    </row>
    <row r="126" spans="1:25" s="103" customFormat="1" ht="65.099999999999994" customHeight="1" x14ac:dyDescent="0.25">
      <c r="A126" s="94"/>
      <c r="B126" s="94"/>
      <c r="C126" s="413"/>
      <c r="D126" s="95"/>
      <c r="E126" s="96"/>
      <c r="F126" s="96"/>
      <c r="G126" s="96"/>
      <c r="H126" s="96"/>
      <c r="I126" s="96"/>
      <c r="J126" s="96"/>
      <c r="K126" s="97"/>
      <c r="L126" s="98"/>
      <c r="M126" s="98"/>
      <c r="N126" s="99"/>
      <c r="O126" s="72"/>
      <c r="P126" s="100"/>
      <c r="Q126" s="101"/>
      <c r="R126" s="316"/>
      <c r="S126" s="75"/>
      <c r="T126" s="76"/>
      <c r="U126" s="72"/>
      <c r="V126" s="60"/>
      <c r="W126" s="60"/>
      <c r="X126" s="310"/>
      <c r="Y126" s="96"/>
    </row>
    <row r="127" spans="1:25" s="103" customFormat="1" ht="65.099999999999994" customHeight="1" x14ac:dyDescent="0.25">
      <c r="A127" s="94"/>
      <c r="B127" s="94"/>
      <c r="C127" s="413"/>
      <c r="D127" s="95"/>
      <c r="E127" s="96"/>
      <c r="F127" s="96"/>
      <c r="G127" s="96"/>
      <c r="H127" s="96"/>
      <c r="I127" s="96"/>
      <c r="J127" s="96"/>
      <c r="K127" s="97"/>
      <c r="L127" s="98"/>
      <c r="M127" s="98"/>
      <c r="N127" s="99"/>
      <c r="O127" s="72"/>
      <c r="P127" s="100"/>
      <c r="Q127" s="101"/>
      <c r="R127" s="316"/>
      <c r="S127" s="75"/>
      <c r="T127" s="76"/>
      <c r="U127" s="72"/>
      <c r="V127" s="60"/>
      <c r="W127" s="60"/>
      <c r="X127" s="310"/>
      <c r="Y127" s="96"/>
    </row>
    <row r="128" spans="1:25" s="103" customFormat="1" ht="65.099999999999994" customHeight="1" x14ac:dyDescent="0.25">
      <c r="A128" s="94"/>
      <c r="B128" s="94"/>
      <c r="C128" s="413"/>
      <c r="D128" s="95"/>
      <c r="E128" s="96"/>
      <c r="F128" s="96"/>
      <c r="G128" s="96"/>
      <c r="H128" s="96"/>
      <c r="I128" s="96"/>
      <c r="J128" s="96"/>
      <c r="K128" s="97"/>
      <c r="L128" s="98"/>
      <c r="M128" s="98"/>
      <c r="N128" s="99"/>
      <c r="O128" s="72"/>
      <c r="P128" s="100"/>
      <c r="Q128" s="101"/>
      <c r="R128" s="316"/>
      <c r="S128" s="75"/>
      <c r="T128" s="76"/>
      <c r="U128" s="72"/>
      <c r="V128" s="60"/>
      <c r="W128" s="60"/>
      <c r="X128" s="310"/>
      <c r="Y128" s="96"/>
    </row>
    <row r="129" spans="1:25" s="103" customFormat="1" ht="65.099999999999994" customHeight="1" x14ac:dyDescent="0.25">
      <c r="A129" s="94"/>
      <c r="B129" s="94"/>
      <c r="C129" s="413"/>
      <c r="D129" s="95"/>
      <c r="E129" s="96"/>
      <c r="F129" s="96"/>
      <c r="G129" s="96"/>
      <c r="H129" s="96"/>
      <c r="I129" s="96"/>
      <c r="J129" s="96"/>
      <c r="K129" s="97"/>
      <c r="L129" s="98"/>
      <c r="M129" s="98"/>
      <c r="N129" s="99"/>
      <c r="O129" s="72"/>
      <c r="P129" s="100"/>
      <c r="Q129" s="101"/>
      <c r="R129" s="316"/>
      <c r="S129" s="75"/>
      <c r="T129" s="76"/>
      <c r="U129" s="72"/>
      <c r="V129" s="60"/>
      <c r="W129" s="60"/>
      <c r="X129" s="310"/>
      <c r="Y129" s="96"/>
    </row>
    <row r="130" spans="1:25" s="103" customFormat="1" ht="65.099999999999994" customHeight="1" x14ac:dyDescent="0.25">
      <c r="A130" s="94"/>
      <c r="B130" s="94"/>
      <c r="C130" s="413"/>
      <c r="D130" s="95"/>
      <c r="E130" s="96"/>
      <c r="F130" s="96"/>
      <c r="G130" s="96"/>
      <c r="H130" s="96"/>
      <c r="I130" s="96"/>
      <c r="J130" s="96"/>
      <c r="K130" s="97"/>
      <c r="L130" s="98"/>
      <c r="M130" s="98"/>
      <c r="N130" s="99"/>
      <c r="O130" s="72"/>
      <c r="P130" s="100"/>
      <c r="Q130" s="101"/>
      <c r="R130" s="316"/>
      <c r="S130" s="75"/>
      <c r="T130" s="76"/>
      <c r="U130" s="72"/>
      <c r="V130" s="60"/>
      <c r="W130" s="60"/>
      <c r="X130" s="310"/>
      <c r="Y130" s="96"/>
    </row>
    <row r="131" spans="1:25" s="103" customFormat="1" ht="65.099999999999994" customHeight="1" x14ac:dyDescent="0.25">
      <c r="A131" s="94"/>
      <c r="B131" s="94"/>
      <c r="C131" s="413"/>
      <c r="D131" s="95"/>
      <c r="E131" s="96"/>
      <c r="F131" s="96"/>
      <c r="G131" s="96"/>
      <c r="H131" s="96"/>
      <c r="I131" s="96"/>
      <c r="J131" s="96"/>
      <c r="K131" s="97"/>
      <c r="L131" s="98"/>
      <c r="M131" s="98"/>
      <c r="N131" s="99"/>
      <c r="O131" s="72"/>
      <c r="P131" s="100"/>
      <c r="Q131" s="101"/>
      <c r="R131" s="316"/>
      <c r="S131" s="75"/>
      <c r="T131" s="76"/>
      <c r="U131" s="72"/>
      <c r="V131" s="60"/>
      <c r="W131" s="60"/>
      <c r="X131" s="310"/>
      <c r="Y131" s="96"/>
    </row>
    <row r="132" spans="1:25" s="103" customFormat="1" ht="65.099999999999994" customHeight="1" x14ac:dyDescent="0.25">
      <c r="A132" s="94"/>
      <c r="B132" s="94"/>
      <c r="C132" s="413"/>
      <c r="D132" s="95"/>
      <c r="E132" s="96"/>
      <c r="F132" s="96"/>
      <c r="G132" s="96"/>
      <c r="H132" s="96"/>
      <c r="I132" s="96"/>
      <c r="J132" s="96"/>
      <c r="K132" s="97"/>
      <c r="L132" s="98"/>
      <c r="M132" s="98"/>
      <c r="N132" s="99"/>
      <c r="O132" s="72"/>
      <c r="P132" s="100"/>
      <c r="Q132" s="101"/>
      <c r="R132" s="316"/>
      <c r="S132" s="75"/>
      <c r="T132" s="76"/>
      <c r="U132" s="72"/>
      <c r="V132" s="60"/>
      <c r="W132" s="60"/>
      <c r="X132" s="310"/>
      <c r="Y132" s="96"/>
    </row>
    <row r="133" spans="1:25" s="103" customFormat="1" ht="65.099999999999994" customHeight="1" x14ac:dyDescent="0.25">
      <c r="A133" s="94"/>
      <c r="B133" s="94"/>
      <c r="C133" s="413"/>
      <c r="D133" s="95"/>
      <c r="E133" s="96"/>
      <c r="F133" s="96"/>
      <c r="G133" s="96"/>
      <c r="H133" s="96"/>
      <c r="I133" s="96"/>
      <c r="J133" s="96"/>
      <c r="K133" s="97"/>
      <c r="L133" s="98"/>
      <c r="M133" s="98"/>
      <c r="N133" s="99"/>
      <c r="O133" s="72"/>
      <c r="P133" s="100"/>
      <c r="Q133" s="101"/>
      <c r="R133" s="316"/>
      <c r="S133" s="75"/>
      <c r="T133" s="76"/>
      <c r="U133" s="72"/>
      <c r="V133" s="60"/>
      <c r="W133" s="60"/>
      <c r="X133" s="310"/>
      <c r="Y133" s="96"/>
    </row>
    <row r="134" spans="1:25" s="103" customFormat="1" ht="65.099999999999994" customHeight="1" x14ac:dyDescent="0.25">
      <c r="A134" s="94"/>
      <c r="B134" s="94"/>
      <c r="C134" s="413"/>
      <c r="D134" s="95"/>
      <c r="E134" s="96"/>
      <c r="F134" s="96"/>
      <c r="G134" s="96"/>
      <c r="H134" s="96"/>
      <c r="I134" s="96"/>
      <c r="J134" s="96"/>
      <c r="K134" s="97"/>
      <c r="L134" s="98"/>
      <c r="M134" s="98"/>
      <c r="N134" s="99"/>
      <c r="O134" s="72"/>
      <c r="P134" s="100"/>
      <c r="Q134" s="101"/>
      <c r="R134" s="316"/>
      <c r="S134" s="75"/>
      <c r="T134" s="76"/>
      <c r="U134" s="72"/>
      <c r="V134" s="60"/>
      <c r="W134" s="60"/>
      <c r="X134" s="310"/>
      <c r="Y134" s="96"/>
    </row>
    <row r="135" spans="1:25" s="103" customFormat="1" ht="65.099999999999994" customHeight="1" x14ac:dyDescent="0.25">
      <c r="A135" s="94"/>
      <c r="B135" s="94"/>
      <c r="C135" s="413"/>
      <c r="D135" s="95"/>
      <c r="E135" s="96"/>
      <c r="F135" s="96"/>
      <c r="G135" s="96"/>
      <c r="H135" s="96"/>
      <c r="I135" s="96"/>
      <c r="J135" s="96"/>
      <c r="K135" s="97"/>
      <c r="L135" s="98"/>
      <c r="M135" s="98"/>
      <c r="N135" s="99"/>
      <c r="O135" s="72"/>
      <c r="P135" s="100"/>
      <c r="Q135" s="101"/>
      <c r="R135" s="316"/>
      <c r="S135" s="75"/>
      <c r="T135" s="76"/>
      <c r="U135" s="72"/>
      <c r="V135" s="60"/>
      <c r="W135" s="60"/>
      <c r="X135" s="310"/>
      <c r="Y135" s="96"/>
    </row>
    <row r="136" spans="1:25" s="103" customFormat="1" ht="65.099999999999994" customHeight="1" x14ac:dyDescent="0.25">
      <c r="A136" s="94"/>
      <c r="B136" s="94"/>
      <c r="C136" s="413"/>
      <c r="D136" s="95"/>
      <c r="E136" s="96"/>
      <c r="F136" s="96"/>
      <c r="G136" s="96"/>
      <c r="H136" s="96"/>
      <c r="I136" s="96"/>
      <c r="J136" s="96"/>
      <c r="K136" s="97"/>
      <c r="L136" s="98"/>
      <c r="M136" s="98"/>
      <c r="N136" s="99"/>
      <c r="O136" s="72"/>
      <c r="P136" s="100"/>
      <c r="Q136" s="101"/>
      <c r="R136" s="316"/>
      <c r="S136" s="75"/>
      <c r="T136" s="76"/>
      <c r="U136" s="72"/>
      <c r="V136" s="60"/>
      <c r="W136" s="60"/>
      <c r="X136" s="310"/>
      <c r="Y136" s="96"/>
    </row>
    <row r="137" spans="1:25" s="103" customFormat="1" ht="65.099999999999994" customHeight="1" x14ac:dyDescent="0.25">
      <c r="A137" s="94"/>
      <c r="B137" s="94"/>
      <c r="C137" s="413"/>
      <c r="D137" s="95"/>
      <c r="E137" s="96"/>
      <c r="F137" s="96"/>
      <c r="G137" s="96"/>
      <c r="H137" s="96"/>
      <c r="I137" s="96"/>
      <c r="J137" s="96"/>
      <c r="K137" s="97"/>
      <c r="L137" s="98"/>
      <c r="M137" s="98"/>
      <c r="N137" s="99"/>
      <c r="O137" s="72"/>
      <c r="P137" s="100"/>
      <c r="Q137" s="101"/>
      <c r="R137" s="316"/>
      <c r="S137" s="75"/>
      <c r="T137" s="76"/>
      <c r="U137" s="72"/>
      <c r="V137" s="60"/>
      <c r="W137" s="60"/>
      <c r="X137" s="310"/>
      <c r="Y137" s="96"/>
    </row>
    <row r="138" spans="1:25" s="103" customFormat="1" ht="65.099999999999994" customHeight="1" x14ac:dyDescent="0.25">
      <c r="A138" s="94"/>
      <c r="B138" s="94"/>
      <c r="C138" s="413"/>
      <c r="D138" s="95"/>
      <c r="E138" s="96"/>
      <c r="F138" s="96"/>
      <c r="G138" s="96"/>
      <c r="H138" s="96"/>
      <c r="I138" s="96"/>
      <c r="J138" s="96"/>
      <c r="K138" s="97"/>
      <c r="L138" s="98"/>
      <c r="M138" s="98"/>
      <c r="N138" s="99"/>
      <c r="O138" s="72"/>
      <c r="P138" s="100"/>
      <c r="Q138" s="101"/>
      <c r="R138" s="316"/>
      <c r="S138" s="75"/>
      <c r="T138" s="76"/>
      <c r="U138" s="72"/>
      <c r="V138" s="60"/>
      <c r="W138" s="60"/>
      <c r="X138" s="310"/>
      <c r="Y138" s="96"/>
    </row>
    <row r="139" spans="1:25" s="103" customFormat="1" ht="65.099999999999994" customHeight="1" x14ac:dyDescent="0.25">
      <c r="A139" s="94"/>
      <c r="B139" s="94"/>
      <c r="C139" s="413"/>
      <c r="D139" s="95"/>
      <c r="E139" s="96"/>
      <c r="F139" s="96"/>
      <c r="G139" s="96"/>
      <c r="H139" s="96"/>
      <c r="I139" s="96"/>
      <c r="J139" s="96"/>
      <c r="K139" s="97"/>
      <c r="L139" s="98"/>
      <c r="M139" s="98"/>
      <c r="N139" s="99"/>
      <c r="O139" s="72"/>
      <c r="P139" s="100"/>
      <c r="Q139" s="101"/>
      <c r="R139" s="316"/>
      <c r="S139" s="75"/>
      <c r="T139" s="76"/>
      <c r="U139" s="72"/>
      <c r="V139" s="60"/>
      <c r="W139" s="60"/>
      <c r="X139" s="310"/>
      <c r="Y139" s="96"/>
    </row>
    <row r="140" spans="1:25" s="103" customFormat="1" ht="65.099999999999994" customHeight="1" x14ac:dyDescent="0.25">
      <c r="A140" s="94"/>
      <c r="B140" s="94"/>
      <c r="C140" s="413"/>
      <c r="D140" s="95"/>
      <c r="E140" s="96"/>
      <c r="F140" s="96"/>
      <c r="G140" s="96"/>
      <c r="H140" s="96"/>
      <c r="I140" s="96"/>
      <c r="J140" s="96"/>
      <c r="K140" s="97"/>
      <c r="L140" s="98"/>
      <c r="M140" s="98"/>
      <c r="N140" s="99"/>
      <c r="O140" s="72"/>
      <c r="P140" s="100"/>
      <c r="Q140" s="101"/>
      <c r="R140" s="316"/>
      <c r="S140" s="75"/>
      <c r="T140" s="76"/>
      <c r="U140" s="72"/>
      <c r="V140" s="60"/>
      <c r="W140" s="60"/>
      <c r="X140" s="310"/>
      <c r="Y140" s="96"/>
    </row>
    <row r="141" spans="1:25" s="103" customFormat="1" ht="65.099999999999994" customHeight="1" x14ac:dyDescent="0.25">
      <c r="A141" s="94"/>
      <c r="B141" s="94"/>
      <c r="C141" s="413"/>
      <c r="D141" s="95"/>
      <c r="E141" s="96"/>
      <c r="F141" s="96"/>
      <c r="G141" s="96"/>
      <c r="H141" s="96"/>
      <c r="I141" s="96"/>
      <c r="J141" s="96"/>
      <c r="K141" s="97"/>
      <c r="L141" s="98"/>
      <c r="M141" s="98"/>
      <c r="N141" s="99"/>
      <c r="O141" s="72"/>
      <c r="P141" s="100"/>
      <c r="Q141" s="101"/>
      <c r="R141" s="316"/>
      <c r="S141" s="75"/>
      <c r="T141" s="76"/>
      <c r="U141" s="72"/>
      <c r="V141" s="60"/>
      <c r="W141" s="60"/>
      <c r="X141" s="310"/>
      <c r="Y141" s="96"/>
    </row>
    <row r="142" spans="1:25" s="103" customFormat="1" ht="65.099999999999994" customHeight="1" x14ac:dyDescent="0.25">
      <c r="A142" s="94"/>
      <c r="B142" s="94"/>
      <c r="C142" s="413"/>
      <c r="D142" s="95"/>
      <c r="E142" s="96"/>
      <c r="F142" s="96"/>
      <c r="G142" s="96"/>
      <c r="H142" s="96"/>
      <c r="I142" s="96"/>
      <c r="J142" s="96"/>
      <c r="K142" s="97"/>
      <c r="L142" s="98"/>
      <c r="M142" s="98"/>
      <c r="N142" s="99"/>
      <c r="O142" s="72"/>
      <c r="P142" s="100"/>
      <c r="Q142" s="101"/>
      <c r="R142" s="316"/>
      <c r="S142" s="75"/>
      <c r="T142" s="76"/>
      <c r="U142" s="72"/>
      <c r="V142" s="60"/>
      <c r="W142" s="60"/>
      <c r="X142" s="310"/>
      <c r="Y142" s="96"/>
    </row>
    <row r="143" spans="1:25" s="103" customFormat="1" ht="65.099999999999994" customHeight="1" x14ac:dyDescent="0.25">
      <c r="A143" s="94"/>
      <c r="B143" s="94"/>
      <c r="C143" s="413"/>
      <c r="D143" s="95"/>
      <c r="E143" s="96"/>
      <c r="F143" s="96"/>
      <c r="G143" s="96"/>
      <c r="H143" s="96"/>
      <c r="I143" s="96"/>
      <c r="J143" s="96"/>
      <c r="K143" s="97"/>
      <c r="L143" s="98"/>
      <c r="M143" s="98"/>
      <c r="N143" s="99"/>
      <c r="O143" s="72"/>
      <c r="P143" s="100"/>
      <c r="Q143" s="101"/>
      <c r="R143" s="316"/>
      <c r="S143" s="75"/>
      <c r="T143" s="76"/>
      <c r="U143" s="72"/>
      <c r="V143" s="60"/>
      <c r="W143" s="60"/>
      <c r="X143" s="310"/>
      <c r="Y143" s="96"/>
    </row>
    <row r="144" spans="1:25" s="103" customFormat="1" ht="65.099999999999994" customHeight="1" x14ac:dyDescent="0.25">
      <c r="A144" s="94"/>
      <c r="B144" s="94"/>
      <c r="C144" s="413"/>
      <c r="D144" s="95"/>
      <c r="E144" s="96"/>
      <c r="F144" s="96"/>
      <c r="G144" s="96"/>
      <c r="H144" s="96"/>
      <c r="I144" s="96"/>
      <c r="J144" s="96"/>
      <c r="K144" s="97"/>
      <c r="L144" s="98"/>
      <c r="M144" s="98"/>
      <c r="N144" s="99"/>
      <c r="O144" s="72"/>
      <c r="P144" s="100"/>
      <c r="Q144" s="101"/>
      <c r="R144" s="316"/>
      <c r="S144" s="75"/>
      <c r="T144" s="76"/>
      <c r="U144" s="72"/>
      <c r="V144" s="60"/>
      <c r="W144" s="60"/>
      <c r="X144" s="310"/>
      <c r="Y144" s="96"/>
    </row>
    <row r="145" spans="1:25" s="103" customFormat="1" ht="65.099999999999994" customHeight="1" x14ac:dyDescent="0.25">
      <c r="A145" s="94"/>
      <c r="B145" s="94"/>
      <c r="C145" s="413"/>
      <c r="D145" s="95"/>
      <c r="E145" s="96"/>
      <c r="F145" s="96"/>
      <c r="G145" s="96"/>
      <c r="H145" s="96"/>
      <c r="I145" s="96"/>
      <c r="J145" s="96"/>
      <c r="K145" s="97"/>
      <c r="L145" s="98"/>
      <c r="M145" s="98"/>
      <c r="N145" s="99"/>
      <c r="O145" s="72"/>
      <c r="P145" s="100"/>
      <c r="Q145" s="101"/>
      <c r="R145" s="316"/>
      <c r="S145" s="75"/>
      <c r="T145" s="76"/>
      <c r="U145" s="72"/>
      <c r="V145" s="60"/>
      <c r="W145" s="60"/>
      <c r="X145" s="310"/>
      <c r="Y145" s="96"/>
    </row>
    <row r="146" spans="1:25" s="103" customFormat="1" ht="65.099999999999994" customHeight="1" x14ac:dyDescent="0.25">
      <c r="A146" s="94"/>
      <c r="B146" s="94"/>
      <c r="C146" s="413"/>
      <c r="D146" s="95"/>
      <c r="E146" s="96"/>
      <c r="F146" s="96"/>
      <c r="G146" s="96"/>
      <c r="H146" s="96"/>
      <c r="I146" s="96"/>
      <c r="J146" s="96"/>
      <c r="K146" s="97"/>
      <c r="L146" s="98"/>
      <c r="M146" s="98"/>
      <c r="N146" s="99"/>
      <c r="O146" s="72"/>
      <c r="P146" s="100"/>
      <c r="Q146" s="101"/>
      <c r="R146" s="316"/>
      <c r="S146" s="75"/>
      <c r="T146" s="76"/>
      <c r="U146" s="72"/>
      <c r="V146" s="60"/>
      <c r="W146" s="60"/>
      <c r="X146" s="310"/>
      <c r="Y146" s="96"/>
    </row>
    <row r="147" spans="1:25" s="103" customFormat="1" ht="65.099999999999994" customHeight="1" x14ac:dyDescent="0.25">
      <c r="A147" s="94"/>
      <c r="B147" s="94"/>
      <c r="C147" s="413"/>
      <c r="D147" s="95"/>
      <c r="E147" s="96"/>
      <c r="F147" s="96"/>
      <c r="G147" s="96"/>
      <c r="H147" s="96"/>
      <c r="I147" s="96"/>
      <c r="J147" s="96"/>
      <c r="K147" s="97"/>
      <c r="L147" s="98"/>
      <c r="M147" s="98"/>
      <c r="N147" s="99"/>
      <c r="O147" s="72"/>
      <c r="P147" s="100"/>
      <c r="Q147" s="101"/>
      <c r="R147" s="316"/>
      <c r="S147" s="75"/>
      <c r="T147" s="76"/>
      <c r="U147" s="72"/>
      <c r="V147" s="60"/>
      <c r="W147" s="60"/>
      <c r="X147" s="310"/>
      <c r="Y147" s="96"/>
    </row>
    <row r="148" spans="1:25" s="103" customFormat="1" ht="65.099999999999994" customHeight="1" x14ac:dyDescent="0.25">
      <c r="A148" s="94"/>
      <c r="B148" s="94"/>
      <c r="C148" s="413"/>
      <c r="D148" s="95"/>
      <c r="E148" s="96"/>
      <c r="F148" s="96"/>
      <c r="G148" s="96"/>
      <c r="H148" s="96"/>
      <c r="I148" s="96"/>
      <c r="J148" s="96"/>
      <c r="K148" s="97"/>
      <c r="L148" s="98"/>
      <c r="M148" s="98"/>
      <c r="N148" s="99"/>
      <c r="O148" s="72"/>
      <c r="P148" s="100"/>
      <c r="Q148" s="101"/>
      <c r="R148" s="316"/>
      <c r="S148" s="75"/>
      <c r="T148" s="76"/>
      <c r="U148" s="72"/>
      <c r="V148" s="60"/>
      <c r="W148" s="60"/>
      <c r="X148" s="310"/>
      <c r="Y148" s="96"/>
    </row>
    <row r="149" spans="1:25" s="103" customFormat="1" ht="65.099999999999994" customHeight="1" x14ac:dyDescent="0.25">
      <c r="A149" s="94"/>
      <c r="B149" s="94"/>
      <c r="C149" s="413"/>
      <c r="D149" s="95"/>
      <c r="E149" s="96"/>
      <c r="F149" s="96"/>
      <c r="G149" s="96"/>
      <c r="H149" s="96"/>
      <c r="I149" s="96"/>
      <c r="J149" s="96"/>
      <c r="K149" s="97"/>
      <c r="L149" s="98"/>
      <c r="M149" s="98"/>
      <c r="N149" s="99"/>
      <c r="O149" s="72"/>
      <c r="P149" s="100"/>
      <c r="Q149" s="101"/>
      <c r="R149" s="316"/>
      <c r="S149" s="75"/>
      <c r="T149" s="76"/>
      <c r="U149" s="72"/>
      <c r="V149" s="60"/>
      <c r="W149" s="60"/>
      <c r="X149" s="310"/>
      <c r="Y149" s="96"/>
    </row>
    <row r="150" spans="1:25" s="103" customFormat="1" ht="65.099999999999994" customHeight="1" x14ac:dyDescent="0.25">
      <c r="A150" s="94"/>
      <c r="B150" s="94"/>
      <c r="C150" s="413"/>
      <c r="D150" s="95"/>
      <c r="E150" s="96"/>
      <c r="F150" s="96"/>
      <c r="G150" s="96"/>
      <c r="H150" s="96"/>
      <c r="I150" s="96"/>
      <c r="J150" s="96"/>
      <c r="K150" s="97"/>
      <c r="L150" s="98"/>
      <c r="M150" s="98"/>
      <c r="N150" s="99"/>
      <c r="O150" s="72"/>
      <c r="P150" s="100"/>
      <c r="Q150" s="101"/>
      <c r="R150" s="316"/>
      <c r="S150" s="75"/>
      <c r="T150" s="76"/>
      <c r="U150" s="72"/>
      <c r="V150" s="60"/>
      <c r="W150" s="60"/>
      <c r="X150" s="310"/>
      <c r="Y150" s="96"/>
    </row>
    <row r="151" spans="1:25" s="103" customFormat="1" ht="65.099999999999994" customHeight="1" x14ac:dyDescent="0.25">
      <c r="A151" s="94"/>
      <c r="B151" s="94"/>
      <c r="C151" s="413"/>
      <c r="D151" s="95"/>
      <c r="E151" s="96"/>
      <c r="F151" s="96"/>
      <c r="G151" s="96"/>
      <c r="H151" s="96"/>
      <c r="I151" s="96"/>
      <c r="J151" s="96"/>
      <c r="K151" s="97"/>
      <c r="L151" s="98"/>
      <c r="M151" s="98"/>
      <c r="N151" s="99"/>
      <c r="O151" s="72"/>
      <c r="P151" s="100"/>
      <c r="Q151" s="101"/>
      <c r="R151" s="316"/>
      <c r="S151" s="75"/>
      <c r="T151" s="76"/>
      <c r="U151" s="72"/>
      <c r="V151" s="60"/>
      <c r="W151" s="60"/>
      <c r="X151" s="310"/>
      <c r="Y151" s="96"/>
    </row>
    <row r="152" spans="1:25" s="103" customFormat="1" ht="65.099999999999994" customHeight="1" x14ac:dyDescent="0.25">
      <c r="A152" s="94"/>
      <c r="B152" s="94"/>
      <c r="C152" s="413"/>
      <c r="D152" s="95"/>
      <c r="E152" s="96"/>
      <c r="F152" s="96"/>
      <c r="G152" s="96"/>
      <c r="H152" s="96"/>
      <c r="I152" s="96"/>
      <c r="J152" s="96"/>
      <c r="K152" s="97"/>
      <c r="L152" s="98"/>
      <c r="M152" s="98"/>
      <c r="N152" s="99"/>
      <c r="O152" s="72"/>
      <c r="P152" s="100"/>
      <c r="Q152" s="101"/>
      <c r="R152" s="316"/>
      <c r="S152" s="75"/>
      <c r="T152" s="76"/>
      <c r="U152" s="72"/>
      <c r="V152" s="60"/>
      <c r="W152" s="60"/>
      <c r="X152" s="310"/>
      <c r="Y152" s="96"/>
    </row>
    <row r="153" spans="1:25" s="103" customFormat="1" ht="65.099999999999994" customHeight="1" x14ac:dyDescent="0.25">
      <c r="A153" s="94"/>
      <c r="B153" s="94"/>
      <c r="C153" s="413"/>
      <c r="D153" s="95"/>
      <c r="E153" s="96"/>
      <c r="F153" s="96"/>
      <c r="G153" s="96"/>
      <c r="H153" s="96"/>
      <c r="I153" s="96"/>
      <c r="J153" s="96"/>
      <c r="K153" s="97"/>
      <c r="L153" s="98"/>
      <c r="M153" s="98"/>
      <c r="N153" s="99"/>
      <c r="O153" s="72"/>
      <c r="P153" s="100"/>
      <c r="Q153" s="101"/>
      <c r="R153" s="316"/>
      <c r="S153" s="75"/>
      <c r="T153" s="76"/>
      <c r="U153" s="72"/>
      <c r="V153" s="60"/>
      <c r="W153" s="60"/>
      <c r="X153" s="310"/>
      <c r="Y153" s="96"/>
    </row>
    <row r="154" spans="1:25" s="103" customFormat="1" ht="65.099999999999994" customHeight="1" x14ac:dyDescent="0.25">
      <c r="A154" s="94"/>
      <c r="B154" s="94"/>
      <c r="C154" s="413"/>
      <c r="D154" s="95"/>
      <c r="E154" s="96"/>
      <c r="F154" s="96"/>
      <c r="G154" s="96"/>
      <c r="H154" s="96"/>
      <c r="I154" s="96"/>
      <c r="J154" s="96"/>
      <c r="K154" s="97"/>
      <c r="L154" s="98"/>
      <c r="M154" s="98"/>
      <c r="N154" s="99"/>
      <c r="O154" s="72"/>
      <c r="P154" s="100"/>
      <c r="Q154" s="101"/>
      <c r="R154" s="316"/>
      <c r="S154" s="75"/>
      <c r="T154" s="76"/>
      <c r="U154" s="72"/>
      <c r="V154" s="60"/>
      <c r="W154" s="60"/>
      <c r="X154" s="310"/>
      <c r="Y154" s="96"/>
    </row>
    <row r="155" spans="1:25" s="103" customFormat="1" ht="65.099999999999994" customHeight="1" x14ac:dyDescent="0.25">
      <c r="A155" s="94"/>
      <c r="B155" s="94"/>
      <c r="C155" s="413"/>
      <c r="D155" s="95"/>
      <c r="E155" s="96"/>
      <c r="F155" s="96"/>
      <c r="G155" s="96"/>
      <c r="H155" s="96"/>
      <c r="I155" s="96"/>
      <c r="J155" s="96"/>
      <c r="K155" s="97"/>
      <c r="L155" s="98"/>
      <c r="M155" s="98"/>
      <c r="N155" s="99"/>
      <c r="O155" s="72"/>
      <c r="P155" s="100"/>
      <c r="Q155" s="101"/>
      <c r="R155" s="316"/>
      <c r="S155" s="75"/>
      <c r="T155" s="76"/>
      <c r="U155" s="72"/>
      <c r="V155" s="60"/>
      <c r="W155" s="60"/>
      <c r="X155" s="310"/>
      <c r="Y155" s="96"/>
    </row>
    <row r="156" spans="1:25" s="103" customFormat="1" ht="65.099999999999994" customHeight="1" x14ac:dyDescent="0.25">
      <c r="A156" s="94"/>
      <c r="B156" s="94"/>
      <c r="C156" s="413"/>
      <c r="D156" s="95"/>
      <c r="E156" s="96"/>
      <c r="F156" s="96"/>
      <c r="G156" s="96"/>
      <c r="H156" s="96"/>
      <c r="I156" s="96"/>
      <c r="J156" s="96"/>
      <c r="K156" s="97"/>
      <c r="L156" s="98"/>
      <c r="M156" s="98"/>
      <c r="N156" s="99"/>
      <c r="O156" s="72"/>
      <c r="P156" s="100"/>
      <c r="Q156" s="101"/>
      <c r="R156" s="316"/>
      <c r="S156" s="75"/>
      <c r="T156" s="76"/>
      <c r="U156" s="72"/>
      <c r="V156" s="60"/>
      <c r="W156" s="60"/>
      <c r="X156" s="310"/>
      <c r="Y156" s="96"/>
    </row>
    <row r="157" spans="1:25" s="103" customFormat="1" ht="65.099999999999994" customHeight="1" x14ac:dyDescent="0.25">
      <c r="A157" s="94"/>
      <c r="B157" s="94"/>
      <c r="C157" s="413"/>
      <c r="D157" s="95"/>
      <c r="E157" s="96"/>
      <c r="F157" s="96"/>
      <c r="G157" s="96"/>
      <c r="H157" s="96"/>
      <c r="I157" s="96"/>
      <c r="J157" s="96"/>
      <c r="K157" s="97"/>
      <c r="L157" s="98"/>
      <c r="M157" s="98"/>
      <c r="N157" s="99"/>
      <c r="O157" s="72"/>
      <c r="P157" s="100"/>
      <c r="Q157" s="101"/>
      <c r="R157" s="316"/>
      <c r="S157" s="75"/>
      <c r="T157" s="76"/>
      <c r="U157" s="72"/>
      <c r="V157" s="60"/>
      <c r="W157" s="60"/>
      <c r="X157" s="310"/>
      <c r="Y157" s="96"/>
    </row>
    <row r="158" spans="1:25" s="103" customFormat="1" ht="65.099999999999994" customHeight="1" x14ac:dyDescent="0.25">
      <c r="A158" s="94"/>
      <c r="B158" s="94"/>
      <c r="C158" s="413"/>
      <c r="D158" s="95"/>
      <c r="E158" s="96"/>
      <c r="F158" s="96"/>
      <c r="G158" s="96"/>
      <c r="H158" s="96"/>
      <c r="I158" s="96"/>
      <c r="J158" s="96"/>
      <c r="K158" s="97"/>
      <c r="L158" s="98"/>
      <c r="M158" s="98"/>
      <c r="N158" s="99"/>
      <c r="O158" s="72"/>
      <c r="P158" s="100"/>
      <c r="Q158" s="101"/>
      <c r="R158" s="316"/>
      <c r="S158" s="75"/>
      <c r="T158" s="76"/>
      <c r="U158" s="72"/>
      <c r="V158" s="60"/>
      <c r="W158" s="60"/>
      <c r="X158" s="310"/>
      <c r="Y158" s="96"/>
    </row>
    <row r="159" spans="1:25" s="103" customFormat="1" ht="65.099999999999994" customHeight="1" x14ac:dyDescent="0.25">
      <c r="A159" s="94"/>
      <c r="B159" s="94"/>
      <c r="C159" s="413"/>
      <c r="D159" s="95"/>
      <c r="E159" s="96"/>
      <c r="F159" s="96"/>
      <c r="G159" s="96"/>
      <c r="H159" s="96"/>
      <c r="I159" s="96"/>
      <c r="J159" s="96"/>
      <c r="K159" s="97"/>
      <c r="L159" s="98"/>
      <c r="M159" s="98"/>
      <c r="N159" s="99"/>
      <c r="O159" s="72"/>
      <c r="P159" s="100"/>
      <c r="Q159" s="101"/>
      <c r="R159" s="316"/>
      <c r="S159" s="75"/>
      <c r="T159" s="76"/>
      <c r="U159" s="72"/>
      <c r="V159" s="60"/>
      <c r="W159" s="60"/>
      <c r="X159" s="310"/>
      <c r="Y159" s="96"/>
    </row>
    <row r="160" spans="1:25" s="103" customFormat="1" ht="65.099999999999994" customHeight="1" x14ac:dyDescent="0.25">
      <c r="A160" s="94"/>
      <c r="B160" s="94"/>
      <c r="C160" s="413"/>
      <c r="D160" s="95"/>
      <c r="E160" s="96"/>
      <c r="F160" s="96"/>
      <c r="G160" s="96"/>
      <c r="H160" s="96"/>
      <c r="I160" s="96"/>
      <c r="J160" s="96"/>
      <c r="K160" s="97"/>
      <c r="L160" s="98"/>
      <c r="M160" s="98"/>
      <c r="N160" s="99"/>
      <c r="O160" s="72"/>
      <c r="P160" s="100"/>
      <c r="Q160" s="101"/>
      <c r="R160" s="316"/>
      <c r="S160" s="75"/>
      <c r="T160" s="76"/>
      <c r="U160" s="72"/>
      <c r="V160" s="60"/>
      <c r="W160" s="60"/>
      <c r="X160" s="310"/>
      <c r="Y160" s="96"/>
    </row>
    <row r="161" spans="1:25" s="103" customFormat="1" ht="65.099999999999994" customHeight="1" x14ac:dyDescent="0.25">
      <c r="A161" s="94"/>
      <c r="B161" s="94"/>
      <c r="C161" s="413"/>
      <c r="D161" s="95"/>
      <c r="E161" s="96"/>
      <c r="F161" s="96"/>
      <c r="G161" s="96"/>
      <c r="H161" s="96"/>
      <c r="I161" s="96"/>
      <c r="J161" s="96"/>
      <c r="K161" s="97"/>
      <c r="L161" s="98"/>
      <c r="M161" s="98"/>
      <c r="N161" s="99"/>
      <c r="O161" s="72"/>
      <c r="P161" s="100"/>
      <c r="Q161" s="101"/>
      <c r="R161" s="316"/>
      <c r="S161" s="75"/>
      <c r="T161" s="76"/>
      <c r="U161" s="72"/>
      <c r="V161" s="60"/>
      <c r="W161" s="60"/>
      <c r="X161" s="310"/>
      <c r="Y161" s="96"/>
    </row>
    <row r="162" spans="1:25" s="103" customFormat="1" ht="65.099999999999994" customHeight="1" x14ac:dyDescent="0.25">
      <c r="A162" s="94"/>
      <c r="B162" s="94"/>
      <c r="C162" s="413"/>
      <c r="D162" s="95"/>
      <c r="E162" s="96"/>
      <c r="F162" s="96"/>
      <c r="G162" s="96"/>
      <c r="H162" s="96"/>
      <c r="I162" s="96"/>
      <c r="J162" s="96"/>
      <c r="K162" s="97"/>
      <c r="L162" s="98"/>
      <c r="M162" s="98"/>
      <c r="N162" s="99"/>
      <c r="O162" s="72"/>
      <c r="P162" s="100"/>
      <c r="Q162" s="101"/>
      <c r="R162" s="316"/>
      <c r="S162" s="75"/>
      <c r="T162" s="76"/>
      <c r="U162" s="72"/>
      <c r="V162" s="60"/>
      <c r="W162" s="60"/>
      <c r="X162" s="310"/>
      <c r="Y162" s="96"/>
    </row>
    <row r="163" spans="1:25" s="103" customFormat="1" ht="65.099999999999994" customHeight="1" x14ac:dyDescent="0.25">
      <c r="A163" s="94"/>
      <c r="B163" s="94"/>
      <c r="C163" s="413"/>
      <c r="D163" s="95"/>
      <c r="E163" s="96"/>
      <c r="F163" s="96"/>
      <c r="G163" s="96"/>
      <c r="H163" s="96"/>
      <c r="I163" s="96"/>
      <c r="J163" s="96"/>
      <c r="K163" s="97"/>
      <c r="L163" s="98"/>
      <c r="M163" s="98"/>
      <c r="N163" s="99"/>
      <c r="O163" s="72"/>
      <c r="P163" s="100"/>
      <c r="Q163" s="101"/>
      <c r="R163" s="316"/>
      <c r="S163" s="75"/>
      <c r="T163" s="76"/>
      <c r="U163" s="72"/>
      <c r="V163" s="60"/>
      <c r="W163" s="60"/>
      <c r="X163" s="310"/>
      <c r="Y163" s="96"/>
    </row>
    <row r="164" spans="1:25" s="103" customFormat="1" ht="65.099999999999994" customHeight="1" x14ac:dyDescent="0.25">
      <c r="A164" s="94"/>
      <c r="B164" s="94"/>
      <c r="C164" s="413"/>
      <c r="D164" s="95"/>
      <c r="E164" s="96"/>
      <c r="F164" s="96"/>
      <c r="G164" s="96"/>
      <c r="H164" s="96"/>
      <c r="I164" s="96"/>
      <c r="J164" s="96"/>
      <c r="K164" s="97"/>
      <c r="L164" s="98"/>
      <c r="M164" s="98"/>
      <c r="N164" s="99"/>
      <c r="O164" s="72"/>
      <c r="P164" s="100"/>
      <c r="Q164" s="101"/>
      <c r="R164" s="316"/>
      <c r="S164" s="75"/>
      <c r="T164" s="76"/>
      <c r="U164" s="72"/>
      <c r="V164" s="60"/>
      <c r="W164" s="60"/>
      <c r="X164" s="310"/>
      <c r="Y164" s="96"/>
    </row>
    <row r="165" spans="1:25" s="103" customFormat="1" ht="65.099999999999994" customHeight="1" x14ac:dyDescent="0.25">
      <c r="A165" s="94"/>
      <c r="B165" s="94"/>
      <c r="C165" s="413"/>
      <c r="D165" s="95"/>
      <c r="E165" s="96"/>
      <c r="F165" s="96"/>
      <c r="G165" s="96"/>
      <c r="H165" s="96"/>
      <c r="I165" s="96"/>
      <c r="J165" s="96"/>
      <c r="K165" s="97"/>
      <c r="L165" s="98"/>
      <c r="M165" s="98"/>
      <c r="N165" s="99"/>
      <c r="O165" s="72"/>
      <c r="P165" s="100"/>
      <c r="Q165" s="101"/>
      <c r="R165" s="316"/>
      <c r="S165" s="75"/>
      <c r="T165" s="76"/>
      <c r="U165" s="72"/>
      <c r="V165" s="60"/>
      <c r="W165" s="60"/>
      <c r="X165" s="310"/>
      <c r="Y165" s="96"/>
    </row>
    <row r="166" spans="1:25" s="103" customFormat="1" ht="65.099999999999994" customHeight="1" x14ac:dyDescent="0.25">
      <c r="A166" s="94"/>
      <c r="B166" s="94"/>
      <c r="C166" s="413"/>
      <c r="D166" s="95"/>
      <c r="E166" s="96"/>
      <c r="F166" s="96"/>
      <c r="G166" s="96"/>
      <c r="H166" s="96"/>
      <c r="I166" s="96"/>
      <c r="J166" s="96"/>
      <c r="K166" s="97"/>
      <c r="L166" s="98"/>
      <c r="M166" s="98"/>
      <c r="N166" s="99"/>
      <c r="O166" s="72"/>
      <c r="P166" s="100"/>
      <c r="Q166" s="101"/>
      <c r="R166" s="316"/>
      <c r="S166" s="75"/>
      <c r="T166" s="76"/>
      <c r="U166" s="72"/>
      <c r="V166" s="60"/>
      <c r="W166" s="60"/>
      <c r="X166" s="310"/>
      <c r="Y166" s="96"/>
    </row>
    <row r="167" spans="1:25" s="103" customFormat="1" ht="65.099999999999994" customHeight="1" x14ac:dyDescent="0.25">
      <c r="A167" s="94"/>
      <c r="B167" s="94"/>
      <c r="C167" s="413"/>
      <c r="D167" s="95"/>
      <c r="E167" s="96"/>
      <c r="F167" s="96"/>
      <c r="G167" s="96"/>
      <c r="H167" s="96"/>
      <c r="I167" s="96"/>
      <c r="J167" s="96"/>
      <c r="K167" s="97"/>
      <c r="L167" s="98"/>
      <c r="M167" s="98"/>
      <c r="N167" s="99"/>
      <c r="O167" s="72"/>
      <c r="P167" s="100"/>
      <c r="Q167" s="101"/>
      <c r="R167" s="316"/>
      <c r="S167" s="75"/>
      <c r="T167" s="76"/>
      <c r="U167" s="72"/>
      <c r="V167" s="60"/>
      <c r="W167" s="60"/>
      <c r="X167" s="310"/>
      <c r="Y167" s="96"/>
    </row>
    <row r="168" spans="1:25" s="103" customFormat="1" ht="65.099999999999994" customHeight="1" x14ac:dyDescent="0.25">
      <c r="A168" s="94"/>
      <c r="B168" s="94"/>
      <c r="C168" s="413"/>
      <c r="D168" s="95"/>
      <c r="E168" s="96"/>
      <c r="F168" s="96"/>
      <c r="G168" s="96"/>
      <c r="H168" s="96"/>
      <c r="I168" s="96"/>
      <c r="J168" s="96"/>
      <c r="K168" s="97"/>
      <c r="L168" s="98"/>
      <c r="M168" s="98"/>
      <c r="N168" s="99"/>
      <c r="O168" s="72"/>
      <c r="P168" s="100"/>
      <c r="Q168" s="101"/>
      <c r="R168" s="316"/>
      <c r="S168" s="75"/>
      <c r="T168" s="76"/>
      <c r="U168" s="72"/>
      <c r="V168" s="60"/>
      <c r="W168" s="60"/>
      <c r="X168" s="310"/>
      <c r="Y168" s="96"/>
    </row>
    <row r="169" spans="1:25" s="103" customFormat="1" ht="65.099999999999994" customHeight="1" x14ac:dyDescent="0.25">
      <c r="A169" s="94"/>
      <c r="B169" s="94"/>
      <c r="C169" s="413"/>
      <c r="D169" s="95"/>
      <c r="E169" s="96"/>
      <c r="F169" s="96"/>
      <c r="G169" s="96"/>
      <c r="H169" s="96"/>
      <c r="I169" s="96"/>
      <c r="J169" s="96"/>
      <c r="K169" s="97"/>
      <c r="L169" s="98"/>
      <c r="M169" s="98"/>
      <c r="N169" s="99"/>
      <c r="O169" s="72"/>
      <c r="P169" s="100"/>
      <c r="Q169" s="101"/>
      <c r="R169" s="316"/>
      <c r="S169" s="75"/>
      <c r="T169" s="76"/>
      <c r="U169" s="72"/>
      <c r="V169" s="60"/>
      <c r="W169" s="60"/>
      <c r="X169" s="310"/>
      <c r="Y169" s="96"/>
    </row>
    <row r="170" spans="1:25" s="103" customFormat="1" ht="65.099999999999994" customHeight="1" x14ac:dyDescent="0.25">
      <c r="A170" s="94"/>
      <c r="B170" s="94"/>
      <c r="C170" s="413"/>
      <c r="D170" s="95"/>
      <c r="E170" s="96"/>
      <c r="F170" s="96"/>
      <c r="G170" s="96"/>
      <c r="H170" s="96"/>
      <c r="I170" s="96"/>
      <c r="J170" s="96"/>
      <c r="K170" s="97"/>
      <c r="L170" s="98"/>
      <c r="M170" s="98"/>
      <c r="N170" s="99"/>
      <c r="O170" s="72"/>
      <c r="P170" s="100"/>
      <c r="Q170" s="101"/>
      <c r="R170" s="316"/>
      <c r="S170" s="75"/>
      <c r="T170" s="76"/>
      <c r="U170" s="72"/>
      <c r="V170" s="60"/>
      <c r="W170" s="60"/>
      <c r="X170" s="310"/>
      <c r="Y170" s="96"/>
    </row>
    <row r="171" spans="1:25" s="103" customFormat="1" ht="65.099999999999994" customHeight="1" x14ac:dyDescent="0.25">
      <c r="A171" s="94"/>
      <c r="B171" s="94"/>
      <c r="C171" s="413"/>
      <c r="D171" s="95"/>
      <c r="E171" s="96"/>
      <c r="F171" s="96"/>
      <c r="G171" s="96"/>
      <c r="H171" s="96"/>
      <c r="I171" s="96"/>
      <c r="J171" s="96"/>
      <c r="K171" s="97"/>
      <c r="L171" s="98"/>
      <c r="M171" s="98"/>
      <c r="N171" s="99"/>
      <c r="O171" s="72"/>
      <c r="P171" s="100"/>
      <c r="Q171" s="101"/>
      <c r="R171" s="316"/>
      <c r="S171" s="75"/>
      <c r="T171" s="76"/>
      <c r="U171" s="72"/>
      <c r="V171" s="60"/>
      <c r="W171" s="60"/>
      <c r="X171" s="310"/>
      <c r="Y171" s="96"/>
    </row>
    <row r="172" spans="1:25" s="103" customFormat="1" ht="65.099999999999994" customHeight="1" x14ac:dyDescent="0.25">
      <c r="A172" s="94"/>
      <c r="B172" s="94"/>
      <c r="C172" s="413"/>
      <c r="D172" s="95"/>
      <c r="E172" s="96"/>
      <c r="F172" s="96"/>
      <c r="G172" s="96"/>
      <c r="H172" s="96"/>
      <c r="I172" s="96"/>
      <c r="J172" s="96"/>
      <c r="K172" s="97"/>
      <c r="L172" s="98"/>
      <c r="M172" s="98"/>
      <c r="N172" s="99"/>
      <c r="O172" s="72"/>
      <c r="P172" s="100"/>
      <c r="Q172" s="101"/>
      <c r="R172" s="316"/>
      <c r="S172" s="75"/>
      <c r="T172" s="76"/>
      <c r="U172" s="72"/>
      <c r="V172" s="60"/>
      <c r="W172" s="60"/>
      <c r="X172" s="310"/>
      <c r="Y172" s="96"/>
    </row>
    <row r="173" spans="1:25" s="103" customFormat="1" ht="65.099999999999994" customHeight="1" x14ac:dyDescent="0.25">
      <c r="A173" s="94"/>
      <c r="B173" s="94"/>
      <c r="C173" s="413"/>
      <c r="D173" s="95"/>
      <c r="E173" s="96"/>
      <c r="F173" s="96"/>
      <c r="G173" s="96"/>
      <c r="H173" s="96"/>
      <c r="I173" s="96"/>
      <c r="J173" s="96"/>
      <c r="K173" s="97"/>
      <c r="L173" s="98"/>
      <c r="M173" s="98"/>
      <c r="N173" s="99"/>
      <c r="O173" s="72"/>
      <c r="P173" s="100"/>
      <c r="Q173" s="101"/>
      <c r="R173" s="316"/>
      <c r="S173" s="75"/>
      <c r="T173" s="76"/>
      <c r="U173" s="72"/>
      <c r="V173" s="60"/>
      <c r="W173" s="60"/>
      <c r="X173" s="310"/>
      <c r="Y173" s="96"/>
    </row>
    <row r="174" spans="1:25" s="103" customFormat="1" ht="65.099999999999994" customHeight="1" x14ac:dyDescent="0.25">
      <c r="A174" s="94"/>
      <c r="B174" s="94"/>
      <c r="C174" s="413"/>
      <c r="D174" s="95"/>
      <c r="E174" s="96"/>
      <c r="F174" s="96"/>
      <c r="G174" s="96"/>
      <c r="H174" s="96"/>
      <c r="I174" s="96"/>
      <c r="J174" s="96"/>
      <c r="K174" s="97"/>
      <c r="L174" s="98"/>
      <c r="M174" s="98"/>
      <c r="N174" s="99"/>
      <c r="O174" s="72"/>
      <c r="P174" s="100"/>
      <c r="Q174" s="101"/>
      <c r="R174" s="316"/>
      <c r="S174" s="75"/>
      <c r="T174" s="76"/>
      <c r="U174" s="72"/>
      <c r="V174" s="60"/>
      <c r="W174" s="60"/>
      <c r="X174" s="310"/>
      <c r="Y174" s="96"/>
    </row>
    <row r="175" spans="1:25" s="103" customFormat="1" ht="65.099999999999994" customHeight="1" x14ac:dyDescent="0.25">
      <c r="A175" s="94"/>
      <c r="B175" s="94"/>
      <c r="C175" s="413"/>
      <c r="D175" s="95"/>
      <c r="E175" s="96"/>
      <c r="F175" s="96"/>
      <c r="G175" s="96"/>
      <c r="H175" s="96"/>
      <c r="I175" s="96"/>
      <c r="J175" s="96"/>
      <c r="K175" s="97"/>
      <c r="L175" s="98"/>
      <c r="M175" s="98"/>
      <c r="N175" s="99"/>
      <c r="O175" s="72"/>
      <c r="P175" s="100"/>
      <c r="Q175" s="101"/>
      <c r="R175" s="316"/>
      <c r="S175" s="75"/>
      <c r="T175" s="76"/>
      <c r="U175" s="72"/>
      <c r="V175" s="60"/>
      <c r="W175" s="60"/>
      <c r="X175" s="310"/>
      <c r="Y175" s="96"/>
    </row>
    <row r="176" spans="1:25" s="103" customFormat="1" ht="65.099999999999994" customHeight="1" x14ac:dyDescent="0.25">
      <c r="A176" s="94"/>
      <c r="B176" s="94"/>
      <c r="C176" s="413"/>
      <c r="D176" s="95"/>
      <c r="E176" s="96"/>
      <c r="F176" s="96"/>
      <c r="G176" s="96"/>
      <c r="H176" s="96"/>
      <c r="I176" s="96"/>
      <c r="J176" s="96"/>
      <c r="K176" s="97"/>
      <c r="L176" s="98"/>
      <c r="M176" s="98"/>
      <c r="N176" s="99"/>
      <c r="O176" s="72"/>
      <c r="P176" s="100"/>
      <c r="Q176" s="101"/>
      <c r="R176" s="316"/>
      <c r="S176" s="75"/>
      <c r="T176" s="76"/>
      <c r="U176" s="72"/>
      <c r="V176" s="60"/>
      <c r="W176" s="60"/>
      <c r="X176" s="310"/>
      <c r="Y176" s="96"/>
    </row>
    <row r="177" spans="1:25" s="103" customFormat="1" ht="65.099999999999994" customHeight="1" x14ac:dyDescent="0.25">
      <c r="A177" s="94"/>
      <c r="B177" s="94"/>
      <c r="C177" s="413"/>
      <c r="D177" s="95"/>
      <c r="E177" s="96"/>
      <c r="F177" s="96"/>
      <c r="G177" s="96"/>
      <c r="H177" s="96"/>
      <c r="I177" s="96"/>
      <c r="J177" s="96"/>
      <c r="K177" s="97"/>
      <c r="L177" s="98"/>
      <c r="M177" s="98"/>
      <c r="N177" s="99"/>
      <c r="O177" s="72"/>
      <c r="P177" s="100"/>
      <c r="Q177" s="101"/>
      <c r="R177" s="316"/>
      <c r="S177" s="75"/>
      <c r="T177" s="76"/>
      <c r="U177" s="72"/>
      <c r="V177" s="60"/>
      <c r="W177" s="60"/>
      <c r="X177" s="310"/>
      <c r="Y177" s="96"/>
    </row>
    <row r="178" spans="1:25" s="103" customFormat="1" ht="65.099999999999994" customHeight="1" x14ac:dyDescent="0.25">
      <c r="A178" s="94"/>
      <c r="B178" s="94"/>
      <c r="C178" s="413"/>
      <c r="D178" s="95"/>
      <c r="E178" s="96"/>
      <c r="F178" s="96"/>
      <c r="G178" s="96"/>
      <c r="H178" s="96"/>
      <c r="I178" s="96"/>
      <c r="J178" s="96"/>
      <c r="K178" s="97"/>
      <c r="L178" s="98"/>
      <c r="M178" s="98"/>
      <c r="N178" s="99"/>
      <c r="O178" s="72"/>
      <c r="P178" s="100"/>
      <c r="Q178" s="101"/>
      <c r="R178" s="316"/>
      <c r="S178" s="75"/>
      <c r="T178" s="76"/>
      <c r="U178" s="72"/>
      <c r="V178" s="60"/>
      <c r="W178" s="60"/>
      <c r="X178" s="310"/>
      <c r="Y178" s="96"/>
    </row>
    <row r="179" spans="1:25" s="103" customFormat="1" ht="65.099999999999994" customHeight="1" x14ac:dyDescent="0.25">
      <c r="A179" s="94"/>
      <c r="B179" s="94"/>
      <c r="C179" s="413"/>
      <c r="D179" s="95"/>
      <c r="E179" s="96"/>
      <c r="F179" s="96"/>
      <c r="G179" s="96"/>
      <c r="H179" s="96"/>
      <c r="I179" s="96"/>
      <c r="J179" s="96"/>
      <c r="K179" s="97"/>
      <c r="L179" s="98"/>
      <c r="M179" s="98"/>
      <c r="N179" s="99"/>
      <c r="O179" s="72"/>
      <c r="P179" s="100"/>
      <c r="Q179" s="101"/>
      <c r="R179" s="316"/>
      <c r="S179" s="75"/>
      <c r="T179" s="76"/>
      <c r="U179" s="72"/>
      <c r="V179" s="60"/>
      <c r="W179" s="60"/>
      <c r="X179" s="310"/>
      <c r="Y179" s="96"/>
    </row>
    <row r="180" spans="1:25" s="103" customFormat="1" ht="65.099999999999994" customHeight="1" x14ac:dyDescent="0.25">
      <c r="A180" s="94"/>
      <c r="B180" s="94"/>
      <c r="C180" s="413"/>
      <c r="D180" s="95"/>
      <c r="E180" s="96"/>
      <c r="F180" s="96"/>
      <c r="G180" s="96"/>
      <c r="H180" s="96"/>
      <c r="I180" s="96"/>
      <c r="J180" s="96"/>
      <c r="K180" s="97"/>
      <c r="L180" s="98"/>
      <c r="M180" s="98"/>
      <c r="N180" s="99"/>
      <c r="O180" s="72"/>
      <c r="P180" s="100"/>
      <c r="Q180" s="101"/>
      <c r="R180" s="316"/>
      <c r="S180" s="75"/>
      <c r="T180" s="76"/>
      <c r="U180" s="72"/>
      <c r="V180" s="60"/>
      <c r="W180" s="60"/>
      <c r="X180" s="310"/>
      <c r="Y180" s="96"/>
    </row>
    <row r="181" spans="1:25" s="103" customFormat="1" ht="65.099999999999994" customHeight="1" x14ac:dyDescent="0.25">
      <c r="A181" s="94"/>
      <c r="B181" s="94"/>
      <c r="C181" s="413"/>
      <c r="D181" s="95"/>
      <c r="E181" s="96"/>
      <c r="F181" s="96"/>
      <c r="G181" s="96"/>
      <c r="H181" s="96"/>
      <c r="I181" s="96"/>
      <c r="J181" s="96"/>
      <c r="K181" s="97"/>
      <c r="L181" s="98"/>
      <c r="M181" s="98"/>
      <c r="N181" s="99"/>
      <c r="O181" s="72"/>
      <c r="P181" s="100"/>
      <c r="Q181" s="101"/>
      <c r="R181" s="316"/>
      <c r="S181" s="75"/>
      <c r="T181" s="76"/>
      <c r="U181" s="72"/>
      <c r="V181" s="60"/>
      <c r="W181" s="60"/>
      <c r="X181" s="310"/>
      <c r="Y181" s="96"/>
    </row>
    <row r="182" spans="1:25" s="103" customFormat="1" ht="65.099999999999994" customHeight="1" x14ac:dyDescent="0.25">
      <c r="A182" s="94"/>
      <c r="B182" s="94"/>
      <c r="C182" s="413"/>
      <c r="D182" s="95"/>
      <c r="E182" s="96"/>
      <c r="F182" s="96"/>
      <c r="G182" s="96"/>
      <c r="H182" s="96"/>
      <c r="I182" s="96"/>
      <c r="J182" s="96"/>
      <c r="K182" s="97"/>
      <c r="L182" s="98"/>
      <c r="M182" s="98"/>
      <c r="N182" s="99"/>
      <c r="O182" s="72"/>
      <c r="P182" s="100"/>
      <c r="Q182" s="101"/>
      <c r="R182" s="316"/>
      <c r="S182" s="75"/>
      <c r="T182" s="76"/>
      <c r="U182" s="72"/>
      <c r="V182" s="60"/>
      <c r="W182" s="60"/>
      <c r="X182" s="310"/>
      <c r="Y182" s="96"/>
    </row>
    <row r="183" spans="1:25" s="103" customFormat="1" ht="65.099999999999994" customHeight="1" x14ac:dyDescent="0.25">
      <c r="A183" s="94"/>
      <c r="B183" s="94"/>
      <c r="C183" s="413"/>
      <c r="D183" s="95"/>
      <c r="E183" s="96"/>
      <c r="F183" s="96"/>
      <c r="G183" s="96"/>
      <c r="H183" s="96"/>
      <c r="I183" s="96"/>
      <c r="J183" s="96"/>
      <c r="K183" s="97"/>
      <c r="L183" s="98"/>
      <c r="M183" s="98"/>
      <c r="N183" s="99"/>
      <c r="O183" s="72"/>
      <c r="P183" s="100"/>
      <c r="Q183" s="101"/>
      <c r="R183" s="316"/>
      <c r="S183" s="75"/>
      <c r="T183" s="76"/>
      <c r="U183" s="72"/>
      <c r="V183" s="60"/>
      <c r="W183" s="60"/>
      <c r="X183" s="310"/>
      <c r="Y183" s="96"/>
    </row>
    <row r="184" spans="1:25" s="103" customFormat="1" ht="65.099999999999994" customHeight="1" x14ac:dyDescent="0.25">
      <c r="A184" s="94"/>
      <c r="B184" s="94"/>
      <c r="C184" s="413"/>
      <c r="D184" s="95"/>
      <c r="E184" s="96"/>
      <c r="F184" s="96"/>
      <c r="G184" s="96"/>
      <c r="H184" s="96"/>
      <c r="I184" s="96"/>
      <c r="J184" s="96"/>
      <c r="K184" s="97"/>
      <c r="L184" s="98"/>
      <c r="M184" s="98"/>
      <c r="N184" s="99"/>
      <c r="O184" s="72"/>
      <c r="P184" s="100"/>
      <c r="Q184" s="101"/>
      <c r="R184" s="316"/>
      <c r="S184" s="75"/>
      <c r="T184" s="76"/>
      <c r="U184" s="72"/>
      <c r="V184" s="60"/>
      <c r="W184" s="60"/>
      <c r="X184" s="310"/>
      <c r="Y184" s="96"/>
    </row>
    <row r="185" spans="1:25" s="103" customFormat="1" ht="65.099999999999994" customHeight="1" x14ac:dyDescent="0.25">
      <c r="A185" s="94"/>
      <c r="B185" s="94"/>
      <c r="C185" s="413"/>
      <c r="D185" s="95"/>
      <c r="E185" s="96"/>
      <c r="F185" s="96"/>
      <c r="G185" s="96"/>
      <c r="H185" s="96"/>
      <c r="I185" s="96"/>
      <c r="J185" s="96"/>
      <c r="K185" s="97"/>
      <c r="L185" s="98"/>
      <c r="M185" s="98"/>
      <c r="N185" s="99"/>
      <c r="O185" s="72"/>
      <c r="P185" s="100"/>
      <c r="Q185" s="101"/>
      <c r="R185" s="316"/>
      <c r="S185" s="75"/>
      <c r="T185" s="76"/>
      <c r="U185" s="72"/>
      <c r="V185" s="60"/>
      <c r="W185" s="60"/>
      <c r="X185" s="310"/>
      <c r="Y185" s="96"/>
    </row>
    <row r="186" spans="1:25" s="103" customFormat="1" ht="65.099999999999994" customHeight="1" x14ac:dyDescent="0.25">
      <c r="A186" s="94"/>
      <c r="B186" s="94"/>
      <c r="C186" s="413"/>
      <c r="D186" s="95"/>
      <c r="E186" s="96"/>
      <c r="F186" s="96"/>
      <c r="G186" s="96"/>
      <c r="H186" s="96"/>
      <c r="I186" s="96"/>
      <c r="J186" s="96"/>
      <c r="K186" s="97"/>
      <c r="L186" s="98"/>
      <c r="M186" s="98"/>
      <c r="N186" s="99"/>
      <c r="O186" s="72"/>
      <c r="P186" s="100"/>
      <c r="Q186" s="101"/>
      <c r="R186" s="316"/>
      <c r="S186" s="75"/>
      <c r="T186" s="76"/>
      <c r="U186" s="72"/>
      <c r="V186" s="60"/>
      <c r="W186" s="60"/>
      <c r="X186" s="310"/>
      <c r="Y186" s="96"/>
    </row>
    <row r="187" spans="1:25" s="103" customFormat="1" ht="65.099999999999994" customHeight="1" x14ac:dyDescent="0.25">
      <c r="A187" s="94"/>
      <c r="B187" s="94"/>
      <c r="C187" s="413"/>
      <c r="D187" s="95"/>
      <c r="E187" s="96"/>
      <c r="F187" s="96"/>
      <c r="G187" s="96"/>
      <c r="H187" s="96"/>
      <c r="I187" s="96"/>
      <c r="J187" s="96"/>
      <c r="K187" s="97"/>
      <c r="L187" s="98"/>
      <c r="M187" s="98"/>
      <c r="N187" s="99"/>
      <c r="O187" s="72"/>
      <c r="P187" s="100"/>
      <c r="Q187" s="101"/>
      <c r="R187" s="316"/>
      <c r="S187" s="75"/>
      <c r="T187" s="76"/>
      <c r="U187" s="72"/>
      <c r="V187" s="60"/>
      <c r="W187" s="60"/>
      <c r="X187" s="310"/>
      <c r="Y187" s="96"/>
    </row>
    <row r="188" spans="1:25" s="103" customFormat="1" ht="65.099999999999994" customHeight="1" x14ac:dyDescent="0.25">
      <c r="A188" s="94"/>
      <c r="B188" s="94"/>
      <c r="C188" s="413"/>
      <c r="D188" s="95"/>
      <c r="E188" s="96"/>
      <c r="F188" s="96"/>
      <c r="G188" s="96"/>
      <c r="H188" s="96"/>
      <c r="I188" s="96"/>
      <c r="J188" s="96"/>
      <c r="K188" s="97"/>
      <c r="L188" s="98"/>
      <c r="M188" s="98"/>
      <c r="N188" s="99"/>
      <c r="O188" s="72"/>
      <c r="P188" s="100"/>
      <c r="Q188" s="101"/>
      <c r="R188" s="316"/>
      <c r="S188" s="75"/>
      <c r="T188" s="76"/>
      <c r="U188" s="72"/>
      <c r="V188" s="60"/>
      <c r="W188" s="60"/>
      <c r="X188" s="310"/>
      <c r="Y188" s="96"/>
    </row>
    <row r="189" spans="1:25" s="103" customFormat="1" ht="65.099999999999994" customHeight="1" x14ac:dyDescent="0.25">
      <c r="A189" s="94"/>
      <c r="B189" s="94"/>
      <c r="C189" s="413"/>
      <c r="D189" s="95"/>
      <c r="E189" s="96"/>
      <c r="F189" s="96"/>
      <c r="G189" s="96"/>
      <c r="H189" s="96"/>
      <c r="I189" s="96"/>
      <c r="J189" s="96"/>
      <c r="K189" s="97"/>
      <c r="L189" s="98"/>
      <c r="M189" s="98"/>
      <c r="N189" s="99"/>
      <c r="O189" s="72"/>
      <c r="P189" s="100"/>
      <c r="Q189" s="101"/>
      <c r="R189" s="316"/>
      <c r="S189" s="75"/>
      <c r="T189" s="76"/>
      <c r="U189" s="72"/>
      <c r="V189" s="60"/>
      <c r="W189" s="60"/>
      <c r="X189" s="310"/>
      <c r="Y189" s="96"/>
    </row>
    <row r="190" spans="1:25" s="103" customFormat="1" ht="65.099999999999994" customHeight="1" x14ac:dyDescent="0.25">
      <c r="A190" s="94"/>
      <c r="B190" s="94"/>
      <c r="C190" s="413"/>
      <c r="D190" s="95"/>
      <c r="E190" s="96"/>
      <c r="F190" s="96"/>
      <c r="G190" s="96"/>
      <c r="H190" s="96"/>
      <c r="I190" s="96"/>
      <c r="J190" s="96"/>
      <c r="K190" s="97"/>
      <c r="L190" s="98"/>
      <c r="M190" s="98"/>
      <c r="N190" s="99"/>
      <c r="O190" s="72"/>
      <c r="P190" s="100"/>
      <c r="Q190" s="101"/>
      <c r="R190" s="316"/>
      <c r="S190" s="75"/>
      <c r="T190" s="76"/>
      <c r="U190" s="72"/>
      <c r="V190" s="60"/>
      <c r="W190" s="60"/>
      <c r="X190" s="310"/>
      <c r="Y190" s="96"/>
    </row>
    <row r="191" spans="1:25" s="103" customFormat="1" ht="65.099999999999994" customHeight="1" x14ac:dyDescent="0.25">
      <c r="A191" s="94"/>
      <c r="B191" s="94"/>
      <c r="C191" s="413"/>
      <c r="D191" s="95"/>
      <c r="E191" s="96"/>
      <c r="F191" s="96"/>
      <c r="G191" s="96"/>
      <c r="H191" s="96"/>
      <c r="I191" s="96"/>
      <c r="J191" s="96"/>
      <c r="K191" s="97"/>
      <c r="L191" s="98"/>
      <c r="M191" s="98"/>
      <c r="N191" s="99"/>
      <c r="O191" s="72"/>
      <c r="P191" s="100"/>
      <c r="Q191" s="101"/>
      <c r="R191" s="316"/>
      <c r="S191" s="75"/>
      <c r="T191" s="76"/>
      <c r="U191" s="72"/>
      <c r="V191" s="60"/>
      <c r="W191" s="60"/>
      <c r="X191" s="310"/>
      <c r="Y191" s="96"/>
    </row>
    <row r="192" spans="1:25" s="103" customFormat="1" ht="65.099999999999994" customHeight="1" x14ac:dyDescent="0.25">
      <c r="A192" s="94"/>
      <c r="B192" s="94"/>
      <c r="C192" s="413"/>
      <c r="D192" s="95"/>
      <c r="E192" s="96"/>
      <c r="F192" s="96"/>
      <c r="G192" s="96"/>
      <c r="H192" s="96"/>
      <c r="I192" s="96"/>
      <c r="J192" s="96"/>
      <c r="K192" s="97"/>
      <c r="L192" s="98"/>
      <c r="M192" s="98"/>
      <c r="N192" s="99"/>
      <c r="O192" s="72"/>
      <c r="P192" s="100"/>
      <c r="Q192" s="101"/>
      <c r="R192" s="316"/>
      <c r="S192" s="75"/>
      <c r="T192" s="76"/>
      <c r="U192" s="72"/>
      <c r="V192" s="60"/>
      <c r="W192" s="60"/>
      <c r="X192" s="310"/>
      <c r="Y192" s="96"/>
    </row>
    <row r="193" spans="1:25" s="103" customFormat="1" ht="65.099999999999994" customHeight="1" x14ac:dyDescent="0.25">
      <c r="A193" s="94"/>
      <c r="B193" s="94"/>
      <c r="C193" s="413"/>
      <c r="D193" s="95"/>
      <c r="E193" s="96"/>
      <c r="F193" s="96"/>
      <c r="G193" s="96"/>
      <c r="H193" s="96"/>
      <c r="I193" s="96"/>
      <c r="J193" s="96"/>
      <c r="K193" s="97"/>
      <c r="L193" s="98"/>
      <c r="M193" s="98"/>
      <c r="N193" s="99"/>
      <c r="O193" s="72"/>
      <c r="P193" s="100"/>
      <c r="Q193" s="101"/>
      <c r="R193" s="316"/>
      <c r="S193" s="75"/>
      <c r="T193" s="76"/>
      <c r="U193" s="72"/>
      <c r="V193" s="60"/>
      <c r="W193" s="60"/>
      <c r="X193" s="310"/>
      <c r="Y193" s="96"/>
    </row>
    <row r="194" spans="1:25" s="103" customFormat="1" ht="65.099999999999994" customHeight="1" x14ac:dyDescent="0.25">
      <c r="A194" s="94"/>
      <c r="B194" s="94"/>
      <c r="C194" s="413"/>
      <c r="D194" s="95"/>
      <c r="E194" s="96"/>
      <c r="F194" s="96"/>
      <c r="G194" s="96"/>
      <c r="H194" s="96"/>
      <c r="I194" s="96"/>
      <c r="J194" s="96"/>
      <c r="K194" s="97"/>
      <c r="L194" s="98"/>
      <c r="M194" s="98"/>
      <c r="N194" s="99"/>
      <c r="O194" s="72"/>
      <c r="P194" s="100"/>
      <c r="Q194" s="101"/>
      <c r="R194" s="316"/>
      <c r="S194" s="75"/>
      <c r="T194" s="76"/>
      <c r="U194" s="72"/>
      <c r="V194" s="60"/>
      <c r="W194" s="60"/>
      <c r="X194" s="310"/>
      <c r="Y194" s="96"/>
    </row>
    <row r="195" spans="1:25" s="103" customFormat="1" ht="65.099999999999994" customHeight="1" x14ac:dyDescent="0.25">
      <c r="A195" s="94"/>
      <c r="B195" s="94"/>
      <c r="C195" s="413"/>
      <c r="D195" s="95"/>
      <c r="E195" s="96"/>
      <c r="F195" s="96"/>
      <c r="G195" s="96"/>
      <c r="H195" s="96"/>
      <c r="I195" s="96"/>
      <c r="J195" s="96"/>
      <c r="K195" s="97"/>
      <c r="L195" s="98"/>
      <c r="M195" s="98"/>
      <c r="N195" s="99"/>
      <c r="O195" s="72"/>
      <c r="P195" s="100"/>
      <c r="Q195" s="101"/>
      <c r="R195" s="316"/>
      <c r="S195" s="75"/>
      <c r="T195" s="76"/>
      <c r="U195" s="72"/>
      <c r="V195" s="60"/>
      <c r="W195" s="60"/>
      <c r="X195" s="310"/>
      <c r="Y195" s="96"/>
    </row>
    <row r="196" spans="1:25" s="103" customFormat="1" ht="65.099999999999994" customHeight="1" x14ac:dyDescent="0.25">
      <c r="A196" s="94"/>
      <c r="B196" s="94"/>
      <c r="C196" s="413"/>
      <c r="D196" s="95"/>
      <c r="E196" s="96"/>
      <c r="F196" s="96"/>
      <c r="G196" s="96"/>
      <c r="H196" s="96"/>
      <c r="I196" s="96"/>
      <c r="J196" s="96"/>
      <c r="K196" s="97"/>
      <c r="L196" s="98"/>
      <c r="M196" s="98"/>
      <c r="N196" s="99"/>
      <c r="O196" s="72"/>
      <c r="P196" s="100"/>
      <c r="Q196" s="101"/>
      <c r="R196" s="316"/>
      <c r="S196" s="75"/>
      <c r="T196" s="76"/>
      <c r="U196" s="72"/>
      <c r="V196" s="60"/>
      <c r="W196" s="60"/>
      <c r="X196" s="310"/>
      <c r="Y196" s="96"/>
    </row>
    <row r="197" spans="1:25" s="103" customFormat="1" ht="65.099999999999994" customHeight="1" x14ac:dyDescent="0.25">
      <c r="A197" s="94"/>
      <c r="B197" s="94"/>
      <c r="C197" s="413"/>
      <c r="D197" s="95"/>
      <c r="E197" s="96"/>
      <c r="F197" s="96"/>
      <c r="G197" s="96"/>
      <c r="H197" s="96"/>
      <c r="I197" s="96"/>
      <c r="J197" s="96"/>
      <c r="K197" s="97"/>
      <c r="L197" s="98"/>
      <c r="M197" s="98"/>
      <c r="N197" s="99"/>
      <c r="O197" s="72"/>
      <c r="P197" s="100"/>
      <c r="Q197" s="101"/>
      <c r="R197" s="316"/>
      <c r="S197" s="75"/>
      <c r="T197" s="76"/>
      <c r="U197" s="72"/>
      <c r="V197" s="60"/>
      <c r="W197" s="60"/>
      <c r="X197" s="310"/>
      <c r="Y197" s="96"/>
    </row>
    <row r="198" spans="1:25" s="103" customFormat="1" ht="65.099999999999994" customHeight="1" x14ac:dyDescent="0.25">
      <c r="A198" s="94"/>
      <c r="B198" s="94"/>
      <c r="C198" s="413"/>
      <c r="D198" s="95"/>
      <c r="E198" s="96"/>
      <c r="F198" s="96"/>
      <c r="G198" s="96"/>
      <c r="H198" s="96"/>
      <c r="I198" s="96"/>
      <c r="J198" s="96"/>
      <c r="K198" s="97"/>
      <c r="L198" s="98"/>
      <c r="M198" s="98"/>
      <c r="N198" s="99"/>
      <c r="O198" s="72"/>
      <c r="P198" s="100"/>
      <c r="Q198" s="101"/>
      <c r="R198" s="316"/>
      <c r="S198" s="75"/>
      <c r="T198" s="76"/>
      <c r="U198" s="72"/>
      <c r="V198" s="60"/>
      <c r="W198" s="60"/>
      <c r="X198" s="310"/>
      <c r="Y198" s="96"/>
    </row>
  </sheetData>
  <autoFilter ref="A1:Y17"/>
  <mergeCells count="38">
    <mergeCell ref="A19:A22"/>
    <mergeCell ref="S1:S2"/>
    <mergeCell ref="T1:T2"/>
    <mergeCell ref="U1:U2"/>
    <mergeCell ref="V1:V2"/>
    <mergeCell ref="M1:M2"/>
    <mergeCell ref="N1:N2"/>
    <mergeCell ref="O1:O2"/>
    <mergeCell ref="P1:P2"/>
    <mergeCell ref="Q1:Q2"/>
    <mergeCell ref="R1:R2"/>
    <mergeCell ref="G1:G2"/>
    <mergeCell ref="H1:H2"/>
    <mergeCell ref="I1:I2"/>
    <mergeCell ref="J1:J2"/>
    <mergeCell ref="K1:K2"/>
    <mergeCell ref="Y1:Y2"/>
    <mergeCell ref="A3:A6"/>
    <mergeCell ref="A7:A10"/>
    <mergeCell ref="A11:A14"/>
    <mergeCell ref="A15:A18"/>
    <mergeCell ref="W1:W2"/>
    <mergeCell ref="X1:X2"/>
    <mergeCell ref="L1:L2"/>
    <mergeCell ref="A1:A2"/>
    <mergeCell ref="B1:B2"/>
    <mergeCell ref="C1:C2"/>
    <mergeCell ref="D1:D2"/>
    <mergeCell ref="E1:E2"/>
    <mergeCell ref="F1:F2"/>
    <mergeCell ref="A47:A50"/>
    <mergeCell ref="A51:A54"/>
    <mergeCell ref="A23:A26"/>
    <mergeCell ref="A27:A30"/>
    <mergeCell ref="A31:A34"/>
    <mergeCell ref="A35:A38"/>
    <mergeCell ref="A39:A42"/>
    <mergeCell ref="A43:A46"/>
  </mergeCells>
  <conditionalFormatting sqref="X3">
    <cfRule type="containsText" dxfId="51" priority="11" operator="containsText" text="NO CUMPLE">
      <formula>NOT(ISERROR(SEARCH("NO CUMPLE",X3)))</formula>
    </cfRule>
  </conditionalFormatting>
  <conditionalFormatting sqref="X4">
    <cfRule type="containsText" dxfId="50" priority="10" operator="containsText" text="NO CUMPLE">
      <formula>NOT(ISERROR(SEARCH("NO CUMPLE",X4)))</formula>
    </cfRule>
  </conditionalFormatting>
  <conditionalFormatting sqref="X5">
    <cfRule type="containsText" dxfId="49" priority="9" operator="containsText" text="NO CUMPLE">
      <formula>NOT(ISERROR(SEARCH("NO CUMPLE",X5)))</formula>
    </cfRule>
  </conditionalFormatting>
  <conditionalFormatting sqref="X6">
    <cfRule type="containsText" dxfId="48" priority="8" operator="containsText" text="NO CUMPLE">
      <formula>NOT(ISERROR(SEARCH("NO CUMPLE",X6)))</formula>
    </cfRule>
  </conditionalFormatting>
  <conditionalFormatting sqref="X10 X14 X18 X22 X26 X30 X34 X38 X42 X46 X50 X54">
    <cfRule type="containsText" dxfId="47" priority="7" operator="containsText" text="NO CUMPLE">
      <formula>NOT(ISERROR(SEARCH("NO CUMPLE",X10)))</formula>
    </cfRule>
  </conditionalFormatting>
  <conditionalFormatting sqref="X8:X9 X12:X13 X16:X17 X20:X21 X24:X25 X28:X29 X32:X33 X36:X37 X40:X41 X44:X45 X48:X49 X52:X53">
    <cfRule type="containsText" dxfId="46" priority="6" operator="containsText" text="NO CUMPLE">
      <formula>NOT(ISERROR(SEARCH("NO CUMPLE",X8)))</formula>
    </cfRule>
  </conditionalFormatting>
  <conditionalFormatting sqref="X7 X11 X15 X19 X23 X27 X31 X35 X39 X43 X47 X51">
    <cfRule type="containsText" dxfId="45" priority="5" operator="containsText" text="NO CUMPLE">
      <formula>NOT(ISERROR(SEARCH("NO CUMPLE",X7)))</formula>
    </cfRule>
  </conditionalFormatting>
  <dataValidations count="1">
    <dataValidation type="list" allowBlank="1" showInputMessage="1" showErrorMessage="1" sqref="G3:J54">
      <formula1>$AA$1:$AB$1</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PROPONENTES</vt:lpstr>
      <vt:lpstr>PARÁMETROS</vt:lpstr>
      <vt:lpstr>DESEMPATE</vt:lpstr>
      <vt:lpstr>EXP GEN. 1-8.</vt:lpstr>
      <vt:lpstr>EXP ESPEC. 1-8.</vt:lpstr>
      <vt:lpstr>EXP GEN. 9-16</vt:lpstr>
      <vt:lpstr>EXP ESPEC. 9 - 16</vt:lpstr>
      <vt:lpstr>EXP GEN. 17-24</vt:lpstr>
      <vt:lpstr>EXP ESPEC. 17-24</vt:lpstr>
      <vt:lpstr>EXP GEN. 25-32</vt:lpstr>
      <vt:lpstr>EXP ESPEC. 25-32</vt:lpstr>
      <vt:lpstr>EXP GEN. 33-40</vt:lpstr>
      <vt:lpstr>EXP ESPEC. 33-40</vt:lpstr>
      <vt:lpstr>EXP GEN. 41-50</vt:lpstr>
      <vt:lpstr>EXP ESPEC. 41-50</vt:lpstr>
      <vt:lpstr>Hoja1</vt:lpstr>
    </vt:vector>
  </TitlesOfParts>
  <Company>Snn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Snn Pr1</dc:creator>
  <cp:lastModifiedBy>Magda Lucia Olarte Gonzalez</cp:lastModifiedBy>
  <dcterms:created xsi:type="dcterms:W3CDTF">2015-12-03T23:01:34Z</dcterms:created>
  <dcterms:modified xsi:type="dcterms:W3CDTF">2016-02-16T22:36:53Z</dcterms:modified>
</cp:coreProperties>
</file>