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rada\Desktop\javier p\PROCESOS\CONCURSOS DE MERITOS\CUCUTA\EVALUACION\EVALUACION TECNICA\"/>
    </mc:Choice>
  </mc:AlternateContent>
  <bookViews>
    <workbookView xWindow="0" yWindow="0" windowWidth="20400" windowHeight="7755" tabRatio="500"/>
  </bookViews>
  <sheets>
    <sheet name="CONSOLIDADO" sheetId="6" r:id="rId1"/>
    <sheet name="PARÁMETROS" sheetId="5" r:id="rId2"/>
    <sheet name="EXP GEN. 1-5" sheetId="35" r:id="rId3"/>
    <sheet name="EXP ESPEC. 1-5 " sheetId="36" r:id="rId4"/>
    <sheet name="EXP GEN. 6-12" sheetId="31" r:id="rId5"/>
    <sheet name="EXP ESPEC. 6-12" sheetId="32" r:id="rId6"/>
    <sheet name="EXP GEN. 13-19" sheetId="17" r:id="rId7"/>
    <sheet name="EXP ESPEC. 13-19" sheetId="18" r:id="rId8"/>
    <sheet name="EXP GEN. 20-26" sheetId="29" r:id="rId9"/>
    <sheet name="EXP ESPEC. 20-26" sheetId="30" r:id="rId10"/>
    <sheet name="EXP GEN. 27-33" sheetId="27" r:id="rId11"/>
    <sheet name="EXP ESPEC. 27-33" sheetId="28" r:id="rId12"/>
    <sheet name="EXP GEN. 34-40" sheetId="33" r:id="rId13"/>
    <sheet name="EXP ESPEC. 34-40" sheetId="34" r:id="rId14"/>
    <sheet name="EXP GEN. 41" sheetId="37" r:id="rId15"/>
    <sheet name="EXP ESPEC. 41" sheetId="38" r:id="rId16"/>
    <sheet name="DESEMPATE" sheetId="14" r:id="rId17"/>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7" hidden="1">'EXP ESPEC. 13-19'!$A$1:$Y$17</definedName>
    <definedName name="_xlnm._FilterDatabase" localSheetId="3" hidden="1">'EXP ESPEC. 1-5 '!$A$1:$Y$17</definedName>
    <definedName name="_xlnm._FilterDatabase" localSheetId="9" hidden="1">'EXP ESPEC. 20-26'!$A$1:$Y$17</definedName>
    <definedName name="_xlnm._FilterDatabase" localSheetId="11" hidden="1">'EXP ESPEC. 27-33'!$A$1:$Y$17</definedName>
    <definedName name="_xlnm._FilterDatabase" localSheetId="13" hidden="1">'EXP ESPEC. 34-40'!$A$1:$Y$17</definedName>
    <definedName name="_xlnm._FilterDatabase" localSheetId="15" hidden="1">'EXP ESPEC. 41'!$A$1:$Y$17</definedName>
    <definedName name="_xlnm._FilterDatabase" localSheetId="5" hidden="1">'EXP ESPEC. 6-12'!$A$1:$Y$17</definedName>
    <definedName name="_xlnm._FilterDatabase" localSheetId="6" hidden="1">'EXP GEN. 13-19'!$A$1:$AJ$15</definedName>
    <definedName name="_xlnm._FilterDatabase" localSheetId="2" hidden="1">'EXP GEN. 1-5'!$A$1:$AJ$18</definedName>
    <definedName name="_xlnm._FilterDatabase" localSheetId="8" hidden="1">'EXP GEN. 20-26'!$A$1:$AJ$17</definedName>
    <definedName name="_xlnm._FilterDatabase" localSheetId="10" hidden="1">'EXP GEN. 27-33'!$A$1:$AJ$22</definedName>
    <definedName name="_xlnm._FilterDatabase" localSheetId="12" hidden="1">'EXP GEN. 34-40'!$A$1:$AJ$21</definedName>
    <definedName name="_xlnm._FilterDatabase" localSheetId="14" hidden="1">'EXP GEN. 41'!$A$1:$AJ$23</definedName>
    <definedName name="_xlnm._FilterDatabase" localSheetId="4" hidden="1">'EXP GEN. 6-12'!$A$1:$AJ$21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3" i="14" l="1"/>
  <c r="L4" i="14"/>
  <c r="L5" i="14"/>
  <c r="L8" i="14"/>
  <c r="L9" i="14"/>
  <c r="L11" i="14"/>
  <c r="L12" i="14"/>
  <c r="L14" i="14"/>
  <c r="L16" i="14"/>
  <c r="L17" i="14"/>
  <c r="L20" i="14"/>
  <c r="L25" i="14"/>
  <c r="L27" i="14"/>
  <c r="L28" i="14"/>
  <c r="L30" i="14"/>
  <c r="L33" i="14"/>
  <c r="L36" i="14"/>
  <c r="L37" i="14"/>
  <c r="L39" i="14"/>
  <c r="L41" i="14"/>
  <c r="L44" i="14"/>
  <c r="L46" i="14"/>
  <c r="L47" i="14"/>
  <c r="L49" i="14"/>
  <c r="L50" i="14"/>
  <c r="L52" i="14"/>
  <c r="L54" i="14"/>
  <c r="L55" i="14"/>
  <c r="L57" i="14"/>
  <c r="L61" i="14"/>
  <c r="L66" i="14"/>
  <c r="L68" i="14"/>
  <c r="L69" i="14"/>
  <c r="L71" i="14"/>
  <c r="L72" i="14"/>
  <c r="L75" i="14"/>
  <c r="L76" i="14"/>
  <c r="L78" i="14"/>
  <c r="L80" i="14"/>
  <c r="L81" i="14"/>
  <c r="L83" i="14"/>
  <c r="L86" i="14"/>
  <c r="L87" i="14"/>
  <c r="L88" i="14"/>
  <c r="K86" i="6" l="1"/>
  <c r="K84" i="6"/>
  <c r="K75" i="6"/>
  <c r="K71" i="6"/>
  <c r="K66" i="6"/>
  <c r="K60" i="6"/>
  <c r="K53" i="6"/>
  <c r="K50" i="6"/>
  <c r="K44" i="6"/>
  <c r="K36" i="6"/>
  <c r="K38" i="6"/>
  <c r="K40" i="6"/>
  <c r="K42" i="6"/>
  <c r="K34" i="6"/>
  <c r="K33" i="6"/>
  <c r="K31" i="6"/>
  <c r="K25" i="6"/>
  <c r="K24" i="6"/>
  <c r="K22" i="6"/>
  <c r="K18" i="6"/>
  <c r="K15" i="6"/>
  <c r="K13" i="6"/>
  <c r="K11" i="6"/>
  <c r="K6" i="6"/>
  <c r="K4" i="6"/>
  <c r="P3" i="28" l="1"/>
  <c r="N22" i="28" l="1"/>
  <c r="W28" i="28"/>
  <c r="I68" i="14" s="1"/>
  <c r="N28" i="28"/>
  <c r="O28" i="28" s="1"/>
  <c r="Q25" i="35"/>
  <c r="S25" i="35" s="1"/>
  <c r="X28" i="28" l="1"/>
  <c r="U54" i="38"/>
  <c r="N54" i="38"/>
  <c r="O54" i="38" s="1"/>
  <c r="V54" i="38" s="1"/>
  <c r="W54" i="38" s="1"/>
  <c r="X54" i="38" s="1"/>
  <c r="D54" i="38"/>
  <c r="U53" i="38"/>
  <c r="N53" i="38"/>
  <c r="O53" i="38" s="1"/>
  <c r="D53" i="38"/>
  <c r="U52" i="38"/>
  <c r="N52" i="38"/>
  <c r="O52" i="38" s="1"/>
  <c r="D52" i="38"/>
  <c r="U51" i="38"/>
  <c r="N51" i="38"/>
  <c r="O51" i="38" s="1"/>
  <c r="D51" i="38"/>
  <c r="U50" i="38"/>
  <c r="O50" i="38"/>
  <c r="N50" i="38"/>
  <c r="D50" i="38"/>
  <c r="U49" i="38"/>
  <c r="N49" i="38"/>
  <c r="O49" i="38" s="1"/>
  <c r="D49" i="38"/>
  <c r="U48" i="38"/>
  <c r="O48" i="38"/>
  <c r="V48" i="38" s="1"/>
  <c r="W48" i="38" s="1"/>
  <c r="X48" i="38" s="1"/>
  <c r="N48" i="38"/>
  <c r="D48" i="38"/>
  <c r="U47" i="38"/>
  <c r="N47" i="38"/>
  <c r="O47" i="38" s="1"/>
  <c r="D47" i="38"/>
  <c r="U46" i="38"/>
  <c r="N46" i="38"/>
  <c r="O46" i="38" s="1"/>
  <c r="D46" i="38"/>
  <c r="U45" i="38"/>
  <c r="N45" i="38"/>
  <c r="O45" i="38" s="1"/>
  <c r="D45" i="38"/>
  <c r="U44" i="38"/>
  <c r="N44" i="38"/>
  <c r="O44" i="38" s="1"/>
  <c r="V44" i="38" s="1"/>
  <c r="W44" i="38" s="1"/>
  <c r="X44" i="38" s="1"/>
  <c r="D44" i="38"/>
  <c r="U43" i="38"/>
  <c r="N43" i="38"/>
  <c r="O43" i="38" s="1"/>
  <c r="D43" i="38"/>
  <c r="U42" i="38"/>
  <c r="N42" i="38"/>
  <c r="O42" i="38" s="1"/>
  <c r="V42" i="38" s="1"/>
  <c r="W42" i="38" s="1"/>
  <c r="X42" i="38" s="1"/>
  <c r="D42" i="38"/>
  <c r="U41" i="38"/>
  <c r="N41" i="38"/>
  <c r="O41" i="38" s="1"/>
  <c r="D41" i="38"/>
  <c r="U40" i="38"/>
  <c r="N40" i="38"/>
  <c r="O40" i="38" s="1"/>
  <c r="V40" i="38" s="1"/>
  <c r="W40" i="38" s="1"/>
  <c r="X40" i="38" s="1"/>
  <c r="D40" i="38"/>
  <c r="U39" i="38"/>
  <c r="N39" i="38"/>
  <c r="O39" i="38" s="1"/>
  <c r="D39" i="38"/>
  <c r="U38" i="38"/>
  <c r="O38" i="38"/>
  <c r="N38" i="38"/>
  <c r="D38" i="38"/>
  <c r="U37" i="38"/>
  <c r="N37" i="38"/>
  <c r="O37" i="38" s="1"/>
  <c r="D37" i="38"/>
  <c r="U36" i="38"/>
  <c r="N36" i="38"/>
  <c r="O36" i="38" s="1"/>
  <c r="D36" i="38"/>
  <c r="U35" i="38"/>
  <c r="N35" i="38"/>
  <c r="O35" i="38" s="1"/>
  <c r="D35" i="38"/>
  <c r="U34" i="38"/>
  <c r="O34" i="38"/>
  <c r="V34" i="38" s="1"/>
  <c r="W34" i="38" s="1"/>
  <c r="X34" i="38" s="1"/>
  <c r="N34" i="38"/>
  <c r="D34" i="38"/>
  <c r="U33" i="38"/>
  <c r="N33" i="38"/>
  <c r="O33" i="38" s="1"/>
  <c r="D33" i="38"/>
  <c r="U32" i="38"/>
  <c r="N32" i="38"/>
  <c r="O32" i="38" s="1"/>
  <c r="V32" i="38" s="1"/>
  <c r="W32" i="38" s="1"/>
  <c r="X32" i="38" s="1"/>
  <c r="D32" i="38"/>
  <c r="U31" i="38"/>
  <c r="N31" i="38"/>
  <c r="O31" i="38" s="1"/>
  <c r="D31" i="38"/>
  <c r="U30" i="38"/>
  <c r="N30" i="38"/>
  <c r="O30" i="38" s="1"/>
  <c r="V30" i="38" s="1"/>
  <c r="W30" i="38" s="1"/>
  <c r="X30" i="38" s="1"/>
  <c r="D30" i="38"/>
  <c r="U29" i="38"/>
  <c r="N29" i="38"/>
  <c r="O29" i="38" s="1"/>
  <c r="D29" i="38"/>
  <c r="U28" i="38"/>
  <c r="N28" i="38"/>
  <c r="O28" i="38" s="1"/>
  <c r="V28" i="38" s="1"/>
  <c r="W28" i="38" s="1"/>
  <c r="X28" i="38" s="1"/>
  <c r="D28" i="38"/>
  <c r="U27" i="38"/>
  <c r="N27" i="38"/>
  <c r="O27" i="38" s="1"/>
  <c r="D27" i="38"/>
  <c r="U26" i="38"/>
  <c r="O26" i="38"/>
  <c r="N26" i="38"/>
  <c r="D26" i="38"/>
  <c r="U25" i="38"/>
  <c r="N25" i="38"/>
  <c r="O25" i="38" s="1"/>
  <c r="D25" i="38"/>
  <c r="U24" i="38"/>
  <c r="O24" i="38"/>
  <c r="V24" i="38" s="1"/>
  <c r="W24" i="38" s="1"/>
  <c r="X24" i="38" s="1"/>
  <c r="N24" i="38"/>
  <c r="D24" i="38"/>
  <c r="U23" i="38"/>
  <c r="N23" i="38"/>
  <c r="O23" i="38" s="1"/>
  <c r="D23" i="38"/>
  <c r="U22" i="38"/>
  <c r="N22" i="38"/>
  <c r="O22" i="38" s="1"/>
  <c r="D22" i="38"/>
  <c r="U21" i="38"/>
  <c r="N21" i="38"/>
  <c r="O21" i="38" s="1"/>
  <c r="D21" i="38"/>
  <c r="U20" i="38"/>
  <c r="O20" i="38"/>
  <c r="N20" i="38"/>
  <c r="D20" i="38"/>
  <c r="U19" i="38"/>
  <c r="N19" i="38"/>
  <c r="O19" i="38" s="1"/>
  <c r="D19" i="38"/>
  <c r="U18" i="38"/>
  <c r="N18" i="38"/>
  <c r="O18" i="38" s="1"/>
  <c r="V18" i="38" s="1"/>
  <c r="W18" i="38" s="1"/>
  <c r="X18" i="38" s="1"/>
  <c r="D18" i="38"/>
  <c r="U17" i="38"/>
  <c r="N17" i="38"/>
  <c r="O17" i="38" s="1"/>
  <c r="D17" i="38"/>
  <c r="U16" i="38"/>
  <c r="O16" i="38"/>
  <c r="N16" i="38"/>
  <c r="D16" i="38"/>
  <c r="U15" i="38"/>
  <c r="N15" i="38"/>
  <c r="O15" i="38" s="1"/>
  <c r="D15" i="38"/>
  <c r="U14" i="38"/>
  <c r="N14" i="38"/>
  <c r="O14" i="38" s="1"/>
  <c r="D14" i="38"/>
  <c r="U13" i="38"/>
  <c r="N13" i="38"/>
  <c r="O13" i="38" s="1"/>
  <c r="D13" i="38"/>
  <c r="U12" i="38"/>
  <c r="N12" i="38"/>
  <c r="O12" i="38" s="1"/>
  <c r="D12" i="38"/>
  <c r="U11" i="38"/>
  <c r="N11" i="38"/>
  <c r="O11" i="38" s="1"/>
  <c r="D11" i="38"/>
  <c r="U10" i="38"/>
  <c r="N10" i="38"/>
  <c r="O10" i="38" s="1"/>
  <c r="D10" i="38"/>
  <c r="U9" i="38"/>
  <c r="N9" i="38"/>
  <c r="O9" i="38" s="1"/>
  <c r="D9" i="38"/>
  <c r="U8" i="38"/>
  <c r="N8" i="38"/>
  <c r="O8" i="38" s="1"/>
  <c r="V8" i="38" s="1"/>
  <c r="W8" i="38" s="1"/>
  <c r="X8" i="38" s="1"/>
  <c r="D8" i="38"/>
  <c r="U7" i="38"/>
  <c r="N7" i="38"/>
  <c r="O7" i="38" s="1"/>
  <c r="D7" i="38"/>
  <c r="U6" i="38"/>
  <c r="N6" i="38"/>
  <c r="O6" i="38" s="1"/>
  <c r="D6" i="38"/>
  <c r="U5" i="38"/>
  <c r="N5" i="38"/>
  <c r="O5" i="38" s="1"/>
  <c r="D5" i="38"/>
  <c r="U4" i="38"/>
  <c r="N4" i="38"/>
  <c r="O4" i="38" s="1"/>
  <c r="D4" i="38"/>
  <c r="U3" i="38"/>
  <c r="O3" i="38"/>
  <c r="N3" i="38"/>
  <c r="D3" i="38"/>
  <c r="S80" i="37"/>
  <c r="L80" i="37"/>
  <c r="M80" i="37" s="1"/>
  <c r="D80" i="37"/>
  <c r="S79" i="37"/>
  <c r="L79" i="37"/>
  <c r="M79" i="37" s="1"/>
  <c r="D79" i="37"/>
  <c r="S78" i="37"/>
  <c r="L78" i="37"/>
  <c r="M78" i="37" s="1"/>
  <c r="D78" i="37"/>
  <c r="S77" i="37"/>
  <c r="L77" i="37"/>
  <c r="M77" i="37" s="1"/>
  <c r="D77" i="37"/>
  <c r="S76" i="37"/>
  <c r="L76" i="37"/>
  <c r="M76" i="37" s="1"/>
  <c r="D76" i="37"/>
  <c r="S75" i="37"/>
  <c r="L75" i="37"/>
  <c r="M75" i="37" s="1"/>
  <c r="D75" i="37"/>
  <c r="S74" i="37"/>
  <c r="L74" i="37"/>
  <c r="M74" i="37" s="1"/>
  <c r="T74" i="37" s="1"/>
  <c r="U74" i="37" s="1"/>
  <c r="AI74" i="37" s="1"/>
  <c r="D74" i="37"/>
  <c r="S73" i="37"/>
  <c r="L73" i="37"/>
  <c r="M73" i="37" s="1"/>
  <c r="D73" i="37"/>
  <c r="S72" i="37"/>
  <c r="L72" i="37"/>
  <c r="M72" i="37" s="1"/>
  <c r="D72" i="37"/>
  <c r="S71" i="37"/>
  <c r="T71" i="37" s="1"/>
  <c r="U71" i="37" s="1"/>
  <c r="AI71" i="37" s="1"/>
  <c r="L71" i="37"/>
  <c r="M71" i="37" s="1"/>
  <c r="D71" i="37"/>
  <c r="S70" i="37"/>
  <c r="L70" i="37"/>
  <c r="M70" i="37" s="1"/>
  <c r="D70" i="37"/>
  <c r="S69" i="37"/>
  <c r="L69" i="37"/>
  <c r="M69" i="37" s="1"/>
  <c r="D69" i="37"/>
  <c r="S68" i="37"/>
  <c r="L68" i="37"/>
  <c r="M68" i="37" s="1"/>
  <c r="D68" i="37"/>
  <c r="S67" i="37"/>
  <c r="T67" i="37" s="1"/>
  <c r="U67" i="37" s="1"/>
  <c r="AI67" i="37" s="1"/>
  <c r="L67" i="37"/>
  <c r="M67" i="37" s="1"/>
  <c r="D67" i="37"/>
  <c r="S66" i="37"/>
  <c r="M66" i="37"/>
  <c r="L66" i="37"/>
  <c r="D66" i="37"/>
  <c r="S65" i="37"/>
  <c r="L65" i="37"/>
  <c r="M65" i="37" s="1"/>
  <c r="D65" i="37"/>
  <c r="S64" i="37"/>
  <c r="L64" i="37"/>
  <c r="M64" i="37" s="1"/>
  <c r="D64" i="37"/>
  <c r="S63" i="37"/>
  <c r="L63" i="37"/>
  <c r="M63" i="37" s="1"/>
  <c r="D63" i="37"/>
  <c r="S62" i="37"/>
  <c r="L62" i="37"/>
  <c r="M62" i="37" s="1"/>
  <c r="D62" i="37"/>
  <c r="S61" i="37"/>
  <c r="L61" i="37"/>
  <c r="M61" i="37" s="1"/>
  <c r="D61" i="37"/>
  <c r="S60" i="37"/>
  <c r="L60" i="37"/>
  <c r="M60" i="37" s="1"/>
  <c r="D60" i="37"/>
  <c r="S59" i="37"/>
  <c r="L59" i="37"/>
  <c r="M59" i="37" s="1"/>
  <c r="D59" i="37"/>
  <c r="S58" i="37"/>
  <c r="L58" i="37"/>
  <c r="M58" i="37" s="1"/>
  <c r="D58" i="37"/>
  <c r="S57" i="37"/>
  <c r="L57" i="37"/>
  <c r="M57" i="37" s="1"/>
  <c r="D57" i="37"/>
  <c r="S56" i="37"/>
  <c r="L56" i="37"/>
  <c r="M56" i="37" s="1"/>
  <c r="D56" i="37"/>
  <c r="S55" i="37"/>
  <c r="L55" i="37"/>
  <c r="M55" i="37" s="1"/>
  <c r="D55" i="37"/>
  <c r="S54" i="37"/>
  <c r="L54" i="37"/>
  <c r="M54" i="37" s="1"/>
  <c r="D54" i="37"/>
  <c r="S53" i="37"/>
  <c r="L53" i="37"/>
  <c r="M53" i="37" s="1"/>
  <c r="D53" i="37"/>
  <c r="S52" i="37"/>
  <c r="L52" i="37"/>
  <c r="M52" i="37" s="1"/>
  <c r="D52" i="37"/>
  <c r="S51" i="37"/>
  <c r="L51" i="37"/>
  <c r="M51" i="37" s="1"/>
  <c r="D51" i="37"/>
  <c r="S50" i="37"/>
  <c r="L50" i="37"/>
  <c r="M50" i="37" s="1"/>
  <c r="D50" i="37"/>
  <c r="S49" i="37"/>
  <c r="L49" i="37"/>
  <c r="M49" i="37" s="1"/>
  <c r="D49" i="37"/>
  <c r="S48" i="37"/>
  <c r="L48" i="37"/>
  <c r="M48" i="37" s="1"/>
  <c r="D48" i="37"/>
  <c r="S47" i="37"/>
  <c r="L47" i="37"/>
  <c r="M47" i="37" s="1"/>
  <c r="D47" i="37"/>
  <c r="S46" i="37"/>
  <c r="L46" i="37"/>
  <c r="M46" i="37" s="1"/>
  <c r="D46" i="37"/>
  <c r="S45" i="37"/>
  <c r="L45" i="37"/>
  <c r="M45" i="37" s="1"/>
  <c r="D45" i="37"/>
  <c r="S44" i="37"/>
  <c r="L44" i="37"/>
  <c r="M44" i="37" s="1"/>
  <c r="T44" i="37" s="1"/>
  <c r="U44" i="37" s="1"/>
  <c r="AI44" i="37" s="1"/>
  <c r="D44" i="37"/>
  <c r="S43" i="37"/>
  <c r="L43" i="37"/>
  <c r="M43" i="37" s="1"/>
  <c r="D43" i="37"/>
  <c r="S42" i="37"/>
  <c r="T42" i="37" s="1"/>
  <c r="U42" i="37" s="1"/>
  <c r="AI42" i="37" s="1"/>
  <c r="M42" i="37"/>
  <c r="L42" i="37"/>
  <c r="D42" i="37"/>
  <c r="S41" i="37"/>
  <c r="L41" i="37"/>
  <c r="M41" i="37" s="1"/>
  <c r="D41" i="37"/>
  <c r="S40" i="37"/>
  <c r="L40" i="37"/>
  <c r="M40" i="37" s="1"/>
  <c r="D40" i="37"/>
  <c r="S39" i="37"/>
  <c r="L39" i="37"/>
  <c r="M39" i="37" s="1"/>
  <c r="D39" i="37"/>
  <c r="S38" i="37"/>
  <c r="L38" i="37"/>
  <c r="M38" i="37" s="1"/>
  <c r="D38" i="37"/>
  <c r="S37" i="37"/>
  <c r="L37" i="37"/>
  <c r="M37" i="37" s="1"/>
  <c r="D37" i="37"/>
  <c r="S36" i="37"/>
  <c r="M36" i="37"/>
  <c r="L36" i="37"/>
  <c r="D36" i="37"/>
  <c r="S35" i="37"/>
  <c r="L35" i="37"/>
  <c r="M35" i="37" s="1"/>
  <c r="D35" i="37"/>
  <c r="S34" i="37"/>
  <c r="L34" i="37"/>
  <c r="M34" i="37" s="1"/>
  <c r="T34" i="37" s="1"/>
  <c r="U34" i="37" s="1"/>
  <c r="AI34" i="37" s="1"/>
  <c r="D34" i="37"/>
  <c r="S33" i="37"/>
  <c r="L33" i="37"/>
  <c r="M33" i="37" s="1"/>
  <c r="D33" i="37"/>
  <c r="S32" i="37"/>
  <c r="L32" i="37"/>
  <c r="M32" i="37" s="1"/>
  <c r="D32" i="37"/>
  <c r="S31" i="37"/>
  <c r="L31" i="37"/>
  <c r="M31" i="37" s="1"/>
  <c r="D31" i="37"/>
  <c r="S30" i="37"/>
  <c r="L30" i="37"/>
  <c r="M30" i="37" s="1"/>
  <c r="D30" i="37"/>
  <c r="S29" i="37"/>
  <c r="L29" i="37"/>
  <c r="M29" i="37" s="1"/>
  <c r="D29" i="37"/>
  <c r="S28" i="37"/>
  <c r="L28" i="37"/>
  <c r="M28" i="37" s="1"/>
  <c r="D28" i="37"/>
  <c r="S27" i="37"/>
  <c r="L27" i="37"/>
  <c r="M27" i="37" s="1"/>
  <c r="D27" i="37"/>
  <c r="S26" i="37"/>
  <c r="L26" i="37"/>
  <c r="M26" i="37" s="1"/>
  <c r="T26" i="37" s="1"/>
  <c r="U26" i="37" s="1"/>
  <c r="AI26" i="37" s="1"/>
  <c r="D26" i="37"/>
  <c r="S25" i="37"/>
  <c r="L25" i="37"/>
  <c r="M25" i="37" s="1"/>
  <c r="D25" i="37"/>
  <c r="S24" i="37"/>
  <c r="L24" i="37"/>
  <c r="M24" i="37" s="1"/>
  <c r="D24" i="37"/>
  <c r="S23" i="37"/>
  <c r="L23" i="37"/>
  <c r="M23" i="37" s="1"/>
  <c r="D23" i="37"/>
  <c r="S22" i="37"/>
  <c r="L22" i="37"/>
  <c r="M22" i="37" s="1"/>
  <c r="D22" i="37"/>
  <c r="S21" i="37"/>
  <c r="L21" i="37"/>
  <c r="M21" i="37" s="1"/>
  <c r="D21" i="37"/>
  <c r="S20" i="37"/>
  <c r="L20" i="37"/>
  <c r="M20" i="37" s="1"/>
  <c r="D20" i="37"/>
  <c r="S19" i="37"/>
  <c r="L19" i="37"/>
  <c r="M19" i="37" s="1"/>
  <c r="D19" i="37"/>
  <c r="S18" i="37"/>
  <c r="M18" i="37"/>
  <c r="L18" i="37"/>
  <c r="D18" i="37"/>
  <c r="S17" i="37"/>
  <c r="L17" i="37"/>
  <c r="M17" i="37" s="1"/>
  <c r="D17" i="37"/>
  <c r="S16" i="37"/>
  <c r="L16" i="37"/>
  <c r="M16" i="37" s="1"/>
  <c r="D16" i="37"/>
  <c r="S15" i="37"/>
  <c r="L15" i="37"/>
  <c r="M15" i="37" s="1"/>
  <c r="D15" i="37"/>
  <c r="S14" i="37"/>
  <c r="L14" i="37"/>
  <c r="M14" i="37" s="1"/>
  <c r="D14" i="37"/>
  <c r="S13" i="37"/>
  <c r="L13" i="37"/>
  <c r="M13" i="37" s="1"/>
  <c r="D13" i="37"/>
  <c r="S12" i="37"/>
  <c r="L12" i="37"/>
  <c r="M12" i="37" s="1"/>
  <c r="D12" i="37"/>
  <c r="S11" i="37"/>
  <c r="L11" i="37"/>
  <c r="M11" i="37" s="1"/>
  <c r="D11" i="37"/>
  <c r="S10" i="37"/>
  <c r="L10" i="37"/>
  <c r="M10" i="37" s="1"/>
  <c r="D10" i="37"/>
  <c r="S9" i="37"/>
  <c r="T9" i="37" s="1"/>
  <c r="U9" i="37" s="1"/>
  <c r="L9" i="37"/>
  <c r="M9" i="37" s="1"/>
  <c r="D9" i="37"/>
  <c r="S8" i="37"/>
  <c r="L8" i="37"/>
  <c r="M8" i="37" s="1"/>
  <c r="D8" i="37"/>
  <c r="S7" i="37"/>
  <c r="L7" i="37"/>
  <c r="M7" i="37" s="1"/>
  <c r="D7" i="37"/>
  <c r="S6" i="37"/>
  <c r="L6" i="37"/>
  <c r="M6" i="37" s="1"/>
  <c r="D6" i="37"/>
  <c r="S5" i="37"/>
  <c r="L5" i="37"/>
  <c r="M5" i="37" s="1"/>
  <c r="D5" i="37"/>
  <c r="S4" i="37"/>
  <c r="L4" i="37"/>
  <c r="M4" i="37" s="1"/>
  <c r="D4" i="37"/>
  <c r="S3" i="37"/>
  <c r="L3" i="37"/>
  <c r="M3" i="37" s="1"/>
  <c r="D3" i="37"/>
  <c r="U54" i="36"/>
  <c r="N54" i="36"/>
  <c r="O54" i="36" s="1"/>
  <c r="D54" i="36"/>
  <c r="U53" i="36"/>
  <c r="N53" i="36"/>
  <c r="O53" i="36" s="1"/>
  <c r="D53" i="36"/>
  <c r="U52" i="36"/>
  <c r="N52" i="36"/>
  <c r="O52" i="36" s="1"/>
  <c r="D52" i="36"/>
  <c r="U51" i="36"/>
  <c r="N51" i="36"/>
  <c r="O51" i="36" s="1"/>
  <c r="D51" i="36"/>
  <c r="U50" i="36"/>
  <c r="N50" i="36"/>
  <c r="O50" i="36" s="1"/>
  <c r="D50" i="36"/>
  <c r="U49" i="36"/>
  <c r="N49" i="36"/>
  <c r="O49" i="36" s="1"/>
  <c r="D49" i="36"/>
  <c r="U48" i="36"/>
  <c r="N48" i="36"/>
  <c r="O48" i="36" s="1"/>
  <c r="D48" i="36"/>
  <c r="U47" i="36"/>
  <c r="N47" i="36"/>
  <c r="O47" i="36" s="1"/>
  <c r="D47" i="36"/>
  <c r="U46" i="36"/>
  <c r="N46" i="36"/>
  <c r="O46" i="36" s="1"/>
  <c r="D46" i="36"/>
  <c r="U45" i="36"/>
  <c r="V45" i="36" s="1"/>
  <c r="W45" i="36" s="1"/>
  <c r="X45" i="36" s="1"/>
  <c r="N45" i="36"/>
  <c r="O45" i="36" s="1"/>
  <c r="D45" i="36"/>
  <c r="U44" i="36"/>
  <c r="N44" i="36"/>
  <c r="O44" i="36" s="1"/>
  <c r="D44" i="36"/>
  <c r="U43" i="36"/>
  <c r="N43" i="36"/>
  <c r="O43" i="36" s="1"/>
  <c r="D43" i="36"/>
  <c r="U42" i="36"/>
  <c r="N42" i="36"/>
  <c r="O42" i="36" s="1"/>
  <c r="D42" i="36"/>
  <c r="U41" i="36"/>
  <c r="N41" i="36"/>
  <c r="O41" i="36" s="1"/>
  <c r="D41" i="36"/>
  <c r="U40" i="36"/>
  <c r="O40" i="36"/>
  <c r="N40" i="36"/>
  <c r="D40" i="36"/>
  <c r="U39" i="36"/>
  <c r="O39" i="36"/>
  <c r="N39" i="36"/>
  <c r="D39" i="36"/>
  <c r="U38" i="36"/>
  <c r="N38" i="36"/>
  <c r="O38" i="36" s="1"/>
  <c r="D38" i="36"/>
  <c r="U37" i="36"/>
  <c r="N37" i="36"/>
  <c r="O37" i="36" s="1"/>
  <c r="D37" i="36"/>
  <c r="U36" i="36"/>
  <c r="N36" i="36"/>
  <c r="O36" i="36" s="1"/>
  <c r="D36" i="36"/>
  <c r="U35" i="36"/>
  <c r="N35" i="36"/>
  <c r="O35" i="36" s="1"/>
  <c r="D35" i="36"/>
  <c r="U34" i="36"/>
  <c r="N34" i="36"/>
  <c r="O34" i="36" s="1"/>
  <c r="D34" i="36"/>
  <c r="U33" i="36"/>
  <c r="N33" i="36"/>
  <c r="O33" i="36" s="1"/>
  <c r="D33" i="36"/>
  <c r="U32" i="36"/>
  <c r="N32" i="36"/>
  <c r="O32" i="36" s="1"/>
  <c r="D32" i="36"/>
  <c r="U31" i="36"/>
  <c r="N31" i="36"/>
  <c r="O31" i="36" s="1"/>
  <c r="D31" i="36"/>
  <c r="U30" i="36"/>
  <c r="N30" i="36"/>
  <c r="O30" i="36" s="1"/>
  <c r="D30" i="36"/>
  <c r="U29" i="36"/>
  <c r="N29" i="36"/>
  <c r="O29" i="36" s="1"/>
  <c r="D29" i="36"/>
  <c r="U28" i="36"/>
  <c r="N28" i="36"/>
  <c r="O28" i="36" s="1"/>
  <c r="D28" i="36"/>
  <c r="U27" i="36"/>
  <c r="N27" i="36"/>
  <c r="O27" i="36" s="1"/>
  <c r="D27" i="36"/>
  <c r="U26" i="36"/>
  <c r="N26" i="36"/>
  <c r="O26" i="36" s="1"/>
  <c r="V26" i="36" s="1"/>
  <c r="W26" i="36" s="1"/>
  <c r="X26" i="36" s="1"/>
  <c r="D26" i="36"/>
  <c r="U25" i="36"/>
  <c r="N25" i="36"/>
  <c r="O25" i="36" s="1"/>
  <c r="D25" i="36"/>
  <c r="U24" i="36"/>
  <c r="N24" i="36"/>
  <c r="O24" i="36" s="1"/>
  <c r="D24" i="36"/>
  <c r="U23" i="36"/>
  <c r="N23" i="36"/>
  <c r="O23" i="36" s="1"/>
  <c r="V23" i="36" s="1"/>
  <c r="W23" i="36" s="1"/>
  <c r="X23" i="36" s="1"/>
  <c r="D23" i="36"/>
  <c r="U22" i="36"/>
  <c r="N22" i="36"/>
  <c r="O22" i="36" s="1"/>
  <c r="D22" i="36"/>
  <c r="U21" i="36"/>
  <c r="N21" i="36"/>
  <c r="O21" i="36" s="1"/>
  <c r="D21" i="36"/>
  <c r="U20" i="36"/>
  <c r="N20" i="36"/>
  <c r="O20" i="36" s="1"/>
  <c r="D20" i="36"/>
  <c r="U19" i="36"/>
  <c r="N19" i="36"/>
  <c r="O19" i="36" s="1"/>
  <c r="D19" i="36"/>
  <c r="U18" i="36"/>
  <c r="S18" i="36"/>
  <c r="N18" i="36"/>
  <c r="O18" i="36" s="1"/>
  <c r="D18" i="36"/>
  <c r="U17" i="36"/>
  <c r="S17" i="36"/>
  <c r="N17" i="36"/>
  <c r="O17" i="36" s="1"/>
  <c r="D17" i="36"/>
  <c r="U16" i="36"/>
  <c r="N16" i="36"/>
  <c r="O16" i="36" s="1"/>
  <c r="V16" i="36" s="1"/>
  <c r="W16" i="36" s="1"/>
  <c r="X16" i="36" s="1"/>
  <c r="D16" i="36"/>
  <c r="U15" i="36"/>
  <c r="N15" i="36"/>
  <c r="O15" i="36" s="1"/>
  <c r="D15" i="36"/>
  <c r="U14" i="36"/>
  <c r="N14" i="36"/>
  <c r="O14" i="36" s="1"/>
  <c r="D14" i="36"/>
  <c r="U13" i="36"/>
  <c r="S13" i="36"/>
  <c r="N13" i="36"/>
  <c r="O13" i="36" s="1"/>
  <c r="V13" i="36" s="1"/>
  <c r="W13" i="36" s="1"/>
  <c r="X13" i="36" s="1"/>
  <c r="D13" i="36"/>
  <c r="U12" i="36"/>
  <c r="S12" i="36"/>
  <c r="N12" i="36"/>
  <c r="O12" i="36" s="1"/>
  <c r="D12" i="36"/>
  <c r="U11" i="36"/>
  <c r="S11" i="36"/>
  <c r="N11" i="36"/>
  <c r="O11" i="36" s="1"/>
  <c r="V11" i="36" s="1"/>
  <c r="W11" i="36" s="1"/>
  <c r="X11" i="36" s="1"/>
  <c r="D11" i="36"/>
  <c r="U10" i="36"/>
  <c r="N10" i="36"/>
  <c r="O10" i="36" s="1"/>
  <c r="D10" i="36"/>
  <c r="S9" i="36"/>
  <c r="U9" i="36" s="1"/>
  <c r="N9" i="36"/>
  <c r="O9" i="36" s="1"/>
  <c r="D9" i="36"/>
  <c r="U8" i="36"/>
  <c r="N8" i="36"/>
  <c r="O8" i="36" s="1"/>
  <c r="D8" i="36"/>
  <c r="U7" i="36"/>
  <c r="N7" i="36"/>
  <c r="O7" i="36" s="1"/>
  <c r="D7" i="36"/>
  <c r="U6" i="36"/>
  <c r="N6" i="36"/>
  <c r="O6" i="36" s="1"/>
  <c r="D6" i="36"/>
  <c r="U5" i="36"/>
  <c r="N5" i="36"/>
  <c r="O5" i="36" s="1"/>
  <c r="D5" i="36"/>
  <c r="U4" i="36"/>
  <c r="N4" i="36"/>
  <c r="O4" i="36" s="1"/>
  <c r="D4" i="36"/>
  <c r="U3" i="36"/>
  <c r="N3" i="36"/>
  <c r="O3" i="36" s="1"/>
  <c r="D3" i="36"/>
  <c r="S73" i="35"/>
  <c r="L73" i="35"/>
  <c r="M73" i="35" s="1"/>
  <c r="D73" i="35"/>
  <c r="S72" i="35"/>
  <c r="L72" i="35"/>
  <c r="M72" i="35" s="1"/>
  <c r="D72" i="35"/>
  <c r="S71" i="35"/>
  <c r="L71" i="35"/>
  <c r="M71" i="35" s="1"/>
  <c r="D71" i="35"/>
  <c r="S70" i="35"/>
  <c r="L70" i="35"/>
  <c r="M70" i="35" s="1"/>
  <c r="D70" i="35"/>
  <c r="S69" i="35"/>
  <c r="L69" i="35"/>
  <c r="M69" i="35" s="1"/>
  <c r="D69" i="35"/>
  <c r="S68" i="35"/>
  <c r="L68" i="35"/>
  <c r="M68" i="35" s="1"/>
  <c r="D68" i="35"/>
  <c r="S67" i="35"/>
  <c r="L67" i="35"/>
  <c r="M67" i="35" s="1"/>
  <c r="T67" i="35" s="1"/>
  <c r="U67" i="35" s="1"/>
  <c r="AI67" i="35" s="1"/>
  <c r="D67" i="35"/>
  <c r="S66" i="35"/>
  <c r="L66" i="35"/>
  <c r="M66" i="35" s="1"/>
  <c r="D66" i="35"/>
  <c r="S65" i="35"/>
  <c r="L65" i="35"/>
  <c r="M65" i="35" s="1"/>
  <c r="D65" i="35"/>
  <c r="S64" i="35"/>
  <c r="L64" i="35"/>
  <c r="M64" i="35" s="1"/>
  <c r="D64" i="35"/>
  <c r="S63" i="35"/>
  <c r="L63" i="35"/>
  <c r="M63" i="35" s="1"/>
  <c r="D63" i="35"/>
  <c r="S62" i="35"/>
  <c r="L62" i="35"/>
  <c r="M62" i="35" s="1"/>
  <c r="T62" i="35" s="1"/>
  <c r="U62" i="35" s="1"/>
  <c r="D62" i="35"/>
  <c r="S61" i="35"/>
  <c r="L61" i="35"/>
  <c r="M61" i="35" s="1"/>
  <c r="D61" i="35"/>
  <c r="S60" i="35"/>
  <c r="L60" i="35"/>
  <c r="M60" i="35" s="1"/>
  <c r="D60" i="35"/>
  <c r="S59" i="35"/>
  <c r="T59" i="35" s="1"/>
  <c r="U59" i="35" s="1"/>
  <c r="AI59" i="35" s="1"/>
  <c r="L59" i="35"/>
  <c r="M59" i="35" s="1"/>
  <c r="D59" i="35"/>
  <c r="S58" i="35"/>
  <c r="L58" i="35"/>
  <c r="M58" i="35" s="1"/>
  <c r="D58" i="35"/>
  <c r="S57" i="35"/>
  <c r="L57" i="35"/>
  <c r="M57" i="35" s="1"/>
  <c r="T57" i="35" s="1"/>
  <c r="U57" i="35" s="1"/>
  <c r="AI57" i="35" s="1"/>
  <c r="D57" i="35"/>
  <c r="S56" i="35"/>
  <c r="L56" i="35"/>
  <c r="M56" i="35" s="1"/>
  <c r="D56" i="35"/>
  <c r="S55" i="35"/>
  <c r="L55" i="35"/>
  <c r="M55" i="35" s="1"/>
  <c r="D55" i="35"/>
  <c r="S54" i="35"/>
  <c r="L54" i="35"/>
  <c r="M54" i="35" s="1"/>
  <c r="D54" i="35"/>
  <c r="S53" i="35"/>
  <c r="M53" i="35"/>
  <c r="L53" i="35"/>
  <c r="D53" i="35"/>
  <c r="S52" i="35"/>
  <c r="T52" i="35" s="1"/>
  <c r="U52" i="35" s="1"/>
  <c r="AI52" i="35" s="1"/>
  <c r="M52" i="35"/>
  <c r="L52" i="35"/>
  <c r="D52" i="35"/>
  <c r="S51" i="35"/>
  <c r="T51" i="35" s="1"/>
  <c r="U51" i="35" s="1"/>
  <c r="AI51" i="35" s="1"/>
  <c r="L51" i="35"/>
  <c r="M51" i="35" s="1"/>
  <c r="D51" i="35"/>
  <c r="S50" i="35"/>
  <c r="M50" i="35"/>
  <c r="L50" i="35"/>
  <c r="D50" i="35"/>
  <c r="S49" i="35"/>
  <c r="L49" i="35"/>
  <c r="M49" i="35" s="1"/>
  <c r="D49" i="35"/>
  <c r="S48" i="35"/>
  <c r="L48" i="35"/>
  <c r="M48" i="35" s="1"/>
  <c r="D48" i="35"/>
  <c r="S47" i="35"/>
  <c r="L47" i="35"/>
  <c r="M47" i="35" s="1"/>
  <c r="T47" i="35" s="1"/>
  <c r="U47" i="35" s="1"/>
  <c r="AI47" i="35" s="1"/>
  <c r="D47" i="35"/>
  <c r="S46" i="35"/>
  <c r="L46" i="35"/>
  <c r="M46" i="35" s="1"/>
  <c r="D46" i="35"/>
  <c r="S45" i="35"/>
  <c r="L45" i="35"/>
  <c r="M45" i="35" s="1"/>
  <c r="D45" i="35"/>
  <c r="S44" i="35"/>
  <c r="L44" i="35"/>
  <c r="M44" i="35" s="1"/>
  <c r="D44" i="35"/>
  <c r="S43" i="35"/>
  <c r="L43" i="35"/>
  <c r="M43" i="35" s="1"/>
  <c r="D43" i="35"/>
  <c r="S42" i="35"/>
  <c r="L42" i="35"/>
  <c r="M42" i="35" s="1"/>
  <c r="D42" i="35"/>
  <c r="S41" i="35"/>
  <c r="L41" i="35"/>
  <c r="M41" i="35" s="1"/>
  <c r="D41" i="35"/>
  <c r="S40" i="35"/>
  <c r="L40" i="35"/>
  <c r="M40" i="35" s="1"/>
  <c r="D40" i="35"/>
  <c r="S39" i="35"/>
  <c r="L39" i="35"/>
  <c r="M39" i="35" s="1"/>
  <c r="D39" i="35"/>
  <c r="S38" i="35"/>
  <c r="T38" i="35" s="1"/>
  <c r="U38" i="35" s="1"/>
  <c r="M38" i="35"/>
  <c r="L38" i="35"/>
  <c r="D38" i="35"/>
  <c r="S37" i="35"/>
  <c r="L37" i="35"/>
  <c r="M37" i="35" s="1"/>
  <c r="D37" i="35"/>
  <c r="S36" i="35"/>
  <c r="M36" i="35"/>
  <c r="L36" i="35"/>
  <c r="D36" i="35"/>
  <c r="S35" i="35"/>
  <c r="L35" i="35"/>
  <c r="M35" i="35" s="1"/>
  <c r="T35" i="35" s="1"/>
  <c r="U35" i="35" s="1"/>
  <c r="AI35" i="35" s="1"/>
  <c r="D35" i="35"/>
  <c r="S34" i="35"/>
  <c r="L34" i="35"/>
  <c r="M34" i="35" s="1"/>
  <c r="D34" i="35"/>
  <c r="S33" i="35"/>
  <c r="L33" i="35"/>
  <c r="M33" i="35" s="1"/>
  <c r="D33" i="35"/>
  <c r="S32" i="35"/>
  <c r="L32" i="35"/>
  <c r="M32" i="35" s="1"/>
  <c r="D32" i="35"/>
  <c r="S31" i="35"/>
  <c r="M31" i="35"/>
  <c r="T31" i="35" s="1"/>
  <c r="U31" i="35" s="1"/>
  <c r="AI31" i="35" s="1"/>
  <c r="L31" i="35"/>
  <c r="D31" i="35"/>
  <c r="S30" i="35"/>
  <c r="L30" i="35"/>
  <c r="M30" i="35" s="1"/>
  <c r="T30" i="35" s="1"/>
  <c r="U30" i="35" s="1"/>
  <c r="AI30" i="35" s="1"/>
  <c r="D30" i="35"/>
  <c r="S29" i="35"/>
  <c r="L29" i="35"/>
  <c r="M29" i="35" s="1"/>
  <c r="D29" i="35"/>
  <c r="S28" i="35"/>
  <c r="L28" i="35"/>
  <c r="M28" i="35" s="1"/>
  <c r="D28" i="35"/>
  <c r="S27" i="35"/>
  <c r="L27" i="35"/>
  <c r="M27" i="35" s="1"/>
  <c r="D27" i="35"/>
  <c r="S26" i="35"/>
  <c r="L26" i="35"/>
  <c r="M26" i="35" s="1"/>
  <c r="D26" i="35"/>
  <c r="M25" i="35"/>
  <c r="T25" i="35" s="1"/>
  <c r="U25" i="35" s="1"/>
  <c r="AI25" i="35" s="1"/>
  <c r="L25" i="35"/>
  <c r="D25" i="35"/>
  <c r="S24" i="35"/>
  <c r="L24" i="35"/>
  <c r="M24" i="35" s="1"/>
  <c r="D24" i="35"/>
  <c r="S23" i="35"/>
  <c r="L23" i="35"/>
  <c r="M23" i="35" s="1"/>
  <c r="D23" i="35"/>
  <c r="S22" i="35"/>
  <c r="L22" i="35"/>
  <c r="M22" i="35" s="1"/>
  <c r="T22" i="35" s="1"/>
  <c r="U22" i="35" s="1"/>
  <c r="AI22" i="35" s="1"/>
  <c r="D22" i="35"/>
  <c r="S21" i="35"/>
  <c r="L21" i="35"/>
  <c r="M21" i="35" s="1"/>
  <c r="D21" i="35"/>
  <c r="Q20" i="35"/>
  <c r="S20" i="35" s="1"/>
  <c r="L20" i="35"/>
  <c r="M20" i="35" s="1"/>
  <c r="D20" i="35"/>
  <c r="Q19" i="35"/>
  <c r="S19" i="35" s="1"/>
  <c r="L19" i="35"/>
  <c r="M19" i="35" s="1"/>
  <c r="D19" i="35"/>
  <c r="S18" i="35"/>
  <c r="L18" i="35"/>
  <c r="M18" i="35" s="1"/>
  <c r="D18" i="35"/>
  <c r="S17" i="35"/>
  <c r="L17" i="35"/>
  <c r="M17" i="35" s="1"/>
  <c r="D17" i="35"/>
  <c r="S16" i="35"/>
  <c r="L16" i="35"/>
  <c r="M16" i="35" s="1"/>
  <c r="T16" i="35" s="1"/>
  <c r="U16" i="35" s="1"/>
  <c r="D16" i="35"/>
  <c r="S15" i="35"/>
  <c r="L15" i="35"/>
  <c r="M15" i="35" s="1"/>
  <c r="D15" i="35"/>
  <c r="Q14" i="35"/>
  <c r="S14" i="35" s="1"/>
  <c r="L14" i="35"/>
  <c r="M14" i="35" s="1"/>
  <c r="D14" i="35"/>
  <c r="Q13" i="35"/>
  <c r="S13" i="35" s="1"/>
  <c r="L13" i="35"/>
  <c r="M13" i="35" s="1"/>
  <c r="D13" i="35"/>
  <c r="Q12" i="35"/>
  <c r="S12" i="35" s="1"/>
  <c r="L12" i="35"/>
  <c r="M12" i="35" s="1"/>
  <c r="D12" i="35"/>
  <c r="S11" i="35"/>
  <c r="L11" i="35"/>
  <c r="M11" i="35" s="1"/>
  <c r="T11" i="35" s="1"/>
  <c r="U11" i="35" s="1"/>
  <c r="AI11" i="35" s="1"/>
  <c r="D11" i="35"/>
  <c r="Q10" i="35"/>
  <c r="S10" i="35" s="1"/>
  <c r="L10" i="35"/>
  <c r="M10" i="35" s="1"/>
  <c r="D10" i="35"/>
  <c r="Q9" i="35"/>
  <c r="S9" i="35" s="1"/>
  <c r="T9" i="35" s="1"/>
  <c r="U9" i="35" s="1"/>
  <c r="AI9" i="35" s="1"/>
  <c r="L9" i="35"/>
  <c r="M9" i="35" s="1"/>
  <c r="D9" i="35"/>
  <c r="L8" i="35"/>
  <c r="M8" i="35" s="1"/>
  <c r="D8" i="35"/>
  <c r="S7" i="35"/>
  <c r="L7" i="35"/>
  <c r="M7" i="35" s="1"/>
  <c r="T7" i="35" s="1"/>
  <c r="U7" i="35" s="1"/>
  <c r="AI7" i="35" s="1"/>
  <c r="D7" i="35"/>
  <c r="S6" i="35"/>
  <c r="L6" i="35"/>
  <c r="M6" i="35" s="1"/>
  <c r="D6" i="35"/>
  <c r="S5" i="35"/>
  <c r="L5" i="35"/>
  <c r="M5" i="35" s="1"/>
  <c r="T5" i="35" s="1"/>
  <c r="U5" i="35" s="1"/>
  <c r="AI5" i="35" s="1"/>
  <c r="D5" i="35"/>
  <c r="S4" i="35"/>
  <c r="L4" i="35"/>
  <c r="M4" i="35" s="1"/>
  <c r="D4" i="35"/>
  <c r="S3" i="35"/>
  <c r="L3" i="35"/>
  <c r="M3" i="35" s="1"/>
  <c r="D3" i="35"/>
  <c r="V46" i="36" l="1"/>
  <c r="W46" i="36" s="1"/>
  <c r="X46" i="36" s="1"/>
  <c r="T19" i="37"/>
  <c r="U19" i="37" s="1"/>
  <c r="AI19" i="37" s="1"/>
  <c r="T23" i="37"/>
  <c r="U23" i="37" s="1"/>
  <c r="AI23" i="37" s="1"/>
  <c r="T43" i="37"/>
  <c r="U43" i="37" s="1"/>
  <c r="AI43" i="37" s="1"/>
  <c r="T47" i="37"/>
  <c r="U47" i="37" s="1"/>
  <c r="AI47" i="37" s="1"/>
  <c r="T57" i="37"/>
  <c r="U57" i="37" s="1"/>
  <c r="AH57" i="37" s="1"/>
  <c r="V9" i="38"/>
  <c r="W9" i="38" s="1"/>
  <c r="X9" i="38" s="1"/>
  <c r="V31" i="36"/>
  <c r="W31" i="36" s="1"/>
  <c r="X31" i="36" s="1"/>
  <c r="V49" i="36"/>
  <c r="W49" i="36" s="1"/>
  <c r="X49" i="36" s="1"/>
  <c r="T40" i="37"/>
  <c r="U40" i="37" s="1"/>
  <c r="AI40" i="37" s="1"/>
  <c r="V7" i="38"/>
  <c r="W7" i="38" s="1"/>
  <c r="V12" i="38"/>
  <c r="W12" i="38" s="1"/>
  <c r="X12" i="38" s="1"/>
  <c r="V20" i="38"/>
  <c r="W20" i="38" s="1"/>
  <c r="X20" i="38" s="1"/>
  <c r="T49" i="35"/>
  <c r="U49" i="35" s="1"/>
  <c r="AI49" i="35" s="1"/>
  <c r="T50" i="35"/>
  <c r="U50" i="35" s="1"/>
  <c r="T33" i="35"/>
  <c r="U33" i="35" s="1"/>
  <c r="AI33" i="35" s="1"/>
  <c r="T64" i="35"/>
  <c r="U64" i="35" s="1"/>
  <c r="AI64" i="35" s="1"/>
  <c r="V8" i="36"/>
  <c r="W8" i="36" s="1"/>
  <c r="X8" i="36" s="1"/>
  <c r="V9" i="36"/>
  <c r="W9" i="36" s="1"/>
  <c r="X9" i="36" s="1"/>
  <c r="V10" i="36"/>
  <c r="W10" i="36" s="1"/>
  <c r="X10" i="36" s="1"/>
  <c r="V22" i="36"/>
  <c r="W22" i="36" s="1"/>
  <c r="X22" i="36" s="1"/>
  <c r="V25" i="36"/>
  <c r="W25" i="36" s="1"/>
  <c r="X25" i="36" s="1"/>
  <c r="V33" i="36"/>
  <c r="W33" i="36" s="1"/>
  <c r="X33" i="36" s="1"/>
  <c r="T16" i="37"/>
  <c r="U16" i="37" s="1"/>
  <c r="AI16" i="37" s="1"/>
  <c r="T18" i="37"/>
  <c r="U18" i="37" s="1"/>
  <c r="AI18" i="37" s="1"/>
  <c r="T61" i="37"/>
  <c r="U61" i="37" s="1"/>
  <c r="AI61" i="37" s="1"/>
  <c r="T64" i="37"/>
  <c r="U64" i="37" s="1"/>
  <c r="AI64" i="37" s="1"/>
  <c r="T66" i="37"/>
  <c r="U66" i="37" s="1"/>
  <c r="AI66" i="37" s="1"/>
  <c r="T73" i="37"/>
  <c r="U73" i="37" s="1"/>
  <c r="AI73" i="37" s="1"/>
  <c r="V6" i="38"/>
  <c r="W6" i="38" s="1"/>
  <c r="X6" i="38" s="1"/>
  <c r="V14" i="38"/>
  <c r="W14" i="38" s="1"/>
  <c r="X14" i="38" s="1"/>
  <c r="V16" i="38"/>
  <c r="W16" i="38" s="1"/>
  <c r="X16" i="38" s="1"/>
  <c r="V23" i="38"/>
  <c r="W23" i="38" s="1"/>
  <c r="X23" i="38" s="1"/>
  <c r="V25" i="38"/>
  <c r="W25" i="38" s="1"/>
  <c r="X25" i="38" s="1"/>
  <c r="V37" i="38"/>
  <c r="W37" i="38" s="1"/>
  <c r="X37" i="38" s="1"/>
  <c r="V46" i="38"/>
  <c r="W46" i="38" s="1"/>
  <c r="X46" i="38" s="1"/>
  <c r="T26" i="35"/>
  <c r="U26" i="35" s="1"/>
  <c r="T44" i="35"/>
  <c r="U44" i="35" s="1"/>
  <c r="AH44" i="35" s="1"/>
  <c r="T4" i="35"/>
  <c r="U4" i="35" s="1"/>
  <c r="AI4" i="35" s="1"/>
  <c r="T28" i="35"/>
  <c r="U28" i="35" s="1"/>
  <c r="AI28" i="35" s="1"/>
  <c r="T40" i="35"/>
  <c r="U40" i="35" s="1"/>
  <c r="AI40" i="35" s="1"/>
  <c r="T45" i="35"/>
  <c r="U45" i="35" s="1"/>
  <c r="AI45" i="35" s="1"/>
  <c r="T60" i="35"/>
  <c r="U60" i="35" s="1"/>
  <c r="AI60" i="35" s="1"/>
  <c r="T65" i="35"/>
  <c r="U65" i="35" s="1"/>
  <c r="AI65" i="35" s="1"/>
  <c r="V12" i="36"/>
  <c r="W12" i="36" s="1"/>
  <c r="X12" i="36" s="1"/>
  <c r="V14" i="36"/>
  <c r="W14" i="36" s="1"/>
  <c r="X14" i="36" s="1"/>
  <c r="V17" i="36"/>
  <c r="W17" i="36" s="1"/>
  <c r="X17" i="36" s="1"/>
  <c r="V18" i="36"/>
  <c r="W18" i="36" s="1"/>
  <c r="X18" i="36" s="1"/>
  <c r="V21" i="36"/>
  <c r="W21" i="36" s="1"/>
  <c r="X21" i="36" s="1"/>
  <c r="V50" i="36"/>
  <c r="W50" i="36" s="1"/>
  <c r="X50" i="36" s="1"/>
  <c r="T10" i="37"/>
  <c r="U10" i="37" s="1"/>
  <c r="AI10" i="37" s="1"/>
  <c r="T20" i="37"/>
  <c r="U20" i="37" s="1"/>
  <c r="AI20" i="37" s="1"/>
  <c r="T33" i="37"/>
  <c r="U33" i="37" s="1"/>
  <c r="T50" i="37"/>
  <c r="U50" i="37" s="1"/>
  <c r="AI50" i="37" s="1"/>
  <c r="T58" i="37"/>
  <c r="U58" i="37" s="1"/>
  <c r="AI58" i="37" s="1"/>
  <c r="T68" i="37"/>
  <c r="U68" i="37" s="1"/>
  <c r="AI68" i="37" s="1"/>
  <c r="T27" i="35"/>
  <c r="U27" i="35" s="1"/>
  <c r="AI27" i="35" s="1"/>
  <c r="T36" i="35"/>
  <c r="U36" i="35" s="1"/>
  <c r="AI36" i="35" s="1"/>
  <c r="T41" i="35"/>
  <c r="U41" i="35" s="1"/>
  <c r="AI41" i="35" s="1"/>
  <c r="T48" i="35"/>
  <c r="U48" i="35" s="1"/>
  <c r="AI48" i="35" s="1"/>
  <c r="T53" i="35"/>
  <c r="U53" i="35" s="1"/>
  <c r="AI53" i="35" s="1"/>
  <c r="T3" i="35"/>
  <c r="U3" i="35" s="1"/>
  <c r="AI3" i="35" s="1"/>
  <c r="T18" i="35"/>
  <c r="U18" i="35" s="1"/>
  <c r="AI18" i="35" s="1"/>
  <c r="T20" i="35"/>
  <c r="U20" i="35" s="1"/>
  <c r="AI20" i="35" s="1"/>
  <c r="T21" i="35"/>
  <c r="U21" i="35" s="1"/>
  <c r="T66" i="35"/>
  <c r="U66" i="35" s="1"/>
  <c r="AI66" i="35" s="1"/>
  <c r="T72" i="35"/>
  <c r="U72" i="35" s="1"/>
  <c r="AI72" i="35" s="1"/>
  <c r="V4" i="36"/>
  <c r="W4" i="36" s="1"/>
  <c r="X4" i="36" s="1"/>
  <c r="V15" i="36"/>
  <c r="W15" i="36" s="1"/>
  <c r="X15" i="36" s="1"/>
  <c r="V32" i="36"/>
  <c r="W32" i="36" s="1"/>
  <c r="X32" i="36" s="1"/>
  <c r="V37" i="36"/>
  <c r="W37" i="36" s="1"/>
  <c r="X37" i="36" s="1"/>
  <c r="V42" i="36"/>
  <c r="W42" i="36" s="1"/>
  <c r="X42" i="36" s="1"/>
  <c r="T4" i="37"/>
  <c r="U4" i="37" s="1"/>
  <c r="AI4" i="37" s="1"/>
  <c r="T6" i="37"/>
  <c r="U6" i="37" s="1"/>
  <c r="AI6" i="37" s="1"/>
  <c r="T14" i="37"/>
  <c r="U14" i="37" s="1"/>
  <c r="AI14" i="37" s="1"/>
  <c r="T15" i="37"/>
  <c r="U15" i="37" s="1"/>
  <c r="AI15" i="37" s="1"/>
  <c r="T25" i="37"/>
  <c r="U25" i="37" s="1"/>
  <c r="AI25" i="37" s="1"/>
  <c r="T28" i="37"/>
  <c r="U28" i="37" s="1"/>
  <c r="AI28" i="37" s="1"/>
  <c r="T29" i="37"/>
  <c r="U29" i="37" s="1"/>
  <c r="AI29" i="37" s="1"/>
  <c r="T30" i="37"/>
  <c r="U30" i="37" s="1"/>
  <c r="AI30" i="37" s="1"/>
  <c r="T38" i="37"/>
  <c r="U38" i="37" s="1"/>
  <c r="AI38" i="37" s="1"/>
  <c r="T39" i="37"/>
  <c r="U39" i="37" s="1"/>
  <c r="AI39" i="37" s="1"/>
  <c r="T49" i="37"/>
  <c r="U49" i="37" s="1"/>
  <c r="AI49" i="37" s="1"/>
  <c r="T52" i="37"/>
  <c r="U52" i="37" s="1"/>
  <c r="AI52" i="37" s="1"/>
  <c r="T54" i="37"/>
  <c r="U54" i="37" s="1"/>
  <c r="AI54" i="37" s="1"/>
  <c r="T62" i="37"/>
  <c r="U62" i="37" s="1"/>
  <c r="AI62" i="37" s="1"/>
  <c r="T63" i="37"/>
  <c r="U63" i="37" s="1"/>
  <c r="AG63" i="37" s="1"/>
  <c r="T76" i="37"/>
  <c r="U76" i="37" s="1"/>
  <c r="AI76" i="37" s="1"/>
  <c r="T78" i="37"/>
  <c r="U78" i="37" s="1"/>
  <c r="AI78" i="37" s="1"/>
  <c r="V5" i="38"/>
  <c r="W5" i="38" s="1"/>
  <c r="X5" i="38" s="1"/>
  <c r="V22" i="38"/>
  <c r="W22" i="38" s="1"/>
  <c r="X22" i="38" s="1"/>
  <c r="V36" i="38"/>
  <c r="W36" i="38" s="1"/>
  <c r="X36" i="38" s="1"/>
  <c r="V47" i="38"/>
  <c r="W47" i="38" s="1"/>
  <c r="X47" i="38" s="1"/>
  <c r="T42" i="35"/>
  <c r="U42" i="35" s="1"/>
  <c r="AI42" i="35" s="1"/>
  <c r="T43" i="35"/>
  <c r="U43" i="35" s="1"/>
  <c r="AI43" i="35" s="1"/>
  <c r="T54" i="35"/>
  <c r="U54" i="35" s="1"/>
  <c r="AI54" i="35" s="1"/>
  <c r="T55" i="35"/>
  <c r="U55" i="35" s="1"/>
  <c r="AI55" i="35" s="1"/>
  <c r="T69" i="35"/>
  <c r="U69" i="35" s="1"/>
  <c r="AI69" i="35" s="1"/>
  <c r="V3" i="36"/>
  <c r="W3" i="36" s="1"/>
  <c r="X3" i="36" s="1"/>
  <c r="V24" i="36"/>
  <c r="W24" i="36" s="1"/>
  <c r="X24" i="36" s="1"/>
  <c r="V29" i="36"/>
  <c r="W29" i="36" s="1"/>
  <c r="X29" i="36" s="1"/>
  <c r="V34" i="36"/>
  <c r="W34" i="36" s="1"/>
  <c r="X34" i="36" s="1"/>
  <c r="V41" i="36"/>
  <c r="W41" i="36" s="1"/>
  <c r="X41" i="36" s="1"/>
  <c r="V47" i="36"/>
  <c r="W47" i="36" s="1"/>
  <c r="X47" i="36" s="1"/>
  <c r="V48" i="36"/>
  <c r="W48" i="36" s="1"/>
  <c r="X48" i="36" s="1"/>
  <c r="T8" i="37"/>
  <c r="U8" i="37" s="1"/>
  <c r="AI8" i="37" s="1"/>
  <c r="T22" i="37"/>
  <c r="U22" i="37" s="1"/>
  <c r="AI22" i="37" s="1"/>
  <c r="T24" i="37"/>
  <c r="U24" i="37" s="1"/>
  <c r="AI24" i="37" s="1"/>
  <c r="T32" i="37"/>
  <c r="U32" i="37" s="1"/>
  <c r="AI32" i="37" s="1"/>
  <c r="T46" i="37"/>
  <c r="U46" i="37" s="1"/>
  <c r="AI46" i="37" s="1"/>
  <c r="T48" i="37"/>
  <c r="U48" i="37" s="1"/>
  <c r="AI48" i="37" s="1"/>
  <c r="T56" i="37"/>
  <c r="U56" i="37" s="1"/>
  <c r="AI56" i="37" s="1"/>
  <c r="T70" i="37"/>
  <c r="U70" i="37" s="1"/>
  <c r="AI70" i="37" s="1"/>
  <c r="T72" i="37"/>
  <c r="U72" i="37" s="1"/>
  <c r="AI72" i="37" s="1"/>
  <c r="T80" i="37"/>
  <c r="U80" i="37" s="1"/>
  <c r="AI80" i="37" s="1"/>
  <c r="V3" i="38"/>
  <c r="W3" i="38" s="1"/>
  <c r="X3" i="38" s="1"/>
  <c r="T6" i="35"/>
  <c r="U6" i="35" s="1"/>
  <c r="AI6" i="35" s="1"/>
  <c r="T23" i="35"/>
  <c r="U23" i="35" s="1"/>
  <c r="AI23" i="35" s="1"/>
  <c r="T29" i="35"/>
  <c r="U29" i="35" s="1"/>
  <c r="AI29" i="35" s="1"/>
  <c r="V7" i="36"/>
  <c r="W7" i="36" s="1"/>
  <c r="V39" i="36"/>
  <c r="W39" i="36" s="1"/>
  <c r="X39" i="36" s="1"/>
  <c r="V40" i="36"/>
  <c r="W40" i="36" s="1"/>
  <c r="X40" i="36" s="1"/>
  <c r="T7" i="37"/>
  <c r="U7" i="37" s="1"/>
  <c r="AI7" i="37" s="1"/>
  <c r="T12" i="37"/>
  <c r="U12" i="37" s="1"/>
  <c r="AI12" i="37" s="1"/>
  <c r="T36" i="37"/>
  <c r="U36" i="37" s="1"/>
  <c r="AI36" i="37" s="1"/>
  <c r="T55" i="37"/>
  <c r="U55" i="37" s="1"/>
  <c r="AI55" i="37" s="1"/>
  <c r="T60" i="37"/>
  <c r="U60" i="37" s="1"/>
  <c r="AI60" i="37" s="1"/>
  <c r="V10" i="38"/>
  <c r="W10" i="38" s="1"/>
  <c r="X10" i="38" s="1"/>
  <c r="V26" i="38"/>
  <c r="W26" i="38" s="1"/>
  <c r="X26" i="38" s="1"/>
  <c r="V38" i="38"/>
  <c r="W38" i="38" s="1"/>
  <c r="X38" i="38" s="1"/>
  <c r="V49" i="38"/>
  <c r="W49" i="38" s="1"/>
  <c r="X49" i="38" s="1"/>
  <c r="V50" i="38"/>
  <c r="W50" i="38" s="1"/>
  <c r="X50" i="38" s="1"/>
  <c r="V52" i="38"/>
  <c r="W52" i="38" s="1"/>
  <c r="X52" i="38" s="1"/>
  <c r="T19" i="35"/>
  <c r="U19" i="35" s="1"/>
  <c r="AI19" i="35" s="1"/>
  <c r="V11" i="38"/>
  <c r="W11" i="38" s="1"/>
  <c r="X11" i="38" s="1"/>
  <c r="V13" i="38"/>
  <c r="W13" i="38" s="1"/>
  <c r="X13" i="38" s="1"/>
  <c r="V39" i="38"/>
  <c r="W39" i="38" s="1"/>
  <c r="X39" i="38" s="1"/>
  <c r="V41" i="38"/>
  <c r="W41" i="38" s="1"/>
  <c r="X41" i="38" s="1"/>
  <c r="V35" i="38"/>
  <c r="W35" i="38" s="1"/>
  <c r="X35" i="38" s="1"/>
  <c r="V53" i="38"/>
  <c r="W53" i="38" s="1"/>
  <c r="X53" i="38" s="1"/>
  <c r="V31" i="38"/>
  <c r="W31" i="38" s="1"/>
  <c r="X31" i="38" s="1"/>
  <c r="V33" i="38"/>
  <c r="W33" i="38" s="1"/>
  <c r="X33" i="38" s="1"/>
  <c r="V27" i="38"/>
  <c r="W27" i="38" s="1"/>
  <c r="X27" i="38" s="1"/>
  <c r="V29" i="38"/>
  <c r="W29" i="38" s="1"/>
  <c r="X29" i="38" s="1"/>
  <c r="V51" i="38"/>
  <c r="W51" i="38" s="1"/>
  <c r="X51" i="38" s="1"/>
  <c r="V19" i="38"/>
  <c r="W19" i="38" s="1"/>
  <c r="X19" i="38" s="1"/>
  <c r="V21" i="38"/>
  <c r="W21" i="38" s="1"/>
  <c r="X21" i="38" s="1"/>
  <c r="V45" i="38"/>
  <c r="W45" i="38" s="1"/>
  <c r="X45" i="38" s="1"/>
  <c r="V4" i="38"/>
  <c r="W4" i="38" s="1"/>
  <c r="X4" i="38" s="1"/>
  <c r="V15" i="38"/>
  <c r="W15" i="38" s="1"/>
  <c r="X15" i="38" s="1"/>
  <c r="V17" i="38"/>
  <c r="W17" i="38" s="1"/>
  <c r="X17" i="38" s="1"/>
  <c r="V43" i="38"/>
  <c r="W43" i="38" s="1"/>
  <c r="X43" i="38" s="1"/>
  <c r="T35" i="37"/>
  <c r="U35" i="37" s="1"/>
  <c r="AI35" i="37" s="1"/>
  <c r="T45" i="37"/>
  <c r="U45" i="37" s="1"/>
  <c r="AH9" i="37"/>
  <c r="AG9" i="37"/>
  <c r="AI9" i="37"/>
  <c r="T5" i="37"/>
  <c r="U5" i="37" s="1"/>
  <c r="AI5" i="37" s="1"/>
  <c r="AH15" i="37"/>
  <c r="T53" i="37"/>
  <c r="U53" i="37" s="1"/>
  <c r="AI53" i="37" s="1"/>
  <c r="AI63" i="37"/>
  <c r="AH33" i="37"/>
  <c r="AG33" i="37"/>
  <c r="AI33" i="37"/>
  <c r="T41" i="37"/>
  <c r="U41" i="37" s="1"/>
  <c r="AI41" i="37" s="1"/>
  <c r="T51" i="37"/>
  <c r="U51" i="37" s="1"/>
  <c r="T11" i="37"/>
  <c r="U11" i="37" s="1"/>
  <c r="AI11" i="37" s="1"/>
  <c r="T21" i="37"/>
  <c r="U21" i="37" s="1"/>
  <c r="T31" i="37"/>
  <c r="U31" i="37" s="1"/>
  <c r="AI31" i="37" s="1"/>
  <c r="T59" i="37"/>
  <c r="U59" i="37" s="1"/>
  <c r="AI59" i="37" s="1"/>
  <c r="T69" i="37"/>
  <c r="U69" i="37" s="1"/>
  <c r="T79" i="37"/>
  <c r="U79" i="37" s="1"/>
  <c r="AI79" i="37" s="1"/>
  <c r="T3" i="37"/>
  <c r="U3" i="37" s="1"/>
  <c r="T13" i="37"/>
  <c r="U13" i="37" s="1"/>
  <c r="AI13" i="37" s="1"/>
  <c r="AH39" i="37"/>
  <c r="T77" i="37"/>
  <c r="U77" i="37" s="1"/>
  <c r="AI77" i="37" s="1"/>
  <c r="AG57" i="37"/>
  <c r="T17" i="37"/>
  <c r="U17" i="37" s="1"/>
  <c r="AI17" i="37" s="1"/>
  <c r="T27" i="37"/>
  <c r="U27" i="37" s="1"/>
  <c r="T37" i="37"/>
  <c r="U37" i="37" s="1"/>
  <c r="AI37" i="37" s="1"/>
  <c r="T65" i="37"/>
  <c r="U65" i="37" s="1"/>
  <c r="AI65" i="37" s="1"/>
  <c r="T75" i="37"/>
  <c r="U75" i="37" s="1"/>
  <c r="V5" i="36"/>
  <c r="W5" i="36" s="1"/>
  <c r="X5" i="36" s="1"/>
  <c r="V30" i="36"/>
  <c r="W30" i="36" s="1"/>
  <c r="X30" i="36" s="1"/>
  <c r="V44" i="36"/>
  <c r="W44" i="36" s="1"/>
  <c r="X44" i="36" s="1"/>
  <c r="V28" i="36"/>
  <c r="W28" i="36" s="1"/>
  <c r="X28" i="36" s="1"/>
  <c r="V35" i="36"/>
  <c r="W35" i="36" s="1"/>
  <c r="X35" i="36" s="1"/>
  <c r="V52" i="36"/>
  <c r="W52" i="36" s="1"/>
  <c r="X52" i="36" s="1"/>
  <c r="V6" i="36"/>
  <c r="W6" i="36" s="1"/>
  <c r="X6" i="36" s="1"/>
  <c r="V38" i="36"/>
  <c r="W38" i="36" s="1"/>
  <c r="X38" i="36" s="1"/>
  <c r="V19" i="36"/>
  <c r="W19" i="36" s="1"/>
  <c r="X19" i="36" s="1"/>
  <c r="V36" i="36"/>
  <c r="W36" i="36" s="1"/>
  <c r="X36" i="36" s="1"/>
  <c r="V43" i="36"/>
  <c r="W43" i="36" s="1"/>
  <c r="X43" i="36" s="1"/>
  <c r="V53" i="36"/>
  <c r="W53" i="36" s="1"/>
  <c r="X53" i="36" s="1"/>
  <c r="V20" i="36"/>
  <c r="W20" i="36" s="1"/>
  <c r="X20" i="36" s="1"/>
  <c r="V27" i="36"/>
  <c r="W27" i="36" s="1"/>
  <c r="X27" i="36" s="1"/>
  <c r="V51" i="36"/>
  <c r="W51" i="36" s="1"/>
  <c r="X51" i="36" s="1"/>
  <c r="V54" i="36"/>
  <c r="W54" i="36" s="1"/>
  <c r="X54" i="36" s="1"/>
  <c r="T32" i="35"/>
  <c r="U32" i="35" s="1"/>
  <c r="T37" i="35"/>
  <c r="U37" i="35" s="1"/>
  <c r="AI37" i="35" s="1"/>
  <c r="T10" i="35"/>
  <c r="U10" i="35" s="1"/>
  <c r="AI10" i="35" s="1"/>
  <c r="AG26" i="35"/>
  <c r="AI26" i="35"/>
  <c r="AH26" i="35"/>
  <c r="AH50" i="35"/>
  <c r="AG50" i="35"/>
  <c r="AI50" i="35"/>
  <c r="T68" i="35"/>
  <c r="U68" i="35" s="1"/>
  <c r="T73" i="35"/>
  <c r="U73" i="35" s="1"/>
  <c r="AI73" i="35" s="1"/>
  <c r="T13" i="35"/>
  <c r="U13" i="35" s="1"/>
  <c r="AI13" i="35" s="1"/>
  <c r="AI16" i="35"/>
  <c r="T46" i="35"/>
  <c r="U46" i="35" s="1"/>
  <c r="AI46" i="35" s="1"/>
  <c r="T71" i="35"/>
  <c r="U71" i="35" s="1"/>
  <c r="AI71" i="35" s="1"/>
  <c r="T39" i="35"/>
  <c r="U39" i="35" s="1"/>
  <c r="AI39" i="35" s="1"/>
  <c r="T8" i="35"/>
  <c r="U8" i="35" s="1"/>
  <c r="H5" i="14" s="1"/>
  <c r="AI44" i="35"/>
  <c r="AG44" i="35"/>
  <c r="AH62" i="35"/>
  <c r="AG62" i="35"/>
  <c r="AI62" i="35"/>
  <c r="AI21" i="35"/>
  <c r="AH38" i="35"/>
  <c r="AG38" i="35"/>
  <c r="AI38" i="35"/>
  <c r="T58" i="35"/>
  <c r="U58" i="35" s="1"/>
  <c r="AI58" i="35" s="1"/>
  <c r="T34" i="35"/>
  <c r="U34" i="35" s="1"/>
  <c r="AI34" i="35" s="1"/>
  <c r="T24" i="35"/>
  <c r="U24" i="35" s="1"/>
  <c r="AI24" i="35" s="1"/>
  <c r="T56" i="35"/>
  <c r="U56" i="35" s="1"/>
  <c r="T61" i="35"/>
  <c r="U61" i="35" s="1"/>
  <c r="AI61" i="35" s="1"/>
  <c r="T63" i="35"/>
  <c r="U63" i="35" s="1"/>
  <c r="AI63" i="35" s="1"/>
  <c r="T70" i="35"/>
  <c r="U70" i="35" s="1"/>
  <c r="AI70" i="35" s="1"/>
  <c r="T14" i="35"/>
  <c r="U14" i="35" s="1"/>
  <c r="AI14" i="35" s="1"/>
  <c r="AH3" i="35"/>
  <c r="T17" i="35"/>
  <c r="U17" i="35" s="1"/>
  <c r="AI17" i="35" s="1"/>
  <c r="T12" i="35"/>
  <c r="U12" i="35" s="1"/>
  <c r="T15" i="35"/>
  <c r="U15" i="35" s="1"/>
  <c r="AI15" i="35" s="1"/>
  <c r="AI57" i="37" l="1"/>
  <c r="AG39" i="37"/>
  <c r="AG15" i="37"/>
  <c r="X7" i="36"/>
  <c r="I5" i="14"/>
  <c r="AH63" i="37"/>
  <c r="AG3" i="35"/>
  <c r="AH8" i="35"/>
  <c r="AG8" i="35"/>
  <c r="AH21" i="35"/>
  <c r="AG21" i="35"/>
  <c r="AI51" i="37"/>
  <c r="AH51" i="37"/>
  <c r="AG51" i="37"/>
  <c r="AI3" i="37"/>
  <c r="AH3" i="37"/>
  <c r="AG3" i="37"/>
  <c r="AH69" i="37"/>
  <c r="AG69" i="37"/>
  <c r="AI69" i="37"/>
  <c r="AH21" i="37"/>
  <c r="AG21" i="37"/>
  <c r="AI21" i="37"/>
  <c r="AI75" i="37"/>
  <c r="AH75" i="37"/>
  <c r="AG75" i="37"/>
  <c r="AI27" i="37"/>
  <c r="AH27" i="37"/>
  <c r="AG27" i="37"/>
  <c r="AH45" i="37"/>
  <c r="AG45" i="37"/>
  <c r="AI45" i="37"/>
  <c r="AI12" i="35"/>
  <c r="AH12" i="35"/>
  <c r="AG12" i="35"/>
  <c r="AI68" i="35"/>
  <c r="AH68" i="35"/>
  <c r="AG68" i="35"/>
  <c r="AI56" i="35"/>
  <c r="AH56" i="35"/>
  <c r="AG56" i="35"/>
  <c r="AI8" i="35"/>
  <c r="AH32" i="35"/>
  <c r="AG32" i="35"/>
  <c r="AI32" i="35"/>
  <c r="AG16" i="35"/>
  <c r="AH16" i="35"/>
  <c r="I84" i="14" l="1"/>
  <c r="H84" i="14"/>
  <c r="H80" i="14"/>
  <c r="H79" i="14"/>
  <c r="U54" i="34" l="1"/>
  <c r="N54" i="34"/>
  <c r="O54" i="34" s="1"/>
  <c r="D54" i="34"/>
  <c r="U53" i="34"/>
  <c r="N53" i="34"/>
  <c r="O53" i="34" s="1"/>
  <c r="D53" i="34"/>
  <c r="U52" i="34"/>
  <c r="N52" i="34"/>
  <c r="O52" i="34" s="1"/>
  <c r="D52" i="34"/>
  <c r="U51" i="34"/>
  <c r="N51" i="34"/>
  <c r="O51" i="34" s="1"/>
  <c r="D51" i="34"/>
  <c r="U50" i="34"/>
  <c r="N50" i="34"/>
  <c r="O50" i="34" s="1"/>
  <c r="D50" i="34"/>
  <c r="U49" i="34"/>
  <c r="N49" i="34"/>
  <c r="O49" i="34" s="1"/>
  <c r="V49" i="34" s="1"/>
  <c r="W49" i="34" s="1"/>
  <c r="X49" i="34" s="1"/>
  <c r="D49" i="34"/>
  <c r="U48" i="34"/>
  <c r="N48" i="34"/>
  <c r="O48" i="34" s="1"/>
  <c r="D48" i="34"/>
  <c r="U47" i="34"/>
  <c r="N47" i="34"/>
  <c r="O47" i="34" s="1"/>
  <c r="D47" i="34"/>
  <c r="U46" i="34"/>
  <c r="N46" i="34"/>
  <c r="O46" i="34" s="1"/>
  <c r="D46" i="34"/>
  <c r="U45" i="34"/>
  <c r="N45" i="34"/>
  <c r="O45" i="34" s="1"/>
  <c r="D45" i="34"/>
  <c r="U44" i="34"/>
  <c r="N44" i="34"/>
  <c r="O44" i="34" s="1"/>
  <c r="D44" i="34"/>
  <c r="U43" i="34"/>
  <c r="N43" i="34"/>
  <c r="O43" i="34" s="1"/>
  <c r="D43" i="34"/>
  <c r="U42" i="34"/>
  <c r="N42" i="34"/>
  <c r="O42" i="34" s="1"/>
  <c r="D42" i="34"/>
  <c r="U41" i="34"/>
  <c r="N41" i="34"/>
  <c r="O41" i="34" s="1"/>
  <c r="D41" i="34"/>
  <c r="U40" i="34"/>
  <c r="N40" i="34"/>
  <c r="O40" i="34" s="1"/>
  <c r="D40" i="34"/>
  <c r="U39" i="34"/>
  <c r="N39" i="34"/>
  <c r="O39" i="34" s="1"/>
  <c r="D39" i="34"/>
  <c r="U38" i="34"/>
  <c r="N38" i="34"/>
  <c r="O38" i="34" s="1"/>
  <c r="V38" i="34" s="1"/>
  <c r="W38" i="34" s="1"/>
  <c r="X38" i="34" s="1"/>
  <c r="D38" i="34"/>
  <c r="U37" i="34"/>
  <c r="N37" i="34"/>
  <c r="O37" i="34" s="1"/>
  <c r="D37" i="34"/>
  <c r="U36" i="34"/>
  <c r="N36" i="34"/>
  <c r="O36" i="34" s="1"/>
  <c r="D36" i="34"/>
  <c r="U35" i="34"/>
  <c r="N35" i="34"/>
  <c r="O35" i="34" s="1"/>
  <c r="D35" i="34"/>
  <c r="U34" i="34"/>
  <c r="N34" i="34"/>
  <c r="O34" i="34" s="1"/>
  <c r="V34" i="34" s="1"/>
  <c r="W34" i="34" s="1"/>
  <c r="X34" i="34" s="1"/>
  <c r="D34" i="34"/>
  <c r="U33" i="34"/>
  <c r="N33" i="34"/>
  <c r="O33" i="34" s="1"/>
  <c r="D33" i="34"/>
  <c r="U32" i="34"/>
  <c r="N32" i="34"/>
  <c r="O32" i="34" s="1"/>
  <c r="D32" i="34"/>
  <c r="U31" i="34"/>
  <c r="N31" i="34"/>
  <c r="O31" i="34" s="1"/>
  <c r="D31" i="34"/>
  <c r="X30" i="34"/>
  <c r="D30" i="34"/>
  <c r="X29" i="34"/>
  <c r="D29" i="34"/>
  <c r="U28" i="34"/>
  <c r="O28" i="34"/>
  <c r="D28" i="34"/>
  <c r="U27" i="34"/>
  <c r="O27" i="34"/>
  <c r="N27" i="34"/>
  <c r="D27" i="34"/>
  <c r="U26" i="34"/>
  <c r="O26" i="34"/>
  <c r="D26" i="34"/>
  <c r="S25" i="34"/>
  <c r="U25" i="34" s="1"/>
  <c r="N25" i="34"/>
  <c r="O25" i="34" s="1"/>
  <c r="D25" i="34"/>
  <c r="S24" i="34"/>
  <c r="U24" i="34" s="1"/>
  <c r="N24" i="34"/>
  <c r="O24" i="34" s="1"/>
  <c r="D24" i="34"/>
  <c r="S23" i="34"/>
  <c r="U23" i="34" s="1"/>
  <c r="N23" i="34"/>
  <c r="O23" i="34" s="1"/>
  <c r="D23" i="34"/>
  <c r="S22" i="34"/>
  <c r="U22" i="34" s="1"/>
  <c r="N22" i="34"/>
  <c r="O22" i="34" s="1"/>
  <c r="D22" i="34"/>
  <c r="S21" i="34"/>
  <c r="U21" i="34" s="1"/>
  <c r="N21" i="34"/>
  <c r="O21" i="34" s="1"/>
  <c r="D21" i="34"/>
  <c r="U20" i="34"/>
  <c r="O20" i="34"/>
  <c r="N20" i="34"/>
  <c r="D20" i="34"/>
  <c r="U19" i="34"/>
  <c r="N19" i="34"/>
  <c r="O19" i="34" s="1"/>
  <c r="D19" i="34"/>
  <c r="U18" i="34"/>
  <c r="N18" i="34"/>
  <c r="O18" i="34" s="1"/>
  <c r="D18" i="34"/>
  <c r="U17" i="34"/>
  <c r="N17" i="34"/>
  <c r="O17" i="34" s="1"/>
  <c r="V17" i="34" s="1"/>
  <c r="W17" i="34" s="1"/>
  <c r="X17" i="34" s="1"/>
  <c r="D17" i="34"/>
  <c r="U16" i="34"/>
  <c r="N16" i="34"/>
  <c r="O16" i="34" s="1"/>
  <c r="D16" i="34"/>
  <c r="U15" i="34"/>
  <c r="O15" i="34"/>
  <c r="N15" i="34"/>
  <c r="D15" i="34"/>
  <c r="U14" i="34"/>
  <c r="N14" i="34"/>
  <c r="O14" i="34" s="1"/>
  <c r="D14" i="34"/>
  <c r="U13" i="34"/>
  <c r="O13" i="34"/>
  <c r="D13" i="34"/>
  <c r="U12" i="34"/>
  <c r="N12" i="34"/>
  <c r="O12" i="34" s="1"/>
  <c r="D12" i="34"/>
  <c r="U11" i="34"/>
  <c r="N11" i="34"/>
  <c r="O11" i="34" s="1"/>
  <c r="D11" i="34"/>
  <c r="U10" i="34"/>
  <c r="N10" i="34"/>
  <c r="O10" i="34" s="1"/>
  <c r="D10" i="34"/>
  <c r="U9" i="34"/>
  <c r="S9" i="34"/>
  <c r="N9" i="34"/>
  <c r="O9" i="34" s="1"/>
  <c r="D9" i="34"/>
  <c r="U8" i="34"/>
  <c r="S8" i="34"/>
  <c r="N8" i="34"/>
  <c r="O8" i="34" s="1"/>
  <c r="D8" i="34"/>
  <c r="U7" i="34"/>
  <c r="O7" i="34"/>
  <c r="D7" i="34"/>
  <c r="U6" i="34"/>
  <c r="N6" i="34"/>
  <c r="O6" i="34" s="1"/>
  <c r="V6" i="34" s="1"/>
  <c r="W6" i="34" s="1"/>
  <c r="X6" i="34" s="1"/>
  <c r="D6" i="34"/>
  <c r="P5" i="34"/>
  <c r="U5" i="34" s="1"/>
  <c r="N5" i="34"/>
  <c r="O5" i="34" s="1"/>
  <c r="D5" i="34"/>
  <c r="U4" i="34"/>
  <c r="O4" i="34"/>
  <c r="N4" i="34"/>
  <c r="D4" i="34"/>
  <c r="U3" i="34"/>
  <c r="O3" i="34"/>
  <c r="N3" i="34"/>
  <c r="D3" i="34"/>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S72" i="33"/>
  <c r="L72" i="33"/>
  <c r="M72" i="33" s="1"/>
  <c r="D72" i="33"/>
  <c r="S71" i="33"/>
  <c r="L71" i="33"/>
  <c r="M71" i="33" s="1"/>
  <c r="T71" i="33" s="1"/>
  <c r="U71" i="33" s="1"/>
  <c r="AI71" i="33" s="1"/>
  <c r="D71" i="33"/>
  <c r="S70" i="33"/>
  <c r="L70" i="33"/>
  <c r="M70" i="33" s="1"/>
  <c r="D70" i="33"/>
  <c r="S69" i="33"/>
  <c r="L69" i="33"/>
  <c r="M69" i="33" s="1"/>
  <c r="D69" i="33"/>
  <c r="S68" i="33"/>
  <c r="L68" i="33"/>
  <c r="M68" i="33" s="1"/>
  <c r="D68" i="33"/>
  <c r="S67" i="33"/>
  <c r="M67" i="33"/>
  <c r="L67" i="33"/>
  <c r="D67" i="33"/>
  <c r="S66" i="33"/>
  <c r="L66" i="33"/>
  <c r="M66" i="33" s="1"/>
  <c r="D66" i="33"/>
  <c r="S65" i="33"/>
  <c r="L65" i="33"/>
  <c r="M65" i="33" s="1"/>
  <c r="D65" i="33"/>
  <c r="S64" i="33"/>
  <c r="L64" i="33"/>
  <c r="M64" i="33" s="1"/>
  <c r="D64" i="33"/>
  <c r="S63" i="33"/>
  <c r="L63" i="33"/>
  <c r="M63" i="33" s="1"/>
  <c r="D63" i="33"/>
  <c r="S62" i="33"/>
  <c r="L62" i="33"/>
  <c r="M62" i="33" s="1"/>
  <c r="D62" i="33"/>
  <c r="S61" i="33"/>
  <c r="M61" i="33"/>
  <c r="L61" i="33"/>
  <c r="D61" i="33"/>
  <c r="S60" i="33"/>
  <c r="L60" i="33"/>
  <c r="M60" i="33" s="1"/>
  <c r="D60" i="33"/>
  <c r="S59" i="33"/>
  <c r="L59" i="33"/>
  <c r="M59" i="33" s="1"/>
  <c r="D59" i="33"/>
  <c r="S58" i="33"/>
  <c r="L58" i="33"/>
  <c r="M58" i="33" s="1"/>
  <c r="D58" i="33"/>
  <c r="S57" i="33"/>
  <c r="L57" i="33"/>
  <c r="M57" i="33" s="1"/>
  <c r="D57" i="33"/>
  <c r="S56" i="33"/>
  <c r="L56" i="33"/>
  <c r="M56" i="33" s="1"/>
  <c r="D56" i="33"/>
  <c r="S55" i="33"/>
  <c r="L55" i="33"/>
  <c r="M55" i="33" s="1"/>
  <c r="D55" i="33"/>
  <c r="S54" i="33"/>
  <c r="L54" i="33"/>
  <c r="M54" i="33" s="1"/>
  <c r="D54" i="33"/>
  <c r="S53" i="33"/>
  <c r="L53" i="33"/>
  <c r="M53" i="33" s="1"/>
  <c r="D53" i="33"/>
  <c r="S52" i="33"/>
  <c r="L52" i="33"/>
  <c r="M52" i="33" s="1"/>
  <c r="D52" i="33"/>
  <c r="S51" i="33"/>
  <c r="L51" i="33"/>
  <c r="M51" i="33" s="1"/>
  <c r="D51" i="33"/>
  <c r="S50" i="33"/>
  <c r="L50" i="33"/>
  <c r="M50" i="33" s="1"/>
  <c r="D50" i="33"/>
  <c r="S49" i="33"/>
  <c r="L49" i="33"/>
  <c r="M49" i="33" s="1"/>
  <c r="D49" i="33"/>
  <c r="S48" i="33"/>
  <c r="L48" i="33"/>
  <c r="M48" i="33" s="1"/>
  <c r="D48" i="33"/>
  <c r="S47" i="33"/>
  <c r="L47" i="33"/>
  <c r="M47" i="33" s="1"/>
  <c r="D47" i="33"/>
  <c r="S46" i="33"/>
  <c r="L46" i="33"/>
  <c r="M46" i="33" s="1"/>
  <c r="D46" i="33"/>
  <c r="S45" i="33"/>
  <c r="L45" i="33"/>
  <c r="M45" i="33" s="1"/>
  <c r="D45" i="33"/>
  <c r="S44" i="33"/>
  <c r="L44" i="33"/>
  <c r="M44" i="33" s="1"/>
  <c r="D44" i="33"/>
  <c r="S43" i="33"/>
  <c r="M43" i="33"/>
  <c r="L43" i="33"/>
  <c r="D43" i="33"/>
  <c r="S42" i="33"/>
  <c r="L42" i="33"/>
  <c r="M42" i="33" s="1"/>
  <c r="D42" i="33"/>
  <c r="S41" i="33"/>
  <c r="L41" i="33"/>
  <c r="M41" i="33" s="1"/>
  <c r="D41" i="33"/>
  <c r="S40" i="33"/>
  <c r="L40" i="33"/>
  <c r="M40" i="33" s="1"/>
  <c r="D40" i="33"/>
  <c r="S39" i="33"/>
  <c r="M39" i="33"/>
  <c r="L39" i="33"/>
  <c r="D39" i="33"/>
  <c r="S38" i="33"/>
  <c r="L38" i="33"/>
  <c r="M38" i="33" s="1"/>
  <c r="D38" i="33"/>
  <c r="S37" i="33"/>
  <c r="L37" i="33"/>
  <c r="M37" i="33" s="1"/>
  <c r="D37" i="33"/>
  <c r="AI36" i="33"/>
  <c r="D36" i="33"/>
  <c r="S35" i="33"/>
  <c r="L35" i="33"/>
  <c r="M35" i="33" s="1"/>
  <c r="D35" i="33"/>
  <c r="S34" i="33"/>
  <c r="L34" i="33"/>
  <c r="M34" i="33" s="1"/>
  <c r="T34" i="33" s="1"/>
  <c r="U34" i="33" s="1"/>
  <c r="AI34" i="33" s="1"/>
  <c r="D34" i="33"/>
  <c r="S33" i="33"/>
  <c r="L33" i="33"/>
  <c r="M33" i="33" s="1"/>
  <c r="D33" i="33"/>
  <c r="Q32" i="33"/>
  <c r="S32" i="33" s="1"/>
  <c r="L32" i="33"/>
  <c r="M32" i="33" s="1"/>
  <c r="D32" i="33"/>
  <c r="Q31" i="33"/>
  <c r="S31" i="33" s="1"/>
  <c r="L31" i="33"/>
  <c r="M31" i="33" s="1"/>
  <c r="D31" i="33"/>
  <c r="Q30" i="33"/>
  <c r="S30" i="33" s="1"/>
  <c r="M30" i="33"/>
  <c r="L30" i="33"/>
  <c r="D30" i="33"/>
  <c r="AI29" i="33"/>
  <c r="D29" i="33"/>
  <c r="AI28" i="33"/>
  <c r="D28" i="33"/>
  <c r="AI27" i="33"/>
  <c r="D27" i="33"/>
  <c r="AI26" i="33"/>
  <c r="D26" i="33"/>
  <c r="Q25" i="33"/>
  <c r="S25" i="33" s="1"/>
  <c r="M25" i="33"/>
  <c r="D25" i="33"/>
  <c r="Q24" i="33"/>
  <c r="S24" i="33" s="1"/>
  <c r="T24" i="33" s="1"/>
  <c r="U24" i="33" s="1"/>
  <c r="M24" i="33"/>
  <c r="D24" i="33"/>
  <c r="S23" i="33"/>
  <c r="M23" i="33"/>
  <c r="D23" i="33"/>
  <c r="S22" i="33"/>
  <c r="L22" i="33"/>
  <c r="M22" i="33" s="1"/>
  <c r="D22" i="33"/>
  <c r="S21" i="33"/>
  <c r="L21" i="33"/>
  <c r="M21" i="33" s="1"/>
  <c r="D21" i="33"/>
  <c r="S20" i="33"/>
  <c r="L20" i="33"/>
  <c r="M20" i="33" s="1"/>
  <c r="D20" i="33"/>
  <c r="S19" i="33"/>
  <c r="L19" i="33"/>
  <c r="M19" i="33" s="1"/>
  <c r="T19" i="33" s="1"/>
  <c r="U19" i="33" s="1"/>
  <c r="D19" i="33"/>
  <c r="S18" i="33"/>
  <c r="L18" i="33"/>
  <c r="M18" i="33" s="1"/>
  <c r="D18" i="33"/>
  <c r="S17" i="33"/>
  <c r="L17" i="33"/>
  <c r="M17" i="33" s="1"/>
  <c r="D17" i="33"/>
  <c r="S16" i="33"/>
  <c r="M16" i="33"/>
  <c r="D16" i="33"/>
  <c r="S15" i="33"/>
  <c r="L15" i="33"/>
  <c r="M15" i="33" s="1"/>
  <c r="D15" i="33"/>
  <c r="S14" i="33"/>
  <c r="T14" i="33" s="1"/>
  <c r="U14" i="33" s="1"/>
  <c r="AI14" i="33" s="1"/>
  <c r="L14" i="33"/>
  <c r="M14" i="33" s="1"/>
  <c r="D14" i="33"/>
  <c r="S13" i="33"/>
  <c r="L13" i="33"/>
  <c r="M13" i="33" s="1"/>
  <c r="D13" i="33"/>
  <c r="Q12" i="33"/>
  <c r="S12" i="33" s="1"/>
  <c r="L12" i="33"/>
  <c r="M12" i="33" s="1"/>
  <c r="D12" i="33"/>
  <c r="Q11" i="33"/>
  <c r="S11" i="33" s="1"/>
  <c r="L11" i="33"/>
  <c r="M11" i="33" s="1"/>
  <c r="D11" i="33"/>
  <c r="S10" i="33"/>
  <c r="M10" i="33"/>
  <c r="D10" i="33"/>
  <c r="Q9" i="33"/>
  <c r="S9" i="33" s="1"/>
  <c r="L9" i="33"/>
  <c r="M9" i="33" s="1"/>
  <c r="D9" i="33"/>
  <c r="S8" i="33"/>
  <c r="M8" i="33"/>
  <c r="D8" i="33"/>
  <c r="S7" i="33"/>
  <c r="L7" i="33"/>
  <c r="M7" i="33" s="1"/>
  <c r="T7" i="33" s="1"/>
  <c r="U7" i="33" s="1"/>
  <c r="AI7" i="33" s="1"/>
  <c r="D7" i="33"/>
  <c r="S6" i="33"/>
  <c r="T6" i="33" s="1"/>
  <c r="U6" i="33" s="1"/>
  <c r="AI6" i="33" s="1"/>
  <c r="L6" i="33"/>
  <c r="M6" i="33" s="1"/>
  <c r="D6" i="33"/>
  <c r="S5" i="33"/>
  <c r="L5" i="33"/>
  <c r="M5" i="33" s="1"/>
  <c r="D5" i="33"/>
  <c r="S4" i="33"/>
  <c r="L4" i="33"/>
  <c r="M4" i="33" s="1"/>
  <c r="D4" i="33"/>
  <c r="S3" i="33"/>
  <c r="L3" i="33"/>
  <c r="M3" i="33" s="1"/>
  <c r="D3" i="33"/>
  <c r="V7" i="34" l="1"/>
  <c r="W7" i="34" s="1"/>
  <c r="V28" i="34"/>
  <c r="W28" i="34" s="1"/>
  <c r="X28" i="34" s="1"/>
  <c r="T32" i="33"/>
  <c r="U32" i="33" s="1"/>
  <c r="T42" i="33"/>
  <c r="U42" i="33" s="1"/>
  <c r="AI42" i="33" s="1"/>
  <c r="T51" i="33"/>
  <c r="U51" i="33" s="1"/>
  <c r="AI51" i="33" s="1"/>
  <c r="T55" i="33"/>
  <c r="U55" i="33" s="1"/>
  <c r="T59" i="33"/>
  <c r="U59" i="33" s="1"/>
  <c r="AI59" i="33" s="1"/>
  <c r="T65" i="33"/>
  <c r="U65" i="33" s="1"/>
  <c r="AI65" i="33" s="1"/>
  <c r="V4" i="34"/>
  <c r="W4" i="34" s="1"/>
  <c r="X4" i="34" s="1"/>
  <c r="V50" i="34"/>
  <c r="W50" i="34" s="1"/>
  <c r="X50" i="34" s="1"/>
  <c r="V54" i="34"/>
  <c r="W54" i="34" s="1"/>
  <c r="X54" i="34" s="1"/>
  <c r="T63" i="33"/>
  <c r="U63" i="33" s="1"/>
  <c r="AI63" i="33" s="1"/>
  <c r="T43" i="33"/>
  <c r="U43" i="33" s="1"/>
  <c r="T61" i="33"/>
  <c r="U61" i="33" s="1"/>
  <c r="V15" i="34"/>
  <c r="W15" i="34" s="1"/>
  <c r="X15" i="34" s="1"/>
  <c r="V20" i="34"/>
  <c r="W20" i="34" s="1"/>
  <c r="X20" i="34" s="1"/>
  <c r="V41" i="34"/>
  <c r="W41" i="34" s="1"/>
  <c r="X41" i="34" s="1"/>
  <c r="T39" i="33"/>
  <c r="U39" i="33" s="1"/>
  <c r="AI39" i="33" s="1"/>
  <c r="T37" i="33"/>
  <c r="U37" i="33" s="1"/>
  <c r="T44" i="33"/>
  <c r="U44" i="33" s="1"/>
  <c r="AI44" i="33" s="1"/>
  <c r="V35" i="34"/>
  <c r="W35" i="34" s="1"/>
  <c r="X35" i="34" s="1"/>
  <c r="V27" i="34"/>
  <c r="W27" i="34" s="1"/>
  <c r="V51" i="34"/>
  <c r="W51" i="34" s="1"/>
  <c r="X51" i="34" s="1"/>
  <c r="V5" i="34"/>
  <c r="W5" i="34" s="1"/>
  <c r="X5" i="34" s="1"/>
  <c r="X7" i="34"/>
  <c r="I73" i="14"/>
  <c r="T11" i="33"/>
  <c r="U11" i="33" s="1"/>
  <c r="T41" i="33"/>
  <c r="U41" i="33" s="1"/>
  <c r="AI41" i="33" s="1"/>
  <c r="T72" i="33"/>
  <c r="U72" i="33" s="1"/>
  <c r="AI72" i="33" s="1"/>
  <c r="V11" i="34"/>
  <c r="W11" i="34" s="1"/>
  <c r="V14" i="34"/>
  <c r="W14" i="34" s="1"/>
  <c r="X14" i="34" s="1"/>
  <c r="V26" i="34"/>
  <c r="W26" i="34" s="1"/>
  <c r="V32" i="34"/>
  <c r="W32" i="34" s="1"/>
  <c r="X32" i="34" s="1"/>
  <c r="V46" i="34"/>
  <c r="W46" i="34" s="1"/>
  <c r="X46" i="34" s="1"/>
  <c r="V48" i="34"/>
  <c r="W48" i="34" s="1"/>
  <c r="X48" i="34" s="1"/>
  <c r="X27" i="34"/>
  <c r="I83" i="14"/>
  <c r="V36" i="34"/>
  <c r="W36" i="34" s="1"/>
  <c r="X36" i="34" s="1"/>
  <c r="V52" i="34"/>
  <c r="W52" i="34" s="1"/>
  <c r="X52" i="34" s="1"/>
  <c r="T17" i="33"/>
  <c r="U17" i="33" s="1"/>
  <c r="AI17" i="33" s="1"/>
  <c r="T21" i="33"/>
  <c r="U21" i="33" s="1"/>
  <c r="T25" i="33"/>
  <c r="U25" i="33" s="1"/>
  <c r="T46" i="33"/>
  <c r="U46" i="33" s="1"/>
  <c r="AI46" i="33" s="1"/>
  <c r="V3" i="34"/>
  <c r="W3" i="34" s="1"/>
  <c r="V13" i="34"/>
  <c r="W13" i="34" s="1"/>
  <c r="V19" i="34"/>
  <c r="W19" i="34" s="1"/>
  <c r="V21" i="34"/>
  <c r="W21" i="34" s="1"/>
  <c r="V25" i="34"/>
  <c r="W25" i="34" s="1"/>
  <c r="V40" i="34"/>
  <c r="W40" i="34" s="1"/>
  <c r="X40" i="34" s="1"/>
  <c r="H78" i="14"/>
  <c r="T45" i="33"/>
  <c r="U45" i="33" s="1"/>
  <c r="AI45" i="33" s="1"/>
  <c r="T49" i="33"/>
  <c r="U49" i="33" s="1"/>
  <c r="AG49" i="33" s="1"/>
  <c r="T53" i="33"/>
  <c r="U53" i="33" s="1"/>
  <c r="AI53" i="33" s="1"/>
  <c r="T57" i="33"/>
  <c r="U57" i="33" s="1"/>
  <c r="AI57" i="33" s="1"/>
  <c r="T69" i="33"/>
  <c r="U69" i="33" s="1"/>
  <c r="AI69" i="33" s="1"/>
  <c r="V10" i="34"/>
  <c r="W10" i="34" s="1"/>
  <c r="X10" i="34" s="1"/>
  <c r="V18" i="34"/>
  <c r="W18" i="34" s="1"/>
  <c r="X18" i="34" s="1"/>
  <c r="V42" i="34"/>
  <c r="W42" i="34" s="1"/>
  <c r="X42" i="34" s="1"/>
  <c r="V44" i="34"/>
  <c r="W44" i="34" s="1"/>
  <c r="X44" i="34" s="1"/>
  <c r="AI21" i="33"/>
  <c r="T10" i="33"/>
  <c r="U10" i="33" s="1"/>
  <c r="AI10" i="33" s="1"/>
  <c r="T5" i="33"/>
  <c r="U5" i="33" s="1"/>
  <c r="AI5" i="33" s="1"/>
  <c r="T3" i="33"/>
  <c r="U3" i="33" s="1"/>
  <c r="T8" i="33"/>
  <c r="U8" i="33" s="1"/>
  <c r="T16" i="33"/>
  <c r="U16" i="33" s="1"/>
  <c r="T47" i="33"/>
  <c r="U47" i="33" s="1"/>
  <c r="AI47" i="33" s="1"/>
  <c r="AI11" i="33"/>
  <c r="T23" i="33"/>
  <c r="U23" i="33" s="1"/>
  <c r="AI23" i="33" s="1"/>
  <c r="H82" i="14"/>
  <c r="T60" i="33"/>
  <c r="U60" i="33" s="1"/>
  <c r="AI60" i="33" s="1"/>
  <c r="T62" i="33"/>
  <c r="U62" i="33" s="1"/>
  <c r="AI62" i="33" s="1"/>
  <c r="T64" i="33"/>
  <c r="U64" i="33" s="1"/>
  <c r="AI64" i="33" s="1"/>
  <c r="T30" i="33"/>
  <c r="U30" i="33" s="1"/>
  <c r="AI30" i="33" s="1"/>
  <c r="T67" i="33"/>
  <c r="U67" i="33" s="1"/>
  <c r="AI67" i="33" s="1"/>
  <c r="T15" i="33"/>
  <c r="U15" i="33" s="1"/>
  <c r="AI15" i="33" s="1"/>
  <c r="V12" i="34"/>
  <c r="W12" i="34" s="1"/>
  <c r="X12" i="34" s="1"/>
  <c r="V8" i="34"/>
  <c r="W8" i="34" s="1"/>
  <c r="V22" i="34"/>
  <c r="W22" i="34" s="1"/>
  <c r="X22" i="34" s="1"/>
  <c r="V37" i="34"/>
  <c r="W37" i="34" s="1"/>
  <c r="X37" i="34" s="1"/>
  <c r="V47" i="34"/>
  <c r="W47" i="34" s="1"/>
  <c r="X47" i="34" s="1"/>
  <c r="V45" i="34"/>
  <c r="W45" i="34" s="1"/>
  <c r="X45" i="34" s="1"/>
  <c r="V16" i="34"/>
  <c r="W16" i="34" s="1"/>
  <c r="X16" i="34" s="1"/>
  <c r="V23" i="34"/>
  <c r="W23" i="34" s="1"/>
  <c r="V33" i="34"/>
  <c r="W33" i="34" s="1"/>
  <c r="X33" i="34" s="1"/>
  <c r="V43" i="34"/>
  <c r="W43" i="34" s="1"/>
  <c r="X43" i="34" s="1"/>
  <c r="V9" i="34"/>
  <c r="W9" i="34" s="1"/>
  <c r="X9" i="34" s="1"/>
  <c r="V31" i="34"/>
  <c r="W31" i="34" s="1"/>
  <c r="X31" i="34" s="1"/>
  <c r="V53" i="34"/>
  <c r="W53" i="34" s="1"/>
  <c r="X53" i="34" s="1"/>
  <c r="V24" i="34"/>
  <c r="W24" i="34" s="1"/>
  <c r="X24" i="34" s="1"/>
  <c r="V39" i="34"/>
  <c r="W39" i="34" s="1"/>
  <c r="X39" i="34" s="1"/>
  <c r="AI19" i="33"/>
  <c r="T22" i="33"/>
  <c r="U22" i="33" s="1"/>
  <c r="AI22" i="33" s="1"/>
  <c r="T31" i="33"/>
  <c r="U31" i="33" s="1"/>
  <c r="AI31" i="33" s="1"/>
  <c r="T38" i="33"/>
  <c r="U38" i="33" s="1"/>
  <c r="AI38" i="33" s="1"/>
  <c r="T40" i="33"/>
  <c r="U40" i="33" s="1"/>
  <c r="AI40" i="33" s="1"/>
  <c r="T13" i="33"/>
  <c r="U13" i="33" s="1"/>
  <c r="T70" i="33"/>
  <c r="U70" i="33" s="1"/>
  <c r="AI70" i="33" s="1"/>
  <c r="AI3" i="33"/>
  <c r="T18" i="33"/>
  <c r="U18" i="33" s="1"/>
  <c r="AI18" i="33" s="1"/>
  <c r="AI55" i="33"/>
  <c r="AH55" i="33"/>
  <c r="AG55" i="33"/>
  <c r="T68" i="33"/>
  <c r="U68" i="33" s="1"/>
  <c r="AI68" i="33" s="1"/>
  <c r="AI61" i="33"/>
  <c r="AH61" i="33"/>
  <c r="AG61" i="33"/>
  <c r="AI49" i="33"/>
  <c r="T66" i="33"/>
  <c r="U66" i="33" s="1"/>
  <c r="AI66" i="33" s="1"/>
  <c r="T4" i="33"/>
  <c r="U4" i="33" s="1"/>
  <c r="AI4" i="33" s="1"/>
  <c r="T54" i="33"/>
  <c r="U54" i="33" s="1"/>
  <c r="AI54" i="33" s="1"/>
  <c r="T56" i="33"/>
  <c r="U56" i="33" s="1"/>
  <c r="AI56" i="33" s="1"/>
  <c r="T58" i="33"/>
  <c r="U58" i="33" s="1"/>
  <c r="AI58" i="33" s="1"/>
  <c r="T9" i="33"/>
  <c r="U9" i="33" s="1"/>
  <c r="T12" i="33"/>
  <c r="U12" i="33" s="1"/>
  <c r="AI12" i="33" s="1"/>
  <c r="AH24" i="33"/>
  <c r="AG24" i="33"/>
  <c r="T33" i="33"/>
  <c r="U33" i="33" s="1"/>
  <c r="T35" i="33"/>
  <c r="U35" i="33" s="1"/>
  <c r="AI35" i="33" s="1"/>
  <c r="T48" i="33"/>
  <c r="U48" i="33" s="1"/>
  <c r="AI48" i="33" s="1"/>
  <c r="T50" i="33"/>
  <c r="U50" i="33" s="1"/>
  <c r="AI50" i="33" s="1"/>
  <c r="T52" i="33"/>
  <c r="U52" i="33" s="1"/>
  <c r="AI52" i="33" s="1"/>
  <c r="AI43" i="33"/>
  <c r="AH43" i="33"/>
  <c r="AG43" i="33"/>
  <c r="AI37" i="33"/>
  <c r="AH37" i="33"/>
  <c r="AG37" i="33"/>
  <c r="T20" i="33"/>
  <c r="U20" i="33" s="1"/>
  <c r="AI20" i="33" s="1"/>
  <c r="AG67" i="33" l="1"/>
  <c r="AH67" i="33"/>
  <c r="X8" i="34"/>
  <c r="I72" i="14"/>
  <c r="X3" i="34"/>
  <c r="I70" i="14"/>
  <c r="X11" i="34"/>
  <c r="I74" i="14"/>
  <c r="AH49" i="33"/>
  <c r="AH3" i="33"/>
  <c r="H70" i="14"/>
  <c r="I82" i="14"/>
  <c r="X13" i="34"/>
  <c r="I75" i="14"/>
  <c r="AG3" i="33"/>
  <c r="X21" i="34"/>
  <c r="I78" i="14"/>
  <c r="I76" i="14"/>
  <c r="H83" i="14"/>
  <c r="X23" i="34"/>
  <c r="I81" i="14"/>
  <c r="X19" i="34"/>
  <c r="I79" i="14"/>
  <c r="H72" i="14"/>
  <c r="H77" i="14"/>
  <c r="H76" i="14"/>
  <c r="H81" i="14"/>
  <c r="H73" i="14"/>
  <c r="H74" i="14"/>
  <c r="AI16" i="33"/>
  <c r="H75" i="14"/>
  <c r="AI8" i="33"/>
  <c r="H71" i="14"/>
  <c r="AG30" i="33"/>
  <c r="AH30" i="33"/>
  <c r="AG19" i="33"/>
  <c r="AG9" i="33"/>
  <c r="AH9" i="33"/>
  <c r="AI9" i="33"/>
  <c r="AH13" i="33"/>
  <c r="AI13" i="33"/>
  <c r="AG13" i="33"/>
  <c r="AI33" i="33"/>
  <c r="AH33" i="33"/>
  <c r="AG33" i="33"/>
  <c r="AH19" i="33"/>
  <c r="U50" i="32" l="1"/>
  <c r="N50" i="32"/>
  <c r="O50" i="32" s="1"/>
  <c r="D50" i="32"/>
  <c r="U49" i="32"/>
  <c r="N49" i="32"/>
  <c r="O49" i="32" s="1"/>
  <c r="D49" i="32"/>
  <c r="U48" i="32"/>
  <c r="N48" i="32"/>
  <c r="O48" i="32" s="1"/>
  <c r="D48" i="32"/>
  <c r="U47" i="32"/>
  <c r="N47" i="32"/>
  <c r="O47" i="32" s="1"/>
  <c r="D47" i="32"/>
  <c r="U46" i="32"/>
  <c r="N46" i="32"/>
  <c r="O46" i="32" s="1"/>
  <c r="V46" i="32" s="1"/>
  <c r="W46" i="32" s="1"/>
  <c r="X46" i="32" s="1"/>
  <c r="D46" i="32"/>
  <c r="U45" i="32"/>
  <c r="N45" i="32"/>
  <c r="O45" i="32" s="1"/>
  <c r="D45" i="32"/>
  <c r="U44" i="32"/>
  <c r="N44" i="32"/>
  <c r="O44" i="32" s="1"/>
  <c r="D44" i="32"/>
  <c r="U43" i="32"/>
  <c r="N43" i="32"/>
  <c r="O43" i="32" s="1"/>
  <c r="D43" i="32"/>
  <c r="U42" i="32"/>
  <c r="N42" i="32"/>
  <c r="O42" i="32" s="1"/>
  <c r="D42" i="32"/>
  <c r="U41" i="32"/>
  <c r="N41" i="32"/>
  <c r="O41" i="32" s="1"/>
  <c r="D41" i="32"/>
  <c r="U40" i="32"/>
  <c r="N40" i="32"/>
  <c r="O40" i="32" s="1"/>
  <c r="D40" i="32"/>
  <c r="U39" i="32"/>
  <c r="N39" i="32"/>
  <c r="O39" i="32" s="1"/>
  <c r="D39" i="32"/>
  <c r="U38" i="32"/>
  <c r="N38" i="32"/>
  <c r="O38" i="32" s="1"/>
  <c r="D38" i="32"/>
  <c r="U37" i="32"/>
  <c r="N37" i="32"/>
  <c r="O37" i="32" s="1"/>
  <c r="D37" i="32"/>
  <c r="U36" i="32"/>
  <c r="N36" i="32"/>
  <c r="O36" i="32" s="1"/>
  <c r="D36" i="32"/>
  <c r="U35" i="32"/>
  <c r="N35" i="32"/>
  <c r="O35" i="32" s="1"/>
  <c r="D35" i="32"/>
  <c r="U34" i="32"/>
  <c r="N34" i="32"/>
  <c r="O34" i="32" s="1"/>
  <c r="D34" i="32"/>
  <c r="U33" i="32"/>
  <c r="N33" i="32"/>
  <c r="O33" i="32" s="1"/>
  <c r="D33" i="32"/>
  <c r="U32" i="32"/>
  <c r="N32" i="32"/>
  <c r="O32" i="32" s="1"/>
  <c r="D32" i="32"/>
  <c r="U31" i="32"/>
  <c r="N31" i="32"/>
  <c r="O31" i="32" s="1"/>
  <c r="D31" i="32"/>
  <c r="S30" i="32"/>
  <c r="U30" i="32" s="1"/>
  <c r="N30" i="32"/>
  <c r="O30" i="32" s="1"/>
  <c r="U29" i="32"/>
  <c r="N29" i="32"/>
  <c r="O29" i="32" s="1"/>
  <c r="B29" i="32"/>
  <c r="D29" i="32" s="1"/>
  <c r="T28" i="32"/>
  <c r="U28" i="32" s="1"/>
  <c r="N28" i="32"/>
  <c r="O28" i="32" s="1"/>
  <c r="T27" i="32"/>
  <c r="U27" i="32" s="1"/>
  <c r="S27" i="32"/>
  <c r="N27" i="32"/>
  <c r="O27" i="32" s="1"/>
  <c r="B27" i="32"/>
  <c r="D27" i="32" s="1"/>
  <c r="A27" i="32"/>
  <c r="U26" i="32"/>
  <c r="N26" i="32"/>
  <c r="O26" i="32" s="1"/>
  <c r="U25" i="32"/>
  <c r="N25" i="32"/>
  <c r="O25" i="32" s="1"/>
  <c r="B25" i="32"/>
  <c r="B26" i="32" s="1"/>
  <c r="D26" i="32" s="1"/>
  <c r="S24" i="32"/>
  <c r="U24" i="32" s="1"/>
  <c r="Q24" i="32"/>
  <c r="N24" i="32"/>
  <c r="O24" i="32" s="1"/>
  <c r="E24" i="32"/>
  <c r="S23" i="32"/>
  <c r="U23" i="32" s="1"/>
  <c r="N23" i="32"/>
  <c r="O23" i="32" s="1"/>
  <c r="B23" i="32"/>
  <c r="B24" i="32" s="1"/>
  <c r="D24" i="32" s="1"/>
  <c r="A23" i="32"/>
  <c r="N22" i="32"/>
  <c r="O22" i="32" s="1"/>
  <c r="V22" i="32" s="1"/>
  <c r="W22" i="32" s="1"/>
  <c r="X22" i="32" s="1"/>
  <c r="N21" i="32"/>
  <c r="O21" i="32" s="1"/>
  <c r="V21" i="32" s="1"/>
  <c r="W21" i="32" s="1"/>
  <c r="X21" i="32" s="1"/>
  <c r="U20" i="32"/>
  <c r="N20" i="32"/>
  <c r="O20" i="32" s="1"/>
  <c r="U19" i="32"/>
  <c r="N19" i="32"/>
  <c r="O19" i="32" s="1"/>
  <c r="B19" i="32"/>
  <c r="B20" i="32" s="1"/>
  <c r="A19" i="32"/>
  <c r="U18" i="32"/>
  <c r="N18" i="32"/>
  <c r="O18" i="32" s="1"/>
  <c r="B18" i="32"/>
  <c r="D18" i="32" s="1"/>
  <c r="U17" i="32"/>
  <c r="N17" i="32"/>
  <c r="O17" i="32" s="1"/>
  <c r="U16" i="32"/>
  <c r="S16" i="32"/>
  <c r="S17" i="32" s="1"/>
  <c r="S18" i="32" s="1"/>
  <c r="S19" i="32" s="1"/>
  <c r="S20" i="32" s="1"/>
  <c r="S21" i="32" s="1"/>
  <c r="S22" i="32" s="1"/>
  <c r="Q16" i="32"/>
  <c r="Q17" i="32" s="1"/>
  <c r="Q18" i="32" s="1"/>
  <c r="Q19" i="32" s="1"/>
  <c r="Q20" i="32" s="1"/>
  <c r="Q21" i="32" s="1"/>
  <c r="Q22" i="32" s="1"/>
  <c r="N16" i="32"/>
  <c r="O16" i="32" s="1"/>
  <c r="U15" i="32"/>
  <c r="N15" i="32"/>
  <c r="O15" i="32" s="1"/>
  <c r="B15" i="32"/>
  <c r="D15" i="32" s="1"/>
  <c r="A15" i="32"/>
  <c r="S14" i="32"/>
  <c r="U14" i="32" s="1"/>
  <c r="Q14" i="32"/>
  <c r="N14" i="32"/>
  <c r="O14" i="32" s="1"/>
  <c r="S13" i="32"/>
  <c r="U13" i="32" s="1"/>
  <c r="N13" i="32"/>
  <c r="O13" i="32" s="1"/>
  <c r="B13" i="32"/>
  <c r="B14" i="32" s="1"/>
  <c r="D14" i="32" s="1"/>
  <c r="U12" i="32"/>
  <c r="N12" i="32"/>
  <c r="O12" i="32" s="1"/>
  <c r="U11" i="32"/>
  <c r="N11" i="32"/>
  <c r="O11" i="32" s="1"/>
  <c r="B11" i="32"/>
  <c r="D11" i="32" s="1"/>
  <c r="A11" i="32"/>
  <c r="S10" i="32"/>
  <c r="U10" i="32" s="1"/>
  <c r="N10" i="32"/>
  <c r="O10" i="32" s="1"/>
  <c r="U9" i="32"/>
  <c r="S9" i="32"/>
  <c r="N9" i="32"/>
  <c r="O9" i="32" s="1"/>
  <c r="B9" i="32"/>
  <c r="B10" i="32" s="1"/>
  <c r="D10" i="32" s="1"/>
  <c r="U8" i="32"/>
  <c r="Q8" i="32"/>
  <c r="N8" i="32"/>
  <c r="O8" i="32" s="1"/>
  <c r="V8" i="32" s="1"/>
  <c r="W8" i="32" s="1"/>
  <c r="X8" i="32" s="1"/>
  <c r="U7" i="32"/>
  <c r="N7" i="32"/>
  <c r="O7" i="32" s="1"/>
  <c r="B7" i="32"/>
  <c r="B8" i="32" s="1"/>
  <c r="D8" i="32" s="1"/>
  <c r="A7" i="32"/>
  <c r="U6" i="32"/>
  <c r="S6" i="32"/>
  <c r="S7" i="32" s="1"/>
  <c r="S8" i="32" s="1"/>
  <c r="R6" i="32"/>
  <c r="R7" i="32" s="1"/>
  <c r="R8" i="32" s="1"/>
  <c r="Q6" i="32"/>
  <c r="N6" i="32"/>
  <c r="O6" i="32" s="1"/>
  <c r="V6" i="32" s="1"/>
  <c r="W6" i="32" s="1"/>
  <c r="X6" i="32" s="1"/>
  <c r="B6" i="32"/>
  <c r="D6" i="32" s="1"/>
  <c r="U5" i="32"/>
  <c r="N5" i="32"/>
  <c r="O5" i="32" s="1"/>
  <c r="B5" i="32"/>
  <c r="D5" i="32" s="1"/>
  <c r="U4" i="32"/>
  <c r="N4" i="32"/>
  <c r="O4" i="32" s="1"/>
  <c r="B4" i="32"/>
  <c r="D4" i="32" s="1"/>
  <c r="U3" i="32"/>
  <c r="N3" i="32"/>
  <c r="O3" i="32" s="1"/>
  <c r="B3" i="32"/>
  <c r="D3" i="32" s="1"/>
  <c r="A3" i="32"/>
  <c r="S74" i="31"/>
  <c r="L74" i="31"/>
  <c r="M74" i="31" s="1"/>
  <c r="D74" i="31"/>
  <c r="S73" i="31"/>
  <c r="L73" i="31"/>
  <c r="M73" i="31" s="1"/>
  <c r="T73" i="31" s="1"/>
  <c r="U73" i="31" s="1"/>
  <c r="AI73" i="31" s="1"/>
  <c r="D73" i="31"/>
  <c r="S72" i="31"/>
  <c r="L72" i="31"/>
  <c r="M72" i="31" s="1"/>
  <c r="D72" i="31"/>
  <c r="S71" i="31"/>
  <c r="L71" i="31"/>
  <c r="M71" i="31" s="1"/>
  <c r="D71" i="31"/>
  <c r="S70" i="31"/>
  <c r="L70" i="31"/>
  <c r="M70" i="31" s="1"/>
  <c r="D70" i="31"/>
  <c r="S69" i="31"/>
  <c r="L69" i="31"/>
  <c r="M69" i="31" s="1"/>
  <c r="D69" i="31"/>
  <c r="S68" i="31"/>
  <c r="L68" i="31"/>
  <c r="M68" i="31" s="1"/>
  <c r="D68" i="31"/>
  <c r="S67" i="31"/>
  <c r="L67" i="31"/>
  <c r="M67" i="31" s="1"/>
  <c r="T67" i="31" s="1"/>
  <c r="U67" i="31" s="1"/>
  <c r="AI67" i="31" s="1"/>
  <c r="D67" i="31"/>
  <c r="S66" i="31"/>
  <c r="L66" i="31"/>
  <c r="M66" i="31" s="1"/>
  <c r="D66" i="31"/>
  <c r="S65" i="31"/>
  <c r="L65" i="31"/>
  <c r="M65" i="31" s="1"/>
  <c r="T65" i="31" s="1"/>
  <c r="U65" i="31" s="1"/>
  <c r="AI65" i="31" s="1"/>
  <c r="D65" i="31"/>
  <c r="S64" i="31"/>
  <c r="L64" i="31"/>
  <c r="M64" i="31" s="1"/>
  <c r="D64" i="31"/>
  <c r="S63" i="31"/>
  <c r="L63" i="31"/>
  <c r="M63" i="31" s="1"/>
  <c r="T63" i="31" s="1"/>
  <c r="U63" i="31" s="1"/>
  <c r="D63" i="31"/>
  <c r="S62" i="31"/>
  <c r="L62" i="31"/>
  <c r="M62" i="31" s="1"/>
  <c r="D62" i="31"/>
  <c r="S61" i="31"/>
  <c r="L61" i="31"/>
  <c r="M61" i="31" s="1"/>
  <c r="T61" i="31" s="1"/>
  <c r="U61" i="31" s="1"/>
  <c r="AI61" i="31" s="1"/>
  <c r="D61" i="31"/>
  <c r="S60" i="31"/>
  <c r="L60" i="31"/>
  <c r="M60" i="31" s="1"/>
  <c r="D60" i="31"/>
  <c r="S59" i="31"/>
  <c r="M59" i="31"/>
  <c r="L59" i="31"/>
  <c r="D59" i="31"/>
  <c r="S58" i="31"/>
  <c r="L58" i="31"/>
  <c r="M58" i="31" s="1"/>
  <c r="D58" i="31"/>
  <c r="S57" i="31"/>
  <c r="L57" i="31"/>
  <c r="M57" i="31" s="1"/>
  <c r="T57" i="31" s="1"/>
  <c r="U57" i="31" s="1"/>
  <c r="D57" i="31"/>
  <c r="S56" i="31"/>
  <c r="L56" i="31"/>
  <c r="M56" i="31" s="1"/>
  <c r="D56" i="31"/>
  <c r="S55" i="31"/>
  <c r="M55" i="31"/>
  <c r="L55" i="31"/>
  <c r="D55" i="31"/>
  <c r="S54" i="31"/>
  <c r="L54" i="31"/>
  <c r="M54" i="31" s="1"/>
  <c r="D54" i="31"/>
  <c r="S53" i="31"/>
  <c r="L53" i="31"/>
  <c r="M53" i="31" s="1"/>
  <c r="D53" i="31"/>
  <c r="S52" i="31"/>
  <c r="L52" i="31"/>
  <c r="M52" i="31" s="1"/>
  <c r="D52" i="31"/>
  <c r="S51" i="31"/>
  <c r="L51" i="31"/>
  <c r="M51" i="31" s="1"/>
  <c r="T51" i="31" s="1"/>
  <c r="U51" i="31" s="1"/>
  <c r="D51" i="31"/>
  <c r="S50" i="31"/>
  <c r="L50" i="31"/>
  <c r="M50" i="31" s="1"/>
  <c r="D50" i="31"/>
  <c r="S49" i="31"/>
  <c r="L49" i="31"/>
  <c r="M49" i="31" s="1"/>
  <c r="D49" i="31"/>
  <c r="S48" i="31"/>
  <c r="L48" i="31"/>
  <c r="M48" i="31" s="1"/>
  <c r="D48" i="31"/>
  <c r="S47" i="31"/>
  <c r="L47" i="31"/>
  <c r="M47" i="31" s="1"/>
  <c r="T47" i="31" s="1"/>
  <c r="U47" i="31" s="1"/>
  <c r="AI47" i="31" s="1"/>
  <c r="D47" i="31"/>
  <c r="S46" i="31"/>
  <c r="L46" i="31"/>
  <c r="M46" i="31" s="1"/>
  <c r="D46" i="31"/>
  <c r="S45" i="31"/>
  <c r="L45" i="31"/>
  <c r="M45" i="31" s="1"/>
  <c r="T45" i="31" s="1"/>
  <c r="U45" i="31" s="1"/>
  <c r="D45" i="31"/>
  <c r="S44" i="31"/>
  <c r="L44" i="31"/>
  <c r="M44" i="31" s="1"/>
  <c r="T44" i="31" s="1"/>
  <c r="U44" i="31" s="1"/>
  <c r="AI44" i="31" s="1"/>
  <c r="D44" i="31"/>
  <c r="S43" i="31"/>
  <c r="L43" i="31"/>
  <c r="M43" i="31" s="1"/>
  <c r="D43" i="31"/>
  <c r="S42" i="31"/>
  <c r="L42" i="31"/>
  <c r="M42" i="31" s="1"/>
  <c r="D42" i="31"/>
  <c r="S41" i="31"/>
  <c r="L41" i="31"/>
  <c r="M41" i="31" s="1"/>
  <c r="D41" i="31"/>
  <c r="S40" i="31"/>
  <c r="L40" i="31"/>
  <c r="M40" i="31" s="1"/>
  <c r="D40" i="31"/>
  <c r="S39" i="31"/>
  <c r="L39" i="31"/>
  <c r="M39" i="31" s="1"/>
  <c r="T39" i="31" s="1"/>
  <c r="U39" i="31" s="1"/>
  <c r="D39" i="31"/>
  <c r="S38" i="31"/>
  <c r="Q38" i="31"/>
  <c r="O38" i="31"/>
  <c r="L38" i="31"/>
  <c r="M38" i="31" s="1"/>
  <c r="Q37" i="31"/>
  <c r="S37" i="31" s="1"/>
  <c r="L37" i="31"/>
  <c r="M37" i="31" s="1"/>
  <c r="B37" i="31"/>
  <c r="D37" i="31" s="1"/>
  <c r="S36" i="31"/>
  <c r="M36" i="31"/>
  <c r="L36" i="31"/>
  <c r="E36" i="31"/>
  <c r="Q35" i="31"/>
  <c r="S35" i="31" s="1"/>
  <c r="L35" i="31"/>
  <c r="M35" i="31" s="1"/>
  <c r="B35" i="31"/>
  <c r="D35" i="31" s="1"/>
  <c r="A35" i="31"/>
  <c r="S34" i="31"/>
  <c r="L34" i="31"/>
  <c r="M34" i="31" s="1"/>
  <c r="S33" i="31"/>
  <c r="L33" i="31"/>
  <c r="M33" i="31" s="1"/>
  <c r="B33" i="31"/>
  <c r="D33" i="31" s="1"/>
  <c r="Q32" i="31"/>
  <c r="S32" i="31" s="1"/>
  <c r="L32" i="31"/>
  <c r="M32" i="31" s="1"/>
  <c r="Q31" i="31"/>
  <c r="S31" i="31" s="1"/>
  <c r="L31" i="31"/>
  <c r="M31" i="31" s="1"/>
  <c r="Q30" i="31"/>
  <c r="S30" i="31" s="1"/>
  <c r="O30" i="31"/>
  <c r="O31" i="31" s="1"/>
  <c r="O32" i="31" s="1"/>
  <c r="L30" i="31"/>
  <c r="M30" i="31" s="1"/>
  <c r="E30" i="31"/>
  <c r="E31" i="31" s="1"/>
  <c r="E32" i="31" s="1"/>
  <c r="Q29" i="31"/>
  <c r="S29" i="31" s="1"/>
  <c r="L29" i="31"/>
  <c r="M29" i="31" s="1"/>
  <c r="B29" i="31"/>
  <c r="B30" i="31" s="1"/>
  <c r="A29" i="31"/>
  <c r="S28" i="31"/>
  <c r="L28" i="31"/>
  <c r="M28" i="31" s="1"/>
  <c r="T28" i="31" s="1"/>
  <c r="U28" i="31" s="1"/>
  <c r="AI28" i="31" s="1"/>
  <c r="S27" i="31"/>
  <c r="L27" i="31"/>
  <c r="M27" i="31" s="1"/>
  <c r="T27" i="31" s="1"/>
  <c r="U27" i="31" s="1"/>
  <c r="AI27" i="31" s="1"/>
  <c r="S26" i="31"/>
  <c r="L26" i="31"/>
  <c r="M26" i="31" s="1"/>
  <c r="T26" i="31" s="1"/>
  <c r="U26" i="31" s="1"/>
  <c r="AI26" i="31" s="1"/>
  <c r="S25" i="31"/>
  <c r="M25" i="31"/>
  <c r="L25" i="31"/>
  <c r="S24" i="31"/>
  <c r="L24" i="31"/>
  <c r="M24" i="31" s="1"/>
  <c r="T24" i="31" s="1"/>
  <c r="U24" i="31" s="1"/>
  <c r="AI24" i="31" s="1"/>
  <c r="S23" i="31"/>
  <c r="M23" i="31"/>
  <c r="L23" i="31"/>
  <c r="B23" i="31"/>
  <c r="D23" i="31" s="1"/>
  <c r="A23" i="31"/>
  <c r="S22" i="31"/>
  <c r="Q22" i="31"/>
  <c r="Q23" i="31" s="1"/>
  <c r="Q24" i="31" s="1"/>
  <c r="Q25" i="31" s="1"/>
  <c r="Q26" i="31" s="1"/>
  <c r="Q27" i="31" s="1"/>
  <c r="Q28" i="31" s="1"/>
  <c r="L22" i="31"/>
  <c r="M22" i="31" s="1"/>
  <c r="E22" i="31"/>
  <c r="B22" i="31"/>
  <c r="D22" i="31" s="1"/>
  <c r="S21" i="31"/>
  <c r="L21" i="31"/>
  <c r="M21" i="31" s="1"/>
  <c r="S20" i="31"/>
  <c r="O20" i="31"/>
  <c r="O21" i="31" s="1"/>
  <c r="O22" i="31" s="1"/>
  <c r="O23" i="31" s="1"/>
  <c r="O24" i="31" s="1"/>
  <c r="O25" i="31" s="1"/>
  <c r="O26" i="31" s="1"/>
  <c r="O27" i="31" s="1"/>
  <c r="O28" i="31" s="1"/>
  <c r="L20" i="31"/>
  <c r="M20" i="31" s="1"/>
  <c r="S19" i="31"/>
  <c r="L19" i="31"/>
  <c r="M19" i="31" s="1"/>
  <c r="B19" i="31"/>
  <c r="B20" i="31" s="1"/>
  <c r="A19" i="31"/>
  <c r="S18" i="31"/>
  <c r="L18" i="31"/>
  <c r="M18" i="31" s="1"/>
  <c r="B18" i="31"/>
  <c r="D18" i="31" s="1"/>
  <c r="S17" i="31"/>
  <c r="L17" i="31"/>
  <c r="M17" i="31" s="1"/>
  <c r="B17" i="31"/>
  <c r="D17" i="31" s="1"/>
  <c r="Q16" i="31"/>
  <c r="S16" i="31" s="1"/>
  <c r="T16" i="31" s="1"/>
  <c r="U16" i="31" s="1"/>
  <c r="AI16" i="31" s="1"/>
  <c r="L16" i="31"/>
  <c r="M16" i="31" s="1"/>
  <c r="Q15" i="31"/>
  <c r="S15" i="31" s="1"/>
  <c r="O15" i="31"/>
  <c r="O16" i="31" s="1"/>
  <c r="L15" i="31"/>
  <c r="M15" i="31" s="1"/>
  <c r="E15" i="31"/>
  <c r="E16" i="31" s="1"/>
  <c r="Q14" i="31"/>
  <c r="S14" i="31" s="1"/>
  <c r="M14" i="31"/>
  <c r="L14" i="31"/>
  <c r="B14" i="31"/>
  <c r="B15" i="31" s="1"/>
  <c r="D15" i="31" s="1"/>
  <c r="A14" i="31"/>
  <c r="Q13" i="31"/>
  <c r="S13" i="31" s="1"/>
  <c r="O13" i="31"/>
  <c r="L13" i="31"/>
  <c r="M13" i="31" s="1"/>
  <c r="Q12" i="31"/>
  <c r="S12" i="31" s="1"/>
  <c r="L12" i="31"/>
  <c r="M12" i="31" s="1"/>
  <c r="B12" i="31"/>
  <c r="B13" i="31" s="1"/>
  <c r="D13" i="31" s="1"/>
  <c r="S11" i="31"/>
  <c r="L11" i="31"/>
  <c r="M11" i="31" s="1"/>
  <c r="S10" i="31"/>
  <c r="L10" i="31"/>
  <c r="M10" i="31" s="1"/>
  <c r="S9" i="31"/>
  <c r="L9" i="31"/>
  <c r="M9" i="31" s="1"/>
  <c r="B9" i="31"/>
  <c r="B10" i="31" s="1"/>
  <c r="S8" i="31"/>
  <c r="L8" i="31"/>
  <c r="M8" i="31" s="1"/>
  <c r="B8" i="31"/>
  <c r="D8" i="31" s="1"/>
  <c r="A8" i="31"/>
  <c r="L7" i="31"/>
  <c r="M7" i="31" s="1"/>
  <c r="D7" i="31"/>
  <c r="S6" i="31"/>
  <c r="R6" i="31"/>
  <c r="R7" i="31" s="1"/>
  <c r="S7" i="31" s="1"/>
  <c r="L6" i="31"/>
  <c r="M6" i="31" s="1"/>
  <c r="D6" i="31"/>
  <c r="S5" i="31"/>
  <c r="L5" i="31"/>
  <c r="M5" i="31" s="1"/>
  <c r="S4" i="31"/>
  <c r="T4" i="31" s="1"/>
  <c r="U4" i="31" s="1"/>
  <c r="AI4" i="31" s="1"/>
  <c r="Q4" i="31"/>
  <c r="Q5" i="31" s="1"/>
  <c r="Q6" i="31" s="1"/>
  <c r="Q7" i="31" s="1"/>
  <c r="O4" i="31"/>
  <c r="O5" i="31" s="1"/>
  <c r="O6" i="31" s="1"/>
  <c r="O7" i="31" s="1"/>
  <c r="L4" i="31"/>
  <c r="M4" i="31" s="1"/>
  <c r="S3" i="31"/>
  <c r="L3" i="31"/>
  <c r="M3" i="31" s="1"/>
  <c r="B3" i="31"/>
  <c r="D3" i="31" s="1"/>
  <c r="D19" i="32" l="1"/>
  <c r="T8" i="31"/>
  <c r="U8" i="31" s="1"/>
  <c r="T10" i="31"/>
  <c r="U10" i="31" s="1"/>
  <c r="AI10" i="31" s="1"/>
  <c r="T25" i="31"/>
  <c r="U25" i="31" s="1"/>
  <c r="AI25" i="31" s="1"/>
  <c r="T46" i="31"/>
  <c r="U46" i="31" s="1"/>
  <c r="AI46" i="31" s="1"/>
  <c r="T55" i="31"/>
  <c r="U55" i="31" s="1"/>
  <c r="AI55" i="31" s="1"/>
  <c r="T68" i="31"/>
  <c r="U68" i="31" s="1"/>
  <c r="AI68" i="31" s="1"/>
  <c r="V19" i="32"/>
  <c r="W19" i="32" s="1"/>
  <c r="X19" i="32" s="1"/>
  <c r="V34" i="32"/>
  <c r="W34" i="32" s="1"/>
  <c r="X34" i="32" s="1"/>
  <c r="V42" i="32"/>
  <c r="W42" i="32" s="1"/>
  <c r="X42" i="32" s="1"/>
  <c r="T23" i="31"/>
  <c r="U23" i="31" s="1"/>
  <c r="T56" i="31"/>
  <c r="U56" i="31" s="1"/>
  <c r="AI56" i="31" s="1"/>
  <c r="D9" i="32"/>
  <c r="V20" i="32"/>
  <c r="W20" i="32" s="1"/>
  <c r="X20" i="32" s="1"/>
  <c r="V11" i="32"/>
  <c r="W11" i="32" s="1"/>
  <c r="X11" i="32" s="1"/>
  <c r="V28" i="32"/>
  <c r="W28" i="32" s="1"/>
  <c r="X28" i="32" s="1"/>
  <c r="T12" i="31"/>
  <c r="U12" i="31" s="1"/>
  <c r="T14" i="31"/>
  <c r="U14" i="31" s="1"/>
  <c r="B28" i="32"/>
  <c r="D28" i="32" s="1"/>
  <c r="B4" i="31"/>
  <c r="B5" i="31" s="1"/>
  <c r="D5" i="31" s="1"/>
  <c r="T18" i="31"/>
  <c r="U18" i="31" s="1"/>
  <c r="AI18" i="31" s="1"/>
  <c r="T20" i="31"/>
  <c r="U20" i="31" s="1"/>
  <c r="AI20" i="31" s="1"/>
  <c r="T71" i="31"/>
  <c r="U71" i="31" s="1"/>
  <c r="AI71" i="31" s="1"/>
  <c r="T30" i="31"/>
  <c r="U30" i="31" s="1"/>
  <c r="AI30" i="31" s="1"/>
  <c r="B38" i="31"/>
  <c r="D38" i="31" s="1"/>
  <c r="D19" i="31"/>
  <c r="V39" i="32"/>
  <c r="W39" i="32" s="1"/>
  <c r="X39" i="32" s="1"/>
  <c r="V44" i="32"/>
  <c r="W44" i="32" s="1"/>
  <c r="X44" i="32" s="1"/>
  <c r="T53" i="31"/>
  <c r="U53" i="31" s="1"/>
  <c r="AI53" i="31" s="1"/>
  <c r="V29" i="32"/>
  <c r="W29" i="32" s="1"/>
  <c r="X29" i="32" s="1"/>
  <c r="T13" i="31"/>
  <c r="U13" i="31" s="1"/>
  <c r="T32" i="31"/>
  <c r="U32" i="31" s="1"/>
  <c r="AI32" i="31" s="1"/>
  <c r="V32" i="32"/>
  <c r="W32" i="32" s="1"/>
  <c r="X32" i="32" s="1"/>
  <c r="T17" i="31"/>
  <c r="U17" i="31" s="1"/>
  <c r="AI17" i="31" s="1"/>
  <c r="B36" i="31"/>
  <c r="D36" i="31" s="1"/>
  <c r="T36" i="31"/>
  <c r="U36" i="31" s="1"/>
  <c r="AI36" i="31" s="1"/>
  <c r="T40" i="31"/>
  <c r="U40" i="31" s="1"/>
  <c r="AI40" i="31" s="1"/>
  <c r="T52" i="31"/>
  <c r="U52" i="31" s="1"/>
  <c r="AI52" i="31" s="1"/>
  <c r="T54" i="31"/>
  <c r="U54" i="31" s="1"/>
  <c r="AI54" i="31" s="1"/>
  <c r="V12" i="32"/>
  <c r="W12" i="32" s="1"/>
  <c r="X12" i="32" s="1"/>
  <c r="V30" i="32"/>
  <c r="W30" i="32" s="1"/>
  <c r="X30" i="32" s="1"/>
  <c r="V37" i="32"/>
  <c r="W37" i="32" s="1"/>
  <c r="X37" i="32" s="1"/>
  <c r="V47" i="32"/>
  <c r="W47" i="32" s="1"/>
  <c r="X47" i="32" s="1"/>
  <c r="V48" i="32"/>
  <c r="W48" i="32" s="1"/>
  <c r="X48" i="32" s="1"/>
  <c r="T35" i="31"/>
  <c r="U35" i="31" s="1"/>
  <c r="V14" i="32"/>
  <c r="W14" i="32" s="1"/>
  <c r="X14" i="32" s="1"/>
  <c r="D14" i="31"/>
  <c r="T29" i="31"/>
  <c r="U29" i="31" s="1"/>
  <c r="T69" i="31"/>
  <c r="U69" i="31" s="1"/>
  <c r="V18" i="32"/>
  <c r="W18" i="32" s="1"/>
  <c r="X18" i="32" s="1"/>
  <c r="T7" i="31"/>
  <c r="U7" i="31" s="1"/>
  <c r="AI7" i="31" s="1"/>
  <c r="D9" i="31"/>
  <c r="D12" i="31"/>
  <c r="T15" i="31"/>
  <c r="U15" i="31" s="1"/>
  <c r="AI15" i="31" s="1"/>
  <c r="T19" i="31"/>
  <c r="U19" i="31" s="1"/>
  <c r="T21" i="31"/>
  <c r="U21" i="31" s="1"/>
  <c r="AI21" i="31" s="1"/>
  <c r="T22" i="31"/>
  <c r="U22" i="31" s="1"/>
  <c r="AI22" i="31" s="1"/>
  <c r="B24" i="31"/>
  <c r="B25" i="31" s="1"/>
  <c r="T31" i="31"/>
  <c r="U31" i="31" s="1"/>
  <c r="AI31" i="31" s="1"/>
  <c r="T37" i="31"/>
  <c r="U37" i="31" s="1"/>
  <c r="AI37" i="31" s="1"/>
  <c r="T62" i="31"/>
  <c r="U62" i="31" s="1"/>
  <c r="AI62" i="31" s="1"/>
  <c r="T64" i="31"/>
  <c r="U64" i="31" s="1"/>
  <c r="AI64" i="31" s="1"/>
  <c r="V17" i="32"/>
  <c r="W17" i="32" s="1"/>
  <c r="X17" i="32" s="1"/>
  <c r="V35" i="32"/>
  <c r="W35" i="32" s="1"/>
  <c r="X35" i="32" s="1"/>
  <c r="V36" i="32"/>
  <c r="W36" i="32" s="1"/>
  <c r="X36" i="32" s="1"/>
  <c r="V50" i="32"/>
  <c r="W50" i="32" s="1"/>
  <c r="X50" i="32" s="1"/>
  <c r="V9" i="32"/>
  <c r="W9" i="32" s="1"/>
  <c r="X9" i="32" s="1"/>
  <c r="V4" i="32"/>
  <c r="W4" i="32" s="1"/>
  <c r="X4" i="32" s="1"/>
  <c r="T9" i="31"/>
  <c r="U9" i="31" s="1"/>
  <c r="AI9" i="31" s="1"/>
  <c r="T11" i="31"/>
  <c r="U11" i="31" s="1"/>
  <c r="AI11" i="31" s="1"/>
  <c r="T38" i="31"/>
  <c r="U38" i="31" s="1"/>
  <c r="AI38" i="31" s="1"/>
  <c r="T41" i="31"/>
  <c r="U41" i="31" s="1"/>
  <c r="AI41" i="31" s="1"/>
  <c r="T43" i="31"/>
  <c r="U43" i="31" s="1"/>
  <c r="AI43" i="31" s="1"/>
  <c r="T49" i="31"/>
  <c r="U49" i="31" s="1"/>
  <c r="AI49" i="31" s="1"/>
  <c r="T58" i="31"/>
  <c r="U58" i="31" s="1"/>
  <c r="AI58" i="31" s="1"/>
  <c r="T59" i="31"/>
  <c r="U59" i="31" s="1"/>
  <c r="AI59" i="31" s="1"/>
  <c r="T66" i="31"/>
  <c r="U66" i="31" s="1"/>
  <c r="AI66" i="31" s="1"/>
  <c r="T70" i="31"/>
  <c r="U70" i="31" s="1"/>
  <c r="AI70" i="31" s="1"/>
  <c r="V24" i="32"/>
  <c r="W24" i="32" s="1"/>
  <c r="X24" i="32" s="1"/>
  <c r="V27" i="32"/>
  <c r="W27" i="32" s="1"/>
  <c r="X27" i="32" s="1"/>
  <c r="V38" i="32"/>
  <c r="W38" i="32" s="1"/>
  <c r="X38" i="32" s="1"/>
  <c r="V40" i="32"/>
  <c r="W40" i="32" s="1"/>
  <c r="X40" i="32" s="1"/>
  <c r="V49" i="32"/>
  <c r="W49" i="32" s="1"/>
  <c r="X49" i="32" s="1"/>
  <c r="V5" i="32"/>
  <c r="W5" i="32" s="1"/>
  <c r="X5" i="32" s="1"/>
  <c r="V13" i="32"/>
  <c r="W13" i="32" s="1"/>
  <c r="X13" i="32" s="1"/>
  <c r="V15" i="32"/>
  <c r="W15" i="32" s="1"/>
  <c r="X15" i="32" s="1"/>
  <c r="V31" i="32"/>
  <c r="W31" i="32" s="1"/>
  <c r="X31" i="32" s="1"/>
  <c r="V43" i="32"/>
  <c r="W43" i="32" s="1"/>
  <c r="X43" i="32" s="1"/>
  <c r="V3" i="32"/>
  <c r="W3" i="32" s="1"/>
  <c r="X3" i="32" s="1"/>
  <c r="V23" i="32"/>
  <c r="W23" i="32" s="1"/>
  <c r="X23" i="32" s="1"/>
  <c r="V25" i="32"/>
  <c r="W25" i="32" s="1"/>
  <c r="X25" i="32" s="1"/>
  <c r="V41" i="32"/>
  <c r="W41" i="32" s="1"/>
  <c r="X41" i="32" s="1"/>
  <c r="V7" i="32"/>
  <c r="W7" i="32" s="1"/>
  <c r="X7" i="32" s="1"/>
  <c r="D20" i="32"/>
  <c r="B21" i="32"/>
  <c r="V16" i="32"/>
  <c r="W16" i="32" s="1"/>
  <c r="X16" i="32" s="1"/>
  <c r="V26" i="32"/>
  <c r="W26" i="32" s="1"/>
  <c r="X26" i="32" s="1"/>
  <c r="V10" i="32"/>
  <c r="W10" i="32" s="1"/>
  <c r="X10" i="32" s="1"/>
  <c r="V33" i="32"/>
  <c r="W33" i="32" s="1"/>
  <c r="X33" i="32" s="1"/>
  <c r="V45" i="32"/>
  <c r="W45" i="32" s="1"/>
  <c r="X45" i="32" s="1"/>
  <c r="D25" i="32"/>
  <c r="B12" i="32"/>
  <c r="D12" i="32" s="1"/>
  <c r="D7" i="32"/>
  <c r="D13" i="32"/>
  <c r="B30" i="32"/>
  <c r="D30" i="32" s="1"/>
  <c r="D23" i="32"/>
  <c r="B16" i="32"/>
  <c r="B26" i="31"/>
  <c r="D25" i="31"/>
  <c r="T5" i="31"/>
  <c r="U5" i="31" s="1"/>
  <c r="AI5" i="31" s="1"/>
  <c r="T50" i="31"/>
  <c r="U50" i="31" s="1"/>
  <c r="AI50" i="31" s="1"/>
  <c r="AH63" i="31"/>
  <c r="AG63" i="31"/>
  <c r="AI63" i="31"/>
  <c r="T72" i="31"/>
  <c r="U72" i="31" s="1"/>
  <c r="AI72" i="31" s="1"/>
  <c r="AI12" i="31"/>
  <c r="AI13" i="31"/>
  <c r="B21" i="31"/>
  <c r="D21" i="31" s="1"/>
  <c r="D20" i="31"/>
  <c r="B31" i="31"/>
  <c r="D30" i="31"/>
  <c r="T3" i="31"/>
  <c r="U3" i="31" s="1"/>
  <c r="T33" i="31"/>
  <c r="U33" i="31" s="1"/>
  <c r="AI33" i="31" s="1"/>
  <c r="AI35" i="31"/>
  <c r="AH35" i="31"/>
  <c r="T48" i="31"/>
  <c r="U48" i="31" s="1"/>
  <c r="AI48" i="31" s="1"/>
  <c r="AI57" i="31"/>
  <c r="AH57" i="31"/>
  <c r="AG57" i="31"/>
  <c r="AH39" i="31"/>
  <c r="AG39" i="31"/>
  <c r="AI39" i="31"/>
  <c r="AH51" i="31"/>
  <c r="AG51" i="31"/>
  <c r="AI51" i="31"/>
  <c r="AI19" i="31"/>
  <c r="AH19" i="31"/>
  <c r="T34" i="31"/>
  <c r="U34" i="31" s="1"/>
  <c r="AI34" i="31" s="1"/>
  <c r="T6" i="31"/>
  <c r="U6" i="31" s="1"/>
  <c r="AI6" i="31" s="1"/>
  <c r="T42" i="31"/>
  <c r="U42" i="31" s="1"/>
  <c r="AI42" i="31" s="1"/>
  <c r="T60" i="31"/>
  <c r="U60" i="31" s="1"/>
  <c r="AI60" i="31" s="1"/>
  <c r="AI8" i="31"/>
  <c r="AH8" i="31"/>
  <c r="AG8" i="31"/>
  <c r="B11" i="31"/>
  <c r="D11" i="31" s="1"/>
  <c r="D10" i="31"/>
  <c r="AI14" i="31"/>
  <c r="AH14" i="31"/>
  <c r="AG14" i="31"/>
  <c r="AH23" i="31"/>
  <c r="AG23" i="31"/>
  <c r="AI23" i="31"/>
  <c r="AI45" i="31"/>
  <c r="AH45" i="31"/>
  <c r="AG45" i="31"/>
  <c r="AI69" i="31"/>
  <c r="AH69" i="31"/>
  <c r="AG69" i="31"/>
  <c r="T74" i="31"/>
  <c r="U74" i="31" s="1"/>
  <c r="AI74" i="31" s="1"/>
  <c r="B34" i="31"/>
  <c r="D34" i="31" s="1"/>
  <c r="B16" i="31"/>
  <c r="D16" i="31" s="1"/>
  <c r="D24" i="31"/>
  <c r="D4" i="31"/>
  <c r="D29" i="31"/>
  <c r="AH29" i="31" l="1"/>
  <c r="AG19" i="31"/>
  <c r="AI29" i="31"/>
  <c r="AG35" i="31"/>
  <c r="B17" i="32"/>
  <c r="D17" i="32" s="1"/>
  <c r="D16" i="32"/>
  <c r="D21" i="32"/>
  <c r="B22" i="32"/>
  <c r="D22" i="32" s="1"/>
  <c r="B27" i="31"/>
  <c r="D26" i="31"/>
  <c r="AG29" i="31"/>
  <c r="AI3" i="31"/>
  <c r="AH3" i="31"/>
  <c r="AG3" i="31"/>
  <c r="B32" i="31"/>
  <c r="D32" i="31" s="1"/>
  <c r="D31" i="31"/>
  <c r="B28" i="31" l="1"/>
  <c r="D28" i="31" s="1"/>
  <c r="D27" i="31"/>
  <c r="U54" i="30" l="1"/>
  <c r="N54" i="30"/>
  <c r="O54" i="30" s="1"/>
  <c r="D54" i="30"/>
  <c r="U53" i="30"/>
  <c r="N53" i="30"/>
  <c r="O53" i="30" s="1"/>
  <c r="D53" i="30"/>
  <c r="U52" i="30"/>
  <c r="N52" i="30"/>
  <c r="O52" i="30" s="1"/>
  <c r="D52" i="30"/>
  <c r="U51" i="30"/>
  <c r="N51" i="30"/>
  <c r="O51" i="30" s="1"/>
  <c r="D51" i="30"/>
  <c r="U50" i="30"/>
  <c r="N50" i="30"/>
  <c r="O50" i="30" s="1"/>
  <c r="D50" i="30"/>
  <c r="U49" i="30"/>
  <c r="N49" i="30"/>
  <c r="O49" i="30" s="1"/>
  <c r="V49" i="30" s="1"/>
  <c r="W49" i="30" s="1"/>
  <c r="X49" i="30" s="1"/>
  <c r="D49" i="30"/>
  <c r="U48" i="30"/>
  <c r="N48" i="30"/>
  <c r="O48" i="30" s="1"/>
  <c r="D48" i="30"/>
  <c r="U47" i="30"/>
  <c r="N47" i="30"/>
  <c r="O47" i="30" s="1"/>
  <c r="D47" i="30"/>
  <c r="U46" i="30"/>
  <c r="N46" i="30"/>
  <c r="O46" i="30" s="1"/>
  <c r="D46" i="30"/>
  <c r="U45" i="30"/>
  <c r="N45" i="30"/>
  <c r="O45" i="30" s="1"/>
  <c r="D45" i="30"/>
  <c r="U44" i="30"/>
  <c r="N44" i="30"/>
  <c r="O44" i="30" s="1"/>
  <c r="D44" i="30"/>
  <c r="U43" i="30"/>
  <c r="N43" i="30"/>
  <c r="O43" i="30" s="1"/>
  <c r="D43" i="30"/>
  <c r="U42" i="30"/>
  <c r="N42" i="30"/>
  <c r="O42" i="30" s="1"/>
  <c r="D42" i="30"/>
  <c r="U41" i="30"/>
  <c r="N41" i="30"/>
  <c r="O41" i="30" s="1"/>
  <c r="D41" i="30"/>
  <c r="U40" i="30"/>
  <c r="N40" i="30"/>
  <c r="O40" i="30" s="1"/>
  <c r="D40" i="30"/>
  <c r="U39" i="30"/>
  <c r="N39" i="30"/>
  <c r="O39" i="30" s="1"/>
  <c r="D39" i="30"/>
  <c r="U38" i="30"/>
  <c r="N38" i="30"/>
  <c r="O38" i="30" s="1"/>
  <c r="D38" i="30"/>
  <c r="U37" i="30"/>
  <c r="N37" i="30"/>
  <c r="O37" i="30" s="1"/>
  <c r="V37" i="30" s="1"/>
  <c r="W37" i="30" s="1"/>
  <c r="X37" i="30" s="1"/>
  <c r="D37" i="30"/>
  <c r="U36" i="30"/>
  <c r="N36" i="30"/>
  <c r="O36" i="30" s="1"/>
  <c r="V36" i="30" s="1"/>
  <c r="W36" i="30" s="1"/>
  <c r="X36" i="30" s="1"/>
  <c r="D36" i="30"/>
  <c r="U35" i="30"/>
  <c r="N35" i="30"/>
  <c r="O35" i="30" s="1"/>
  <c r="D35" i="30"/>
  <c r="U34" i="30"/>
  <c r="N34" i="30"/>
  <c r="O34" i="30" s="1"/>
  <c r="D34" i="30"/>
  <c r="U33" i="30"/>
  <c r="N33" i="30"/>
  <c r="O33" i="30" s="1"/>
  <c r="V33" i="30" s="1"/>
  <c r="W33" i="30" s="1"/>
  <c r="X33" i="30" s="1"/>
  <c r="D33" i="30"/>
  <c r="U32" i="30"/>
  <c r="N32" i="30"/>
  <c r="O32" i="30" s="1"/>
  <c r="D32" i="30"/>
  <c r="U31" i="30"/>
  <c r="N31" i="30"/>
  <c r="O31" i="30" s="1"/>
  <c r="D31" i="30"/>
  <c r="U30" i="30"/>
  <c r="O30" i="30"/>
  <c r="D30" i="30"/>
  <c r="O29" i="30"/>
  <c r="P29" i="30" s="1"/>
  <c r="U29" i="30" s="1"/>
  <c r="V29" i="30" s="1"/>
  <c r="W29" i="30" s="1"/>
  <c r="X29" i="30" s="1"/>
  <c r="D29" i="30"/>
  <c r="U28" i="30"/>
  <c r="O28" i="30"/>
  <c r="D28" i="30"/>
  <c r="S27" i="30"/>
  <c r="U27" i="30" s="1"/>
  <c r="N27" i="30"/>
  <c r="O27" i="30" s="1"/>
  <c r="D27" i="30"/>
  <c r="U26" i="30"/>
  <c r="N26" i="30"/>
  <c r="O26" i="30" s="1"/>
  <c r="D26" i="30"/>
  <c r="S25" i="30"/>
  <c r="U25" i="30" s="1"/>
  <c r="N25" i="30"/>
  <c r="O25" i="30" s="1"/>
  <c r="D25" i="30"/>
  <c r="S24" i="30"/>
  <c r="U24" i="30" s="1"/>
  <c r="N24" i="30"/>
  <c r="O24" i="30" s="1"/>
  <c r="D24" i="30"/>
  <c r="U23" i="30"/>
  <c r="N23" i="30"/>
  <c r="O23" i="30" s="1"/>
  <c r="D23" i="30"/>
  <c r="U22" i="30"/>
  <c r="N22" i="30"/>
  <c r="O22" i="30" s="1"/>
  <c r="D22" i="30"/>
  <c r="U21" i="30"/>
  <c r="N21" i="30"/>
  <c r="O21" i="30" s="1"/>
  <c r="V21" i="30" s="1"/>
  <c r="W21" i="30" s="1"/>
  <c r="X21" i="30" s="1"/>
  <c r="D21" i="30"/>
  <c r="U20" i="30"/>
  <c r="N20" i="30"/>
  <c r="O20" i="30" s="1"/>
  <c r="D20" i="30"/>
  <c r="U19" i="30"/>
  <c r="N19" i="30"/>
  <c r="O19" i="30" s="1"/>
  <c r="D19" i="30"/>
  <c r="P18" i="30"/>
  <c r="U18" i="30" s="1"/>
  <c r="N18" i="30"/>
  <c r="O18" i="30" s="1"/>
  <c r="D18" i="30"/>
  <c r="S17" i="30"/>
  <c r="U17" i="30" s="1"/>
  <c r="N17" i="30"/>
  <c r="O17" i="30" s="1"/>
  <c r="D17" i="30"/>
  <c r="S16" i="30"/>
  <c r="U16" i="30" s="1"/>
  <c r="N16" i="30"/>
  <c r="O16" i="30" s="1"/>
  <c r="D16" i="30"/>
  <c r="S15" i="30"/>
  <c r="U15" i="30" s="1"/>
  <c r="N15" i="30"/>
  <c r="O15" i="30" s="1"/>
  <c r="D15" i="30"/>
  <c r="U14" i="30"/>
  <c r="N14" i="30"/>
  <c r="O14" i="30" s="1"/>
  <c r="D14" i="30"/>
  <c r="U13" i="30"/>
  <c r="N13" i="30"/>
  <c r="O13" i="30" s="1"/>
  <c r="D13" i="30"/>
  <c r="U12" i="30"/>
  <c r="O12" i="30"/>
  <c r="V12" i="30" s="1"/>
  <c r="W12" i="30" s="1"/>
  <c r="X12" i="30" s="1"/>
  <c r="D12" i="30"/>
  <c r="U11" i="30"/>
  <c r="N11" i="30"/>
  <c r="O11" i="30" s="1"/>
  <c r="D11" i="30"/>
  <c r="U10" i="30"/>
  <c r="N10" i="30"/>
  <c r="O10" i="30" s="1"/>
  <c r="V10" i="30" s="1"/>
  <c r="W10" i="30" s="1"/>
  <c r="X10" i="30" s="1"/>
  <c r="D10" i="30"/>
  <c r="U9" i="30"/>
  <c r="N9" i="30"/>
  <c r="O9" i="30" s="1"/>
  <c r="D9" i="30"/>
  <c r="U8" i="30"/>
  <c r="N8" i="30"/>
  <c r="O8" i="30" s="1"/>
  <c r="D8" i="30"/>
  <c r="U7" i="30"/>
  <c r="N7" i="30"/>
  <c r="O7" i="30" s="1"/>
  <c r="D7" i="30"/>
  <c r="S6" i="30"/>
  <c r="U6" i="30" s="1"/>
  <c r="N6" i="30"/>
  <c r="O6" i="30" s="1"/>
  <c r="D6" i="30"/>
  <c r="S5" i="30"/>
  <c r="U5" i="30" s="1"/>
  <c r="N5" i="30"/>
  <c r="O5" i="30" s="1"/>
  <c r="D5" i="30"/>
  <c r="S4" i="30"/>
  <c r="U4" i="30" s="1"/>
  <c r="N4" i="30"/>
  <c r="O4" i="30" s="1"/>
  <c r="D4" i="30"/>
  <c r="U3" i="30"/>
  <c r="N3" i="30"/>
  <c r="O3" i="30" s="1"/>
  <c r="V3" i="30" s="1"/>
  <c r="W3" i="30" s="1"/>
  <c r="X3" i="30" s="1"/>
  <c r="D3" i="30"/>
  <c r="S69" i="29"/>
  <c r="L69" i="29"/>
  <c r="M69" i="29" s="1"/>
  <c r="D69" i="29"/>
  <c r="S68" i="29"/>
  <c r="L68" i="29"/>
  <c r="M68" i="29" s="1"/>
  <c r="D68" i="29"/>
  <c r="S67" i="29"/>
  <c r="L67" i="29"/>
  <c r="M67" i="29" s="1"/>
  <c r="D67" i="29"/>
  <c r="S66" i="29"/>
  <c r="L66" i="29"/>
  <c r="M66" i="29" s="1"/>
  <c r="D66" i="29"/>
  <c r="S65" i="29"/>
  <c r="L65" i="29"/>
  <c r="M65" i="29" s="1"/>
  <c r="D65" i="29"/>
  <c r="S64" i="29"/>
  <c r="L64" i="29"/>
  <c r="M64" i="29" s="1"/>
  <c r="D64" i="29"/>
  <c r="S63" i="29"/>
  <c r="L63" i="29"/>
  <c r="M63" i="29" s="1"/>
  <c r="D63" i="29"/>
  <c r="S62" i="29"/>
  <c r="L62" i="29"/>
  <c r="M62" i="29" s="1"/>
  <c r="D62" i="29"/>
  <c r="S61" i="29"/>
  <c r="L61" i="29"/>
  <c r="M61" i="29" s="1"/>
  <c r="D61" i="29"/>
  <c r="S60" i="29"/>
  <c r="L60" i="29"/>
  <c r="M60" i="29" s="1"/>
  <c r="D60" i="29"/>
  <c r="S59" i="29"/>
  <c r="L59" i="29"/>
  <c r="M59" i="29" s="1"/>
  <c r="D59" i="29"/>
  <c r="S58" i="29"/>
  <c r="L58" i="29"/>
  <c r="M58" i="29" s="1"/>
  <c r="T58" i="29" s="1"/>
  <c r="U58" i="29" s="1"/>
  <c r="D58" i="29"/>
  <c r="S57" i="29"/>
  <c r="L57" i="29"/>
  <c r="M57" i="29" s="1"/>
  <c r="D57" i="29"/>
  <c r="S56" i="29"/>
  <c r="L56" i="29"/>
  <c r="M56" i="29" s="1"/>
  <c r="D56" i="29"/>
  <c r="S55" i="29"/>
  <c r="L55" i="29"/>
  <c r="M55" i="29" s="1"/>
  <c r="D55" i="29"/>
  <c r="S54" i="29"/>
  <c r="L54" i="29"/>
  <c r="M54" i="29" s="1"/>
  <c r="D54" i="29"/>
  <c r="S53" i="29"/>
  <c r="L53" i="29"/>
  <c r="M53" i="29" s="1"/>
  <c r="D53" i="29"/>
  <c r="S52" i="29"/>
  <c r="L52" i="29"/>
  <c r="M52" i="29" s="1"/>
  <c r="D52" i="29"/>
  <c r="S51" i="29"/>
  <c r="L51" i="29"/>
  <c r="M51" i="29" s="1"/>
  <c r="T51" i="29" s="1"/>
  <c r="U51" i="29" s="1"/>
  <c r="AI51" i="29" s="1"/>
  <c r="D51" i="29"/>
  <c r="S50" i="29"/>
  <c r="L50" i="29"/>
  <c r="M50" i="29" s="1"/>
  <c r="D50" i="29"/>
  <c r="S49" i="29"/>
  <c r="L49" i="29"/>
  <c r="M49" i="29" s="1"/>
  <c r="D49" i="29"/>
  <c r="S48" i="29"/>
  <c r="L48" i="29"/>
  <c r="M48" i="29" s="1"/>
  <c r="D48" i="29"/>
  <c r="S47" i="29"/>
  <c r="L47" i="29"/>
  <c r="M47" i="29" s="1"/>
  <c r="D47" i="29"/>
  <c r="S46" i="29"/>
  <c r="L46" i="29"/>
  <c r="M46" i="29" s="1"/>
  <c r="D46" i="29"/>
  <c r="S45" i="29"/>
  <c r="L45" i="29"/>
  <c r="M45" i="29" s="1"/>
  <c r="D45" i="29"/>
  <c r="S44" i="29"/>
  <c r="L44" i="29"/>
  <c r="M44" i="29" s="1"/>
  <c r="D44" i="29"/>
  <c r="S43" i="29"/>
  <c r="L43" i="29"/>
  <c r="M43" i="29" s="1"/>
  <c r="D43" i="29"/>
  <c r="S42" i="29"/>
  <c r="L42" i="29"/>
  <c r="M42" i="29" s="1"/>
  <c r="D42" i="29"/>
  <c r="S41" i="29"/>
  <c r="L41" i="29"/>
  <c r="M41" i="29" s="1"/>
  <c r="D41" i="29"/>
  <c r="S40" i="29"/>
  <c r="L40" i="29"/>
  <c r="M40" i="29" s="1"/>
  <c r="D40" i="29"/>
  <c r="S39" i="29"/>
  <c r="L39" i="29"/>
  <c r="M39" i="29" s="1"/>
  <c r="D39" i="29"/>
  <c r="S38" i="29"/>
  <c r="L38" i="29"/>
  <c r="M38" i="29" s="1"/>
  <c r="T38" i="29" s="1"/>
  <c r="U38" i="29" s="1"/>
  <c r="AI38" i="29" s="1"/>
  <c r="D38" i="29"/>
  <c r="S37" i="29"/>
  <c r="L37" i="29"/>
  <c r="M37" i="29" s="1"/>
  <c r="D37" i="29"/>
  <c r="S36" i="29"/>
  <c r="L36" i="29"/>
  <c r="M36" i="29" s="1"/>
  <c r="D36" i="29"/>
  <c r="S35" i="29"/>
  <c r="L35" i="29"/>
  <c r="M35" i="29" s="1"/>
  <c r="D35" i="29"/>
  <c r="S34" i="29"/>
  <c r="L34" i="29"/>
  <c r="M34" i="29" s="1"/>
  <c r="T34" i="29" s="1"/>
  <c r="U34" i="29" s="1"/>
  <c r="D34" i="29"/>
  <c r="M33" i="29"/>
  <c r="N33" i="29" s="1"/>
  <c r="S33" i="29" s="1"/>
  <c r="T33" i="29" s="1"/>
  <c r="U33" i="29" s="1"/>
  <c r="AI33" i="29" s="1"/>
  <c r="D33" i="29"/>
  <c r="S32" i="29"/>
  <c r="M32" i="29"/>
  <c r="D32" i="29"/>
  <c r="S31" i="29"/>
  <c r="M31" i="29"/>
  <c r="T31" i="29" s="1"/>
  <c r="U31" i="29" s="1"/>
  <c r="AI31" i="29" s="1"/>
  <c r="D31" i="29"/>
  <c r="Q30" i="29"/>
  <c r="S30" i="29" s="1"/>
  <c r="L30" i="29"/>
  <c r="M30" i="29" s="1"/>
  <c r="D30" i="29"/>
  <c r="N29" i="29"/>
  <c r="Q29" i="29" s="1"/>
  <c r="S29" i="29" s="1"/>
  <c r="L29" i="29"/>
  <c r="M29" i="29" s="1"/>
  <c r="D29" i="29"/>
  <c r="S28" i="29"/>
  <c r="L28" i="29"/>
  <c r="M28" i="29" s="1"/>
  <c r="D28" i="29"/>
  <c r="L27" i="29"/>
  <c r="M27" i="29" s="1"/>
  <c r="T27" i="29" s="1"/>
  <c r="U27" i="29" s="1"/>
  <c r="AI27" i="29" s="1"/>
  <c r="D27" i="29"/>
  <c r="Q26" i="29"/>
  <c r="S26" i="29" s="1"/>
  <c r="L26" i="29"/>
  <c r="M26" i="29" s="1"/>
  <c r="D26" i="29"/>
  <c r="Q25" i="29"/>
  <c r="S25" i="29" s="1"/>
  <c r="L25" i="29"/>
  <c r="M25" i="29" s="1"/>
  <c r="D25" i="29"/>
  <c r="Q24" i="29"/>
  <c r="S24" i="29" s="1"/>
  <c r="L24" i="29"/>
  <c r="M24" i="29" s="1"/>
  <c r="D24" i="29"/>
  <c r="S23" i="29"/>
  <c r="L23" i="29"/>
  <c r="M23" i="29" s="1"/>
  <c r="D23" i="29"/>
  <c r="S22" i="29"/>
  <c r="L22" i="29"/>
  <c r="M22" i="29" s="1"/>
  <c r="D22" i="29"/>
  <c r="S21" i="29"/>
  <c r="L21" i="29"/>
  <c r="M21" i="29" s="1"/>
  <c r="D21" i="29"/>
  <c r="S20" i="29"/>
  <c r="L20" i="29"/>
  <c r="M20" i="29" s="1"/>
  <c r="D20" i="29"/>
  <c r="S19" i="29"/>
  <c r="L19" i="29"/>
  <c r="M19" i="29" s="1"/>
  <c r="D19" i="29"/>
  <c r="S18" i="29"/>
  <c r="M18" i="29"/>
  <c r="D18" i="29"/>
  <c r="S17" i="29"/>
  <c r="L17" i="29"/>
  <c r="M17" i="29" s="1"/>
  <c r="D17" i="29"/>
  <c r="N16" i="29"/>
  <c r="S16" i="29" s="1"/>
  <c r="L16" i="29"/>
  <c r="M16" i="29" s="1"/>
  <c r="D16" i="29"/>
  <c r="N15" i="29"/>
  <c r="Q15" i="29" s="1"/>
  <c r="S15" i="29" s="1"/>
  <c r="L15" i="29"/>
  <c r="M15" i="29" s="1"/>
  <c r="D15" i="29"/>
  <c r="S14" i="29"/>
  <c r="L14" i="29"/>
  <c r="M14" i="29" s="1"/>
  <c r="D14" i="29"/>
  <c r="S13" i="29"/>
  <c r="L13" i="29"/>
  <c r="M13" i="29" s="1"/>
  <c r="D13" i="29"/>
  <c r="S12" i="29"/>
  <c r="L12" i="29"/>
  <c r="M12" i="29" s="1"/>
  <c r="D12" i="29"/>
  <c r="S11" i="29"/>
  <c r="L11" i="29"/>
  <c r="M11" i="29" s="1"/>
  <c r="D11" i="29"/>
  <c r="N10" i="29"/>
  <c r="S10" i="29" s="1"/>
  <c r="L10" i="29"/>
  <c r="M10" i="29" s="1"/>
  <c r="D10" i="29"/>
  <c r="S9" i="29"/>
  <c r="L9" i="29"/>
  <c r="M9" i="29" s="1"/>
  <c r="D9" i="29"/>
  <c r="S8" i="29"/>
  <c r="L8" i="29"/>
  <c r="M8" i="29" s="1"/>
  <c r="D8" i="29"/>
  <c r="S7" i="29"/>
  <c r="L7" i="29"/>
  <c r="M7" i="29" s="1"/>
  <c r="D7" i="29"/>
  <c r="S6" i="29"/>
  <c r="L6" i="29"/>
  <c r="M6" i="29" s="1"/>
  <c r="D6" i="29"/>
  <c r="S5" i="29"/>
  <c r="L5" i="29"/>
  <c r="M5" i="29" s="1"/>
  <c r="D5" i="29"/>
  <c r="Q4" i="29"/>
  <c r="S4" i="29" s="1"/>
  <c r="L4" i="29"/>
  <c r="M4" i="29" s="1"/>
  <c r="D4" i="29"/>
  <c r="Q3" i="29"/>
  <c r="S3" i="29" s="1"/>
  <c r="L3" i="29"/>
  <c r="M3" i="29" s="1"/>
  <c r="D3" i="29"/>
  <c r="T53" i="29" l="1"/>
  <c r="U53" i="29" s="1"/>
  <c r="AI53" i="29" s="1"/>
  <c r="V20" i="30"/>
  <c r="W20" i="30" s="1"/>
  <c r="X20" i="30" s="1"/>
  <c r="V34" i="30"/>
  <c r="W34" i="30" s="1"/>
  <c r="X34" i="30" s="1"/>
  <c r="V38" i="30"/>
  <c r="W38" i="30" s="1"/>
  <c r="X38" i="30" s="1"/>
  <c r="V27" i="30"/>
  <c r="W27" i="30" s="1"/>
  <c r="X27" i="30" s="1"/>
  <c r="V50" i="30"/>
  <c r="W50" i="30" s="1"/>
  <c r="X50" i="30" s="1"/>
  <c r="V52" i="30"/>
  <c r="W52" i="30" s="1"/>
  <c r="X52" i="30" s="1"/>
  <c r="V54" i="30"/>
  <c r="W54" i="30" s="1"/>
  <c r="X54" i="30" s="1"/>
  <c r="V44" i="30"/>
  <c r="W44" i="30" s="1"/>
  <c r="X44" i="30" s="1"/>
  <c r="V28" i="30"/>
  <c r="W28" i="30" s="1"/>
  <c r="X28" i="30" s="1"/>
  <c r="V43" i="30"/>
  <c r="W43" i="30" s="1"/>
  <c r="X43" i="30" s="1"/>
  <c r="V14" i="30"/>
  <c r="W14" i="30" s="1"/>
  <c r="T55" i="29"/>
  <c r="U55" i="29" s="1"/>
  <c r="AI55" i="29" s="1"/>
  <c r="V5" i="30"/>
  <c r="W5" i="30" s="1"/>
  <c r="X5" i="30" s="1"/>
  <c r="V13" i="30"/>
  <c r="W13" i="30" s="1"/>
  <c r="X13" i="30" s="1"/>
  <c r="V15" i="30"/>
  <c r="W15" i="30" s="1"/>
  <c r="X15" i="30" s="1"/>
  <c r="V16" i="30"/>
  <c r="W16" i="30" s="1"/>
  <c r="X16" i="30" s="1"/>
  <c r="V17" i="30"/>
  <c r="W17" i="30" s="1"/>
  <c r="X17" i="30" s="1"/>
  <c r="V18" i="30"/>
  <c r="W18" i="30" s="1"/>
  <c r="X18" i="30" s="1"/>
  <c r="V19" i="30"/>
  <c r="W19" i="30" s="1"/>
  <c r="X19" i="30" s="1"/>
  <c r="V26" i="30"/>
  <c r="W26" i="30" s="1"/>
  <c r="X26" i="30" s="1"/>
  <c r="V31" i="30"/>
  <c r="W31" i="30" s="1"/>
  <c r="X31" i="30" s="1"/>
  <c r="V32" i="30"/>
  <c r="W32" i="30" s="1"/>
  <c r="X32" i="30" s="1"/>
  <c r="V41" i="30"/>
  <c r="W41" i="30" s="1"/>
  <c r="X41" i="30" s="1"/>
  <c r="V42" i="30"/>
  <c r="W42" i="30" s="1"/>
  <c r="X42" i="30" s="1"/>
  <c r="V45" i="30"/>
  <c r="W45" i="30" s="1"/>
  <c r="X45" i="30" s="1"/>
  <c r="V47" i="30"/>
  <c r="W47" i="30" s="1"/>
  <c r="X47" i="30" s="1"/>
  <c r="V48" i="30"/>
  <c r="W48" i="30" s="1"/>
  <c r="X48" i="30" s="1"/>
  <c r="V8" i="30"/>
  <c r="W8" i="30" s="1"/>
  <c r="X8" i="30" s="1"/>
  <c r="V22" i="30"/>
  <c r="W22" i="30" s="1"/>
  <c r="X22" i="30" s="1"/>
  <c r="V23" i="30"/>
  <c r="W23" i="30" s="1"/>
  <c r="X23" i="30" s="1"/>
  <c r="V39" i="30"/>
  <c r="W39" i="30" s="1"/>
  <c r="X39" i="30" s="1"/>
  <c r="V40" i="30"/>
  <c r="W40" i="30" s="1"/>
  <c r="X40" i="30" s="1"/>
  <c r="V11" i="30"/>
  <c r="W11" i="30" s="1"/>
  <c r="X11" i="30" s="1"/>
  <c r="V30" i="30"/>
  <c r="W30" i="30" s="1"/>
  <c r="X30" i="30" s="1"/>
  <c r="V35" i="30"/>
  <c r="W35" i="30" s="1"/>
  <c r="X35" i="30" s="1"/>
  <c r="V46" i="30"/>
  <c r="W46" i="30" s="1"/>
  <c r="X46" i="30" s="1"/>
  <c r="V53" i="30"/>
  <c r="W53" i="30" s="1"/>
  <c r="X53" i="30" s="1"/>
  <c r="T14" i="29"/>
  <c r="U14" i="29" s="1"/>
  <c r="T5" i="29"/>
  <c r="U5" i="29" s="1"/>
  <c r="AI5" i="29" s="1"/>
  <c r="T6" i="29"/>
  <c r="U6" i="29" s="1"/>
  <c r="AI6" i="29" s="1"/>
  <c r="T35" i="29"/>
  <c r="U35" i="29" s="1"/>
  <c r="AI35" i="29" s="1"/>
  <c r="T19" i="29"/>
  <c r="U19" i="29" s="1"/>
  <c r="AI19" i="29" s="1"/>
  <c r="T29" i="29"/>
  <c r="U29" i="29" s="1"/>
  <c r="T23" i="29"/>
  <c r="U23" i="29" s="1"/>
  <c r="AI23" i="29" s="1"/>
  <c r="T28" i="29"/>
  <c r="U28" i="29" s="1"/>
  <c r="AI28" i="29" s="1"/>
  <c r="T50" i="29"/>
  <c r="U50" i="29" s="1"/>
  <c r="AI50" i="29" s="1"/>
  <c r="T60" i="29"/>
  <c r="U60" i="29" s="1"/>
  <c r="AI60" i="29" s="1"/>
  <c r="T63" i="29"/>
  <c r="U63" i="29" s="1"/>
  <c r="AI63" i="29" s="1"/>
  <c r="T46" i="29"/>
  <c r="U46" i="29" s="1"/>
  <c r="AG46" i="29" s="1"/>
  <c r="T7" i="29"/>
  <c r="U7" i="29" s="1"/>
  <c r="AI7" i="29" s="1"/>
  <c r="T9" i="29"/>
  <c r="U9" i="29" s="1"/>
  <c r="AI9" i="29" s="1"/>
  <c r="T12" i="29"/>
  <c r="U12" i="29" s="1"/>
  <c r="AI12" i="29" s="1"/>
  <c r="T32" i="29"/>
  <c r="U32" i="29" s="1"/>
  <c r="AI32" i="29" s="1"/>
  <c r="T39" i="29"/>
  <c r="U39" i="29" s="1"/>
  <c r="AI39" i="29" s="1"/>
  <c r="T21" i="29"/>
  <c r="U21" i="29" s="1"/>
  <c r="AI21" i="29" s="1"/>
  <c r="T42" i="29"/>
  <c r="U42" i="29" s="1"/>
  <c r="AI42" i="29" s="1"/>
  <c r="T65" i="29"/>
  <c r="U65" i="29" s="1"/>
  <c r="AI65" i="29" s="1"/>
  <c r="T18" i="29"/>
  <c r="U18" i="29" s="1"/>
  <c r="AI18" i="29" s="1"/>
  <c r="T36" i="29"/>
  <c r="U36" i="29" s="1"/>
  <c r="AI36" i="29" s="1"/>
  <c r="T48" i="29"/>
  <c r="U48" i="29" s="1"/>
  <c r="AI48" i="29" s="1"/>
  <c r="T22" i="29"/>
  <c r="U22" i="29" s="1"/>
  <c r="AI22" i="29" s="1"/>
  <c r="T17" i="29"/>
  <c r="U17" i="29" s="1"/>
  <c r="AI17" i="29" s="1"/>
  <c r="T41" i="29"/>
  <c r="U41" i="29" s="1"/>
  <c r="AI41" i="29" s="1"/>
  <c r="T61" i="29"/>
  <c r="U61" i="29" s="1"/>
  <c r="AI61" i="29" s="1"/>
  <c r="T25" i="29"/>
  <c r="U25" i="29" s="1"/>
  <c r="AI25" i="29" s="1"/>
  <c r="T3" i="29"/>
  <c r="U3" i="29" s="1"/>
  <c r="AI3" i="29" s="1"/>
  <c r="T8" i="29"/>
  <c r="U8" i="29" s="1"/>
  <c r="AI8" i="29" s="1"/>
  <c r="T10" i="29"/>
  <c r="U10" i="29" s="1"/>
  <c r="AI10" i="29" s="1"/>
  <c r="T44" i="29"/>
  <c r="U44" i="29" s="1"/>
  <c r="AI44" i="29" s="1"/>
  <c r="T62" i="29"/>
  <c r="U62" i="29" s="1"/>
  <c r="AI62" i="29" s="1"/>
  <c r="T24" i="29"/>
  <c r="U24" i="29" s="1"/>
  <c r="AI24" i="29" s="1"/>
  <c r="T13" i="29"/>
  <c r="U13" i="29" s="1"/>
  <c r="AI13" i="29" s="1"/>
  <c r="T37" i="29"/>
  <c r="U37" i="29" s="1"/>
  <c r="AI37" i="29" s="1"/>
  <c r="T56" i="29"/>
  <c r="U56" i="29" s="1"/>
  <c r="AI56" i="29" s="1"/>
  <c r="T26" i="29"/>
  <c r="U26" i="29" s="1"/>
  <c r="AI26" i="29" s="1"/>
  <c r="T43" i="29"/>
  <c r="U43" i="29" s="1"/>
  <c r="AI43" i="29" s="1"/>
  <c r="T49" i="29"/>
  <c r="U49" i="29" s="1"/>
  <c r="AI49" i="29" s="1"/>
  <c r="V4" i="30"/>
  <c r="W4" i="30" s="1"/>
  <c r="X4" i="30" s="1"/>
  <c r="V7" i="30"/>
  <c r="W7" i="30" s="1"/>
  <c r="X7" i="30" s="1"/>
  <c r="V24" i="30"/>
  <c r="W24" i="30" s="1"/>
  <c r="X24" i="30" s="1"/>
  <c r="V25" i="30"/>
  <c r="W25" i="30" s="1"/>
  <c r="X25" i="30" s="1"/>
  <c r="V6" i="30"/>
  <c r="W6" i="30" s="1"/>
  <c r="X6" i="30" s="1"/>
  <c r="V51" i="30"/>
  <c r="W51" i="30" s="1"/>
  <c r="X51" i="30" s="1"/>
  <c r="V9" i="30"/>
  <c r="W9" i="30" s="1"/>
  <c r="X9" i="30" s="1"/>
  <c r="AH34" i="29"/>
  <c r="AG34" i="29"/>
  <c r="AI34" i="29"/>
  <c r="T15" i="29"/>
  <c r="U15" i="29" s="1"/>
  <c r="T64" i="29"/>
  <c r="U64" i="29" s="1"/>
  <c r="T4" i="29"/>
  <c r="U4" i="29" s="1"/>
  <c r="AI4" i="29" s="1"/>
  <c r="T67" i="29"/>
  <c r="U67" i="29" s="1"/>
  <c r="AI67" i="29" s="1"/>
  <c r="AH58" i="29"/>
  <c r="AG58" i="29"/>
  <c r="AI58" i="29"/>
  <c r="AI29" i="29"/>
  <c r="T16" i="29"/>
  <c r="U16" i="29" s="1"/>
  <c r="AI16" i="29" s="1"/>
  <c r="T20" i="29"/>
  <c r="U20" i="29" s="1"/>
  <c r="AI20" i="29" s="1"/>
  <c r="T40" i="29"/>
  <c r="U40" i="29" s="1"/>
  <c r="T45" i="29"/>
  <c r="U45" i="29" s="1"/>
  <c r="AI45" i="29" s="1"/>
  <c r="T47" i="29"/>
  <c r="U47" i="29" s="1"/>
  <c r="AI47" i="29" s="1"/>
  <c r="T54" i="29"/>
  <c r="U54" i="29" s="1"/>
  <c r="AI54" i="29" s="1"/>
  <c r="T68" i="29"/>
  <c r="U68" i="29" s="1"/>
  <c r="AI68" i="29" s="1"/>
  <c r="T11" i="29"/>
  <c r="U11" i="29" s="1"/>
  <c r="T30" i="29"/>
  <c r="U30" i="29" s="1"/>
  <c r="AI30" i="29" s="1"/>
  <c r="T52" i="29"/>
  <c r="U52" i="29" s="1"/>
  <c r="T57" i="29"/>
  <c r="U57" i="29" s="1"/>
  <c r="AI57" i="29" s="1"/>
  <c r="T59" i="29"/>
  <c r="U59" i="29" s="1"/>
  <c r="AI59" i="29" s="1"/>
  <c r="T66" i="29"/>
  <c r="U66" i="29" s="1"/>
  <c r="AI66" i="29" s="1"/>
  <c r="T69" i="29"/>
  <c r="U69" i="29" s="1"/>
  <c r="AI69" i="29" s="1"/>
  <c r="AH18" i="29" l="1"/>
  <c r="AG24" i="29"/>
  <c r="AH46" i="29"/>
  <c r="AH7" i="29"/>
  <c r="AH29" i="29"/>
  <c r="AI46" i="29"/>
  <c r="AG29" i="29"/>
  <c r="AH24" i="29"/>
  <c r="AG7" i="29"/>
  <c r="AH3" i="29"/>
  <c r="AI52" i="29"/>
  <c r="AH52" i="29"/>
  <c r="AG52" i="29"/>
  <c r="AI64" i="29"/>
  <c r="AH64" i="29"/>
  <c r="AG64" i="29"/>
  <c r="AG11" i="29"/>
  <c r="AH11" i="29"/>
  <c r="AI11" i="29"/>
  <c r="AI40" i="29"/>
  <c r="AH40" i="29"/>
  <c r="AG40" i="29"/>
  <c r="AG18" i="29"/>
  <c r="AI15" i="29"/>
  <c r="AH15" i="29"/>
  <c r="AG15" i="29"/>
  <c r="AG3" i="29"/>
  <c r="J57" i="14" l="1"/>
  <c r="J58" i="14"/>
  <c r="J59" i="14"/>
  <c r="J60" i="14"/>
  <c r="J61" i="14"/>
  <c r="J62" i="14"/>
  <c r="J63" i="14"/>
  <c r="J64" i="14"/>
  <c r="J65" i="14"/>
  <c r="J66" i="14"/>
  <c r="J67" i="14"/>
  <c r="J69" i="14"/>
  <c r="U54" i="28"/>
  <c r="N54" i="28"/>
  <c r="O54" i="28" s="1"/>
  <c r="D54" i="28"/>
  <c r="U53" i="28"/>
  <c r="N53" i="28"/>
  <c r="O53" i="28" s="1"/>
  <c r="D53" i="28"/>
  <c r="U52" i="28"/>
  <c r="N52" i="28"/>
  <c r="O52" i="28" s="1"/>
  <c r="D52" i="28"/>
  <c r="U51" i="28"/>
  <c r="O51" i="28"/>
  <c r="N51" i="28"/>
  <c r="D51" i="28"/>
  <c r="U50" i="28"/>
  <c r="N50" i="28"/>
  <c r="O50" i="28" s="1"/>
  <c r="D50" i="28"/>
  <c r="U49" i="28"/>
  <c r="N49" i="28"/>
  <c r="O49" i="28" s="1"/>
  <c r="D49" i="28"/>
  <c r="U48" i="28"/>
  <c r="N48" i="28"/>
  <c r="O48" i="28" s="1"/>
  <c r="D48" i="28"/>
  <c r="U47" i="28"/>
  <c r="N47" i="28"/>
  <c r="O47" i="28" s="1"/>
  <c r="D47" i="28"/>
  <c r="U46" i="28"/>
  <c r="O46" i="28"/>
  <c r="N46" i="28"/>
  <c r="D46" i="28"/>
  <c r="U45" i="28"/>
  <c r="N45" i="28"/>
  <c r="O45" i="28" s="1"/>
  <c r="D45" i="28"/>
  <c r="U44" i="28"/>
  <c r="N44" i="28"/>
  <c r="O44" i="28" s="1"/>
  <c r="D44" i="28"/>
  <c r="U43" i="28"/>
  <c r="O43" i="28"/>
  <c r="N43" i="28"/>
  <c r="D43" i="28"/>
  <c r="U42" i="28"/>
  <c r="N42" i="28"/>
  <c r="O42" i="28" s="1"/>
  <c r="V42" i="28" s="1"/>
  <c r="W42" i="28" s="1"/>
  <c r="X42" i="28" s="1"/>
  <c r="D42" i="28"/>
  <c r="U41" i="28"/>
  <c r="N41" i="28"/>
  <c r="O41" i="28" s="1"/>
  <c r="D41" i="28"/>
  <c r="U40" i="28"/>
  <c r="N40" i="28"/>
  <c r="O40" i="28" s="1"/>
  <c r="D40" i="28"/>
  <c r="U39" i="28"/>
  <c r="N39" i="28"/>
  <c r="O39" i="28" s="1"/>
  <c r="D39" i="28"/>
  <c r="U38" i="28"/>
  <c r="O38" i="28"/>
  <c r="N38" i="28"/>
  <c r="D38" i="28"/>
  <c r="U37" i="28"/>
  <c r="N37" i="28"/>
  <c r="O37" i="28" s="1"/>
  <c r="V37" i="28" s="1"/>
  <c r="W37" i="28" s="1"/>
  <c r="X37" i="28" s="1"/>
  <c r="D37" i="28"/>
  <c r="U36" i="28"/>
  <c r="N36" i="28"/>
  <c r="O36" i="28" s="1"/>
  <c r="D36" i="28"/>
  <c r="U35" i="28"/>
  <c r="O35" i="28"/>
  <c r="N35" i="28"/>
  <c r="D35" i="28"/>
  <c r="S30" i="28"/>
  <c r="U30" i="28" s="1"/>
  <c r="O30" i="28"/>
  <c r="N30" i="28"/>
  <c r="D30" i="28"/>
  <c r="S29" i="28"/>
  <c r="U29" i="28" s="1"/>
  <c r="O29" i="28"/>
  <c r="N29" i="28"/>
  <c r="D29" i="28"/>
  <c r="D28" i="28"/>
  <c r="U27" i="28"/>
  <c r="N27" i="28"/>
  <c r="O27" i="28" s="1"/>
  <c r="D27" i="28"/>
  <c r="U26" i="28"/>
  <c r="O26" i="28"/>
  <c r="N26" i="28"/>
  <c r="D26" i="28"/>
  <c r="U25" i="28"/>
  <c r="S25" i="28"/>
  <c r="N25" i="28"/>
  <c r="O25" i="28" s="1"/>
  <c r="D25" i="28"/>
  <c r="U24" i="28"/>
  <c r="S24" i="28"/>
  <c r="O24" i="28"/>
  <c r="N24" i="28"/>
  <c r="D24" i="28"/>
  <c r="U23" i="28"/>
  <c r="N23" i="28"/>
  <c r="O23" i="28" s="1"/>
  <c r="V23" i="28" s="1"/>
  <c r="W23" i="28" s="1"/>
  <c r="X23" i="28" s="1"/>
  <c r="D23" i="28"/>
  <c r="O22" i="28"/>
  <c r="D22" i="28"/>
  <c r="U21" i="28"/>
  <c r="N21" i="28"/>
  <c r="O21" i="28" s="1"/>
  <c r="D21" i="28"/>
  <c r="U20" i="28"/>
  <c r="N20" i="28"/>
  <c r="O20" i="28" s="1"/>
  <c r="V20" i="28" s="1"/>
  <c r="W20" i="28" s="1"/>
  <c r="X20" i="28" s="1"/>
  <c r="D20" i="28"/>
  <c r="S19" i="28"/>
  <c r="U19" i="28" s="1"/>
  <c r="N19" i="28"/>
  <c r="O19" i="28" s="1"/>
  <c r="D19" i="28"/>
  <c r="U18" i="28"/>
  <c r="N18" i="28"/>
  <c r="O18" i="28" s="1"/>
  <c r="D18" i="28"/>
  <c r="U17" i="28"/>
  <c r="O17" i="28"/>
  <c r="N17" i="28"/>
  <c r="D17" i="28"/>
  <c r="U16" i="28"/>
  <c r="O16" i="28"/>
  <c r="N16" i="28"/>
  <c r="D16" i="28"/>
  <c r="U15" i="28"/>
  <c r="N15" i="28"/>
  <c r="O15" i="28" s="1"/>
  <c r="D15" i="28"/>
  <c r="U14" i="28"/>
  <c r="N14" i="28"/>
  <c r="O14" i="28" s="1"/>
  <c r="D14" i="28"/>
  <c r="U13" i="28"/>
  <c r="N13" i="28"/>
  <c r="O13" i="28" s="1"/>
  <c r="D13" i="28"/>
  <c r="U12" i="28"/>
  <c r="N12" i="28"/>
  <c r="O12" i="28" s="1"/>
  <c r="D12" i="28"/>
  <c r="U11" i="28"/>
  <c r="O11" i="28"/>
  <c r="N11" i="28"/>
  <c r="D11" i="28"/>
  <c r="U10" i="28"/>
  <c r="N10" i="28"/>
  <c r="O10" i="28" s="1"/>
  <c r="D10" i="28"/>
  <c r="U9" i="28"/>
  <c r="N9" i="28"/>
  <c r="O9" i="28" s="1"/>
  <c r="D9" i="28"/>
  <c r="U8" i="28"/>
  <c r="N8" i="28"/>
  <c r="O8" i="28" s="1"/>
  <c r="D8" i="28"/>
  <c r="P7" i="28"/>
  <c r="U7" i="28" s="1"/>
  <c r="N7" i="28"/>
  <c r="O7" i="28" s="1"/>
  <c r="D7" i="28"/>
  <c r="U6" i="28"/>
  <c r="S6" i="28"/>
  <c r="N6" i="28"/>
  <c r="O6" i="28" s="1"/>
  <c r="V6" i="28" s="1"/>
  <c r="W6" i="28" s="1"/>
  <c r="X6" i="28" s="1"/>
  <c r="D6" i="28"/>
  <c r="S5" i="28"/>
  <c r="U5" i="28" s="1"/>
  <c r="N5" i="28"/>
  <c r="O5" i="28" s="1"/>
  <c r="D5" i="28"/>
  <c r="U4" i="28"/>
  <c r="N4" i="28"/>
  <c r="O4" i="28" s="1"/>
  <c r="D4" i="28"/>
  <c r="U3" i="28"/>
  <c r="N3" i="28"/>
  <c r="O3" i="28" s="1"/>
  <c r="D3" i="28"/>
  <c r="D3" i="27"/>
  <c r="L3" i="27"/>
  <c r="M3" i="27" s="1"/>
  <c r="T3" i="27" s="1"/>
  <c r="U3" i="27" s="1"/>
  <c r="S3" i="27"/>
  <c r="D4" i="27"/>
  <c r="L4" i="27"/>
  <c r="M4" i="27" s="1"/>
  <c r="S4" i="27"/>
  <c r="D5" i="27"/>
  <c r="L5" i="27"/>
  <c r="M5" i="27" s="1"/>
  <c r="S5" i="27"/>
  <c r="D6" i="27"/>
  <c r="L6" i="27"/>
  <c r="M6" i="27" s="1"/>
  <c r="N6" i="27"/>
  <c r="Q6" i="27" s="1"/>
  <c r="S6" i="27" s="1"/>
  <c r="D7" i="27"/>
  <c r="L7" i="27"/>
  <c r="M7" i="27" s="1"/>
  <c r="Q7" i="27"/>
  <c r="S7" i="27" s="1"/>
  <c r="D8" i="27"/>
  <c r="L8" i="27"/>
  <c r="M8" i="27" s="1"/>
  <c r="Q8" i="27"/>
  <c r="S8" i="27" s="1"/>
  <c r="D9" i="27"/>
  <c r="L9" i="27"/>
  <c r="M9" i="27" s="1"/>
  <c r="N9" i="27"/>
  <c r="S9" i="27" s="1"/>
  <c r="D10" i="27"/>
  <c r="L10" i="27"/>
  <c r="M10" i="27" s="1"/>
  <c r="S10" i="27"/>
  <c r="D11" i="27"/>
  <c r="L11" i="27"/>
  <c r="M11" i="27" s="1"/>
  <c r="S11" i="27"/>
  <c r="D12" i="27"/>
  <c r="L12" i="27"/>
  <c r="M12" i="27" s="1"/>
  <c r="S12" i="27"/>
  <c r="D13" i="27"/>
  <c r="L13" i="27"/>
  <c r="M13" i="27" s="1"/>
  <c r="S13" i="27"/>
  <c r="D14" i="27"/>
  <c r="L14" i="27"/>
  <c r="M14" i="27" s="1"/>
  <c r="S14" i="27"/>
  <c r="D15" i="27"/>
  <c r="L15" i="27"/>
  <c r="M15" i="27" s="1"/>
  <c r="S15" i="27"/>
  <c r="D16" i="27"/>
  <c r="L16" i="27"/>
  <c r="M16" i="27" s="1"/>
  <c r="S16" i="27"/>
  <c r="D17" i="27"/>
  <c r="L17" i="27"/>
  <c r="M17" i="27" s="1"/>
  <c r="S17" i="27"/>
  <c r="D18" i="27"/>
  <c r="L18" i="27"/>
  <c r="M18" i="27" s="1"/>
  <c r="S18" i="27"/>
  <c r="D19" i="27"/>
  <c r="L19" i="27"/>
  <c r="M19" i="27" s="1"/>
  <c r="S19" i="27"/>
  <c r="D20" i="27"/>
  <c r="L20" i="27"/>
  <c r="M20" i="27" s="1"/>
  <c r="S20" i="27"/>
  <c r="D21" i="27"/>
  <c r="L21" i="27"/>
  <c r="M21" i="27" s="1"/>
  <c r="S21" i="27"/>
  <c r="D22" i="27"/>
  <c r="L22" i="27"/>
  <c r="M22" i="27" s="1"/>
  <c r="S22" i="27"/>
  <c r="D23" i="27"/>
  <c r="L23" i="27"/>
  <c r="M23" i="27" s="1"/>
  <c r="S23" i="27"/>
  <c r="D24" i="27"/>
  <c r="L24" i="27"/>
  <c r="M24" i="27" s="1"/>
  <c r="S24" i="27"/>
  <c r="D25" i="27"/>
  <c r="L25" i="27"/>
  <c r="M25" i="27" s="1"/>
  <c r="Q25" i="27"/>
  <c r="S25" i="27" s="1"/>
  <c r="D26" i="27"/>
  <c r="L26" i="27"/>
  <c r="M26" i="27" s="1"/>
  <c r="Q26" i="27"/>
  <c r="S26" i="27" s="1"/>
  <c r="D27" i="27"/>
  <c r="L27" i="27"/>
  <c r="M27" i="27" s="1"/>
  <c r="S27" i="27"/>
  <c r="D28" i="27"/>
  <c r="L28" i="27"/>
  <c r="M28" i="27" s="1"/>
  <c r="S28" i="27"/>
  <c r="D29" i="27"/>
  <c r="L29" i="27"/>
  <c r="M29" i="27" s="1"/>
  <c r="Q29" i="27"/>
  <c r="S29" i="27" s="1"/>
  <c r="D30" i="27"/>
  <c r="L30" i="27"/>
  <c r="M30" i="27" s="1"/>
  <c r="Q30" i="27"/>
  <c r="S30" i="27" s="1"/>
  <c r="D31" i="27"/>
  <c r="L31" i="27"/>
  <c r="M31" i="27" s="1"/>
  <c r="S31" i="27"/>
  <c r="D32" i="27"/>
  <c r="L32" i="27"/>
  <c r="M32" i="27" s="1"/>
  <c r="S32" i="27"/>
  <c r="D33" i="27"/>
  <c r="L33" i="27"/>
  <c r="M33" i="27" s="1"/>
  <c r="S33" i="27"/>
  <c r="D34" i="27"/>
  <c r="L34" i="27"/>
  <c r="M34" i="27" s="1"/>
  <c r="S34" i="27"/>
  <c r="D35" i="27"/>
  <c r="L35" i="27"/>
  <c r="M35" i="27" s="1"/>
  <c r="S35" i="27"/>
  <c r="D36" i="27"/>
  <c r="L36" i="27"/>
  <c r="M36" i="27" s="1"/>
  <c r="S36" i="27"/>
  <c r="U36" i="27" s="1"/>
  <c r="D37" i="27"/>
  <c r="L37" i="27"/>
  <c r="M37" i="27"/>
  <c r="Q37" i="27"/>
  <c r="S37" i="27" s="1"/>
  <c r="D38" i="27"/>
  <c r="L38" i="27"/>
  <c r="M38" i="27" s="1"/>
  <c r="S38" i="27"/>
  <c r="D39" i="27"/>
  <c r="L39" i="27"/>
  <c r="M39" i="27" s="1"/>
  <c r="S39" i="27"/>
  <c r="D40" i="27"/>
  <c r="L40" i="27"/>
  <c r="M40" i="27" s="1"/>
  <c r="T40" i="27" s="1"/>
  <c r="U40" i="27" s="1"/>
  <c r="AI40" i="27" s="1"/>
  <c r="S40" i="27"/>
  <c r="D41" i="27"/>
  <c r="L41" i="27"/>
  <c r="M41" i="27" s="1"/>
  <c r="S41" i="27"/>
  <c r="D42" i="27"/>
  <c r="L42" i="27"/>
  <c r="M42" i="27" s="1"/>
  <c r="S42" i="27"/>
  <c r="D43" i="27"/>
  <c r="L43" i="27"/>
  <c r="M43" i="27" s="1"/>
  <c r="S43" i="27"/>
  <c r="D44" i="27"/>
  <c r="L44" i="27"/>
  <c r="M44" i="27" s="1"/>
  <c r="T44" i="27" s="1"/>
  <c r="U44" i="27" s="1"/>
  <c r="S44" i="27"/>
  <c r="D45" i="27"/>
  <c r="L45" i="27"/>
  <c r="M45" i="27" s="1"/>
  <c r="S45" i="27"/>
  <c r="D46" i="27"/>
  <c r="L46" i="27"/>
  <c r="M46" i="27" s="1"/>
  <c r="S46" i="27"/>
  <c r="D47" i="27"/>
  <c r="L47" i="27"/>
  <c r="M47" i="27" s="1"/>
  <c r="S47" i="27"/>
  <c r="D48" i="27"/>
  <c r="L48" i="27"/>
  <c r="M48" i="27" s="1"/>
  <c r="S48" i="27"/>
  <c r="D49" i="27"/>
  <c r="L49" i="27"/>
  <c r="M49" i="27" s="1"/>
  <c r="S49" i="27"/>
  <c r="D50" i="27"/>
  <c r="L50" i="27"/>
  <c r="M50" i="27" s="1"/>
  <c r="S50" i="27"/>
  <c r="D51" i="27"/>
  <c r="L51" i="27"/>
  <c r="M51" i="27" s="1"/>
  <c r="S51" i="27"/>
  <c r="D52" i="27"/>
  <c r="L52" i="27"/>
  <c r="M52" i="27" s="1"/>
  <c r="S52" i="27"/>
  <c r="D53" i="27"/>
  <c r="L53" i="27"/>
  <c r="M53" i="27" s="1"/>
  <c r="S53" i="27"/>
  <c r="D54" i="27"/>
  <c r="L54" i="27"/>
  <c r="M54" i="27" s="1"/>
  <c r="S54" i="27"/>
  <c r="D55" i="27"/>
  <c r="L55" i="27"/>
  <c r="M55" i="27" s="1"/>
  <c r="S55" i="27"/>
  <c r="D56" i="27"/>
  <c r="L56" i="27"/>
  <c r="M56" i="27" s="1"/>
  <c r="S56" i="27"/>
  <c r="D57" i="27"/>
  <c r="L57" i="27"/>
  <c r="M57" i="27" s="1"/>
  <c r="S57" i="27"/>
  <c r="D58" i="27"/>
  <c r="L58" i="27"/>
  <c r="M58" i="27" s="1"/>
  <c r="T58" i="27" s="1"/>
  <c r="U58" i="27" s="1"/>
  <c r="AI58" i="27" s="1"/>
  <c r="S58" i="27"/>
  <c r="D59" i="27"/>
  <c r="L59" i="27"/>
  <c r="M59" i="27" s="1"/>
  <c r="S59" i="27"/>
  <c r="D60" i="27"/>
  <c r="L60" i="27"/>
  <c r="M60" i="27" s="1"/>
  <c r="S60" i="27"/>
  <c r="D61" i="27"/>
  <c r="L61" i="27"/>
  <c r="M61" i="27" s="1"/>
  <c r="S61" i="27"/>
  <c r="D62" i="27"/>
  <c r="L62" i="27"/>
  <c r="M62" i="27" s="1"/>
  <c r="S62" i="27"/>
  <c r="D63" i="27"/>
  <c r="L63" i="27"/>
  <c r="M63" i="27" s="1"/>
  <c r="S63" i="27"/>
  <c r="D64" i="27"/>
  <c r="L64" i="27"/>
  <c r="M64" i="27" s="1"/>
  <c r="S64" i="27"/>
  <c r="D65" i="27"/>
  <c r="L65" i="27"/>
  <c r="M65" i="27" s="1"/>
  <c r="S65" i="27"/>
  <c r="D66" i="27"/>
  <c r="L66" i="27"/>
  <c r="M66" i="27" s="1"/>
  <c r="S66" i="27"/>
  <c r="D67" i="27"/>
  <c r="L67" i="27"/>
  <c r="M67" i="27" s="1"/>
  <c r="S67" i="27"/>
  <c r="D68" i="27"/>
  <c r="L68" i="27"/>
  <c r="M68" i="27" s="1"/>
  <c r="S68" i="27"/>
  <c r="D69" i="27"/>
  <c r="L69" i="27"/>
  <c r="M69" i="27" s="1"/>
  <c r="T69" i="27" s="1"/>
  <c r="U69" i="27" s="1"/>
  <c r="AI69" i="27" s="1"/>
  <c r="S69" i="27"/>
  <c r="D70" i="27"/>
  <c r="L70" i="27"/>
  <c r="M70" i="27" s="1"/>
  <c r="T70" i="27" s="1"/>
  <c r="U70" i="27" s="1"/>
  <c r="AI70" i="27" s="1"/>
  <c r="S70" i="27"/>
  <c r="D71" i="27"/>
  <c r="L71" i="27"/>
  <c r="M71" i="27" s="1"/>
  <c r="S71" i="27"/>
  <c r="D72" i="27"/>
  <c r="L72" i="27"/>
  <c r="M72" i="27" s="1"/>
  <c r="S72" i="27"/>
  <c r="D73" i="27"/>
  <c r="L73" i="27"/>
  <c r="M73" i="27" s="1"/>
  <c r="S73" i="27"/>
  <c r="T41" i="27" l="1"/>
  <c r="U41" i="27" s="1"/>
  <c r="AI41" i="27" s="1"/>
  <c r="T20" i="27"/>
  <c r="U20" i="27" s="1"/>
  <c r="AH20" i="27" s="1"/>
  <c r="T68" i="27"/>
  <c r="U68" i="27" s="1"/>
  <c r="T64" i="27"/>
  <c r="U64" i="27" s="1"/>
  <c r="AI64" i="27" s="1"/>
  <c r="T56" i="27"/>
  <c r="U56" i="27" s="1"/>
  <c r="T46" i="27"/>
  <c r="U46" i="27" s="1"/>
  <c r="AI46" i="27" s="1"/>
  <c r="T21" i="27"/>
  <c r="U21" i="27" s="1"/>
  <c r="T5" i="27"/>
  <c r="U5" i="27" s="1"/>
  <c r="AI5" i="27" s="1"/>
  <c r="V4" i="28"/>
  <c r="W4" i="28" s="1"/>
  <c r="X4" i="28" s="1"/>
  <c r="V13" i="28"/>
  <c r="W13" i="28" s="1"/>
  <c r="X13" i="28" s="1"/>
  <c r="V26" i="28"/>
  <c r="W26" i="28" s="1"/>
  <c r="X26" i="28" s="1"/>
  <c r="V45" i="28"/>
  <c r="W45" i="28" s="1"/>
  <c r="X45" i="28" s="1"/>
  <c r="V50" i="28"/>
  <c r="W50" i="28" s="1"/>
  <c r="X50" i="28" s="1"/>
  <c r="T66" i="27"/>
  <c r="U66" i="27" s="1"/>
  <c r="AI66" i="27" s="1"/>
  <c r="T62" i="27"/>
  <c r="U62" i="27" s="1"/>
  <c r="T54" i="27"/>
  <c r="U54" i="27" s="1"/>
  <c r="AI54" i="27" s="1"/>
  <c r="V10" i="28"/>
  <c r="W10" i="28" s="1"/>
  <c r="X10" i="28" s="1"/>
  <c r="V11" i="28"/>
  <c r="W11" i="28" s="1"/>
  <c r="X11" i="28" s="1"/>
  <c r="V15" i="28"/>
  <c r="W15" i="28" s="1"/>
  <c r="X15" i="28" s="1"/>
  <c r="V25" i="28"/>
  <c r="W25" i="28" s="1"/>
  <c r="V40" i="28"/>
  <c r="W40" i="28" s="1"/>
  <c r="X40" i="28" s="1"/>
  <c r="V53" i="28"/>
  <c r="W53" i="28" s="1"/>
  <c r="X53" i="28" s="1"/>
  <c r="T55" i="27"/>
  <c r="U55" i="27" s="1"/>
  <c r="AI55" i="27" s="1"/>
  <c r="T52" i="27"/>
  <c r="U52" i="27" s="1"/>
  <c r="AI52" i="27" s="1"/>
  <c r="T45" i="27"/>
  <c r="U45" i="27" s="1"/>
  <c r="AI45" i="27" s="1"/>
  <c r="T12" i="27"/>
  <c r="U12" i="27" s="1"/>
  <c r="AI12" i="27" s="1"/>
  <c r="T37" i="27"/>
  <c r="U37" i="27" s="1"/>
  <c r="T47" i="27"/>
  <c r="U47" i="27" s="1"/>
  <c r="AI47" i="27" s="1"/>
  <c r="V19" i="28"/>
  <c r="W19" i="28" s="1"/>
  <c r="X19" i="28" s="1"/>
  <c r="V24" i="28"/>
  <c r="W24" i="28" s="1"/>
  <c r="T65" i="27"/>
  <c r="U65" i="27" s="1"/>
  <c r="AI65" i="27" s="1"/>
  <c r="T53" i="27"/>
  <c r="U53" i="27" s="1"/>
  <c r="AI53" i="27" s="1"/>
  <c r="T18" i="27"/>
  <c r="U18" i="27" s="1"/>
  <c r="AI18" i="27" s="1"/>
  <c r="T50" i="27"/>
  <c r="U50" i="27" s="1"/>
  <c r="T42" i="27"/>
  <c r="U42" i="27" s="1"/>
  <c r="AI42" i="27" s="1"/>
  <c r="T38" i="27"/>
  <c r="U38" i="27" s="1"/>
  <c r="V48" i="28"/>
  <c r="W48" i="28" s="1"/>
  <c r="X48" i="28" s="1"/>
  <c r="T73" i="27"/>
  <c r="U73" i="27" s="1"/>
  <c r="AI73" i="27" s="1"/>
  <c r="T72" i="27"/>
  <c r="U72" i="27" s="1"/>
  <c r="AI72" i="27" s="1"/>
  <c r="T49" i="27"/>
  <c r="U49" i="27" s="1"/>
  <c r="AI49" i="27" s="1"/>
  <c r="T51" i="27"/>
  <c r="U51" i="27" s="1"/>
  <c r="AI51" i="27" s="1"/>
  <c r="AI36" i="27"/>
  <c r="H68" i="14"/>
  <c r="J68" i="14" s="1"/>
  <c r="V16" i="28"/>
  <c r="W16" i="28" s="1"/>
  <c r="X16" i="28" s="1"/>
  <c r="V17" i="28"/>
  <c r="W17" i="28" s="1"/>
  <c r="X17" i="28" s="1"/>
  <c r="V29" i="28"/>
  <c r="W29" i="28" s="1"/>
  <c r="V30" i="28"/>
  <c r="W30" i="28" s="1"/>
  <c r="V35" i="28"/>
  <c r="W35" i="28" s="1"/>
  <c r="X35" i="28" s="1"/>
  <c r="V43" i="28"/>
  <c r="W43" i="28" s="1"/>
  <c r="X43" i="28" s="1"/>
  <c r="V51" i="28"/>
  <c r="W51" i="28" s="1"/>
  <c r="X51" i="28" s="1"/>
  <c r="T48" i="27"/>
  <c r="U48" i="27" s="1"/>
  <c r="AI48" i="27" s="1"/>
  <c r="T16" i="27"/>
  <c r="U16" i="27" s="1"/>
  <c r="AI16" i="27" s="1"/>
  <c r="T15" i="27"/>
  <c r="U15" i="27" s="1"/>
  <c r="V21" i="28"/>
  <c r="W21" i="28" s="1"/>
  <c r="X21" i="28" s="1"/>
  <c r="T67" i="27"/>
  <c r="U67" i="27" s="1"/>
  <c r="AI67" i="27" s="1"/>
  <c r="T63" i="27"/>
  <c r="U63" i="27" s="1"/>
  <c r="AI63" i="27" s="1"/>
  <c r="T57" i="27"/>
  <c r="U57" i="27" s="1"/>
  <c r="AI57" i="27" s="1"/>
  <c r="T43" i="27"/>
  <c r="U43" i="27" s="1"/>
  <c r="AI43" i="27" s="1"/>
  <c r="T39" i="27"/>
  <c r="U39" i="27" s="1"/>
  <c r="AI39" i="27" s="1"/>
  <c r="T33" i="27"/>
  <c r="U33" i="27" s="1"/>
  <c r="T22" i="27"/>
  <c r="U22" i="27" s="1"/>
  <c r="AI22" i="27" s="1"/>
  <c r="T19" i="27"/>
  <c r="U19" i="27" s="1"/>
  <c r="AI19" i="27" s="1"/>
  <c r="T10" i="27"/>
  <c r="U10" i="27" s="1"/>
  <c r="AI10" i="27" s="1"/>
  <c r="T4" i="27"/>
  <c r="U4" i="27" s="1"/>
  <c r="AI4" i="27" s="1"/>
  <c r="V5" i="28"/>
  <c r="W5" i="28" s="1"/>
  <c r="X5" i="28" s="1"/>
  <c r="V18" i="28"/>
  <c r="W18" i="28" s="1"/>
  <c r="X18" i="28" s="1"/>
  <c r="V38" i="28"/>
  <c r="W38" i="28" s="1"/>
  <c r="X38" i="28" s="1"/>
  <c r="V46" i="28"/>
  <c r="W46" i="28" s="1"/>
  <c r="X46" i="28" s="1"/>
  <c r="V54" i="28"/>
  <c r="W54" i="28" s="1"/>
  <c r="X54" i="28" s="1"/>
  <c r="T17" i="27"/>
  <c r="U17" i="27" s="1"/>
  <c r="AI17" i="27" s="1"/>
  <c r="T14" i="27"/>
  <c r="U14" i="27" s="1"/>
  <c r="AI14" i="27" s="1"/>
  <c r="T61" i="27"/>
  <c r="U61" i="27" s="1"/>
  <c r="AI61" i="27" s="1"/>
  <c r="T60" i="27"/>
  <c r="U60" i="27" s="1"/>
  <c r="AI60" i="27" s="1"/>
  <c r="T35" i="27"/>
  <c r="U35" i="27" s="1"/>
  <c r="AI35" i="27" s="1"/>
  <c r="T34" i="27"/>
  <c r="U34" i="27" s="1"/>
  <c r="AI34" i="27" s="1"/>
  <c r="T29" i="27"/>
  <c r="U29" i="27" s="1"/>
  <c r="AH29" i="27" s="1"/>
  <c r="T24" i="27"/>
  <c r="U24" i="27" s="1"/>
  <c r="AI24" i="27" s="1"/>
  <c r="T11" i="27"/>
  <c r="U11" i="27" s="1"/>
  <c r="AI11" i="27" s="1"/>
  <c r="V7" i="28"/>
  <c r="W7" i="28" s="1"/>
  <c r="X7" i="28" s="1"/>
  <c r="V8" i="28"/>
  <c r="W8" i="28" s="1"/>
  <c r="X8" i="28" s="1"/>
  <c r="V9" i="28"/>
  <c r="W9" i="28" s="1"/>
  <c r="X9" i="28" s="1"/>
  <c r="V3" i="28"/>
  <c r="W3" i="28" s="1"/>
  <c r="X3" i="28" s="1"/>
  <c r="V12" i="28"/>
  <c r="W12" i="28" s="1"/>
  <c r="X12" i="28" s="1"/>
  <c r="W22" i="28"/>
  <c r="X22" i="28" s="1"/>
  <c r="V36" i="28"/>
  <c r="W36" i="28" s="1"/>
  <c r="X36" i="28" s="1"/>
  <c r="V52" i="28"/>
  <c r="W52" i="28" s="1"/>
  <c r="X52" i="28" s="1"/>
  <c r="V14" i="28"/>
  <c r="W14" i="28" s="1"/>
  <c r="X14" i="28" s="1"/>
  <c r="V27" i="28"/>
  <c r="W27" i="28" s="1"/>
  <c r="X27" i="28" s="1"/>
  <c r="V39" i="28"/>
  <c r="W39" i="28" s="1"/>
  <c r="X39" i="28" s="1"/>
  <c r="V41" i="28"/>
  <c r="W41" i="28" s="1"/>
  <c r="X41" i="28" s="1"/>
  <c r="V44" i="28"/>
  <c r="W44" i="28" s="1"/>
  <c r="X44" i="28" s="1"/>
  <c r="V47" i="28"/>
  <c r="W47" i="28" s="1"/>
  <c r="X47" i="28" s="1"/>
  <c r="V49" i="28"/>
  <c r="W49" i="28" s="1"/>
  <c r="X49" i="28" s="1"/>
  <c r="AG62" i="27"/>
  <c r="AI62" i="27"/>
  <c r="AH62" i="27"/>
  <c r="T31" i="27"/>
  <c r="U31" i="27" s="1"/>
  <c r="AI31" i="27" s="1"/>
  <c r="T26" i="27"/>
  <c r="U26" i="27" s="1"/>
  <c r="AI26" i="27" s="1"/>
  <c r="AI21" i="27"/>
  <c r="AH15" i="27"/>
  <c r="AI15" i="27"/>
  <c r="T13" i="27"/>
  <c r="U13" i="27" s="1"/>
  <c r="AI13" i="27" s="1"/>
  <c r="AH56" i="27"/>
  <c r="AI56" i="27"/>
  <c r="AG56" i="27"/>
  <c r="AH44" i="27"/>
  <c r="AG44" i="27"/>
  <c r="AI44" i="27"/>
  <c r="T23" i="27"/>
  <c r="U23" i="27" s="1"/>
  <c r="AI23" i="27" s="1"/>
  <c r="T8" i="27"/>
  <c r="U8" i="27" s="1"/>
  <c r="AI8" i="27" s="1"/>
  <c r="T6" i="27"/>
  <c r="U6" i="27" s="1"/>
  <c r="AI6" i="27" s="1"/>
  <c r="AG50" i="27"/>
  <c r="AH50" i="27"/>
  <c r="AI50" i="27"/>
  <c r="T28" i="27"/>
  <c r="U28" i="27" s="1"/>
  <c r="AI28" i="27" s="1"/>
  <c r="T30" i="27"/>
  <c r="U30" i="27" s="1"/>
  <c r="AI30" i="27" s="1"/>
  <c r="T25" i="27"/>
  <c r="U25" i="27" s="1"/>
  <c r="AG38" i="27"/>
  <c r="AH38" i="27"/>
  <c r="AI38" i="27"/>
  <c r="AG68" i="27"/>
  <c r="AH68" i="27"/>
  <c r="AI68" i="27"/>
  <c r="T59" i="27"/>
  <c r="U59" i="27" s="1"/>
  <c r="AI59" i="27" s="1"/>
  <c r="T32" i="27"/>
  <c r="U32" i="27" s="1"/>
  <c r="AI32" i="27" s="1"/>
  <c r="T27" i="27"/>
  <c r="U27" i="27" s="1"/>
  <c r="AI27" i="27" s="1"/>
  <c r="T9" i="27"/>
  <c r="U9" i="27" s="1"/>
  <c r="T7" i="27"/>
  <c r="U7" i="27" s="1"/>
  <c r="AI7" i="27" s="1"/>
  <c r="AI29" i="27"/>
  <c r="AI3" i="27"/>
  <c r="AG3" i="27"/>
  <c r="T71" i="27"/>
  <c r="U71" i="27" s="1"/>
  <c r="AI71" i="27" s="1"/>
  <c r="AI20" i="27"/>
  <c r="AG33" i="27" l="1"/>
  <c r="AH3" i="27"/>
  <c r="AI33" i="27"/>
  <c r="AH33" i="27"/>
  <c r="AG15" i="27"/>
  <c r="AG29" i="27"/>
  <c r="AI9" i="27"/>
  <c r="AH9" i="27"/>
  <c r="AG9" i="27"/>
  <c r="AG20" i="27"/>
  <c r="AI25" i="27"/>
  <c r="AG25" i="27"/>
  <c r="AH25" i="27"/>
  <c r="U30" i="18" l="1"/>
  <c r="L31" i="17" l="1"/>
  <c r="M31" i="17" s="1"/>
  <c r="L30" i="17"/>
  <c r="M30" i="17" s="1"/>
  <c r="N24" i="17" l="1"/>
  <c r="L26" i="17"/>
  <c r="M26" i="17" s="1"/>
  <c r="L29" i="17"/>
  <c r="M29" i="17" s="1"/>
  <c r="L28" i="17"/>
  <c r="M28" i="17" s="1"/>
  <c r="L27" i="17"/>
  <c r="M27" i="17" s="1"/>
  <c r="D29" i="17"/>
  <c r="S29" i="17"/>
  <c r="L25" i="17"/>
  <c r="M25" i="17" s="1"/>
  <c r="L24" i="17"/>
  <c r="M24" i="17" s="1"/>
  <c r="L23" i="17"/>
  <c r="M23" i="17" s="1"/>
  <c r="L22" i="17"/>
  <c r="M22" i="17" s="1"/>
  <c r="L21" i="17"/>
  <c r="M21" i="17" s="1"/>
  <c r="M20" i="17"/>
  <c r="L19" i="17"/>
  <c r="M19" i="17" s="1"/>
  <c r="T29" i="17" l="1"/>
  <c r="U29" i="17" s="1"/>
  <c r="P14" i="18" l="1"/>
  <c r="N12" i="17"/>
  <c r="S4" i="17" l="1"/>
  <c r="S3" i="17"/>
  <c r="U54" i="18"/>
  <c r="N54" i="18"/>
  <c r="O54" i="18" s="1"/>
  <c r="D54" i="18"/>
  <c r="U53" i="18"/>
  <c r="N53" i="18"/>
  <c r="O53" i="18" s="1"/>
  <c r="D53" i="18"/>
  <c r="U52" i="18"/>
  <c r="N52" i="18"/>
  <c r="O52" i="18" s="1"/>
  <c r="D52" i="18"/>
  <c r="U51" i="18"/>
  <c r="N51" i="18"/>
  <c r="O51" i="18" s="1"/>
  <c r="D51" i="18"/>
  <c r="U50" i="18"/>
  <c r="N50" i="18"/>
  <c r="O50" i="18" s="1"/>
  <c r="V50" i="18" s="1"/>
  <c r="W50" i="18" s="1"/>
  <c r="X50" i="18" s="1"/>
  <c r="D50" i="18"/>
  <c r="U49" i="18"/>
  <c r="N49" i="18"/>
  <c r="O49" i="18" s="1"/>
  <c r="D49" i="18"/>
  <c r="U48" i="18"/>
  <c r="N48" i="18"/>
  <c r="O48" i="18" s="1"/>
  <c r="V48" i="18" s="1"/>
  <c r="W48" i="18" s="1"/>
  <c r="X48" i="18" s="1"/>
  <c r="D48" i="18"/>
  <c r="U47" i="18"/>
  <c r="N47" i="18"/>
  <c r="O47" i="18" s="1"/>
  <c r="D47" i="18"/>
  <c r="U46" i="18"/>
  <c r="O46" i="18"/>
  <c r="N46" i="18"/>
  <c r="D46" i="18"/>
  <c r="U45" i="18"/>
  <c r="N45" i="18"/>
  <c r="O45" i="18" s="1"/>
  <c r="D45" i="18"/>
  <c r="U44" i="18"/>
  <c r="N44" i="18"/>
  <c r="O44" i="18" s="1"/>
  <c r="D44" i="18"/>
  <c r="U43" i="18"/>
  <c r="N43" i="18"/>
  <c r="O43" i="18" s="1"/>
  <c r="D43" i="18"/>
  <c r="U42" i="18"/>
  <c r="N42" i="18"/>
  <c r="O42" i="18" s="1"/>
  <c r="D42" i="18"/>
  <c r="U41" i="18"/>
  <c r="N41" i="18"/>
  <c r="O41" i="18" s="1"/>
  <c r="D41" i="18"/>
  <c r="U40" i="18"/>
  <c r="N40" i="18"/>
  <c r="O40" i="18" s="1"/>
  <c r="D40" i="18"/>
  <c r="U39" i="18"/>
  <c r="N39" i="18"/>
  <c r="O39" i="18" s="1"/>
  <c r="D39" i="18"/>
  <c r="U38" i="18"/>
  <c r="N38" i="18"/>
  <c r="O38" i="18" s="1"/>
  <c r="D38" i="18"/>
  <c r="U37" i="18"/>
  <c r="N37" i="18"/>
  <c r="O37" i="18" s="1"/>
  <c r="D37" i="18"/>
  <c r="U36" i="18"/>
  <c r="N36" i="18"/>
  <c r="O36" i="18" s="1"/>
  <c r="D36" i="18"/>
  <c r="U35" i="18"/>
  <c r="N35" i="18"/>
  <c r="O35" i="18" s="1"/>
  <c r="D35" i="18"/>
  <c r="U34" i="18"/>
  <c r="N34" i="18"/>
  <c r="O34" i="18" s="1"/>
  <c r="D34" i="18"/>
  <c r="U33" i="18"/>
  <c r="N33" i="18"/>
  <c r="O33" i="18" s="1"/>
  <c r="D33" i="18"/>
  <c r="U32" i="18"/>
  <c r="N32" i="18"/>
  <c r="O32" i="18" s="1"/>
  <c r="V32" i="18" s="1"/>
  <c r="W32" i="18" s="1"/>
  <c r="X32" i="18" s="1"/>
  <c r="D32" i="18"/>
  <c r="U31" i="18"/>
  <c r="N31" i="18"/>
  <c r="O31" i="18" s="1"/>
  <c r="D31" i="18"/>
  <c r="N30" i="18"/>
  <c r="O30" i="18" s="1"/>
  <c r="D30" i="18"/>
  <c r="U29" i="18"/>
  <c r="N29" i="18"/>
  <c r="O29" i="18" s="1"/>
  <c r="D29" i="18"/>
  <c r="U28" i="18"/>
  <c r="N28" i="18"/>
  <c r="O28" i="18" s="1"/>
  <c r="D28" i="18"/>
  <c r="U27" i="18"/>
  <c r="N27" i="18"/>
  <c r="O27" i="18" s="1"/>
  <c r="D27" i="18"/>
  <c r="U26" i="18"/>
  <c r="N26" i="18"/>
  <c r="O26" i="18" s="1"/>
  <c r="D26" i="18"/>
  <c r="U25" i="18"/>
  <c r="N25" i="18"/>
  <c r="O25" i="18" s="1"/>
  <c r="D25" i="18"/>
  <c r="U24" i="18"/>
  <c r="N24" i="18"/>
  <c r="O24" i="18" s="1"/>
  <c r="D24" i="18"/>
  <c r="U23" i="18"/>
  <c r="N23" i="18"/>
  <c r="O23" i="18" s="1"/>
  <c r="D23" i="18"/>
  <c r="U22" i="18"/>
  <c r="N22" i="18"/>
  <c r="O22" i="18" s="1"/>
  <c r="D22" i="18"/>
  <c r="U21" i="18"/>
  <c r="N21" i="18"/>
  <c r="O21" i="18" s="1"/>
  <c r="D21" i="18"/>
  <c r="U20" i="18"/>
  <c r="N20" i="18"/>
  <c r="O20" i="18" s="1"/>
  <c r="D20" i="18"/>
  <c r="U19" i="18"/>
  <c r="N19" i="18"/>
  <c r="O19" i="18" s="1"/>
  <c r="D19" i="18"/>
  <c r="U18" i="18"/>
  <c r="N18" i="18"/>
  <c r="O18" i="18" s="1"/>
  <c r="D18" i="18"/>
  <c r="U17" i="18"/>
  <c r="N17" i="18"/>
  <c r="O17" i="18" s="1"/>
  <c r="D17" i="18"/>
  <c r="U16" i="18"/>
  <c r="N16" i="18"/>
  <c r="O16" i="18" s="1"/>
  <c r="D16" i="18"/>
  <c r="U15" i="18"/>
  <c r="N15" i="18"/>
  <c r="O15" i="18" s="1"/>
  <c r="D15" i="18"/>
  <c r="U14" i="18"/>
  <c r="N14" i="18"/>
  <c r="O14" i="18" s="1"/>
  <c r="D14" i="18"/>
  <c r="U13" i="18"/>
  <c r="N13" i="18"/>
  <c r="O13" i="18" s="1"/>
  <c r="D13" i="18"/>
  <c r="U12" i="18"/>
  <c r="N12" i="18"/>
  <c r="O12" i="18" s="1"/>
  <c r="D12" i="18"/>
  <c r="U11" i="18"/>
  <c r="N11" i="18"/>
  <c r="O11" i="18" s="1"/>
  <c r="D11" i="18"/>
  <c r="U10" i="18"/>
  <c r="N10" i="18"/>
  <c r="O10" i="18" s="1"/>
  <c r="D10" i="18"/>
  <c r="U9" i="18"/>
  <c r="N9" i="18"/>
  <c r="O9" i="18" s="1"/>
  <c r="D9" i="18"/>
  <c r="U8" i="18"/>
  <c r="N8" i="18"/>
  <c r="O8" i="18" s="1"/>
  <c r="D8" i="18"/>
  <c r="U7" i="18"/>
  <c r="N7" i="18"/>
  <c r="O7" i="18" s="1"/>
  <c r="D7" i="18"/>
  <c r="U6" i="18"/>
  <c r="N6" i="18"/>
  <c r="O6" i="18" s="1"/>
  <c r="D6" i="18"/>
  <c r="U5" i="18"/>
  <c r="N5" i="18"/>
  <c r="O5" i="18" s="1"/>
  <c r="D5" i="18"/>
  <c r="U4" i="18"/>
  <c r="N4" i="18"/>
  <c r="O4" i="18" s="1"/>
  <c r="D4" i="18"/>
  <c r="U3" i="18"/>
  <c r="N3" i="18"/>
  <c r="O3" i="18" s="1"/>
  <c r="D3" i="18"/>
  <c r="S68" i="17"/>
  <c r="L68" i="17"/>
  <c r="M68" i="17" s="1"/>
  <c r="D68" i="17"/>
  <c r="S67" i="17"/>
  <c r="L67" i="17"/>
  <c r="M67" i="17" s="1"/>
  <c r="D67" i="17"/>
  <c r="S66" i="17"/>
  <c r="L66" i="17"/>
  <c r="M66" i="17" s="1"/>
  <c r="D66" i="17"/>
  <c r="S65" i="17"/>
  <c r="L65" i="17"/>
  <c r="M65" i="17" s="1"/>
  <c r="D65" i="17"/>
  <c r="S64" i="17"/>
  <c r="L64" i="17"/>
  <c r="M64" i="17" s="1"/>
  <c r="D64" i="17"/>
  <c r="S63" i="17"/>
  <c r="L63" i="17"/>
  <c r="M63" i="17" s="1"/>
  <c r="D63" i="17"/>
  <c r="S62" i="17"/>
  <c r="L62" i="17"/>
  <c r="M62" i="17" s="1"/>
  <c r="D62" i="17"/>
  <c r="S61" i="17"/>
  <c r="L61" i="17"/>
  <c r="M61" i="17" s="1"/>
  <c r="D61" i="17"/>
  <c r="S60" i="17"/>
  <c r="L60" i="17"/>
  <c r="M60" i="17" s="1"/>
  <c r="D60" i="17"/>
  <c r="S59" i="17"/>
  <c r="L59" i="17"/>
  <c r="M59" i="17" s="1"/>
  <c r="D59" i="17"/>
  <c r="S58" i="17"/>
  <c r="L58" i="17"/>
  <c r="M58" i="17" s="1"/>
  <c r="D58" i="17"/>
  <c r="S57" i="17"/>
  <c r="L57" i="17"/>
  <c r="M57" i="17" s="1"/>
  <c r="D57" i="17"/>
  <c r="S56" i="17"/>
  <c r="L56" i="17"/>
  <c r="M56" i="17" s="1"/>
  <c r="D56" i="17"/>
  <c r="S55" i="17"/>
  <c r="L55" i="17"/>
  <c r="M55" i="17" s="1"/>
  <c r="D55" i="17"/>
  <c r="S54" i="17"/>
  <c r="L54" i="17"/>
  <c r="M54" i="17" s="1"/>
  <c r="D54" i="17"/>
  <c r="S53" i="17"/>
  <c r="L53" i="17"/>
  <c r="M53" i="17" s="1"/>
  <c r="D53" i="17"/>
  <c r="S52" i="17"/>
  <c r="L52" i="17"/>
  <c r="M52" i="17" s="1"/>
  <c r="D52" i="17"/>
  <c r="S51" i="17"/>
  <c r="L51" i="17"/>
  <c r="M51" i="17" s="1"/>
  <c r="D51" i="17"/>
  <c r="S50" i="17"/>
  <c r="L50" i="17"/>
  <c r="M50" i="17" s="1"/>
  <c r="D50" i="17"/>
  <c r="S49" i="17"/>
  <c r="L49" i="17"/>
  <c r="M49" i="17" s="1"/>
  <c r="D49" i="17"/>
  <c r="S48" i="17"/>
  <c r="L48" i="17"/>
  <c r="M48" i="17" s="1"/>
  <c r="D48" i="17"/>
  <c r="S47" i="17"/>
  <c r="L47" i="17"/>
  <c r="M47" i="17" s="1"/>
  <c r="D47" i="17"/>
  <c r="S46" i="17"/>
  <c r="L46" i="17"/>
  <c r="M46" i="17" s="1"/>
  <c r="D46" i="17"/>
  <c r="S45" i="17"/>
  <c r="L45" i="17"/>
  <c r="M45" i="17" s="1"/>
  <c r="D45" i="17"/>
  <c r="S44" i="17"/>
  <c r="L44" i="17"/>
  <c r="M44" i="17" s="1"/>
  <c r="D44" i="17"/>
  <c r="S43" i="17"/>
  <c r="L43" i="17"/>
  <c r="M43" i="17" s="1"/>
  <c r="D43" i="17"/>
  <c r="S42" i="17"/>
  <c r="L42" i="17"/>
  <c r="M42" i="17" s="1"/>
  <c r="D42" i="17"/>
  <c r="S41" i="17"/>
  <c r="L41" i="17"/>
  <c r="M41" i="17" s="1"/>
  <c r="D41" i="17"/>
  <c r="S40" i="17"/>
  <c r="L40" i="17"/>
  <c r="M40" i="17" s="1"/>
  <c r="D40" i="17"/>
  <c r="S39" i="17"/>
  <c r="L39" i="17"/>
  <c r="M39" i="17" s="1"/>
  <c r="D39" i="17"/>
  <c r="S38" i="17"/>
  <c r="L38" i="17"/>
  <c r="M38" i="17" s="1"/>
  <c r="D38" i="17"/>
  <c r="S37" i="17"/>
  <c r="L37" i="17"/>
  <c r="M37" i="17" s="1"/>
  <c r="D37" i="17"/>
  <c r="S36" i="17"/>
  <c r="L36" i="17"/>
  <c r="M36" i="17" s="1"/>
  <c r="D36" i="17"/>
  <c r="S35" i="17"/>
  <c r="L35" i="17"/>
  <c r="M35" i="17" s="1"/>
  <c r="D35" i="17"/>
  <c r="S34" i="17"/>
  <c r="L34" i="17"/>
  <c r="M34" i="17" s="1"/>
  <c r="D34" i="17"/>
  <c r="S33" i="17"/>
  <c r="L33" i="17"/>
  <c r="M33" i="17" s="1"/>
  <c r="D33" i="17"/>
  <c r="S32" i="17"/>
  <c r="L32" i="17"/>
  <c r="M32" i="17" s="1"/>
  <c r="D32" i="17"/>
  <c r="S31" i="17"/>
  <c r="D31" i="17"/>
  <c r="S30" i="17"/>
  <c r="D30" i="17"/>
  <c r="S28" i="17"/>
  <c r="D28" i="17"/>
  <c r="S27" i="17"/>
  <c r="D27" i="17"/>
  <c r="S26" i="17"/>
  <c r="D26" i="17"/>
  <c r="S25" i="17"/>
  <c r="D25" i="17"/>
  <c r="S24" i="17"/>
  <c r="D24" i="17"/>
  <c r="S23" i="17"/>
  <c r="D23" i="17"/>
  <c r="S22" i="17"/>
  <c r="D22" i="17"/>
  <c r="S21" i="17"/>
  <c r="D21" i="17"/>
  <c r="D20" i="17"/>
  <c r="S19" i="17"/>
  <c r="D19" i="17"/>
  <c r="S18" i="17"/>
  <c r="L18" i="17"/>
  <c r="M18" i="17" s="1"/>
  <c r="D18" i="17"/>
  <c r="S17" i="17"/>
  <c r="L17" i="17"/>
  <c r="M17" i="17" s="1"/>
  <c r="D17" i="17"/>
  <c r="S16" i="17"/>
  <c r="L16" i="17"/>
  <c r="M16" i="17" s="1"/>
  <c r="D16" i="17"/>
  <c r="S15" i="17"/>
  <c r="L15" i="17"/>
  <c r="M15" i="17" s="1"/>
  <c r="D15" i="17"/>
  <c r="S14" i="17"/>
  <c r="L14" i="17"/>
  <c r="M14" i="17" s="1"/>
  <c r="D14" i="17"/>
  <c r="S13" i="17"/>
  <c r="L13" i="17"/>
  <c r="M13" i="17" s="1"/>
  <c r="D13" i="17"/>
  <c r="S12" i="17"/>
  <c r="L12" i="17"/>
  <c r="M12" i="17" s="1"/>
  <c r="D12" i="17"/>
  <c r="S11" i="17"/>
  <c r="L11" i="17"/>
  <c r="M11" i="17" s="1"/>
  <c r="D11" i="17"/>
  <c r="S10" i="17"/>
  <c r="L10" i="17"/>
  <c r="M10" i="17" s="1"/>
  <c r="D10" i="17"/>
  <c r="S9" i="17"/>
  <c r="L9" i="17"/>
  <c r="M9" i="17" s="1"/>
  <c r="D9" i="17"/>
  <c r="S8" i="17"/>
  <c r="L8" i="17"/>
  <c r="M8" i="17" s="1"/>
  <c r="D8" i="17"/>
  <c r="S7" i="17"/>
  <c r="L7" i="17"/>
  <c r="M7" i="17" s="1"/>
  <c r="D7" i="17"/>
  <c r="S6" i="17"/>
  <c r="L6" i="17"/>
  <c r="M6" i="17" s="1"/>
  <c r="D6" i="17"/>
  <c r="S5" i="17"/>
  <c r="L5" i="17"/>
  <c r="M5" i="17" s="1"/>
  <c r="D5" i="17"/>
  <c r="L4" i="17"/>
  <c r="M4" i="17" s="1"/>
  <c r="D4" i="17"/>
  <c r="L3" i="17"/>
  <c r="M3" i="17" s="1"/>
  <c r="D3" i="17"/>
  <c r="J5" i="5"/>
  <c r="B4" i="5"/>
  <c r="L5" i="5" s="1"/>
  <c r="V34" i="18" l="1"/>
  <c r="W34" i="18" s="1"/>
  <c r="X34" i="18" s="1"/>
  <c r="V40" i="18"/>
  <c r="W40" i="18" s="1"/>
  <c r="X40" i="18" s="1"/>
  <c r="V42" i="18"/>
  <c r="W42" i="18" s="1"/>
  <c r="X42" i="18" s="1"/>
  <c r="K64" i="14"/>
  <c r="L64" i="14" s="1"/>
  <c r="K59" i="14"/>
  <c r="L59" i="14" s="1"/>
  <c r="K66" i="14"/>
  <c r="K65" i="14"/>
  <c r="L65" i="14" s="1"/>
  <c r="K57" i="14"/>
  <c r="K60" i="14"/>
  <c r="L60" i="14" s="1"/>
  <c r="K62" i="14"/>
  <c r="L62" i="14" s="1"/>
  <c r="K61" i="14"/>
  <c r="K67" i="14"/>
  <c r="L67" i="14" s="1"/>
  <c r="K58" i="14"/>
  <c r="L58" i="14" s="1"/>
  <c r="K63" i="14"/>
  <c r="L63" i="14" s="1"/>
  <c r="K69" i="14"/>
  <c r="K68" i="14"/>
  <c r="V33" i="18"/>
  <c r="W33" i="18" s="1"/>
  <c r="X33" i="18" s="1"/>
  <c r="V35" i="18"/>
  <c r="W35" i="18" s="1"/>
  <c r="X35" i="18" s="1"/>
  <c r="V41" i="18"/>
  <c r="W41" i="18" s="1"/>
  <c r="X41" i="18" s="1"/>
  <c r="V43" i="18"/>
  <c r="W43" i="18" s="1"/>
  <c r="X43" i="18" s="1"/>
  <c r="V49" i="18"/>
  <c r="W49" i="18" s="1"/>
  <c r="X49" i="18" s="1"/>
  <c r="V51" i="18"/>
  <c r="W51" i="18" s="1"/>
  <c r="X51" i="18" s="1"/>
  <c r="D5" i="5"/>
  <c r="V36" i="18"/>
  <c r="W36" i="18" s="1"/>
  <c r="X36" i="18" s="1"/>
  <c r="V37" i="18"/>
  <c r="W37" i="18" s="1"/>
  <c r="X37" i="18" s="1"/>
  <c r="V38" i="18"/>
  <c r="W38" i="18" s="1"/>
  <c r="X38" i="18" s="1"/>
  <c r="V44" i="18"/>
  <c r="W44" i="18" s="1"/>
  <c r="X44" i="18" s="1"/>
  <c r="V45" i="18"/>
  <c r="W45" i="18" s="1"/>
  <c r="X45" i="18" s="1"/>
  <c r="V46" i="18"/>
  <c r="W46" i="18" s="1"/>
  <c r="X46" i="18" s="1"/>
  <c r="V52" i="18"/>
  <c r="W52" i="18" s="1"/>
  <c r="X52" i="18" s="1"/>
  <c r="V53" i="18"/>
  <c r="W53" i="18" s="1"/>
  <c r="X53" i="18" s="1"/>
  <c r="V54" i="18"/>
  <c r="W54" i="18" s="1"/>
  <c r="X54" i="18" s="1"/>
  <c r="T58" i="17"/>
  <c r="U58" i="17" s="1"/>
  <c r="AI58" i="17" s="1"/>
  <c r="V28" i="18"/>
  <c r="W28" i="18" s="1"/>
  <c r="X28" i="18" s="1"/>
  <c r="V30" i="18"/>
  <c r="W30" i="18" s="1"/>
  <c r="X30" i="18" s="1"/>
  <c r="V29" i="18"/>
  <c r="W29" i="18" s="1"/>
  <c r="V27" i="18"/>
  <c r="W27" i="18" s="1"/>
  <c r="V26" i="18"/>
  <c r="W26" i="18" s="1"/>
  <c r="V24" i="18"/>
  <c r="W24" i="18" s="1"/>
  <c r="X24" i="18" s="1"/>
  <c r="V25" i="18"/>
  <c r="W25" i="18" s="1"/>
  <c r="X25" i="18" s="1"/>
  <c r="T66" i="17"/>
  <c r="U66" i="17" s="1"/>
  <c r="AI66" i="17" s="1"/>
  <c r="T68" i="17"/>
  <c r="U68" i="17" s="1"/>
  <c r="AI68" i="17" s="1"/>
  <c r="T46" i="17"/>
  <c r="U46" i="17" s="1"/>
  <c r="AI46" i="17" s="1"/>
  <c r="T54" i="17"/>
  <c r="U54" i="17" s="1"/>
  <c r="AI54" i="17" s="1"/>
  <c r="V22" i="18"/>
  <c r="W22" i="18" s="1"/>
  <c r="X22" i="18" s="1"/>
  <c r="V21" i="18"/>
  <c r="W21" i="18" s="1"/>
  <c r="V20" i="18"/>
  <c r="W20" i="18" s="1"/>
  <c r="X20" i="18" s="1"/>
  <c r="V19" i="18"/>
  <c r="W19" i="18" s="1"/>
  <c r="T67" i="17"/>
  <c r="U67" i="17" s="1"/>
  <c r="AI67" i="17" s="1"/>
  <c r="T55" i="17"/>
  <c r="U55" i="17" s="1"/>
  <c r="AI55" i="17" s="1"/>
  <c r="V18" i="18"/>
  <c r="W18" i="18" s="1"/>
  <c r="X18" i="18" s="1"/>
  <c r="V16" i="18"/>
  <c r="W16" i="18" s="1"/>
  <c r="V17" i="18"/>
  <c r="W17" i="18" s="1"/>
  <c r="X17" i="18" s="1"/>
  <c r="V12" i="18"/>
  <c r="W12" i="18" s="1"/>
  <c r="X12" i="18" s="1"/>
  <c r="V13" i="18"/>
  <c r="W13" i="18" s="1"/>
  <c r="X13" i="18" s="1"/>
  <c r="V14" i="18"/>
  <c r="W14" i="18" s="1"/>
  <c r="X14" i="18" s="1"/>
  <c r="V11" i="18"/>
  <c r="W11" i="18" s="1"/>
  <c r="T25" i="17"/>
  <c r="U25" i="17" s="1"/>
  <c r="V10" i="18"/>
  <c r="W10" i="18" s="1"/>
  <c r="V8" i="18"/>
  <c r="W8" i="18" s="1"/>
  <c r="X8" i="18" s="1"/>
  <c r="V9" i="18"/>
  <c r="W9" i="18" s="1"/>
  <c r="X9" i="18" s="1"/>
  <c r="T27" i="17"/>
  <c r="U27" i="17" s="1"/>
  <c r="T56" i="17"/>
  <c r="U56" i="17" s="1"/>
  <c r="AI56" i="17" s="1"/>
  <c r="T42" i="17"/>
  <c r="U42" i="17" s="1"/>
  <c r="AI42" i="17" s="1"/>
  <c r="T28" i="17"/>
  <c r="U28" i="17" s="1"/>
  <c r="T43" i="17"/>
  <c r="U43" i="17" s="1"/>
  <c r="AI43" i="17" s="1"/>
  <c r="T14" i="17"/>
  <c r="U14" i="17" s="1"/>
  <c r="T34" i="17"/>
  <c r="U34" i="17" s="1"/>
  <c r="AI34" i="17" s="1"/>
  <c r="T44" i="17"/>
  <c r="U44" i="17" s="1"/>
  <c r="AI44" i="17" s="1"/>
  <c r="T31" i="17"/>
  <c r="U31" i="17" s="1"/>
  <c r="T9" i="17"/>
  <c r="U9" i="17" s="1"/>
  <c r="H31" i="14" s="1"/>
  <c r="V6" i="18"/>
  <c r="W6" i="18" s="1"/>
  <c r="X6" i="18" s="1"/>
  <c r="V4" i="18"/>
  <c r="W4" i="18" s="1"/>
  <c r="X4" i="18" s="1"/>
  <c r="V5" i="18"/>
  <c r="W5" i="18" s="1"/>
  <c r="X5" i="18" s="1"/>
  <c r="V3" i="18"/>
  <c r="W3" i="18" s="1"/>
  <c r="T32" i="17"/>
  <c r="U32" i="17" s="1"/>
  <c r="T13" i="17"/>
  <c r="U13" i="17" s="1"/>
  <c r="T35" i="17"/>
  <c r="U35" i="17" s="1"/>
  <c r="AI35" i="17" s="1"/>
  <c r="T45" i="17"/>
  <c r="U45" i="17" s="1"/>
  <c r="AI45" i="17" s="1"/>
  <c r="T49" i="17"/>
  <c r="U49" i="17" s="1"/>
  <c r="AI49" i="17" s="1"/>
  <c r="T51" i="17"/>
  <c r="U51" i="17" s="1"/>
  <c r="AI51" i="17" s="1"/>
  <c r="T53" i="17"/>
  <c r="U53" i="17" s="1"/>
  <c r="AI53" i="17" s="1"/>
  <c r="T16" i="17"/>
  <c r="U16" i="17" s="1"/>
  <c r="T23" i="17"/>
  <c r="U23" i="17" s="1"/>
  <c r="T24" i="17"/>
  <c r="U24" i="17" s="1"/>
  <c r="T36" i="17"/>
  <c r="U36" i="17" s="1"/>
  <c r="AI36" i="17" s="1"/>
  <c r="T38" i="17"/>
  <c r="U38" i="17" s="1"/>
  <c r="AI38" i="17" s="1"/>
  <c r="T40" i="17"/>
  <c r="U40" i="17" s="1"/>
  <c r="AI40" i="17" s="1"/>
  <c r="T47" i="17"/>
  <c r="U47" i="17" s="1"/>
  <c r="AI47" i="17" s="1"/>
  <c r="T57" i="17"/>
  <c r="U57" i="17" s="1"/>
  <c r="AI57" i="17" s="1"/>
  <c r="T61" i="17"/>
  <c r="U61" i="17" s="1"/>
  <c r="AI61" i="17" s="1"/>
  <c r="T63" i="17"/>
  <c r="U63" i="17" s="1"/>
  <c r="AG63" i="17" s="1"/>
  <c r="T65" i="17"/>
  <c r="U65" i="17" s="1"/>
  <c r="AI65" i="17" s="1"/>
  <c r="T48" i="17"/>
  <c r="U48" i="17" s="1"/>
  <c r="AI48" i="17" s="1"/>
  <c r="T50" i="17"/>
  <c r="U50" i="17" s="1"/>
  <c r="AI50" i="17" s="1"/>
  <c r="T52" i="17"/>
  <c r="U52" i="17" s="1"/>
  <c r="AI52" i="17" s="1"/>
  <c r="T59" i="17"/>
  <c r="U59" i="17" s="1"/>
  <c r="AI59" i="17" s="1"/>
  <c r="T8" i="17"/>
  <c r="U8" i="17" s="1"/>
  <c r="H30" i="14" s="1"/>
  <c r="T17" i="17"/>
  <c r="U17" i="17" s="1"/>
  <c r="T37" i="17"/>
  <c r="U37" i="17" s="1"/>
  <c r="AI37" i="17" s="1"/>
  <c r="T39" i="17"/>
  <c r="U39" i="17" s="1"/>
  <c r="AI39" i="17" s="1"/>
  <c r="T41" i="17"/>
  <c r="U41" i="17" s="1"/>
  <c r="AI41" i="17" s="1"/>
  <c r="T60" i="17"/>
  <c r="U60" i="17" s="1"/>
  <c r="AI60" i="17" s="1"/>
  <c r="T62" i="17"/>
  <c r="U62" i="17" s="1"/>
  <c r="AI62" i="17" s="1"/>
  <c r="T64" i="17"/>
  <c r="U64" i="17" s="1"/>
  <c r="AI64" i="17" s="1"/>
  <c r="T7" i="17"/>
  <c r="U7" i="17" s="1"/>
  <c r="T6" i="17"/>
  <c r="U6" i="17" s="1"/>
  <c r="T19" i="17"/>
  <c r="U19" i="17" s="1"/>
  <c r="T30" i="17"/>
  <c r="U30" i="17" s="1"/>
  <c r="H39" i="14" s="1"/>
  <c r="T33" i="17"/>
  <c r="U33" i="17" s="1"/>
  <c r="AI33" i="17" s="1"/>
  <c r="T11" i="17"/>
  <c r="U11" i="17" s="1"/>
  <c r="T20" i="17"/>
  <c r="U20" i="17" s="1"/>
  <c r="T22" i="17"/>
  <c r="U22" i="17" s="1"/>
  <c r="T26" i="17"/>
  <c r="U26" i="17" s="1"/>
  <c r="V7" i="18"/>
  <c r="W7" i="18" s="1"/>
  <c r="V23" i="18"/>
  <c r="W23" i="18" s="1"/>
  <c r="V39" i="18"/>
  <c r="W39" i="18" s="1"/>
  <c r="X39" i="18" s="1"/>
  <c r="T3" i="17"/>
  <c r="U3" i="17" s="1"/>
  <c r="T5" i="17"/>
  <c r="U5" i="17" s="1"/>
  <c r="T18" i="17"/>
  <c r="U18" i="17" s="1"/>
  <c r="T10" i="17"/>
  <c r="U10" i="17" s="1"/>
  <c r="T12" i="17"/>
  <c r="U12" i="17" s="1"/>
  <c r="T15" i="17"/>
  <c r="U15" i="17" s="1"/>
  <c r="T21" i="17"/>
  <c r="U21" i="17" s="1"/>
  <c r="V15" i="18"/>
  <c r="W15" i="18" s="1"/>
  <c r="V31" i="18"/>
  <c r="W31" i="18" s="1"/>
  <c r="X31" i="18" s="1"/>
  <c r="V47" i="18"/>
  <c r="W47" i="18" s="1"/>
  <c r="X47" i="18" s="1"/>
  <c r="T4" i="17"/>
  <c r="U4" i="17" s="1"/>
  <c r="J87" i="14"/>
  <c r="K87" i="14" s="1"/>
  <c r="J86" i="14"/>
  <c r="J82" i="14"/>
  <c r="J78" i="14"/>
  <c r="K78" i="14" s="1"/>
  <c r="J77" i="14"/>
  <c r="J76" i="14"/>
  <c r="K76" i="14" s="1"/>
  <c r="J75" i="14"/>
  <c r="K75" i="14" s="1"/>
  <c r="J72" i="14"/>
  <c r="J70" i="14"/>
  <c r="J56" i="14"/>
  <c r="J55" i="14"/>
  <c r="K55" i="14" s="1"/>
  <c r="J54" i="14"/>
  <c r="K54" i="14" s="1"/>
  <c r="J53" i="14"/>
  <c r="J52" i="14"/>
  <c r="J50" i="14"/>
  <c r="K50" i="14" s="1"/>
  <c r="J49" i="14"/>
  <c r="J48" i="14"/>
  <c r="K48" i="14" s="1"/>
  <c r="L48" i="14" s="1"/>
  <c r="J47" i="14"/>
  <c r="J42" i="14"/>
  <c r="K42" i="14" s="1"/>
  <c r="L42" i="14" s="1"/>
  <c r="J41" i="14"/>
  <c r="K41" i="14" s="1"/>
  <c r="J25" i="14"/>
  <c r="K25" i="14" s="1"/>
  <c r="J24" i="14"/>
  <c r="J23" i="14"/>
  <c r="J17" i="14"/>
  <c r="K17" i="14" s="1"/>
  <c r="J15" i="14"/>
  <c r="J14" i="14"/>
  <c r="K14" i="14" s="1"/>
  <c r="J12" i="14"/>
  <c r="K12" i="14" s="1"/>
  <c r="J11" i="14"/>
  <c r="K11" i="14" s="1"/>
  <c r="J9" i="14"/>
  <c r="J8" i="14"/>
  <c r="J7" i="14"/>
  <c r="H29" i="14" l="1"/>
  <c r="J29" i="14" s="1"/>
  <c r="I30" i="14"/>
  <c r="J30" i="14" s="1"/>
  <c r="K30" i="14" s="1"/>
  <c r="X7" i="18"/>
  <c r="H34" i="14"/>
  <c r="X3" i="18"/>
  <c r="I28" i="14"/>
  <c r="X10" i="18"/>
  <c r="I31" i="14"/>
  <c r="J31" i="14" s="1"/>
  <c r="H5" i="5"/>
  <c r="F5" i="5"/>
  <c r="AI29" i="17" s="1"/>
  <c r="H28" i="14"/>
  <c r="AI7" i="17"/>
  <c r="AI27" i="17"/>
  <c r="H38" i="14"/>
  <c r="X21" i="18"/>
  <c r="I36" i="14"/>
  <c r="X26" i="18"/>
  <c r="I37" i="14"/>
  <c r="X15" i="18"/>
  <c r="I34" i="14"/>
  <c r="H32" i="14"/>
  <c r="AH10" i="17"/>
  <c r="AI22" i="17"/>
  <c r="H36" i="14"/>
  <c r="H37" i="14"/>
  <c r="H33" i="14"/>
  <c r="AI28" i="17"/>
  <c r="I32" i="14"/>
  <c r="X11" i="18"/>
  <c r="I39" i="14"/>
  <c r="X27" i="18"/>
  <c r="AI21" i="17"/>
  <c r="X23" i="18"/>
  <c r="I38" i="14"/>
  <c r="H35" i="14"/>
  <c r="J35" i="14" s="1"/>
  <c r="K35" i="14" s="1"/>
  <c r="L35" i="14" s="1"/>
  <c r="AI32" i="17"/>
  <c r="H40" i="14"/>
  <c r="X16" i="18"/>
  <c r="I33" i="14"/>
  <c r="X19" i="18"/>
  <c r="I35" i="14"/>
  <c r="X29" i="18"/>
  <c r="I40" i="14"/>
  <c r="K52" i="14"/>
  <c r="K82" i="14"/>
  <c r="L82" i="14" s="1"/>
  <c r="K29" i="14"/>
  <c r="L29" i="14" s="1"/>
  <c r="K53" i="14"/>
  <c r="L53" i="14" s="1"/>
  <c r="K47" i="14"/>
  <c r="K86" i="14"/>
  <c r="K31" i="14"/>
  <c r="L31" i="14" s="1"/>
  <c r="K70" i="14"/>
  <c r="L70" i="14" s="1"/>
  <c r="K77" i="14"/>
  <c r="L77" i="14" s="1"/>
  <c r="K7" i="14"/>
  <c r="L7" i="14" s="1"/>
  <c r="K8" i="14"/>
  <c r="K49" i="14"/>
  <c r="K9" i="14"/>
  <c r="K56" i="14"/>
  <c r="L56" i="14" s="1"/>
  <c r="K72" i="14"/>
  <c r="K15" i="14"/>
  <c r="L15" i="14" s="1"/>
  <c r="K23" i="14"/>
  <c r="L23" i="14" s="1"/>
  <c r="K24" i="14"/>
  <c r="L24" i="14" s="1"/>
  <c r="K3" i="14"/>
  <c r="L3" i="14" s="1"/>
  <c r="J81" i="14"/>
  <c r="K81" i="14" s="1"/>
  <c r="J84" i="14"/>
  <c r="K84" i="14" s="1"/>
  <c r="L84" i="14" s="1"/>
  <c r="J4" i="14"/>
  <c r="K4" i="14" s="1"/>
  <c r="J45" i="14"/>
  <c r="K45" i="14" s="1"/>
  <c r="L45" i="14" s="1"/>
  <c r="J18" i="14"/>
  <c r="K18" i="14" s="1"/>
  <c r="L18" i="14" s="1"/>
  <c r="J21" i="14"/>
  <c r="J46" i="14"/>
  <c r="K46" i="14" s="1"/>
  <c r="J73" i="14"/>
  <c r="K73" i="14" s="1"/>
  <c r="L73" i="14" s="1"/>
  <c r="J85" i="14"/>
  <c r="J34" i="14"/>
  <c r="J37" i="14"/>
  <c r="K37" i="14" s="1"/>
  <c r="AI24" i="17"/>
  <c r="AG24" i="17"/>
  <c r="AH24" i="17"/>
  <c r="AI30" i="17"/>
  <c r="AH30" i="17"/>
  <c r="AG30" i="17"/>
  <c r="AH39" i="17"/>
  <c r="AI25" i="17"/>
  <c r="AH63" i="17"/>
  <c r="AG45" i="17"/>
  <c r="AI19" i="17"/>
  <c r="AH19" i="17"/>
  <c r="AG19" i="17"/>
  <c r="AG13" i="17"/>
  <c r="AH13" i="17"/>
  <c r="AI13" i="17"/>
  <c r="AH45" i="17"/>
  <c r="AI20" i="17"/>
  <c r="AG57" i="17"/>
  <c r="AH57" i="17"/>
  <c r="AG51" i="17"/>
  <c r="AI10" i="17"/>
  <c r="AG10" i="17"/>
  <c r="AH8" i="17"/>
  <c r="AG8" i="17"/>
  <c r="AG39" i="17"/>
  <c r="AH3" i="17"/>
  <c r="AI3" i="17"/>
  <c r="AH51" i="17"/>
  <c r="AI9" i="17"/>
  <c r="AI8" i="17"/>
  <c r="AG3" i="17"/>
  <c r="AI5" i="17"/>
  <c r="AI63" i="17"/>
  <c r="AH33" i="17"/>
  <c r="AG33" i="17"/>
  <c r="J10" i="14"/>
  <c r="J13" i="14"/>
  <c r="J16" i="14"/>
  <c r="J20" i="14"/>
  <c r="K20" i="14" s="1"/>
  <c r="J27" i="14"/>
  <c r="J36" i="14"/>
  <c r="J39" i="14"/>
  <c r="J43" i="14"/>
  <c r="J71" i="14"/>
  <c r="K71" i="14" s="1"/>
  <c r="J74" i="14"/>
  <c r="J80" i="14"/>
  <c r="J83" i="14"/>
  <c r="K83" i="14" s="1"/>
  <c r="J5" i="14"/>
  <c r="K5" i="14" s="1"/>
  <c r="J6" i="14"/>
  <c r="K6" i="14" s="1"/>
  <c r="L6" i="14" s="1"/>
  <c r="J19" i="14"/>
  <c r="J22" i="14"/>
  <c r="K22" i="14" s="1"/>
  <c r="L22" i="14" s="1"/>
  <c r="J26" i="14"/>
  <c r="K26" i="14" s="1"/>
  <c r="L26" i="14" s="1"/>
  <c r="J28" i="14"/>
  <c r="K28" i="14" s="1"/>
  <c r="J38" i="14"/>
  <c r="J44" i="14"/>
  <c r="J51" i="14"/>
  <c r="J79" i="14"/>
  <c r="J88" i="14"/>
  <c r="K88" i="14" s="1"/>
  <c r="AI4" i="17" l="1"/>
  <c r="AI31" i="17"/>
  <c r="AI12" i="17"/>
  <c r="AI17" i="17"/>
  <c r="AI23" i="17"/>
  <c r="AI18" i="17"/>
  <c r="AI26" i="17"/>
  <c r="AI14" i="17"/>
  <c r="J33" i="14"/>
  <c r="K33" i="14" s="1"/>
  <c r="J32" i="14"/>
  <c r="K32" i="14" s="1"/>
  <c r="AI6" i="17"/>
  <c r="J40" i="14"/>
  <c r="K40" i="14" s="1"/>
  <c r="L40" i="14" s="1"/>
  <c r="AI16" i="17"/>
  <c r="AI11" i="17"/>
  <c r="AI15" i="17"/>
  <c r="K80" i="14"/>
  <c r="K74" i="14"/>
  <c r="L74" i="14" s="1"/>
  <c r="K13" i="14"/>
  <c r="L13" i="14" s="1"/>
  <c r="K34" i="14"/>
  <c r="L34" i="14" s="1"/>
  <c r="K79" i="14"/>
  <c r="L79" i="14" s="1"/>
  <c r="K10" i="14"/>
  <c r="L10" i="14" s="1"/>
  <c r="K51" i="14"/>
  <c r="L51" i="14" s="1"/>
  <c r="K43" i="14"/>
  <c r="L43" i="14" s="1"/>
  <c r="K44" i="14"/>
  <c r="K39" i="14"/>
  <c r="K85" i="14"/>
  <c r="L85" i="14" s="1"/>
  <c r="K38" i="14"/>
  <c r="L38" i="14" s="1"/>
  <c r="K36" i="14"/>
  <c r="K27" i="14"/>
  <c r="K21" i="14"/>
  <c r="L21" i="14" s="1"/>
  <c r="K19" i="14"/>
  <c r="L19" i="14" s="1"/>
  <c r="K16" i="14"/>
</calcChain>
</file>

<file path=xl/comments1.xml><?xml version="1.0" encoding="utf-8"?>
<comments xmlns="http://schemas.openxmlformats.org/spreadsheetml/2006/main">
  <authors>
    <author>ANI</author>
  </authors>
  <commentList>
    <comment ref="C3" authorId="0" shapeId="0">
      <text>
        <r>
          <rPr>
            <b/>
            <sz val="9"/>
            <color indexed="81"/>
            <rFont val="Tahoma"/>
            <family val="2"/>
          </rPr>
          <t>ANI:</t>
        </r>
        <r>
          <rPr>
            <sz val="9"/>
            <color indexed="81"/>
            <rFont val="Tahoma"/>
            <family val="2"/>
          </rPr>
          <t xml:space="preserve">
NO ENCONTRE EL 45%</t>
        </r>
      </text>
    </comment>
    <comment ref="K19" authorId="0" shapeId="0">
      <text>
        <r>
          <rPr>
            <b/>
            <sz val="9"/>
            <color indexed="81"/>
            <rFont val="Tahoma"/>
            <family val="2"/>
          </rPr>
          <t>ANI:</t>
        </r>
        <r>
          <rPr>
            <sz val="9"/>
            <color indexed="81"/>
            <rFont val="Tahoma"/>
            <family val="2"/>
          </rPr>
          <t xml:space="preserve">
POR LA FECHA NO SE SABE QUE DIA SE DEBE PONER PARA EL CAMBIO DE DIVISAS
</t>
        </r>
      </text>
    </comment>
    <comment ref="U19" authorId="0" shapeId="0">
      <text>
        <r>
          <rPr>
            <b/>
            <sz val="9"/>
            <color indexed="81"/>
            <rFont val="Tahoma"/>
            <family val="2"/>
          </rPr>
          <t>ANI:</t>
        </r>
        <r>
          <rPr>
            <sz val="9"/>
            <color indexed="81"/>
            <rFont val="Tahoma"/>
            <family val="2"/>
          </rPr>
          <t xml:space="preserve">
6090,79 RUP
</t>
        </r>
      </text>
    </comment>
  </commentList>
</comments>
</file>

<file path=xl/comments2.xml><?xml version="1.0" encoding="utf-8"?>
<comments xmlns="http://schemas.openxmlformats.org/spreadsheetml/2006/main">
  <authors>
    <author>ANI</author>
  </authors>
  <commentList>
    <comment ref="T8" authorId="0" shapeId="0">
      <text>
        <r>
          <rPr>
            <b/>
            <sz val="9"/>
            <color indexed="81"/>
            <rFont val="Tahoma"/>
            <family val="2"/>
          </rPr>
          <t>ANI:</t>
        </r>
        <r>
          <rPr>
            <sz val="9"/>
            <color indexed="81"/>
            <rFont val="Tahoma"/>
            <family val="2"/>
          </rPr>
          <t xml:space="preserve">
POR CC PARECE  2.607,25
</t>
        </r>
      </text>
    </comment>
  </commentList>
</comments>
</file>

<file path=xl/sharedStrings.xml><?xml version="1.0" encoding="utf-8"?>
<sst xmlns="http://schemas.openxmlformats.org/spreadsheetml/2006/main" count="5113" uniqueCount="761">
  <si>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</si>
  <si>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</si>
  <si>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</si>
  <si>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</si>
  <si>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</si>
  <si>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IDN2</t>
  </si>
  <si>
    <t>IDN1</t>
  </si>
  <si>
    <t>C&amp;M CONSULTORES S.A.</t>
  </si>
  <si>
    <t>INGENIEROS CIVILES ESPECIALISTAS LTDA</t>
  </si>
  <si>
    <t>CONSULTORES DE INGENIERIA UG21 SL SUCURSAL COLOMBIA</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</si>
  <si>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</si>
  <si>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</si>
  <si>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</si>
  <si>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</si>
  <si>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</si>
  <si>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</si>
  <si>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</si>
  <si>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</si>
  <si>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</si>
  <si>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</si>
  <si>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</si>
  <si>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</si>
  <si>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</si>
  <si>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</si>
  <si>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Maximo 1 contrato por asistente + Promesa de contrato de Asistencia tecnico</t>
  </si>
  <si>
    <t>COP</t>
  </si>
  <si>
    <t>INSTITUTO NACIONAL DE VIAS INVIAS</t>
  </si>
  <si>
    <t>INSTITUTO DE DESARROLLO URBANO - IDU</t>
  </si>
  <si>
    <t>Gerencia de Proyectos</t>
  </si>
  <si>
    <t>Ingeniería de Transporte</t>
  </si>
  <si>
    <t>Ingeniería Civil</t>
  </si>
  <si>
    <t xml:space="preserve">ACTIVIDADES RUP, FORMATO 2, MATRIZ O EJECUCIÓN  </t>
  </si>
  <si>
    <t>Segmento 80</t>
  </si>
  <si>
    <t xml:space="preserve">Familia 10 </t>
  </si>
  <si>
    <t>Clase    16</t>
  </si>
  <si>
    <t>Segmento 81</t>
  </si>
  <si>
    <t>Clase    22</t>
  </si>
  <si>
    <t>Clase
15</t>
  </si>
  <si>
    <t>PARÁMETROS</t>
  </si>
  <si>
    <t>VALOR</t>
  </si>
  <si>
    <t xml:space="preserve">SUMATORIA DE CONTRATOS EG </t>
  </si>
  <si>
    <t>VALOR CADA CONTRATO EG</t>
  </si>
  <si>
    <t>VALOR ACREDITAR LIDER EG</t>
  </si>
  <si>
    <t>VALOR DE CONTRATO EE</t>
  </si>
  <si>
    <t xml:space="preserve">Fecha de cierre  según Adendas </t>
  </si>
  <si>
    <t xml:space="preserve">Fecha de cierre según Pliego de condiciones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</si>
  <si>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</si>
  <si>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</si>
  <si>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</si>
  <si>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</si>
  <si>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</si>
  <si>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</si>
  <si>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</si>
  <si>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</si>
  <si>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</si>
  <si>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</si>
  <si>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</si>
  <si>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</si>
  <si>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</si>
  <si>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</si>
  <si>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</si>
  <si>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N/A</t>
  </si>
  <si>
    <t>NºCONSECUTIVO DEL  RUP/ MATRIZ/ EN EJECUCIÓN</t>
  </si>
  <si>
    <t>PORCENTAJE DE PARTICIÓN</t>
  </si>
  <si>
    <t>Supervisión o interventoría en proyectos de Infraestructura de Transporte.</t>
  </si>
  <si>
    <t>PUNTAJE EXPERIENCIA ESPECÍFICA</t>
  </si>
  <si>
    <t>Numeral 5.2 Sub num 3</t>
  </si>
  <si>
    <t>Numeral 5.2 Sub num 6</t>
  </si>
  <si>
    <t>SMMLV Finalización /última facturación</t>
  </si>
  <si>
    <t>Año de Finalización/ última facturación</t>
  </si>
  <si>
    <t>SMMLV finalización del contrato (CERTIFICACIÓN RUP) PONDERADO</t>
  </si>
  <si>
    <t>INGEANDINA CONSULTORES DE INGENIERIA S.A.S.</t>
  </si>
  <si>
    <t>PARTICIPACIÓN</t>
  </si>
  <si>
    <t>CONSORCIO INTERCONCESION ES G &amp; C</t>
  </si>
  <si>
    <t>TOP SUELOS INGENIERIA S.A.S.</t>
  </si>
  <si>
    <t>GARPER INGENIERÍA CIA S.A.S.</t>
  </si>
  <si>
    <t>GIC GERENCIA INTERVENTORIA Y CONSULTORIA S.A.S.</t>
  </si>
  <si>
    <t>CONSULTORES UNIDOS S.A.</t>
  </si>
  <si>
    <t>MAB INGENIERIA DE VALOR S.A.</t>
  </si>
  <si>
    <t>GNC INGENIERIA S.A.S.</t>
  </si>
  <si>
    <t>SERINCO COLOMBIA</t>
  </si>
  <si>
    <t>PLANES S.A.</t>
  </si>
  <si>
    <t>BATEMAN INGENIERIA S.A.</t>
  </si>
  <si>
    <t>ECOVIAS S.A.S.</t>
  </si>
  <si>
    <t>SONDEOS ESTRUCTURAS Y GEOTECNIA SUCURSAL S.A.</t>
  </si>
  <si>
    <t>CODIGO DE INTEGRANTE</t>
  </si>
  <si>
    <t>GOMEZ CAJIAO Y ASOCIADOS S.A.</t>
  </si>
  <si>
    <t>INGENIERIA Y CONSULTORIA INGECON S.A.S.</t>
  </si>
  <si>
    <t>CONSULTORIA INTEGRAL EN INGENIERIA S.A. DE CV</t>
  </si>
  <si>
    <t>SEDIC</t>
  </si>
  <si>
    <t>CB INGENIEROS</t>
  </si>
  <si>
    <t>CIVING INGENIEROS CONTRATISTAS S EN C</t>
  </si>
  <si>
    <t>J FELIPE ARDILA V &amp; CIA S.A.S.</t>
  </si>
  <si>
    <t>INTERVENTORIAS Y DISEÑOS S.A.</t>
  </si>
  <si>
    <t>ESTRUCTURADOR COLOMBIA S.A.S.</t>
  </si>
  <si>
    <t>JOYCO</t>
  </si>
  <si>
    <t>JOYCO S.A.S.</t>
  </si>
  <si>
    <t>P01-01</t>
  </si>
  <si>
    <t>P01-02</t>
  </si>
  <si>
    <t>P02-01</t>
  </si>
  <si>
    <t>P03-01</t>
  </si>
  <si>
    <t>P04-01</t>
  </si>
  <si>
    <t>P05-01</t>
  </si>
  <si>
    <t>P06-01</t>
  </si>
  <si>
    <t>P02-02</t>
  </si>
  <si>
    <t>P03-02</t>
  </si>
  <si>
    <t>P04-02</t>
  </si>
  <si>
    <t>P05-02</t>
  </si>
  <si>
    <t>P06-02</t>
  </si>
  <si>
    <t>P07-01</t>
  </si>
  <si>
    <t>P07-02</t>
  </si>
  <si>
    <t>P08-01</t>
  </si>
  <si>
    <t>P08-02</t>
  </si>
  <si>
    <t>P09-01</t>
  </si>
  <si>
    <t>P09-02</t>
  </si>
  <si>
    <t>P10-01</t>
  </si>
  <si>
    <t>P11-01</t>
  </si>
  <si>
    <t>P11-02</t>
  </si>
  <si>
    <t>P12-01</t>
  </si>
  <si>
    <t>P12-02</t>
  </si>
  <si>
    <t>P13-01</t>
  </si>
  <si>
    <t>P13-02</t>
  </si>
  <si>
    <t>P14-01</t>
  </si>
  <si>
    <t>P14-02</t>
  </si>
  <si>
    <t>P15-01</t>
  </si>
  <si>
    <t>P16-01</t>
  </si>
  <si>
    <t>P17-01</t>
  </si>
  <si>
    <t>P17-02</t>
  </si>
  <si>
    <t>P18-01</t>
  </si>
  <si>
    <t>P18-02</t>
  </si>
  <si>
    <t>P19-01</t>
  </si>
  <si>
    <t>P19-02</t>
  </si>
  <si>
    <t>P20-01</t>
  </si>
  <si>
    <t>P20-02</t>
  </si>
  <si>
    <t>P21-01</t>
  </si>
  <si>
    <t>P21-02</t>
  </si>
  <si>
    <t>P22-01</t>
  </si>
  <si>
    <t>P22-02</t>
  </si>
  <si>
    <t>P23-01</t>
  </si>
  <si>
    <t>P23-02</t>
  </si>
  <si>
    <t>P24-01</t>
  </si>
  <si>
    <t>P25-01</t>
  </si>
  <si>
    <t>P24-02</t>
  </si>
  <si>
    <t>P26-01</t>
  </si>
  <si>
    <t>P26-02</t>
  </si>
  <si>
    <t>P27-01</t>
  </si>
  <si>
    <t>P27-02</t>
  </si>
  <si>
    <t>P28-01</t>
  </si>
  <si>
    <t>P29-01</t>
  </si>
  <si>
    <t>P29-02</t>
  </si>
  <si>
    <t>P30-01</t>
  </si>
  <si>
    <t>P31-01</t>
  </si>
  <si>
    <t>P31-02</t>
  </si>
  <si>
    <t>P32-01</t>
  </si>
  <si>
    <t>P32-02</t>
  </si>
  <si>
    <t>P33-01</t>
  </si>
  <si>
    <t>P33-02</t>
  </si>
  <si>
    <t>P34-01</t>
  </si>
  <si>
    <t>P34-02</t>
  </si>
  <si>
    <t>P35-01</t>
  </si>
  <si>
    <t>P35-02</t>
  </si>
  <si>
    <t>P36-01</t>
  </si>
  <si>
    <t>P36-02</t>
  </si>
  <si>
    <t>P37-01</t>
  </si>
  <si>
    <t>P37-02</t>
  </si>
  <si>
    <t>P38-01</t>
  </si>
  <si>
    <t>P39-01</t>
  </si>
  <si>
    <t>P38-02</t>
  </si>
  <si>
    <t>P39-02</t>
  </si>
  <si>
    <t>P40-01</t>
  </si>
  <si>
    <t>P41-01</t>
  </si>
  <si>
    <t>P40-02</t>
  </si>
  <si>
    <t>P41-02</t>
  </si>
  <si>
    <t>CM023P034</t>
  </si>
  <si>
    <t>FOLIO CONTRATO</t>
  </si>
  <si>
    <t>PROPONENTE LIDER, 51 % DE LA EXPERIENCIA ACREDITADA</t>
  </si>
  <si>
    <t>CM023P035</t>
  </si>
  <si>
    <t>CM023P036</t>
  </si>
  <si>
    <t>CM023P037</t>
  </si>
  <si>
    <t>CM023P038</t>
  </si>
  <si>
    <t>CM023P039</t>
  </si>
  <si>
    <t>CM023P040</t>
  </si>
  <si>
    <t>CM023P043</t>
  </si>
  <si>
    <t>CM023P044</t>
  </si>
  <si>
    <t>CM023P045</t>
  </si>
  <si>
    <t>CM023P046</t>
  </si>
  <si>
    <r>
      <t xml:space="preserve">Supervisión o interventoría en proyectos de Infraestructura de Transporte </t>
    </r>
    <r>
      <rPr>
        <b/>
        <u/>
        <sz val="11"/>
        <color theme="0"/>
        <rFont val="Arial"/>
        <family val="2"/>
      </rPr>
      <t>Vial.</t>
    </r>
  </si>
  <si>
    <t>Vigencia del contrato posterior a 01/01/90</t>
  </si>
  <si>
    <t>Sumatoria SMMLV aportada por Integrante</t>
  </si>
  <si>
    <t>INTEGRANTE QUE ACREDITA % NOMINA DISCAPACIDAD</t>
  </si>
  <si>
    <t>CUMPLIMIENTO NUMERAL 6. CRITERIOS DE DESEMPATE</t>
  </si>
  <si>
    <t>CONCURSO DE MÉRITOS ABIERTO No. VJ-VGC-CM-001-2016</t>
  </si>
  <si>
    <t>CM001P01</t>
  </si>
  <si>
    <t>CONSORCIO AREA METROPOLITANA</t>
  </si>
  <si>
    <t xml:space="preserve">WSP SERVICIOS S.A.S  </t>
  </si>
  <si>
    <t xml:space="preserve">SMA S.A.  </t>
  </si>
  <si>
    <t>CM001P02</t>
  </si>
  <si>
    <t xml:space="preserve"> CONSORCIO CONTROL NORTE  </t>
  </si>
  <si>
    <t xml:space="preserve">GRUSAMAR INGENIERIA Y CONSULTING SL SUCURSAL </t>
  </si>
  <si>
    <t xml:space="preserve">JUAN AMADO LIZARAZO </t>
  </si>
  <si>
    <t>CM001P03</t>
  </si>
  <si>
    <t>OMC</t>
  </si>
  <si>
    <t>P03-03</t>
  </si>
  <si>
    <t>GESTIÓN INTEGRAL DEL SUELO SUCURSAL COLOMBIA</t>
  </si>
  <si>
    <t>CM001P04</t>
  </si>
  <si>
    <t>CONSORCIO NDS - INTER</t>
  </si>
  <si>
    <t xml:space="preserve">GEOTECNIA Y CIMIENTOS INGEOCIM S.A.S. </t>
  </si>
  <si>
    <t>TYPSA</t>
  </si>
  <si>
    <t>CM001P05</t>
  </si>
  <si>
    <t>UNIÓN TEMPORAL SANTANDER 2</t>
  </si>
  <si>
    <t xml:space="preserve">AFA CONSULTORES Y CONSTRUCTORES S.A </t>
  </si>
  <si>
    <t>INC GROUP S.A.S.</t>
  </si>
  <si>
    <t>CM001P06</t>
  </si>
  <si>
    <t xml:space="preserve">CONSORCIO INTERVENTOR CUCUTA </t>
  </si>
  <si>
    <t xml:space="preserve">INZETT S.A.S.  </t>
  </si>
  <si>
    <t>P06-03</t>
  </si>
  <si>
    <t>CM001P07</t>
  </si>
  <si>
    <t>CONSORCIO GCA INTOK 2016</t>
  </si>
  <si>
    <t>CONSULTORIA INTOK DE COLOMBIA Y ASOCIADOS S.A.S</t>
  </si>
  <si>
    <t>CM001P08</t>
  </si>
  <si>
    <t>CONSORCIO ESMERALDA</t>
  </si>
  <si>
    <t>CM001P09</t>
  </si>
  <si>
    <t>CONSORCIO ECUCUTA</t>
  </si>
  <si>
    <t>CM001P10</t>
  </si>
  <si>
    <t>CM001P11</t>
  </si>
  <si>
    <t>CM001P12</t>
  </si>
  <si>
    <t>CONSORCIO INGEANDINA GEOCONTROL 001-2016</t>
  </si>
  <si>
    <t>GEOCONTROL SUCURSAL COLOMBIA</t>
  </si>
  <si>
    <t>CM001P13</t>
  </si>
  <si>
    <t>CONSORCIO VELNEC-GNC</t>
  </si>
  <si>
    <t>VELNEC S.A</t>
  </si>
  <si>
    <t>CM001P14</t>
  </si>
  <si>
    <t>CONSORCIO CONCESION CUCUTA 2016</t>
  </si>
  <si>
    <t>ARREDONDO MADRID INGENIEROS CIVILES (AIM) LIMITADA</t>
  </si>
  <si>
    <t>INGENIERIA INTEGRAL DE OBRAS - INGEOBRAS SAS</t>
  </si>
  <si>
    <t>CM001P15</t>
  </si>
  <si>
    <t>CM001P16</t>
  </si>
  <si>
    <t>CM001P17</t>
  </si>
  <si>
    <t>CM001P18</t>
  </si>
  <si>
    <t>CM001P19</t>
  </si>
  <si>
    <t>CM001P20</t>
  </si>
  <si>
    <t>3B PROYECTOS SAS</t>
  </si>
  <si>
    <t>CONSORCIO METROPOLITANO SANTANDER</t>
  </si>
  <si>
    <t>P16-02</t>
  </si>
  <si>
    <t>CONSORCIO SERVINC VQM</t>
  </si>
  <si>
    <t>SERVINC LTDA</t>
  </si>
  <si>
    <t>CONSORCIO GERENCIAR CONCESIONES</t>
  </si>
  <si>
    <t>DIEGO FONSECA CHAVES</t>
  </si>
  <si>
    <t>B&amp;C SA</t>
  </si>
  <si>
    <t>CONSORCIO INTERVENTORES NORTE</t>
  </si>
  <si>
    <t>INGENOBRAS SAS</t>
  </si>
  <si>
    <t>CONSORCIO GETINSA - EUROESTUDIOS</t>
  </si>
  <si>
    <t>GETINSA INGENIERIA SL SUCURSAL COLOMBIA</t>
  </si>
  <si>
    <t>EUROESTUDIOS INGENIEROS DE CONSULTA SA</t>
  </si>
  <si>
    <t>CM001P21</t>
  </si>
  <si>
    <t>CONSORCIO NORTE DE SANTANDER CI</t>
  </si>
  <si>
    <t>INFRAESTRUCTURA INTEGRAL SAS</t>
  </si>
  <si>
    <t>CANO JIMENEZ ESTUDIOS SA</t>
  </si>
  <si>
    <t>CM001P22</t>
  </si>
  <si>
    <t>CONSORCIO MAB-PROES</t>
  </si>
  <si>
    <t>PROYECTOS Y ESTRUCTURAS ESPECIALES S.A</t>
  </si>
  <si>
    <t>CM001P23</t>
  </si>
  <si>
    <t>CONSORCIO AREA METROPOLITANA 2016</t>
  </si>
  <si>
    <t>AYESA COLOMBIA INGENIERIA Y ARQUITECTURA SAS</t>
  </si>
  <si>
    <t>INTERSA SA</t>
  </si>
  <si>
    <t>CM001P24</t>
  </si>
  <si>
    <t>UNION TEMPORAL INTERVENTORIA ANI-001-2016</t>
  </si>
  <si>
    <t>JAHVM MCGREGOR SAS</t>
  </si>
  <si>
    <t>PROYECTOS CONTRUCCIONES CIVILES Y VIALES LTDA</t>
  </si>
  <si>
    <t>P24-03</t>
  </si>
  <si>
    <t>CM001P25</t>
  </si>
  <si>
    <t>CONSORCIO CONCESION VIAL</t>
  </si>
  <si>
    <t>EUROCONTROL SA</t>
  </si>
  <si>
    <t>P25-02</t>
  </si>
  <si>
    <t>CAYCO SAS</t>
  </si>
  <si>
    <t>P25-03</t>
  </si>
  <si>
    <t>CM001P26</t>
  </si>
  <si>
    <t>CONSORCIO PROGIN -PLANES</t>
  </si>
  <si>
    <t>PROGIN SA</t>
  </si>
  <si>
    <t>CM001P27</t>
  </si>
  <si>
    <t>CONSORCIO INTERVIAL AMC</t>
  </si>
  <si>
    <t>INTERPRO SAS</t>
  </si>
  <si>
    <t>CM001P28</t>
  </si>
  <si>
    <t xml:space="preserve">CONCOL INGENIERIA SAS  </t>
  </si>
  <si>
    <t>CONCOL INGENIERIA SAS</t>
  </si>
  <si>
    <t>CM001P29</t>
  </si>
  <si>
    <t>CONSORCIO INGEVIAL</t>
  </si>
  <si>
    <t>ING INGENIERIA SA</t>
  </si>
  <si>
    <t>INGETEC GERENCIA &amp; SUPERVISION SA</t>
  </si>
  <si>
    <t>CM001P30</t>
  </si>
  <si>
    <t>HMV CONSULTORIA SAS</t>
  </si>
  <si>
    <t>CM001P31</t>
  </si>
  <si>
    <t xml:space="preserve">  CONSORCIO SERINCO – DICO 2016 </t>
  </si>
  <si>
    <t>DICONSULTORIA SA</t>
  </si>
  <si>
    <t>CM001P32</t>
  </si>
  <si>
    <t xml:space="preserve">CONSORCIO METROPOLITANO SEG INCOPLAN   </t>
  </si>
  <si>
    <t>INGENIERIA CONSULTORIA Y PLANEACION S.A. INCOPLAN S.A</t>
  </si>
  <si>
    <t>CM001P33</t>
  </si>
  <si>
    <t>CONSORCIO INGEVIAS</t>
  </si>
  <si>
    <t xml:space="preserve">INGENIERIA DE PROYECTOS SAS.  </t>
  </si>
  <si>
    <t>P33-03</t>
  </si>
  <si>
    <t>EGIS COLOMBIA SAS</t>
  </si>
  <si>
    <t>CM001P34</t>
  </si>
  <si>
    <t>CONSORCIO INFRAESTRUCTURA CUCUTA</t>
  </si>
  <si>
    <t>CONSULTORES TECNICOS Y ECONOMICOS SA</t>
  </si>
  <si>
    <t>CONSULTORES E INTERVENTORES TECNICOS SAS</t>
  </si>
  <si>
    <t>CM001P35</t>
  </si>
  <si>
    <t>UNION TEMPORAL PROINTEC UG 21</t>
  </si>
  <si>
    <t>PROINTEC COLOMBIA</t>
  </si>
  <si>
    <t>CM001P36</t>
  </si>
  <si>
    <t>CONSORCIO ETA – GC&amp;Q</t>
  </si>
  <si>
    <t>ETA SA</t>
  </si>
  <si>
    <t xml:space="preserve">GC&amp;Q INGENIEROS CONSULTORES SAS. </t>
  </si>
  <si>
    <t>CM001P37</t>
  </si>
  <si>
    <t xml:space="preserve">CONSORCIO INTERVIAL CONCESION </t>
  </si>
  <si>
    <t>IAR PROYECTOS SAS</t>
  </si>
  <si>
    <t>CM001P38</t>
  </si>
  <si>
    <t>CONSORCIO NORTE</t>
  </si>
  <si>
    <t>IV INGENIEROS CONSULTORES SUCURSAL COLOMBIA</t>
  </si>
  <si>
    <t>ALPHA GRUPO CONSULTOR E INTERVENTOR SAS</t>
  </si>
  <si>
    <t>P38-03</t>
  </si>
  <si>
    <t>CELQO SAS</t>
  </si>
  <si>
    <t>CM001P39</t>
  </si>
  <si>
    <t>CONSORCIO CEMOSA</t>
  </si>
  <si>
    <t xml:space="preserve">                                         CEMOSA</t>
  </si>
  <si>
    <t>INGENIERIA Y DESARROLLO XIMA DE COLOMBIA SAS</t>
  </si>
  <si>
    <t>CM001P40</t>
  </si>
  <si>
    <t>CONSORCIO 2GP</t>
  </si>
  <si>
    <t xml:space="preserve">JOSE MANUEL GUARDO POLO </t>
  </si>
  <si>
    <t>GRUPO POSSO SAS</t>
  </si>
  <si>
    <t>CM001P41</t>
  </si>
  <si>
    <t>CONSORCIO INTERVENTORIA DEL NORTE DE SANTANDER 2016</t>
  </si>
  <si>
    <t>LA VIABILIDAD LTDA</t>
  </si>
  <si>
    <t>SESAC SA</t>
  </si>
  <si>
    <t>P41-03</t>
  </si>
  <si>
    <t>SILVIA CARREÑO Y ASOCIADOS SAS</t>
  </si>
  <si>
    <t>P41-04</t>
  </si>
  <si>
    <t>ARENAS DE LA HOZ CONSULTORES S.A.S</t>
  </si>
  <si>
    <t xml:space="preserve">30% SMMLV </t>
  </si>
  <si>
    <t>SUMATORIA CONTRATOS &gt;= 50% P.O.</t>
  </si>
  <si>
    <t>INSTITUTO DESARROLLO URBANO IDU</t>
  </si>
  <si>
    <t>INSTITUTO NACIONAL DE VIAS</t>
  </si>
  <si>
    <t>INTERVENTORIA TÉCNICA, ADMINISTRATIVA, LEGAL, FINANCIERRA Y AMBIENTE DE LA ADECUACION DE LA TRONCAL AMERICAS AL SISTEMA TRANSMILENIO, TRAMO 2 ENTRE LA CARRERA 70B Y BANDERAS, EN BOGOTA D,C,</t>
  </si>
  <si>
    <t>INTERVENTORIA DE LA CONSTRUCCION DE LA AVENIDA CUNDINAMARCA VIA PERIMETRAL DE LA SABANA EN SANTAFE DE BOGOTA SECTOR COMPRENDIDO ENTRE CANOAS Y EL RIO BOGOTA</t>
  </si>
  <si>
    <t>GOBERNACION DEL CASANARE</t>
  </si>
  <si>
    <t>ALCALDIA MUNICIPAL DE TOCANCIPA</t>
  </si>
  <si>
    <t>NA</t>
  </si>
  <si>
    <t>INTERVENTORIA TECNICA ADMINSITRATIVA FINANCIERA LEGAL SOCIAL SEGURIDAD INDUSTRIAL SALUD OCUPACIONAL Y MEDIO AMBIENTE PARA OBRAS Y ACTIVIDADES PARA LA CONSERVACION DE LA MALLA VIAL ARTERIAL NO TRONCAL EN EL GRUPO 5, FASE 1-2013, A PRECIO GLOBAL CON AJUSTES EN LA CIUDAD DE BOGOTA</t>
  </si>
  <si>
    <t>INTERVENTORIA TECNICA ADMINSITRATIVA FINANCIERA LEGAL Y AMBIENTAL PARA LA PAVIMENTACION DE LA VIA YOPAL EL ALGARROBO OROCUE SECTOR LA TURUPA QUEBRADASECA DEL MUNICIPIO DE YOPAL CASANARE</t>
  </si>
  <si>
    <t>INTERVENTORIA TECNICA ADMINSITRATIVA Y FINANCIERA PARA LA A,PLIACION CONSTRUCCION Y PAVIMENTACION DEL ANILLO VIAL VERGANZO SEGUNDA ETAPA DEL MUNICIPIO DE TOCANCIPA</t>
  </si>
  <si>
    <t>30% SMMLV (50%EGM)</t>
  </si>
  <si>
    <t xml:space="preserve">51% SMMLV(50%EGMIN) </t>
  </si>
  <si>
    <t>INSTITUTO DE DESARROLLO URBANO IDU</t>
  </si>
  <si>
    <t>AGENCIA NACIONAL DE INFRAESTRUCTURA</t>
  </si>
  <si>
    <t>DAPRE-FONDO DE PROGRAMAS ESPECIALES PARA LA PAZ</t>
  </si>
  <si>
    <t>INTERVENTORIA TÉCNICA, ADMINISTRATIVA, LEGAL, FINANCIERRA SOCIAL Y AMBIENTAL PARA LA CONSTRUCCION REHABILITACION Y CONSERVACION DE VIAS PARA RUTAS ALIMENTARIAS DEL SISTEMA YT TRASMILENIO ZONA 4 GRUPO 1 EN BOGOTA</t>
  </si>
  <si>
    <t>INTERVENTORIA INTEGRAL DEL CONTRATO DE CONCESION QUE INCLUYE OERO NO SE LIMITA A LA INTERVENTORIA TECNICA FINANCIRA CONTRABLE JURIDICA MEDIO AMBIENTAL SOCIO AMBIENTAL SOCIO PREDIAL, ADMINISTRATIVA DE SEGUROS OPERATIVA Y DE MANTENIMIENTO DEL CONTRATO DE CONCESION EL CUAL HACE PATE DEL PROYECTO RUA DEL SON Y QUE CORRESPONDE AL SECTOR 1 COMPRENDIDO ENTRE TOBIA GRANDE/ VILLETA+GUADUAS EL KORAN</t>
  </si>
  <si>
    <t>INTERVENTORIA ADMINSITRATIVA TECNICA FINANCIERA Y AMBIENTAL PARA LAS OBRAS DE MEJORAMIENTO REHABILITACION Y RECUPERACION DE LA VIA QUE DEL MUNICIPIO DE ATACO CONDUCE AL MUNICIPIO DE PLANADAS EN EL SUR DEL DEPARTAMENTO DEL TOLIMA</t>
  </si>
  <si>
    <t>INTERVENTORIA INTEGRAL DEL CONTRATO DE CONCESION NO. 008 DE 2010 CUYO OBJETO ES EL OTORGAMIENTODE UNA CONCESION PARA UN CONCESIONARIO REALICE POR SU CUENTA Y RIESGO LAS OBRAS NECESARIAS PARA LA CONSTRUCCION REHABILITACION AMPLIACION MEJORAMIENTO Y CONSERVACION SEGUN CORRESPONDA DEL PROYECTO VIAL TRASVERSAL DE LAS AMERICAS Y LA PREPARACION DE LOS ESTUDIOS Y DISEÑOS DEFINITIVOS LA GESTION PREDIAL SOCIAL Y AMBIENTAL LA OBTENCION Y/O MODIFICACION DE LICENCIAS AMBIENTALES LA FINANCIACION LA OPERACION Y EL MANTENIMIENTO DE LAS OBRAS EN EL CORREDOR VIAL TRASVERSAL DE LAS AMERICAS SECTOR 1 DENOMINADO CORREDOR VIAL DEL CARIBE</t>
  </si>
  <si>
    <t>INTERVENTORIA TECNICA OPERATIVA Y FINANCIERA DEL CONTRATO DE CONCESION NO. 0275 DE 1996 DESARROLLO VIAL DEL ORIENTE DE MEDELLIN Y VALLE DEL RIO NEGRO Y CONEXIÓN A PUERTO TRIUNFO</t>
  </si>
  <si>
    <t>NTERVENTORIA TECNICA OPERATIVA Y FINANCIERA DEL CONTRATO DE CONCESION NO. 0275 DE 1996 DESARROLLO VIAL DEL ORIENTE DE MEDELLIN Y VALLE DEL RIO NEGRO Y CONEXIÓN A PUERTO TRIUNFO</t>
  </si>
  <si>
    <t>TRASMILENIO SA</t>
  </si>
  <si>
    <t>INTERVENTORIA TECNICA ADMINSITRATIVA Y FINANCIERA DEL CONTRATO DE LAS OBRAS DE MANTENIMIENTO DE LA INFRAESTRUCTURA DEL SISTEMA DE TRASPORTE MASIVO DE LA CIUDAD DE BOGOTA</t>
  </si>
  <si>
    <t>GOBERNACION DE ANTIOQUIA</t>
  </si>
  <si>
    <t>INTERVENTORIA TECNICA ADMINISTRATIVA FINANCIERA Y AMBIENTAL DEL PROYECTO PARA EL MEJORAMIENTO Y PAVIMENTACION DE LA TRONCAL DEL CARIBE, TRAMO SAN JUAN DE URABA NECOLI SECTOR SAN JUAN DE URABA MULATOS</t>
  </si>
  <si>
    <t>INTERVENTORIA TECNICA ADMINSITRATIVA Y FINANCIERA DEL CONTRATO DE LAS OBRAS DE MANTENIMIENTO DE LA INFRAESTRUCTURA DEL SISTEMA DE TRASPORTE MASIVO DE LA CIUDAD DE BOGOTA D.C</t>
  </si>
  <si>
    <t>Se ajusto el porcentaje de participacion en el contrato.</t>
  </si>
  <si>
    <t>METROPLUS SA</t>
  </si>
  <si>
    <t>SUPERVISION PARA LA CONSTRUCCION DE DOS TRAMOS DE CORREDOR PARA EL SISTEMA INTEGRADO DE TRASPORTE MASIVO, METROPLUS DEL VALLE DE ABURRA LOTE 1, CALLE 30 ENTRE CARRERAS 70 Y 87 Y LOTE 2 CARRERA 45 ENTRE CALLE 67 Y 86, INCLUYE LA ADECUACION DE LAS CARRERAS 44 Y 46 ENTRE CALLES 67 Y 93</t>
  </si>
  <si>
    <t>INTERVENTORIA TECNICA FINANCIERA Y OPERATIVA EN LA ETAPA DE OPERACIÓN DEL CONTRATO DE CONCESION NO. 447 DE 1994 CARRETERA SANTAFE DE BOGOTA (PUENTE EL CORTIJO) - SIBERIA- LA PUNTA- EL CHUSCAL - LA VEGA- RIO TOBIA- VILLETA CON BASE EN EL ACTA DE INCORPORACION DEL ACUERDO CONCILIATORIO SUSCRITO ENTRE SOCIEDAD CONCESIÓN SABANA DE OCCIDENTE Y EL INCO</t>
  </si>
  <si>
    <t>INTERVENTORIA TECNICA ADMINSITRATIVA FINANCIERA Y AMBIENTAL PARA LAS INTERVENCIONES INTEGRALES A LA MALLA VIAL LOCAL DEL GRUPO VIAL FASE II GRUPO 2 (LOCALIDADES DE FONTIBON, PUENTE ARANDA Y BARRIOS UNIDOS) CON RECURSOS CONFINADOS ENTRE EL IDU Y LOS FONDOSDE DESARROLLO LOCAL EN LA CIUDAD DE BOGOTA</t>
  </si>
  <si>
    <t>INVIAS</t>
  </si>
  <si>
    <t>INTERVENTORIA PARA EL MANTENIMIENTO Y REHABILITACION DE LA CARRETERA TASIDO - DABEIBA RUTA 62 TRAMO 6202 DEL PR67+0680 AL PR 112+0862 EN EL DEPARTAMENTO DE ANTIOQUIA MODULO 1</t>
  </si>
  <si>
    <t>ALCALDIA DE CARTAGENA</t>
  </si>
  <si>
    <t>INTERVENTORIA DE LA AMPLIACION RECTIFICACION Y PAVIMENTACION DE LA CARRETERA BOLOMBOLO SANTAFE DE ANTIOQUIA</t>
  </si>
  <si>
    <t>INTERVENTORIA INTEGRAL TECNICA ADMINISTRATIVA AMBIENTAL Y FINANCIERA DEL PROYECTO VIAL EN CONCESION COREDOR DE ACCESO RAPIDO A LA VARIANTE DE CARTAGENA ALCALDIA MAYOR</t>
  </si>
  <si>
    <t>CONSULTORIA ASESORIA E INTERVENTORIA TECNICA ADMINISTRATIVA DE LAS OBRAS DE PAVIMENTACION DE LOS SECTORES REMOLINO CIUDAD BOLIVAR DE LA CARRETERA AMAGA CIUDAD BOLIVAR Y REMOLINO JARDIN DE LA CARRETERA AMAGA JARDIN</t>
  </si>
  <si>
    <t>CONSULTORIA ASESORIA E INTERVENTORIA TECNICA Y ADMINSITRATIVA A LAS IBRAS DE REHABILTIACION DEL SECTOR OIBA SOCORRO SAN GIL DE LA CARRETERA BARBOSA OIBA BUCARAMANAG</t>
  </si>
  <si>
    <t>INTERVENTORIA TECNICA LEGAL FINANCIERA ADMINISTRATIVA AMBIENTAL PREDIAL Y SOCIAL DEL PROYECTO ESTUDIOS Y DISEÑOS GESTION SOCIAL PREDIAL AMBIENTAL Y MEJORAMIENTO DEL PROYECTO CORREDOR DEL SUR Y MARGINAL DE LA SELVA</t>
  </si>
  <si>
    <t>INTERVENTORIA TECNICA Y ADMINISTRATIVA PARA LA CONSTRUCCION DE LAS VIAS DE ACCESO A BARRIOS EN LA LOCALIDAD DE USME, ASI, ACCESO UE-3 UE-5 BARRIOS ALFONSO Y LOS COMUNEROS, ACCESO UE-6 BARRIOS SERRANIAS, LORENZO ALCANLUZ Y ANTONIO JOSE DE SUCRE Y ACCESO UE-8 BARRIOS EL DANUBIO Y LA FISCALA EN BOG</t>
  </si>
  <si>
    <t>IDU</t>
  </si>
  <si>
    <t>VQM SAS</t>
  </si>
  <si>
    <t>Contratar la Interventoría técnica, socioambiental, jurídica y financiera de un periodo de la etapa de operación y para las actividades de la etapa preoperativa de las obras adicionales de las concesiones viales del departamento de Cundinamarca.</t>
  </si>
  <si>
    <t>Interventoría integral del contrato de Concesión que incluye pero no se limita a la interventoría técnica, financiera, contable, jurídica, medio ambiental, socio predial, administrativa, de seguros, operativa y de mantenimiento del contrato de Concesión No.SEA-016 el cual hace parte del proyecto vial Ruta del Sol y que corresponde al sector 2 comprendido entre Puerto Salgar y San Roque.</t>
  </si>
  <si>
    <t xml:space="preserve">Interventoría técnica, socio-ambiental, administrativa y financiera de los siguientes proyectos: Estudios, diseños, construcción, mejoramiento rehabilitación y pavimentación de la red de troncales y red colectora a cargo del departamento de Cundinamarca para las siguientes vías 1). Vía Carmen de Curupa-Ubate, Municipio de Carmen de Curupa; 2). Vía Ubate-Cucunuba, Municipio de Ubate; 3). Vía Chocontá-Cucunuba, Municipio de Chocontá; 4). Vía sector la vuelta de Tres Esquinas, Municipio de Suesca; 5). Vía La Punta-Tenjo, Municipio de Tenjo; 6). Vía Siberia-Tenjo, Municipio de Tenjo; 7). Vía Boqueron Pandi, Municipio de Pandi; 8). Vía Tocaima Agua de Dios, Municipios de Tocaima y Agua de Dios; 9). Vía Troncal del Magdalena, sector Girardot-Cambao, Departamento de Cundinamarca; 10). Vía la Shell-Arbelaez, Municipio de Arbelaez; 11). Vía Caqueza-Ubate, Municipios de Caqueza y Ubate; 12). Vía Ubaque-La laguna, Municipio de Ubaque; 13). Vía Villeta-Utica-Caparrapi, Municipio de Villeta; 14). Diagnóstico, estudios, diseños, construcción, mejoramiento, mantenimiento y pavimentación de la Concesión troncal del Tequendama integrado por los trayectos viales Chuzaca-El Colegio-El Triunfo-Viotá- El Portillo del Departamento de Cundinamarca (Construcción en el K2+900, K14+600 y K4+750 del tramo Chusaca-el Colegio, Obras de Estabilización). </t>
  </si>
  <si>
    <t>INSTITUTO DE INFRAESTRUCTURA Y CONCESIONES DE CUNDINAMARCA</t>
  </si>
  <si>
    <t>AGENCIA NACIONAL DE INFRAESTRUCTURA - ANI</t>
  </si>
  <si>
    <t>En Ejecución</t>
  </si>
  <si>
    <t>INSTITUTO NACIONAL DE VÌAS - INVIAS</t>
  </si>
  <si>
    <t>Interventoría de los estudios y diseños, pavimentación y/o repavimentación de las vías incluidas dentro del programa de pavimentación de infraestructura vial de integración y desarrollo GRUPO 63 vía Puerto López-Puerto Gaitán con una longitud de 29,3 Km en el departamento del Meta.</t>
  </si>
  <si>
    <t>Interventoría de los estudios y diseños, pavimentación y/o repavimentación de las vías incluidas dentro del programa de pavimentación de infraestructura vial de integración y desarrollo GRUPO 93 vía Barbacoas-Junín con una longitud de 25 Km en el departamento de Nariño.</t>
  </si>
  <si>
    <t>EN EJECUCION</t>
  </si>
  <si>
    <t>Interventoría técnica, socio-ambiental, administrativa y financiera de los proyectos: 1. Rehabilitacion de la vía Tenjo-La Punta-Siberia-Tenjo-Tabio-Cajica, Municipio de Tenjo. 2. Mejoramiento de la vía Subachoque. 3. Estudios, diseños y pavimentación vía casco urbano de Madrid, Los Arboles-Puente Piedra en el Municipio de Madrid, 4. Mejoramiento de la vía Zipaquira-Nemocon-Suesca, Municipio de Zipaquirá, 5. Rehabilitación de la vía Capellania-Guacheta, 6. Mejoramiento y pavimentación de la Autopista Medellín parque la Florida costado occidental aeropuerto El Dorado, Municipio de Cota Cundinamarca; 7. Mejoramiento y rehabilitación de la vía Los Alpes-Quipile-Cajitas, Municipio Quipile, 8. Rehabilitación de la via Cartagenita-Zipacon-Cachipa-La Gran Vía-Tena-Los Alpes-Petaluma-Anolaima-Corralejas y San Carlos-La Florida, 9. Rehabilitación y mejoramiento de la vía Puerta Amarilla (Ricaurte) Los Manueles-Agua de Dios-Tocaima y construcción puente sobre el río Bogotá, 10. Mejoramiento vía Zipaquirá-Pacho-La Palma, Municipio de Pacho Departamento de Cundinamarca.</t>
  </si>
  <si>
    <t>INSTITUTO INFRAESTRUCTURA Y CONCESIONES DE CUNDINAMARCA</t>
  </si>
  <si>
    <t>Contrato No. IDU-067-2009. Interventoría Técnica, Administrativa, Financiera, Legal, Social y Ambiental, Para La Construcción de La Avenida Laureano Gómez (AK 9) Desde Av. San Juan Bosco (AC  170) hasta La AV. Cedritos (AC  147) Y Construcción De La Calzada Sur De La Avenida San José (AC  170) desde Avenida Boyacá Hasta Avenida Cota (AK 91), Correspondientes a las Obras con Código De Obra 101 Y 107 Del Acuerdo 180 De 2005 de valorización, en Bogotá D.C.</t>
  </si>
  <si>
    <t>COL</t>
  </si>
  <si>
    <t xml:space="preserve">Contrato No. IDU-075-2009. Interventoría Técnica, Administrativa, Financiera,  Legal,  Social, Ambiental  de La Construcción de Las Siguientes Obras  del acuerdo 180 del 2005 de valorización, en Bogotá D.C.: A) La intersección de la Avenida Paseo del  Country (carrera 15), con la avenida Carlos lleras Restrepo (calle 100), proyecto código de obra 160. B. Intersección a desnivel  de AV Germán Arciniegas (carrera 11) por  AV Laureano Gómez  (carrera 9), proyecto código de obra 102. C. Avenida Germán Arciniegas (carrera 11) desde calle 106 hasta Av Laureano Gómez (carrera 9) proyecto código de obra 103.  </t>
  </si>
  <si>
    <t>INSTITUTO NACIONAL DE CONCESIONES - INCO</t>
  </si>
  <si>
    <t>Contrato No. 04-0243-0-99. Interventoría Técnica, Administrativa y Financiera del Contrato de Concesion Para La Rehabilitación, conservación, operación y explotación de la red pacífica (Buenaventura - La Felisa y Zarzal - La Tebaida) y de la construcción explotación y mantenimiento de la central de transferencia de carga de La Felisa. Longitud de la Red Concesionada: 498 KM</t>
  </si>
  <si>
    <t>Contrato No. 020 de 2009. Interventoria técnica, administrativa, legal, operativa, financiera, predial, social y ambiental al contrato de concesión no. GG-040-2004, celebrado entre el Intituto Nacional de Concesiones - INCO y la Sociedad Concesión Autopista Bogotá - Girardot.</t>
  </si>
  <si>
    <t>Contrato No. 035 de 2006. Realizarla Interventoría Integral del Contrato de Concesión para la rehabilitación, reconstrucción, conservación, mantenimiento, operación y explotación de la Red Férrea del Pacífico (Buenaventura - La Felisa y Zarzal - La Tebaida), debiendo revisar, verificar, analizar y conceptuar permanentemente sobre todos los aspectos técnicos, socio - ambientales, prediales, financieros, operativos, jurídicos y administrativos relacionados con el Contrato de Concesión de la red férrea del Pacífico No. 09-CONP-98.</t>
  </si>
  <si>
    <t xml:space="preserve">TREN DE OCCIDENTE S.A </t>
  </si>
  <si>
    <t>Realizar actividades de supervisión técnica y control de calidad en la rehabilitación y recuperación del corredor férreo Concesionado en el sector  Zaragoza - La Felisa</t>
  </si>
  <si>
    <t>TRANSMETRO</t>
  </si>
  <si>
    <t>Interventoria Tecnica, Administrativa, Financiera y ambiental para la construccion de las obras del Sistema Integrado de Transporte Masivo, del Distrito de Barranquilla y su area Metropolitana, Sistema Transmetro, de acuerdo a los planos de Intervencion de cada uno de los componentes</t>
  </si>
  <si>
    <t>INSTITUTO NACIONAL DE VIAS - INVIAS</t>
  </si>
  <si>
    <t>Interventoria de las obras de construccion y pavimentacion de la vía alterna interna a Buenaventura, sector Viaducto K7 - Interseccion Citronela, Ruta 40 Tramo 4001.</t>
  </si>
  <si>
    <t>GOBERNACIÓN DEL CESAR</t>
  </si>
  <si>
    <t>INTERVENTORIA TECNICA ADMINSITRATIVA FINANCIERA Y AMBIENTAL A CONTRATOS DE OBRAS MAYORES A EJECUTARSE EN LA VIGENCIA 2011 EN EL DEPARTAMENTO DEL CESAR CON RECURSOS DEL FONDO NACIONAL DE CALAMIDADES SUBCUENTA COLOMBIA HUMANITARIA.</t>
  </si>
  <si>
    <t>INTERVENTORIA TECNICA ADMINISTRATIVA FINANCIERA SOCIAL AMBIENTAL Y LEGAL AL CONTRATO DE CONCESION NO. 146 DE 2003 PARA LA ADECUACION DE LA TRONCAL AVENIDA SUBA AL SISTEMA TRASMILENIO PARA EL TRAMO 2 COMPRENDIDO ENTRE LA CALLE 127A Y LA AV. CIUDAD DE CALI EN BOGOTA D.C.</t>
  </si>
  <si>
    <t>INTERVENTORIA TECNICA FINANCIERA YOPERATIVA EN LA ETAPA DE OPERACIÓN DEL CONTRATO DE CONCESION NO. 0275 DE 1996 DEVIMED</t>
  </si>
  <si>
    <t>50% SMMLV (EGMIN)</t>
  </si>
  <si>
    <t>SE AJUSTA EL PORCENTAJE DE PARTICIPACION EN EL CONTRATO</t>
  </si>
  <si>
    <t>25%(50%EG+4*30%*EE)</t>
  </si>
  <si>
    <t xml:space="preserve">Presupuesto oficial SMLMV </t>
  </si>
  <si>
    <t>Presupuesto INTERVENTORIA A CONTRATO DE CONCESIÓN VIAL ÁREA METROPOLITANA DE CUCUTA Y NORTE DE SANTANDER</t>
  </si>
  <si>
    <t>BAC ENGINEERING CONSULTANCY GROUP S.A.S.</t>
  </si>
  <si>
    <t>DESEMPATE 25% (50%*EG+4*30%*EE)</t>
  </si>
  <si>
    <t>25%*170%= 42,5% PO</t>
  </si>
  <si>
    <t>EUR</t>
  </si>
  <si>
    <t>Control y supervicion de los trabajos de acondicionamiento y asfalto de la carretera nacieonal 1 entre Pointe Noire y Dolice</t>
  </si>
  <si>
    <t>Delegation generale des Grands Travaux</t>
  </si>
  <si>
    <t>EN EJECUCIÓN</t>
  </si>
  <si>
    <t>Interventoria tecnica y administrativa para la concesion para la adeciacion y/o rehabilitacion de la red vial secundaria y terciaria du operación y mantenimiento en una longitud de 88,5 km en el departamento de la Guajira</t>
  </si>
  <si>
    <t>Departamento de la Guajira</t>
  </si>
  <si>
    <t xml:space="preserve">Interventoría técnica, administrativa, financiera social y ambiental para la construcción de los carriles mixtos y el espacio publico del corredor troncal de la calle 5/carrera 100 entre carrera 56 y calle 20. Y obras complementarias del sistema integrado de transporte masivo de pasajeros de Santiago de Cali </t>
  </si>
  <si>
    <t>METRO CALI S.A</t>
  </si>
  <si>
    <t>Interventoría técnica, administrativa financiera y ambiental para el diagnostico, mantenimiento rutinario y periódico de la malla vial complementaria confirmada por el distrito de mantenimiento I de la fase iv corredores viales en Bogotá D.C</t>
  </si>
  <si>
    <t>Interventoría para el mejoramiento y mantenimiento integral de la ruta Buenaventura-Buga del corredor vial del pacifico (incluido el mantenimiento rutinario, la señalización, el monitoreo y vigilancia y los conteos de transito) ruta 40 tramo 4001</t>
  </si>
  <si>
    <t>Interventoría técnica administrativa, financiera, ambiental, operativa y jurídica al plan de inversión de los Contratos de Concesión Portuaria No. 006 de 1993, 009 de 1994 y 003 de 2008 - suscritos entre la nación - Superintendencia General de Puertos y/o el Instituto Nacional de Concesiones INCO, hoy administrado por la Agencia Nacional de Infraestructura y las Sociedades Portuarias Regional de Santa Marta S.A., Regional de Buenaventura S.A. y la Sociedad Terminal de Contenedores de Cartagena S.A. CONECTAR S.A., respectivamente, sus adicionales y otrosíes, así como regular los términos y condiciones bajo las cuales la Agencia Nacional de Infraestructura pagará al interventor de forma mensual la contraprestación ofrecida por este.</t>
  </si>
  <si>
    <t>Agencia Nacional de Infraestructura</t>
  </si>
  <si>
    <t>Interventoría operativa, ambiental y de mantenimiento para la concesión de la administración, operación, explotación comercial, mantenimiento, modernización y expansión del aeropuerto internacional El Dorado de la Ciudad de Bogotá D.C.</t>
  </si>
  <si>
    <t>Aeronáutica Civil - Agencia Nacional de Infraestructura</t>
  </si>
  <si>
    <t>Consultoría y asistencia técnica para la realización del control y vigilancia de las obras: Autovía A-63 de Oviedo a la Espina. Tramo: Salas - La Espina (1a calzada)</t>
  </si>
  <si>
    <t>Ministerio de Fomento</t>
  </si>
  <si>
    <t>Asistencia técnica para el control y vigilancia de la obra pista de vuelo 18R-36L y balizamiento CAT II/III de la pista 18R-36L, calles de rodaje, central eléctrica lado aire fase II en el aeropuerto de Madrid Barajas</t>
  </si>
  <si>
    <t>AENA Aeropuertos S.A.</t>
  </si>
  <si>
    <t>Interventoría de las obras de construcción del puente sobre el rio magdalena entre los municipios de Barrancabermjea (Santander) y Yondo (Antioquia)</t>
  </si>
  <si>
    <t>Instituto Para el Desarrollo de Antioquia-IDEA</t>
  </si>
  <si>
    <t>Interventoria técnica, administrativa, financiera, ambiental y social de la construcción del corredor troncal centro y obras complementarias del sistema integrado de transporte masivo de pasajeros de Santiago de Cali, de acuerdo a los siguientes frentes: Frente 3 y Frente 4</t>
  </si>
  <si>
    <t>Metrocali S.A.</t>
  </si>
  <si>
    <t>Control y vigilancia de las obras: "Proyecto de acondicionamiento de la carretera N-110 (Soria a Plasencia). Tramo: Plasencia-Navaconcejo. Provincia Caceres"</t>
  </si>
  <si>
    <t>Control y vigilancia de la obra: Eje Atlantico de Alta Velocidad. Variante de Ordes (a Coruña)</t>
  </si>
  <si>
    <t>Interventoría técnica, administrativa, financiera y ambiental para la construcción de la avenida ciudad de Cali desde la transversal 91 hasta el apoche oriental de los puentes vehiculares sobre el Brazo del Humedal Juan Amarillo en Bogotá D.C</t>
  </si>
  <si>
    <t>Supervisión para la construcción parcial de la troncal Medellín para el sistema integrado de transporte masivo, Metro plus del Valle de Aburra, incluyendo las estaciones</t>
  </si>
  <si>
    <t>METROPLUS S.A</t>
  </si>
  <si>
    <t>Interventoría técnica, administrativa, financiera, legal, social y ambiental para la aplicación de la autopista norte entre las calles 180 a 192 y construcción de las obras complementarias del puente norte de la calle 183 (futura avenida san Antonio) por autopista norte entre carrera 36 y carrera 47 en Bogotá. D.C</t>
  </si>
  <si>
    <t>Interventoría de la construcción y pavimentación del sector Quebrada las Doradas- Depresión el Vergel- Orrapihuasi de protección, estabilización y drenaje de mas de 20 sitios de taludes inestables</t>
  </si>
  <si>
    <t>Interventoría para el mejoramiento y mantenimiento integral de la Ruta Hatillo (Cruce Don Matías)-Caucasia del corredor vial de occidente (incluido el mantenimiento rutinario, la señalización, el monitoreo y vigilancia y los conteos de transito ) uta 25 Tramo 250, 2511 y 2512</t>
  </si>
  <si>
    <t>Interventoría técnica, administrativa, financiera y ambiental para la construcción  de la conexión calle 80 por autopista norte – Etapa 2, en Bogotá D.C.</t>
  </si>
  <si>
    <t>Interventoría técnica, administrativa, financiera y ambiental para los proyectos de mejoramiento y mantenimiento de la red terciaria en el Departamento de Córdoba Grupo A.</t>
  </si>
  <si>
    <t>FONADE</t>
  </si>
  <si>
    <t>Interventoria para el mejoramiento y pavimentacion de la carretera Cucuta - Pamplona - Malaga Ruta 55, Tramo 5505, Sector PR140+000 al PR71+680.</t>
  </si>
  <si>
    <t>Interventoría técnica, financiera y operativa en la etapa de Construcción del contrato de concesión No. 113 de 1997, proyecto vial Armenia - Pereira - Manizales.</t>
  </si>
  <si>
    <t>Interventoría al Contrato de Concesión No. 179 del 23 de septiembre del 2003 para la adecuación de la Troncal NQS sector sur al sistema transmilenio, en el tramo comprendido a lo largo de la NQS desde la Calle 10a siguiendo por la Av. Sur hasta la altura de la Escuela General Santander, en Bogota D.C., con una longitud total de 4,6 km, el cual se denomino como Tramo I Sur.</t>
  </si>
  <si>
    <t>13_8</t>
  </si>
  <si>
    <t>Interventoría Técnica y Financiera en sus etapas de Diseño y Programación y de Construcción de la Concesión para el Desarrollo Vial del Oriente de Medellín y Valle de Rionegro y conexión a Puerto Triunfo.</t>
  </si>
  <si>
    <t>Instituto Nacional de Vías - INVIAS</t>
  </si>
  <si>
    <t>16_11</t>
  </si>
  <si>
    <t>Interventoría Técnica, Administrativa y Financiera al contrato de Concesión para la rehabilitación, conservación, operación y explotación de la red pacífica (BUENAVENTURA-LA FELISA Y ZARZAL-LA TEBAIDA). Contrato No. 035 de 2006</t>
  </si>
  <si>
    <t>Instituto Nacional de Concesiones</t>
  </si>
  <si>
    <t>69-62</t>
  </si>
  <si>
    <t>Interventoría técnica, administrativa, financiera, legal, social y ambiental de las obras y actividades para la malla vial arterial, intermedia y local de los distritos de conservación en la ciudad de Bogotá, D.C., correspondiente al grupo No. 4</t>
  </si>
  <si>
    <t>Instituto de Desarrollo Urbano - IDU</t>
  </si>
  <si>
    <t>62-55</t>
  </si>
  <si>
    <t>Interventoría técnica, administrativa, financiera y ambiental para la construcción del Sistema Integrado de Transporte Masivo del Distrito Barranquilla y su área metropolitana, Sistema Transmetro de acuerdo con los planos de intervención de cada uno de lo componentes.</t>
  </si>
  <si>
    <t xml:space="preserve">Transmetro S.A. </t>
  </si>
  <si>
    <t>14_9</t>
  </si>
  <si>
    <t>Interventoría Técnica, Administrativa y Financiera al contrato de Concesión para la rehabilitación, conservación, operación y explotación de la red pacífica (BUENAVENTURA-LA FELISA Y ZARZAL-LA TEBAIDA). Contrato No. 04-0243-0-99</t>
  </si>
  <si>
    <t>19-14</t>
  </si>
  <si>
    <t xml:space="preserve">Interventoría Técnica, Administrativa, Legal, Operativa, Financiera, Predial, Social y Ambiental al Contrato de Concesión No. BGG-040-2004, celebrado entre el Instituto Nacional de Concesiones y la Sociedad Autopista Bogotá - Girardot S.A. </t>
  </si>
  <si>
    <t>DIRECCION DE LAS OBRAS DEL CARRIL RESERVADO PARA AUTOBUSES EN LA AUTOPISTA C-56 ENTRE EL NUDO DE RIPOLLET Y LA AVENIDA DE LA MERIDIANA</t>
  </si>
  <si>
    <t>TABASA</t>
  </si>
  <si>
    <t>SEGUIMIENTO Y CONTROL DE LOS PROYECTOS Y OBRAS VINCULADOS A LA NUEVA LINEA 9 DEL METRO, A LA PROLONGACION DE LA L-3 Y L5 DEL METRO, Y A OTRAS ACTUACIONES DE MEJORA DE INFRAESTRUCTURAS EN LA CIUDAD DE BARCELONA, CONTRATO 03001254 EXPEDIENTE 20030445</t>
  </si>
  <si>
    <t>AYUNTAMIENTO DE BARCELONA</t>
  </si>
  <si>
    <t>ASISTENCIA TECNICA PARA EL CONTROL Y VIGILANCIA DE LA OBRA ZONA DE APOYO A LA NUEVA TERMINAL DEL SUR. AEROPUERTO DE BARCELONA</t>
  </si>
  <si>
    <t>AENA</t>
  </si>
  <si>
    <t>INTERVENTORIA TECNICA, ADMINISTRATIVA Y AMBIENTAL PARA LA CONSTRUCCION DE TRES TRAMOS DE INFRAESTRUCTURA DEL SISTEMA INTEGRADO DE TRANSPORTE MASIVO PARA EL AREA METROPOLITANA DE BUCARAMANGA, SOBRE LA DIAGONAL QUEINCE ENTRE AVENIDA QUEBRADASECA Y EL INTERCAMBIADOR DE LA PUERTA DEL SOL Y LA AUTOPISTA BUCARAMANGA-FLORIDABLANCA, ENTRE EL INTERCAMBIADOR DE LA PUERTA DEL SOL Y EL PUENTE PROVENZA DEL MUNICIPIO DE BUCARAMANGA, CONTRATO No. 001 de 2006</t>
  </si>
  <si>
    <t>METROLINEA S.A.</t>
  </si>
  <si>
    <t>INTERVENTORIA A LA ACTUALIZACION DE LOS ESTUDIOS Y DISEÑOS A FASE III Y CONSTRUCCION DEL VIADUCTO DE LA CARRERA NOVENA Y OBRAS COMPLEMENTARIAS EN EL MUNICIPIO DE BUCARAMANGA, CONTRATO NO. 0348 DE 2010</t>
  </si>
  <si>
    <t>MUNICIPIO DE BUCARAMANGA</t>
  </si>
  <si>
    <t>INTERVENTORIA TECNICA, ADMINISTRATIVA, LEGAL, FINANCIERA Y AMBIENTAL PARA CONSTUCCION DE CUATRO TRAMOS DE INFRAESTRUCTURA DEL SISTEMA INTEGRADO DE TRANSPORTE MASIVO PARA EL AREA METROPOLITANA DE BUCARAMANGA, SOBRE LA CARRERA QUINCE ENTRE LA VIRGEN Y LA AVENIDA QUEBRADASECA, SOBRE LA AUTOPISTA BUCARAMANGA - FLORIDABLANCA, ENTRE EL PUENTE PROVENZA Y EL PUENTE VEHICULAR DE CAÑAVERAL Y PAPI QUIERO PIÑA, SOBRE LA CARRERA VEINTISIETE ENTRE LA UIS Y LA AVENIDA QUEBRADA SECA Y EL PAR VIAL CALLE 10- CALLE 11 DEL MUNICIPIO DE BUCARAMANGA, CONTRATO NO. 002 DE 2006</t>
  </si>
  <si>
    <t>SMMLV finalización del contrato  PONDERADO</t>
  </si>
  <si>
    <t>Como mínimo uno (1) de los contratos principales, mediante los cuales se va a acreditar la experiencia específica, deberá ser de supervisión o interventoría de una concesión de un proyecto de infraestructura de transporte celebrado y ejecutado y/o en ejecución en Colombia y que incluya dentro de su objeto y/o alcance la supervisión o interventoría que puede ser Técnica y Financiera, y/o Técnica y Social, y/o Técnica y Ambiental del proyecto.</t>
  </si>
  <si>
    <t>Máximo 1 contrato por asistente + Promesa de contrato de Asistencia técnico</t>
  </si>
  <si>
    <t>SMMLV finalización del contrato PONDERADO</t>
  </si>
  <si>
    <t>CADA INTEGRANTE (CADA CONTRATO CON EL 30% DEL PRESUPUESTO OFICIAL)</t>
  </si>
  <si>
    <t>INTERVENTORIA TECNICA, FINANCIERA, CONTABLE, JURIDICA, ADMINISTRATIVA, OPERATIVA, AMBIENTAL Y SOCIO-PREDIAL DEL CONTRATO DE CONCESION No. 113 de 12997 CONCESION ARMENIA-PEREIRA-MANIZALES-LA PAILA. CONTRATO 375 DE 2013</t>
  </si>
  <si>
    <t>Interventoria tecnica, juridica, administrativa, operativa y financiera al contrato de concesiòn No. 005 de 2007 Concesiòn area Metropolitana de Cucuta y Norte de Santander celebrado entre el Instituto Nacional de Concesiones y la Concesionaria San Simon s.a.</t>
  </si>
  <si>
    <t>INSTITUTO NACIONAL DE CONCESIONES</t>
  </si>
  <si>
    <t>Interventoría técnica, operativa y financiera en la etapa de operación del contrato de concesión 503 de 1994, carretera Cartagena-Barranquilla. Incluye revisión de sistemas de tratamiento de suelos para estabilización de taludes y arcillas expansivas</t>
  </si>
  <si>
    <t>Control y vigilancia de las obras: Linea valencia-Tarragona, Tramo: Las Palmas-Oropesa. Vía y electrificación, instalaciones de seguridad y comunicaciones, estación de Bericassim e integración urbana del ferrocarril en las proximidades de la estación de Oropesa</t>
  </si>
  <si>
    <t>Interventoría para la conservación y mantenimiento integral de la carretera Girardot-Santafe de Bogotá</t>
  </si>
  <si>
    <t>Interventoría de las obras de construcción y pavimentación de la vía alterna interna a Buenaventura, sector Viaducto K7-intersección Citroneta, Ruta 40 Tramo 4001</t>
  </si>
  <si>
    <t>Gobernación del Valle del Cauca</t>
  </si>
  <si>
    <t>Interventoría de los trabajos relativos a la construcción mantenimiento y operación del proyecto de concesión Doble Calzada Buga-Tulua-La Paila, en el sector comprendido entre la abscisa K67+100 - K128+100</t>
  </si>
  <si>
    <t>Instituto Nacional de Vías - Invias</t>
  </si>
  <si>
    <t>Interventorías para el mejoramiento y mantenimiento del corredor Tumaco-Pasto Mocoa</t>
  </si>
  <si>
    <t>"Consultoría y asistencia para la realización del control y vigilancia de las obras: Autovía A-66 ruta de la plata carretera N-630 de Gijón al puerto de Sevilla. Tramo: Morales del Vino- Corrales provincia de Zamora"</t>
  </si>
  <si>
    <t>"Consultoría y asistencia para el control y vigilancia de las obras (Interventoría): Eje Atlántico de alta velocidad. Variante de Portas(Pontevedra). Tramo II: Portas- Vila García de Arrousa. Plataforma y vía. Supresión de P.N. en la R.F. de Galicia. Línea Monforte - Vigo, Pk 33/307, 35/347, 36/289 y 37/908 del Municipio de Coles (Orense)"</t>
  </si>
  <si>
    <t>Interventoría técnica administrativa, financiera, ambiental, operativa y jurídica al plan de inversión de los Contratos de Concesión Portuaria No. 006 de 1993, 009 de 1994 y 003 de 2008 - suscritos entre la nación - Superintendencia General de Puertos y/o el Instituto Nacional de Concesiones INCO, hoy administrado por la Agencia Nacional de Infraestructura y las Sociedades Portuarias Regional de Santa Marta S.A., Regional de Buenaventura S.A. y la Sociedad Terminal de Contenedores de Cartagena S.A. CONTECAR S.A., respectivamente, sus adicionales y otrosíes, así como regular los términos y condiciones bajo las cuales la Agencia Nacional de Infraestructura pagará al interventor de forma mensual la contraprestación ofrecida por este.</t>
  </si>
  <si>
    <t>Interventoría técnica y administrativa para la concesión para la adecuación y/o rehabilitación de la red vial secundaria y terciaria, su operación y mantenimiento en una longitud de 88,5 km en el departamento de la Guajira</t>
  </si>
  <si>
    <t>Control y supervisión de los trabajos de acondicionamiento y asfalto de la carretera nacional 1 entre Pointe Noire y Dolice</t>
  </si>
  <si>
    <t>ANE</t>
  </si>
  <si>
    <t>Supervisión de los trabajos de rehabilitación de la carretera N1 de Namacurra-Nampevo</t>
  </si>
  <si>
    <t>MINISTERIO DE FOMENTO</t>
  </si>
  <si>
    <t>CONTROL Y VIGILANCIA DE LAS OBRAS: AUTOVIA A-50 TRAMO: NARROS DEL CASTILLO-PEÑARANDA DE BRACAMONTE. PROVINCIA DE SALAMANCA Y AVILA</t>
  </si>
  <si>
    <t>CONTROL Y VIGILANCIA DE LAS OBRAS: AUTOVIA DE LA PLATA A-66 CARRETERA N-630 DE GUIJON AL PUERTO DE SEVILLA. TRAMO: CALZADA DE VALDUNCIEL - SALAMANCA, PROVINCIA DE SALAMANCA</t>
  </si>
  <si>
    <t>ANI</t>
  </si>
  <si>
    <t>INTERVENTORIA TECNICA, FINANCIERA, OPERATIVA, PREDIAL, SOCIOAMBIENTAL Y LEGAL DEL PROYECTO DE CONCESIÓN MALLA VIAL  DEL VALLE DE DEL CAUCA Y CAUCA</t>
  </si>
  <si>
    <t>TRANSCARIBE</t>
  </si>
  <si>
    <t>ASESORIA E INTERVENTORIA TECNICA, ADMINISTRATIVA Y AMBIENTAL EN LA CONSTRUCCIÓN DE UN TRAMO DE CORREDOR DEL SISTEMA INTEGRADO DE TRANSPORTE MASIVO TRANSCARIBE DESDE CUATRO VIENTOS A BAZURTO EN CARTAGENA DE INDIAS DISTRITO TURISTICO Y CULURAL</t>
  </si>
  <si>
    <t>Interventoría técnica, financiera, ambiental y operativa en la etapa de construcción del contrato de Concesión No. 113 de 1997 Desarrollo Vial Armenia - Pereira - Manizales.</t>
  </si>
  <si>
    <t>Interventoría Técnica, Jurídica, Administrativa, Operativa y Financiera al Contrato de Concesión No 0377 de 2002 Concesión “Briceño - Tunja  - Sogamoso” Celebrado Entre el Instituto Nacional de Concesiones y el Consorcio Solarte Solarte.</t>
  </si>
  <si>
    <t xml:space="preserve">Interventoría Técnica, Financiera, Operativa, Predial, Socioambiental y legal del proyecto de Concesion Vial Santa Marta - Riohacha - Paraguachon, en el marco del contrato de concesión 445 de 1194 de conformidad con los terminos de referencia del concurso. </t>
  </si>
  <si>
    <t xml:space="preserve">INTERVENTORÍA TÉCNICA, ADMINISTRATIVA, LEGAL, FINANCIERA, AMBIENTAL Y SOCIAL DE LAS OBRAS DE CONSTRUCCIÓN Y TODAS LAS ACTIVIDADES NECESARIAS PARA LA EJECUCIÓN DE LA CALLE 26 (AVENIDA JORGE ELIECER GAITÁN) Y LA CARRERA 10a (AV. FERNANDO MAZUELA), AL SISTEMA TRANSMILENIO, DEL TRAMO 3 QUE COMPRENDE LA ADECUACIÓN DE LA CARRERA 10a (AVENIDA FERNANDO MAZUERA) AL SISTEMA TRANSMILENIO EN EL TRAMO 4 COMPRENDIDO ENTRE CALLE 7 Y CALLE 26, EN BOGOTÁ D.C. Y EL TRAMO 5 COMPRENDIDO ENTRE CALLE 26 Y CALLE 34 Y ADECUACIÓN DE LA CALLE 26 (AVENIDA JORGE ELIECER GAITÁN) AL SISTEMA TRANSMILENIO EN EL TRAMO 5 COMPRENDIDO ENTRE CARRERA 19 Y LA CARRERA 13, INCLUYE CONEXIÓN OPERACIONAL CON LA TRONCAL CARACAS, EN BOGOTÁ D.C., Y EN EL TRAMO 6 COMPRENDIDO ENTRE CARRERA 13 Y CARRERA 3 Y CARRERA 3 ENTRE CALLE 26 Y CALLE 19, EN BOGOTÁ D.C., COMPRENDIDOS EN EL GRUPO 3 ENTRE CALLE 26 Y CALLE 19, EN BOGOTÁ D.C., COMPRENDIDOS EN EL GRUPO 3 DE LA LICITACIÓN PUBLICA NUMERO IDU - LP - DG - 022 - 2007  EN BOGOTÁ D.C. </t>
  </si>
  <si>
    <t>INTERVENITORIA TECNICA, ADMINISTRATIVA, LEGAL, FINANCIERA, AMIENTAL Y SOCIAL PARA LA EJECUCIÓN DE LAS OBRAS DE CONSTRUCCIÓN Y TODAS LAS ACTIVIDADES NECEARIAS PARA LA ADECUACIÓN DE LA CALLE 26 ( AVENIDA JORGE ELIECER GAITAN) Y DE LA CARRERA 10° ( AVENIDA FERNANDO MAZUERA)</t>
  </si>
  <si>
    <t>INTERVENTORIA PARA EL MEJORAMIENTO Y MANTENIMINETO DE LAS CARRETERAS MEDIA CANOA-ANSERMA NUEVO-LA VIRGINIA, CODIGO 2302 Y MIRANDA-RIO DESBARATADO-PRADERA-PALMIRA, CODIGO 3105, MODULO 1</t>
  </si>
  <si>
    <t>TERMINAL DE CONTENEDORES DE BUENAVENTURA</t>
  </si>
  <si>
    <t>INTERVENTORIA TECNICA, ADMINISTRATIVA Y AMBIENTAL PARA LA CONSTRUCCIÓN DE UN TERMINAL DE CONTENEDORES EN EL PUERTO DE BUENAVENTURA</t>
  </si>
  <si>
    <t>USD</t>
  </si>
  <si>
    <t>MINISTERIO DE FOMENTO-DIRECCIÓN GENERAL DE CARRETERAS</t>
  </si>
  <si>
    <t>ASITENCIA TECNICA PARA EL CONTROL Y VIGILANCIA DE LAS OBRAS AUTOVIA DEL MEDITERRANEO CN-340 DE CADIZ Y GIBRALTAR A BARCELONA TRAMO ALMUÑECAR ( LA HERRADURA) - ALMUÑECAR (TARAMAY), PROVINCIA DE GRANADA</t>
  </si>
  <si>
    <t>INTERVENTORIA TECNICA, AMBIENTAL, LEGAL, ADMINISTRATIVA, PREDIAL, FINANCIERA Y OPERATIVA EN LA ETAPA DE OPERACIÓN DEL CONTRATO DE CONCESIÓN #0849 DE 1995 DESARROLLO VIAL CARRETERA NEIVA-ESPINAL-GIRARDOT</t>
  </si>
  <si>
    <t>INTERVENTORIA PARA EL MEJORAMIENTO Y PAVIMENTACIÓN DE LA CARRETERA FUENTRE DE ORO-PUERTO LLERAS CRUCE PUERTO RICO-PUERTO ARTURO-SAN JOSE DEL GUAVIARE, SECTOR FUENTE DE ORO-PUERTO LLERAS, K0+000 AL K20+000</t>
  </si>
  <si>
    <t>UNIDAD ADMINISTRATIVA DE LA AERONAUTICA CIVIL-AEROCIVIL</t>
  </si>
  <si>
    <t>INTERVENTORIA FINANCIERA, CONTRABLE, TRIBUTARIA Y ADMINISTRATIVA PARA LA CONCESIÓN DE LA ASMINISTRACIÓN, OPEREACIPN, EXPLOTACIÓN COMERCIAL, MANTENIMIENTO, MODERNIZACIÓN Y EXPANSIÓN DEL AEROPUERTO INTERNACIONAL EL DORADO DE LA CIUDAD DE BOGOTÁ</t>
  </si>
  <si>
    <t>N.A</t>
  </si>
  <si>
    <t>INTEVENTORIA TECNICA Y FINANCIERA EN SUS ETAPAS DE DISEÑO Y PROGRAMACIÓN Y CONSTRUCCIÓN DE LA CONCESIÓN DE LA CARRETERA ESPINAL- NEIVA DEL TRAMO 06 NEIVA CASTILLA Y EL SECTOR CASTILLA - ESPINAL - GIRARDOT LOCALIZACIÓN DE REGIS. TOPOGRAFICOS Y REDES DE INFRAESTRUCTURA</t>
  </si>
  <si>
    <t>INTERVENTORIA DE LAS OBRAS DE CONSTRUCCIÓN Y PAVIMENTACIÓN DE LA VIA ALTERNA INTERNA A BUENAVENTURA SECTOR INTESECCIÓN SENA-VIADUCTO 7 RUTA TRAMI 4001</t>
  </si>
  <si>
    <t>INTERVENTORIA TERCNICA, LEGAL, FINANCIERA, ADMINISTRATIVA, AMBIENTAL, PREDIAL Y SOCIAL DEL PROYECTO ESTUDIOS Y DISEÑOS, GESTIÓN SOCOAL PREDIAL, AMBIENTAL Y MEJORAMITNO DEL PROYECTO RRANSVERSAL DEL LIBERTADOR</t>
  </si>
  <si>
    <t>GOBERNACIÓN DE ARAUCA</t>
  </si>
  <si>
    <t>INTERVENTORIA TECNICA, ADMINISTRATIVA, FINANCIERA Y AMVBIENTAL A LAS OBRAS DE MEJORAMIENTO, CONSTRUCCIÓN Y PAVIMENTACIÓN DE LA VIA ARAICA-TAME, EN EL SECTOR RIO LIPA (K111+000) Y COROCORO (K131+000) Y ENTRE PUENTE AGUA LIMON (K136+000) Y LA ANTIOQUEÑA (K151+750) MUNICIPIO DE ARAUCA, DEPARTAMENTO DE ARAUCA</t>
  </si>
  <si>
    <t>INTERVENTORIA TECNICA, ADMINISTRATIVA Y AMBIENTAL A LAS OBRAS DE MEJORAMIENTO VIAL MEDIANTE PAVIEMNTACIÓN DE LA TRANSVERSAL TAME.COROCORO-ARAUCA, EN EL SECTOR COMPRENDIDO ENTRE EL K83+250 AL K96+750 (TOMANDO K0+000 MUNICIPIO DE TAME), DEPARTAMENTO DE ARAUCA</t>
  </si>
  <si>
    <t>CONSULTORIA Y ASISTENCIA PARA EL CONTROL Y VIGILANCIA DE LAS OBRAS DE LA AUTOVIA A-50 AVILA-SALAMANCA, EN EL TRAMO PEÑALBA DE AVILA-SAN PEDRO DEL ARROYO (PROVINCIA DE AVILA)</t>
  </si>
  <si>
    <t>CONSULTORIA Y ASISTENCIA PARA EL CONTROL Y VIGILANCIA DE LAS OBRAS DE LA AUTOVIA A-62, EN EL TRAMO: CIUDAD RODRIGO-FUENTES DE OÑORO (PROVINCIA DE SALAMANCA)</t>
  </si>
  <si>
    <t>CONSULTORIA Y ASISTENCIA PARA EL CONTROL Y VIGILANCIA DE LAS OBRAS DE LA AUTOVIA A-34. EN EL TRAMO: CAMBRILS-VARIANTE DE VILASECA (PROVINCIA DE TARRAGONA</t>
  </si>
  <si>
    <t>DEMARTAMENTO DE MAGDALENA</t>
  </si>
  <si>
    <t>INTERVENTORIA AL CONTRATO DE CONCESIÓN No 044 DE 1993 PARA LA REHABILITACIÓN, CONSTRUCCIÓN, MEJORAMIENTO, CONSERVACION, MANTENIMIENTO Y OPERACIÓN DE LA VIA BARRANQUILLA -CIENAGA ENTRE LAS ABCISAS K0+000 AL K62+000</t>
  </si>
  <si>
    <t>INTERVENITORIA TECNICA, ADMINISTRATIVA, LEGAL, FINANCIERA, AMIENTAL Y SOCIAL PARA LA EJECUCIÓN DE LAS OBRAS DE CONSTRUCCIÓN Y TODAS LAS ACTIVIDADES NECEARIAS PARA LA ADECUACIÓN DE LA CALLE 26 ( AVENIDA JORGE ELIECER GAITAN) Y DE LA CARRERA 10° ( AVENIDA FERNANDO MAZUERA), AL SISTEMA TRANSMILENIO, EN EL TRAMO 3 COMPRENDIDO ENTRE LA TRANSVERSAL 76 Y LA CARRERA 42B Y EL TRAMO 4 COMPRENDIDO ENTRE LA CARRERA 42B Y LA CARRERA 19, GRUPO 4. DE LA LICITACIÓN PUBLICA IDU-LP-DG-022-2007 EN BOGOTÁ D.C.</t>
  </si>
  <si>
    <t>PROVINCIA DE CROTONE- SECTOR OBRAS PUBLICAS</t>
  </si>
  <si>
    <t>TRABAJOS DE MODERNIZACIÓN DE LA CARRETERA QUE CONECTA LA SS107 CON CRETONEI Y TREPIDO LOTE 1, CERTIFICACIÓN RELATIVA A LA EJECUCIÓN DEL SERVICIO DE PEOYECTO Y SUPERVISIÓN DE TRABAJOS</t>
  </si>
  <si>
    <t>ITALFER</t>
  </si>
  <si>
    <t>CERTIFICACIÓN DE PRESTAIONES DE INGENIERIA LLEVADAS A CABO POR EL CONSORCIO TPLAV EN EL AMBITO DEL SISTEMA FERROVIARIO ITALIANO DE ALTA VELOCIDAD</t>
  </si>
  <si>
    <t>METROCALI</t>
  </si>
  <si>
    <t>LA INTERVENTORIA TECNICA, ADMINISTRATIVA, FINANCEIRA, SOSCIAL Y AMBIENTAL PARA LA REVISIÓN Y AJUSTE DE LOS ESTUDIIOS Y DISEÑOS Y CONSTRUCCIÓN DEL CORREDOR CENTRO TRONCAL AGUABLANCA Y OBRAS COMPLMENTARIAS DEL SISTEMA INTEGRADO DE TRANSPORTE MASIVO DE PASAJEROS DE SANTIAGO DE CALI</t>
  </si>
  <si>
    <t>CORABASTOS</t>
  </si>
  <si>
    <t>INTERVENTORIA TECNICA, LEGAL, ADMINISTRATIVA, FINANCIERA Y OPOERATVA DEL CONTRATO DE CONCESION NO 070 DE 2005, PARA EL DISEÑO CONSTRUCCIÓN, OPERACIÓN Y MANTENIMNETO DE LA MALLA VIAL DE LA CENTRAL DE ABASTOS S.AS ( CORABASTOS) EN LA CIUDAD DE BOGOTÁ</t>
  </si>
  <si>
    <t>GOBERNACION DE LA GUAJIRA</t>
  </si>
  <si>
    <t>INTERVENTORIA TECNICA Y ADMINSITRATIVA DE LA CONCESIÓN PARA LA ADECUACIÓN Y/O REHABILITACIÓN DE LA RED VIAL SECUNDARIA Y TERCIARIA, SU OPERACIÓN Y MANTENIMIENTO EN UNA LONGITUA DE 88.5KM EN EL DEPARTAMENTO DE LA GUAJIRA</t>
  </si>
  <si>
    <t>CONTRATO DE ASISTENCIA TECNICA DE CONTROL Y VIGILANCIA DE LA OBRA: AUTOVIA A-50 AVILA-SALAMANCA. TRAMO: SAN PEDRO DEL ARROYO - CHAHERRERO</t>
  </si>
  <si>
    <t>AGENCIA NACIONAL DE INFRAESTRUCTURA  - ANI</t>
  </si>
  <si>
    <t xml:space="preserve">Interventoria tecnica, financiera, operativa, predial, socio-ambiental, predial y socio-ambiental del proyect concesion vial VILLAVICENCIO -GRANADA, VILLAVICENCIO - PUERTO LOPEZ Y VILLAVICENCIO - CUMARAL - K7 VIA PARATEBUENO DENOMINADO CARRETERAS NACIONALES DEL META, en el marco del contrato de concesion No. 0446/94. </t>
  </si>
  <si>
    <t>INTERVENTORIA INTEGRAL DEL CONTRATO DE CONCESIÓN, QUE INCLUYE PERO NO SE LIMINTA A LA INTERVENTORIA TECNICA, FINANCIERA, CONTABLE, JURIDICA, MEDIO-AMBIENTAL, SOCIO-PREDIAL, ADMINISTRATIVA, DE SEGUROS, OPERATIVA Y DE MANTENIMIENTO DEL CONTRATO DE CONCESIÓN, EL CUAL HACE PARTE DEL PROTECTO VIAL RUTA DEL SOL Y QUIE CORRESPONDE AL SECTOR 1 COMPRENDIDO ENTRE TOBIA GRANDE / VILLETA - EL KORAN</t>
  </si>
  <si>
    <t>ASISTENCIA TECNICA PARA EL CONTROL Y VIGILANCIA DE LAS OBRAS CONVERSIÓN EN AUUTOVÍA, A-48, PK 27,700 AL 35,800 TRAMO: CONIL DE LA FRONTERA VEJER DE LA FRONTERA, PROVINCIA DE CADIZ</t>
  </si>
  <si>
    <t>ASISTENCIA TECNICA PARA EL CONTROL Y VIGILANCIA DE LAS OBRAS: DUPLICACIÓN DE LA A-4, PK 664,8, AL 671,8. TRAMO: FONAL DE LA VARIANTE DE PUERTO REAL-TRES CAMINOS (CADIZ)</t>
  </si>
  <si>
    <t>EAENA AEROPUERTOS</t>
  </si>
  <si>
    <t>ASISTENCIA TECNICA PARA EL CONTROL Y VIGILANCIA DE LA OBRA: AMPLIACIÓN CAMPO DE VUELOS EN EL AEROPUERTO DE VALENCIA</t>
  </si>
  <si>
    <t>CONSULTORIA Y ASESORIA E INTERVENTORIA TECNICA Y ADMINISTRATIVA DE LAS OBRAS DE REHABILITACIÓN DEL SECTOR RIO ARIGUANI - FUNDACIÓN, CONSTRUCCIÓN Y PAVIMENTACIÓN DE LA VARIANTE DE FUNDACIÓN Y DE LA REHABILITACIÓN DEL SECTOR BOSCONIA-RIO ARIGUANI DE LA CARRETERA BUCARAMANGA-SANTA MARTA</t>
  </si>
  <si>
    <t>HÁBIL</t>
  </si>
  <si>
    <t>Gerencia de Transporte</t>
  </si>
  <si>
    <t>Clase    15</t>
  </si>
  <si>
    <t>UAMERV</t>
  </si>
  <si>
    <t>INTERVENTORIA TECNICA ADMINISTRATIVA, FINANCIERA Y AMBIENTAL AL SUMINISTRO DE TODOS LOS INSUMOS Y SERVICIOS NECESARIOS PARA EL MANTENIMIENTO VIAL POR EJECUCIÓN DIRECTA A CARGO DE LA UAERMV</t>
  </si>
  <si>
    <t>INTERVENTORIA DE LOS ESTUDIOS Y DISEÑOS, PAVIMENTACIÓN Y/O REPAVIMENTACIÓN DE LAS VIAS INCLUIDAS DENTRO DEL PROGRAMA DE PAVIMENTACIÓN DE INFRAESTRUCTURA VIAL DE INTEGRACIÓN Y DESARROLLO GRUPO 6 VIA BETANIA- PUERTO BOY CON UNA LONGITUD DE 4 KMS; VIA BETANIA - PUERTO BOY CON UNA LONGITUD DE 9.24 KMS; VIA CARAMANTA - VALPARAISO CON UNA LONGITUD DE 13,10 KMS EN EL DEPARTAMENTO DE ANTIOQUIA</t>
  </si>
  <si>
    <t>INTERVENTORIA A LAS OBRAS DE MODERNIZACIÓN Y EXPANSIÓN DE LA CONCESIÓN DE LA ADMINISTRACIÓN, OPERACIÓN, EXPLOTACIÓN COMERCIAL, MANTENIMIENTO, MODERNIZACIÓN Y EXPANSIÓN DEL AEROPUERTO INTERNACIONAL EL DORADO DE LA CIUDAD DE BOGOTA</t>
  </si>
  <si>
    <t>TRANSMILENIO S.A.</t>
  </si>
  <si>
    <t>INTERVENTORIA TECNICA, ADMINISTRATIVA, FINANCIERA Y LEGAL DEL CONTRATO DE LAS OBRAS DE MANTENIMIENTO DE LA INFRAESTRUCUTRA DEL SISTEMA DE TRANSPORTE MASIVO DE LA CIUDAD DE BOGOTA</t>
  </si>
  <si>
    <t>AGENCIA NACIONAL DE INFRAESTRUCTURA (ANTES INSTITUTO NACIONAL DE CONCESIONES INCO)</t>
  </si>
  <si>
    <t>INTERVENTORIA TECNICA, JURIDICA, ADMINISTRATIVA, OPERATIVA  Y FINANCIERA AL CONTRATO DE CONCESIÓN "GIRARDOT - IBAGUE - CAJAMARCA" CELEBRADO ENTRE EL INSTITUTO NACIONAL DE CONCESIONES Y LA CONCESIONARIA SAN RAFAEL S.A.</t>
  </si>
  <si>
    <t xml:space="preserve">INSTITUTO NACIONAL DE VIAS </t>
  </si>
  <si>
    <t>INTERVENTORIA PARA EL MEJORAMIENTO Y PAVIMENTACIÓN DE LA CARRETERA PAMPLONA - CUESTABOBA, SECTOR PAMPLONA - CUESTABOBA, RUTA 66 TRAMO 6603</t>
  </si>
  <si>
    <t>CONSULTORÍA, ASESORÍA E INTERVENTORÍA TÉCNICA Y ADMINISTRATIVA DE LAS OBRAS DE CONSTRUCCIÓN Y PAVIMENTACIÓN DE LA VARIANTE DE IBAGUE - PASO NACIONAL.</t>
  </si>
  <si>
    <t>INSTITUTO DE DESARROLLLO URBANO IDU</t>
  </si>
  <si>
    <t>INTERVENTORIA TÉCNICA, ADMINISTRATIVA, LEGAL, FINANCIERA Y AMBIENTAL AL CONTRATO DE CONCESION IDU 242 DE 2003 PARA LA ADECUACION DEL TRAMO COMPRENDIDO ENTRE LA AVENIDA CIUDAD DE VILLAVICENCIO Y EL LIMITE CON SOACHA (CUNDINAMARCA), PERTENECIENTE A LA TRONCAL TRANSMILENIO NQS Y LA CONSTRUCCION DE LA ESTACION DE CABECERA Y EL PATIO (GARAJE) Y MANTENIMIENTO DE LA ESTACION DE CABECERA DE LA TRONCAL NQS</t>
  </si>
  <si>
    <t>Bizkaiko Hegoaldeko Akzesibilitatea, SA (Interbiak)</t>
  </si>
  <si>
    <t>CONSULTORÍA Y ASISTENCIA TÉCNICA A LA DIRECCIÓN DE LAS OBRAS DE CONSTRUCCIÓN DEL CORREDOR DE CADAGUA. TRAMO ARBUIO-SODUPE Y DESDOBLAMIENTO DEL TRAMO PADURA-ARANGUREN</t>
  </si>
  <si>
    <t>EURO</t>
  </si>
  <si>
    <t>Euskal Trendibe Sarea (ETS)</t>
  </si>
  <si>
    <t xml:space="preserve">SERVICIO DE APOYO A LA DIRECCIÓN DE LAS OBRAS (INTERVENTORÍA/SUPERVISIÓN) DEL TRAMO PORTUGALETE - SANTURTZI DE LA LÍNEA 2 DEL FERROCARRIL METROPOLITANO DE BILBAO </t>
  </si>
  <si>
    <t>SECRETARIA DE OBRAS Y SERVICIOS DE LA CIUDAD DE MÈXICO</t>
  </si>
  <si>
    <t>SUPERVISIÒN A LA CONSTRUCCIÒN DE LOS PUENTES VEHICULARES FRAY SERVANDO Y AV. DEL TALLER EN EL CRUCE DE FRANCISCO DE PASO Y TRONCOSO Y AV. DEL TALLER</t>
  </si>
  <si>
    <t>MX</t>
  </si>
  <si>
    <t>SUPERVISIÒN PARA LA CONSTRUCCIÒN DEL DISTRIBUIDOR VIAL (PUENTE VEHICULAR) ERMITA IZTAPALAPA EJE 3 ORIENTE, DELEGACIÒN IZTAPALAPA</t>
  </si>
  <si>
    <t>SUPERVISIÒN DE LA CONSTRUCCIÒN DEL CORREDOR VIAL DE LA LÌNEA 4 METROBUS BUENAVISTA-CENTRO-HISTÒRICO-SAN LÀZARO CON EXTENSIÒN AL AEROPUERTO INTERNACIONAL DE LA CIUDAD DE MÈXICO EN UNA LONGITUD DE 27,3KM CON INFLUENCIA EN LAS DELEGACIONES CUAHETEMOC Y VENUSTIANO CARRANZA</t>
  </si>
  <si>
    <t>INTERVENTORÌA TÈCNICA, ADMINISTRATIVA, FINANCIERA Y AMBIENTAL PARA LAS INTERVENCIONES INTEGRALES A LA MALLA VIAL LOCAL DEL GRUPO VIAL FASE I-GRUPO2 (LOCALIDAD DE SUBA) CON RECURSOS COFINANCIADOS ENTRE EL IDU Y LOS FONDOS DE DESARROLLO LOCAL, EN LA CIUDAD DE BOGOTÀ D.C.</t>
  </si>
  <si>
    <t>ASESORIA E INTERVENTORÌA TÈCNICA, FINANCIERA Y AMBIENTAL PARA LA CONSTRUCCIÒN DE UN TRAMO DE CORREDOR DEL SISTEMA INTEGRADO DE TRANSPORTE MASIVO TRANCARIBE DEL AMPARO A CUATRO VIENTOS CARTAGENA DE INDIAS DT Y C</t>
  </si>
  <si>
    <t>ALCALDIA B/QUILLA</t>
  </si>
  <si>
    <t>INTERVENTORÍA A LOS TRABAJOS DE DISEÑO, CONSTRUCCIÓN, REHABILITACIÓN Y MANTENIIENTO DE LA MALLA VIAL DEL DISTRITO DE BARRANQUILLA POR EL SISTEMA DE CONCESIÓN</t>
  </si>
  <si>
    <t>TRANSMETRO S.A</t>
  </si>
  <si>
    <t>INTERVENTORIA TECNICA, ADMINISTRATIVA, FINACIERA Y AMBIENTAL PARA EL MEJORAMIENTO INTEGRAL DE VIAS EN LAS ZONAS DE PRECARGA DEL SISTEMA DE TRANSPORTE MASIVO DEL DISTRITO DE BARRANQUILLA Y SU AREA METROPOLITANA SISTEMA TRANSMETRO, DE ACUERDO CON LOS PLANOS DE INTERVENCION DE CADA UNO DE LOS COMPONENTES, GRUPO NO. 1,NO. 2,NO. 3,NO. 4 Y NO. 5.</t>
  </si>
  <si>
    <t>CONSULTORIA, ASESORIA E INTERVENTORIA TECNICA Y ADMINISTRATIVA PARA LA REHABILITACIÓN DE LOS SECTORES K18+500 - K25+000 - LORICA DE LA CARRETERA CERETE - LORICA; Y CONSTRUCCIÓN Y PAVIMENTACIÓN DEL SECTOR K2+430 - K12+423 DE LA CARRETERA MONTERIA - PUERTO REY</t>
  </si>
  <si>
    <t>DESARROLLO VIAL TRANSVERSAL DEL SUR. MÓDULO 2. INTERVENTORÍA PARA EL MEJORAMIENTO Y MANTENIMIENTO DEL CORREDOR TUMACO - PASTO - MOCOA</t>
  </si>
  <si>
    <t>Interventoria Tecnica, Financiera y Operativa en la etapa de operación del contrato de concesion No. 0446 de 1994, Proyecto Vial VILLAVICENCIO GRANADA; VILLAVICENCIO PUERTO LOPEZ Y VILLAVICENCIO - RESTREPO - CUMARAL- k7 VIA PARATEBUENO DENOMINADO CARRETERAS NACIONALES DEL META</t>
  </si>
  <si>
    <t>Interventoría de los estudios y diseños, pavimentación y/o repavimentación de las vías incluidas dentro del programa de pavimentación de infraestructura vial de integración y desarrollo grupo 65 tramo 1 vía fuente de Oro - San José del Guaviare con una longitud de 28,5 kilómetros; tramo 2 vía fuente de oro - San José del Guaviare con una longitud de 27,25 kilómetros en el departamento del Meta.</t>
  </si>
  <si>
    <t xml:space="preserve">INTERVENTORÍA TÉCNICA, JURÍDICA, ADMINISTRATIVA, OPERATIVA Y FINANCIERA AL CONTRATO DE CONCESIÓN NO 007 DE 2007 CONCESIÓN “GIRARDOT – IBAGUE – CAJAMARCA” CELEBRADO ENTRE EL INSTITUTO NACIONAL DE CONCESIONES Y LA CONCESIONARIA SAN RAFAEL S.A. </t>
  </si>
  <si>
    <t>INTERVENTORIA PARA EL MEJORAMIENTO Y MANTENIMIENTO DE LAS CARRETERAS CUCUTA - PUERTO SANTANDER (SECTOE PR2 + 0900 - PUERTO SANTANDER) CODIGO 5507, AGUACLARA - OCAÑA CODIGO 7007, OCAÑA  - ALTO EL POZO- SARDINATA, CODIGO 7008, SARDINATA - CUCUTA (SECTOR SARDINATA - EL ZULIA) CODIGO 7009, RIONEGRO - SAN ALBERTO CODIGO 45 A 08 Y OCAÑA - CONVENCION (SECTOR LA ONDINA - CONVENCION) CODIGO 70NS01.</t>
  </si>
  <si>
    <t>Consultoría, asesoría e interventoría técnica y administrativa para la construcción y pavimentación de la carretera Popayán - Totoró - Inza, Sector Popayán - Totoró.</t>
  </si>
  <si>
    <t>INTERVENTORIA DE LOS ESTUDIOS Y DISEÑOS, PAVIMENTACIÓN Y/O REPAVIMENTACIÓN DE LAS VIAS INCLUIDAS DENTRO DEL PROGRAMA DE PAVIMENTACIÓN DE INFRAESTRUCTURA VIAL DE INTEGRACIÓN Y DESARROLLO GRUPO 61 TRAMO 1 VIA PIVIJAY - FUNDACIÓN CON UNA LONGITUD DE 51,50 KILOMETROS; TRAMO 2 VIA SALAMINA - PIVIJAY CON UNA LONGITUD DE 3,50 KILOMETROS EN EL DEPARTAMENTO DEL MAGDALENA.</t>
  </si>
  <si>
    <t>REGIÒN DE MURCIA CONSEJERIA DE OBRAS PÙBLICAS Y ORDENACIÒN DEL TERRITORIO DIRECCIÒN GENERAL DE CARRETERAS</t>
  </si>
  <si>
    <t>FISCALIZACIÒN DE LAS OBRAS. ASISTENCIA TÉCNICA PARA SUPERVISIÒN, COMPROBACIÒN, VIGILACIA AMBIENTAL Y COORDINACIÓN DE SEGURIDAD Y SALUD EN LAS OBRAS DE COSNTRUCCIÓN DE LA AUTOVÌA DE ACCESO A MAZARRÒN DESDE LA AUTOVÌA A-7 AL PK11500T.T.M.M. DE TÒTANA Y MAZARRÒN.</t>
  </si>
  <si>
    <t>EUROS</t>
  </si>
  <si>
    <t>FISCALIZACIÒN DE LAS OBRAS. ASISTENCIA TÉCNICA PARA SUPERVISIÒN, COMPROBACIÒN, VIGILACIA AMBIENTAL Y COORDINACIÓN DE SEGURIDAD Y SALUD EN LAS OBRAS DE LA AUTOVÌA A-7 EN SANTOMERA CON LA COMARCA DEL MAR MENOR. TRAMO:ZENETA-SAN JAVIER T.T.M.M. DE MURCIA, SANTOMERA, BENIEL Y SAN JAVIER.</t>
  </si>
  <si>
    <t>FISCALIZACIÒN DE LAS OBRAS. ASISTENCIA TÈCNICA PARA SUPERVISIÒN, COMPROBACIÒN Y VIGILACIA AMBIENTAL EN LAS OBRAS DE CONSTRUCCIÒN DE LOS ACCESOS AL NUEVO AEROPUERTO DE LA REGIÒN DE MURCIA DESDE LA AUTOVÌA A 30 (MURCIA-CARTAGENA)</t>
  </si>
  <si>
    <t>FISCALIZACIÒN DE LAS OBRAS. ASISTENCIA TÈCNICA A LA DIRECCIÒN DE LAS OBRAS PARA EL CONTROL Y SUPERVISIÒN, COMPROBACIÒN DE TOPOGRAFÌA, GESTIÒN DE ESPROPIACIONES, VIGILACIA AMBIENTAL, ENSAYOS DE CONTRASTE Y COORDINACIÒN DE SEGURIDAD Y SALUD, EN LAS OBRAS DEL PROYECTO DE CONSTRUCCIÒN: MEJORA DE TRAZADO Y ACONDICIONAMIENTO DE LA PLATAFORMA DE LA CARRETERA MU-701. SEGUNDA FASE: LORCA-LA PARROQUIA P.P.K.K0+000 AL 15+689 T..M. DE LORCA</t>
  </si>
  <si>
    <t>EJECUTAR LA INTERVENTORÌA TÈCNICA, ECONÒMICA, FINANCIERA, JURÌDICA, ADMINISTRATIVA, OPERATIVA, MEDIO AMBIENTAL Y SOCIO PREDIAL DEL CONTRATO DE CONCESIÒN BAJO UN ESQUEMA DE ASOCIACIÒN PÙBLICO PRIVADA QUE SE DERIVE DEL PROCESO LICITATORIO  NO VJ-VE-LP-004-2012 CORRESPONDIENTE AL CORREDOR CONCESIONADO "ZIPAQUIRA-BUCARAMANGA (PALENQUE)", DENOMINADO CORREDOR "ZIPAQUIRA-BUCARAMANGA (PALENQUE)".</t>
  </si>
  <si>
    <t>INTERVENTORÌA TÈCNICA, ADMINISTRATIVA, FINANCIERA, LEGAL, SOCIAL Y AMBIENTAL DE LAS OBRAS Y ACTIVIDADES PARA LA MALLA VUAL ARTERIAL, INTERMEDIA Y LOCAL DE LOS DISTRITOS DE CONSERVACIÒN EN LA CIUDAD DE BOGOTÀ D.C. GRUPO 4</t>
  </si>
  <si>
    <t>MINISTERIO DE OBRAS PÙBLICAS DE CHILE</t>
  </si>
  <si>
    <t>CONSULTORIA (URBANA E INTERURBANA) DE LA ASESORIA DE INSPECCIÒN FISCAL (INTERVENTORÌA) DE LA CONSTRUCCIÒN DE LA OBRA "CONCESIÒN RUTA 5 TRAMO SANTIAGO-TALCA Y ACCESO SUR A SANTIAGO</t>
  </si>
  <si>
    <t>CHILE</t>
  </si>
  <si>
    <t>ASESORIA A LA INSPECCIÒN FISCAL (INTERVENTORÌA) A LA CONSTRUCCIÒN DE LA CONCESIÒN INTERNACIONAL VIAL SANTIAGO -VALPARAISO-VIÑA DEL MAR</t>
  </si>
  <si>
    <t>ADIF</t>
  </si>
  <si>
    <t>ASISTENCIA TÈCNICA (INTERVENTORÌA) Y CONTROL DE LAS OBRAS DE PLATAFORMA DEL NUEVO ACCESO FERROVIARIO AL NORTE Y NOROESTE DE ESPAÑA MADRID-SEGOVIA-VALLADOLID/MEDINA DEL CAMPO. TRAMO COLMENAR VIEJO-SOTO DEL REAL</t>
  </si>
  <si>
    <t>CONSULTORIA ASISTENCIA (INTERVENTORÌA) PARA EL CONTROL Y VIGILANCIA DE LAS OBRAS DEL NUEVO ACCESO FERROVIARIO AL NORTE Y NOROESTE DE ESPAÑA. TRAMO SOTO DEL REAL-SEGOVIA INFRAESTRUCTURA Y VIA. LINEA DE ALTA VELOCIDAD MADRID-SEGOVIA VALLADOLID/MEDIA DEL CAMPO: SOTO DEL REAL-SEGOVIA NOTE NO3</t>
  </si>
  <si>
    <t>UNIDAD ADMINISTRATIVA ESPECIAL DE REHABILITACION Y MANTENIMIENTO VIAL - UAERMV</t>
  </si>
  <si>
    <t>INTERVENTORÌA PARA EL MEJORAMIENTO Y LA PAVIMENTACIÒN DE LA CARRETERA SANTA CECILIA-PUEBLO RICO-APIA RUTA 5003</t>
  </si>
  <si>
    <t>INTERVENTORÌA AL CONTRATO DE CONCESIÒN N 106 DEL 5 DE JUNIO DE 2003 PARA LA ADECUACIÒN DE LA TRONCAL NQS SECTOR NORTE TRAMO NQS SECTOR NORTE TRAMO COMPRENDIDO ENTRE EL TRAMO COMPRENDIDO ENTRE LA CALLE 92 Y LA CALLE 68</t>
  </si>
  <si>
    <t>SUPERVISIÒN TÉCNICA Y DE CONTROL ADMINISTRATIVO Y FINANCIERO PARA LA CONSTRUCCIÒN DEL PUENTE QUE CONECTARÀ A LA CALZADA IGNACIO ZARAGOZA CON LA AUTOPISTA MÈXICO PUEBLA CON UNA GAZA DE INCORPORACIÒN A LA CALZADA ERMITA IZTAPALAPA</t>
  </si>
  <si>
    <t>SUPERVISIÒN DE LA CONSTRUCCIÒN DEL DISTRIBUIDOR VIAL SAN ANTONIO EN LOS TRAMOS IV, V Y VI</t>
  </si>
  <si>
    <t xml:space="preserve">LA FECHA DE FINALIZACIÒN DEL CONTRATO CORRESPONDE AL 30 DE AGOSTO DE 2003 SEGÙN CERTIFICACIÒN ANEXA. </t>
  </si>
  <si>
    <t>INTERVENTORÌA INTEGRAL DEL CONTRATO DE CONCESIÒN QUE INCLUYE PERO NO SE LIMITA A LA INTERVENTORÌA TÈCNICA, FINANCIERA, CONTABLE, JURÌDICA, MEDIO AMBIENTAL, SOCIO PREDIAL, OPERATIVA Y ADMINISTRATIVA DEL CONTRATO DE CONCESIÒN NO 007 DE 2007</t>
  </si>
  <si>
    <t>ASESORIA A LA INSPECCIÒN FISCAL (INTERVENTORÌA) A LA CONCESIÒN INTERNACIONAL SISTEMA NORTE -SUR, EJE GENERAL VELÀSQUEZ, REGIÒN METROPOLITANA</t>
  </si>
  <si>
    <t>INTERVENTORÍA TÉCNICA, ADMINISTRATIVA, LEGAL, FINANCIERA Y AMBIENTAL PARA LA ADECUACIÒN DE LA TRONCAL NQS AL SISTEMA TRANSMILENIO, TRAMO SUR, SUR ENTRE LA AVENIDA CIUDAD DE VILLAVICENCIO Y EL LÌMITE DEL DISTRITO CON SOACHA, INCLUYE PORTAL Y PATIO EN BOGOTA D.C.</t>
  </si>
  <si>
    <t>INTERVETORÌA PARA EL MEJORAMIENTO Y MANTENIMIENTO INTEGRAL DE LA RUTA RUMICHACA - PASTO - MOJARRAS DEL CORREDOR VIAL DE OCCIDENTE (INCLUIDO EL MANTENIMIENTO RUTINARIO, LA SEÑALIZACIÒN, EL MONITOREO Y LA VIGILANCIA A LOS CONTEOS DE TRÀNSITO) RUTA 25, TRAMO 2501 Y 2502</t>
  </si>
  <si>
    <t>INTERVENTORÍA TÉCNICA, FINANCIERA Y OPERATIVA EN LA ETAPA DE OPERACIÓN DEL CONTRATO DE CONCESIÒN No. 0937 DE 1995, SANTAFE DE BOGOTÀ (FONTIBON) - FACATATIVA - LOS ALPES. DE IGUAL MANERA DEBERÀ EFECTUAR LA INTERVENTORÌA DE LAS ACTIVIDADES DE MANTENIMIENTO QUE SE DESARROLLEN DURANTE LA VIGENCIA DEL CONTRATO</t>
  </si>
  <si>
    <t>INTERVENTORÍA TÉCNICA, FINANCIERA Y OPERATIVA EN LA ETAPA DE CONSTRUCCIÒN DEL CONTRATO DE CONCESIÒN No. 005 DE 1999, MALLA VIAL DEL VALLE DEL CAUCA Y CAUCA. DE IGUAL MANERA DEBE EFECTUAR LA INTERVENTORIA DE LAS ACTIVIDADES QUE SE REALICEN DURANTE LA ETAPA DE OPERACIÒN DE LOS TRAMOS QUE SE DESARROLLEN DURANTE LA VIGENCIA DEL CONTRATO.</t>
  </si>
  <si>
    <t>ALCALDÌA DE MEDELLIN</t>
  </si>
  <si>
    <t>INTERVENTORÌA PARA LA CONSTRUCCIÒN DEL PUENTE DE LA CALLE 4 SUR Y OBRAS COMPLEMENTARIAS</t>
  </si>
  <si>
    <t>Interventoría integral, que incluye pero no se limita a la interventoría técnica, financiera, administrativa, jurìdica, gestiòn social, predial y ambiental para el mejoramiento, gestion social, predial y ambiental del proyecto corredor transversal de Medellin - Quibdo Fase 2, para el programa de corredores prioritarios para la prosperidad - mòdulo 1.</t>
  </si>
  <si>
    <t>En ejecuciòn</t>
  </si>
  <si>
    <t>ASISTENCIA TÉCNICA PARA LA VILGILANCIA Y CONTROL MEDIOAMBIENTAL DE LAS OBRAS DE NUEVA ALINEACIÓN DEL MUELLE RIVERA I EN EL PTO DE MELILLA</t>
  </si>
  <si>
    <t>UNIDAD ESPECIAL DE AERONÁUTICA CIVIL</t>
  </si>
  <si>
    <t>INTERVENTORÍA TÉCNICA Y ADMINISTRATIVA PARA LA CONSTRUCCIÓN DE LA TORRE DE CONTROL DEL AEROPUERTO INTERNACIONAL EL DORADO Y CENTRO DE GESTIÓN AERONÁUTICO DE COLOMBIA CGAC. BOGOTÁ</t>
  </si>
  <si>
    <t>BIDEGI</t>
  </si>
  <si>
    <t>DIRECCIÓN DE OBRA DEL PROYECTO DE CONSTRUCCIÓN DEL SEGUNDO CINTURON DE SAN SEBASTIAN, TRAMO ENLACE DEL URUMEA - ENLACE DE RENTERIA</t>
  </si>
  <si>
    <t>CONSULTORIA Y ASISTENCIA PARA EL CONTROL Y VIGILANCIA DE LA OBRA: NUEVA CARRETERA ENTRE SABIÑANIGO Y FISCAL, VÌA PENAICA N-260 DE FRONTERA FRANCESA (PORT BOU) A SABIÑANIGO</t>
  </si>
  <si>
    <t>Contrato No. 167-2006
Interventoría Técnica, Administrativa,  Financiera, Ambiental, Social, de Seguridad industrial y salud ocupacional para la construcciòn de la avenida de los comuneros desde la avenida circunvalar hasta la avenida carrera 9 en Bogotà D.C. de la adecuación de la Troncal Americas al Sistema Transmilenio Trmao 1, entre Puente Aranda y la Carrera 70B, en Bogotá D.C.</t>
  </si>
  <si>
    <t xml:space="preserve">INSTITUTO NACIONAL DE VÍAS - INVIAS </t>
  </si>
  <si>
    <t>Contrato No. 1862 de 2008
Interventoría para el mejoramiento y mantenimiento de las carreteras la Pintada - Bolombolo, Código 25B01, Bolombolo - Santafe de Antioquia, Código 25B02, Santafe de Antioquia - Turbo, Códigos 6201 - 6202 - 6203, Ubicados en el Departamento de Antioquia.</t>
  </si>
  <si>
    <t>Contrato No. 274-2002
Interventoría Técnica, Administrativa,Legal,  Financiera y Ambiental de la adecuación de la Troncal Americas al Sistema Transmilenio Trmao 1, entre Puente Aranda y la Carrera 70B, en Bogotá D.C.</t>
  </si>
  <si>
    <t xml:space="preserve">AGENCIA NACIONAL DE INFRAESTRUCTURA </t>
  </si>
  <si>
    <t xml:space="preserve">CONTRATO No. SEA-016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 - San Roque </t>
  </si>
  <si>
    <t xml:space="preserve">MINISTERIO DE OBRAS PÚBLICAS DE CHILE </t>
  </si>
  <si>
    <t xml:space="preserve">Asesoría a la Inspección Fiscal mantenimiento Ruta 5 - Hacienda Toledo, tramo DM 0.000,00 al DM 33.130,00, Provincia de Acatama, Región de Acatama. </t>
  </si>
  <si>
    <t>CLP</t>
  </si>
  <si>
    <t xml:space="preserve">Asesoría a la Inspección Fiscal para la construcción de las obras del proyecto Mejoramiento Ruta X-25, Sector Cruce Ruta 7- Puerto Cisnes, Tramo Dm. 0,00 al Dm. 16,5000, Provincia de Aysén, Región de Aysén. </t>
  </si>
  <si>
    <t>INTERVENTORÍA TÉCNICA, FINANCIERA Y OPERATIVA EN LA ETAPA DE OPERACIÓN DEL CONTRATO DE CONCESIÒN No. 444 DE LA VÌA BOGOTÁ VILLAVICENCIO</t>
  </si>
  <si>
    <t>TRANSMETRO S.A.</t>
  </si>
  <si>
    <t>INTERVENTORÍA TÉCNICA, FINANCIERA Y AMBIENTAL PARA EL MEJORAMIENTO INTEGRAL DE LAS VÍAS EN LAS ZONAS DE PRECARGAS DEL SISTEMA DE TRANSPORTE MASIVO DEL DISTRITO DE BARRANQUILLA Y SU ÀREA METROPOLITANA SISTEMA TRANSMETRO, DE ACUERDO CON LOS PLANOS DE INTERVENCIÓN DE CADA UNO DE LOS COMPONENTES, GRUPOS No. 1, No. 2, No. 3, No. 4 Y No. 5</t>
  </si>
  <si>
    <t>FONDO DE DESARROLLO LOCAL DE SUBA</t>
  </si>
  <si>
    <t>INTERVENTORÍA TÉCNICA, ADMINISTRATIVA Y FINANCIERA QUE REALICE EL SEGUIMIENTO DE LOS CONVENIOS INTERADMINISTRATIVOS ENTRE EL FONDO DE DESARROLLO LOCAL DE SUBA Y LA UNIDAD ADMINISTRATIVA ESPECIAL DE REHABILITACIÓN Y MANTENIMIENTO VIAL (UMV)</t>
  </si>
  <si>
    <t>INTERVENTORÍA TÉCNICA, ADMINISTRATIVA, FINANCIERA, AMBIENTAL Y SOCIAL PARA LA REHABILITACIÓN DE LOS TRAMOS ROJOS DE LAS VÍAS DE LA MALLA VÍAL ARTERIAL PRINCIPAL Y COMPLEMENTARIA CORRESPONDIENTE AL GRUPO 2</t>
  </si>
  <si>
    <t>INTERVENTORÍA TÉCNICA, ADMINISTRATIVA, FINANCIERA, AMBIENTAL, LEGAL Y SOCIAL A LAS ACTIVIDADES DE MANTENIMIENTO, REHABILITACIÓN, RECONSTRUCCIÓN Y ACCIONES DE MOVILIDAD DE LA MALLA VIAL Y ESPACIO PÚBLICO DE LA LOCALIDAD DE SUBA</t>
  </si>
  <si>
    <t>CONSELLERIA D INFRAESTRUCTURAS TERRITORI MED AMBIENT</t>
  </si>
  <si>
    <t>Consultoria y asistencia tecnica de direccion, control y vigilancia de las obras (interventoria) de la prolongacion de la linea T4 de tranvia, Metrovalencia, tramo Radio Television Valenciana RTW BARRIO DE LA Coma /V alterna</t>
  </si>
  <si>
    <t>Consultoria y asistencia tecnica de direccion, control y vigilancia de las obras (interventoria) de la autovia de plana (CV-10) Pobla Tornesa - Villanova d Alcolea (Aeropuerto) Castellon</t>
  </si>
  <si>
    <t>Interventoria de los estudios y diseños, pavimentacion y/o repavimentacion de las vias incluidas desde el programa de pavimentacion de infraestructura vial de integracion y desarrollo grupo 26 via Santiago-Berrio-Perales con una longitud de 16 Km en el Departamento de Antioquia; via Transversal Boyaca (Dos y medio el Oasis) (Segmento) con una longitud de 20 Km en el Departamento de Boyaca</t>
  </si>
  <si>
    <t>METROCALI S.A</t>
  </si>
  <si>
    <t>Interventoria Tecnica, Administrativa, Financiera, Social y Ambiental de la construccion de corredores y obras complementarias del sistema integrado de transporte masivo de pasajeros de Santiago de Cali, de acuerdo a los siguientes frentes: Troncal Sur en la Carrera 15/Diagonal 15/Calle 75 entre carrera 23 (Autopista Sur) y terminal del pueblo mallarino; frente 2: Pretroncal via Navarro de la Calle 121 / Carrera 25 entre carrera 28F (via Navarro) y calle 75 ( Canal Puerto Mallarino)</t>
  </si>
  <si>
    <t>ALCALDIA DE SANTIAGO DE CALI</t>
  </si>
  <si>
    <t>Interventoria Tecnica, Socio Ambiental, Legal, Administrativa, Predial y Financiera, a los contratos de concesion No. 005-010, 004-010 y 003-010, derivados de la licitacion publica 4151-OP-09-2009, Grupo 1 - Prolongacion de la avenida circunvalar, autopista sur entre calles 5 y cra 56, ampliacion de la carrera 80 entre calle 5 y la Interseccion  con la Av. Circunvalar, Calle 16 entre carreras 50 y 105 via a la Paz Interseccion vial al desnivel autopista sur (Calle 10)  Carrera 63B, solucion peatonal Autopista sur Calle 10-Carrera 68</t>
  </si>
  <si>
    <t>SECRETARIA DE INFRAESTRUCTURA VIAL Y VALORIZACION SANTIAGO DE CALI</t>
  </si>
  <si>
    <t>Interventoria tecnica, financiera y ambiental, para los estudios y diseños construccion y mejoramiento de la transversal 103 entre las carreras 26 y 28D por el sistema de concesion</t>
  </si>
  <si>
    <t>MINISTERIO DE FOMENTO DIRECCION GENERAL DE CARRETERAS</t>
  </si>
  <si>
    <t>Consultoria y asistencia tecnica para el control y vigilancia de las obras autovia del mediterraneo. CN-340 de Cadiz Gibraltar a Barcelona Tramo Ronda Este- Rincon de la Victoria</t>
  </si>
  <si>
    <t>Asistencia tecnica para el control y vigilancia de las obras acceso rural sur al aeropuerto de Malaga</t>
  </si>
  <si>
    <t>Asistencia tecnica para el control y vigilancia de las obras autovia del mediterraneo CN-340 de Cadiz Gibraltar a Barcelona Tramo: Algarrobo-Frigiliana (Provincia de Malaga)</t>
  </si>
  <si>
    <t>AREA METROPOLITANA DE BARRANQUILLA</t>
  </si>
  <si>
    <t>Contrato 002-95 Interventoria a las obrasque debera emprender el area metropolitana de Barranquilla para la construccion del puente vehicular y de los intercambios viales localizados en la interseccion de la Calle 45 Murillo con la Avenida Circunvalar</t>
  </si>
  <si>
    <t>Contrato 003-93 Interventoria General (Tecnica, administrativa, financiera y contable) para la reconstruccion de la Calle 17 entre la Carrera 38 y su interseccion con la Calle 30 en el Municipio de Soledad en el Sitio Denominado la Virgencita</t>
  </si>
  <si>
    <t>INSTITUTO NACIONAL DE VIAS-INVIAS</t>
  </si>
  <si>
    <t>Contrato1948-2004 IiNTERVENTORIA PARA EL MEJORAMIENTO Y MANTENIMIENTO INTEGRAL DE LA RUTA Buenaventura Buga del corredor vial del pacifico (Incluido el mantenimiento y rutinario, la señalizacion el monitoreo y vigilancia y los conteos de transito) Ruta 40 Tramo 4001</t>
  </si>
  <si>
    <t>GOBERNACION DE SUCRE</t>
  </si>
  <si>
    <t>Interventoria Tecnica, Administrativa, Financiera y Ambiental para las obras de mejoramiento en pavimento asfaltico de la via Sampues - San Benito Abad Municipios de Sampues (K49+500) y San Benito Abad (K0+000) en el departamento de Sucre.</t>
  </si>
  <si>
    <t>En ejecucion</t>
  </si>
  <si>
    <t>INTERVENTORÍA TÉCNICA, FINANCIERA, OPERATIVA, PREDIAL, SOCIO-AMBIENTAL Y LEGAL DEL PROYECTO DE CONCESIÓN VIAL CORDOBA.</t>
  </si>
  <si>
    <t>INTERVETORÌA PARA EL MEJORAMIENTO Y MANTENIMIENTO INTEGRAL DE LA RUTAIBAGUE - MARIQUITA Y MANIZALES FRESNO - HONDA DEL CORREDOR VIAL DEL CENTRO (INCLUIDO EL MANTENIMIENTO RUTINARIO, LA SEÑALIZACIÒN, EL MONITOREO Y LA VIGILANCIA A LOS CONTEOS DE TRÀNSITO) RUTA 43, TRAMO 4305 RUTA 50 TRAMO 5005-5006 T 5007 SRN</t>
  </si>
  <si>
    <t>DEPARTAMENTO DEL CASANARE</t>
  </si>
  <si>
    <t>INTERVENTORÍA, ASESORÍA TÉCNICA Y ADMINISTRATIVA PARA LAS OBRAS DE CONSTRUCCIÓN DE AMPLIACIÓN, RECTIFICACIÓN Y PAVIMENTACIÓN DE LA VÍA PORE - TRINIDAD - SAN LUIS DE PALENQUE EN EL SECTOR COMPRENDIDO DEL K0+000 AL K17+000</t>
  </si>
  <si>
    <t>ALCALDIA SANTIAGO DE CALI</t>
  </si>
  <si>
    <t>Interventoria Integral que incluye pero no se limita a la interventoria financiera, administrativa tecnica legal operativa ambiental y de seguridad del contrato de concesion No, 10000078-OK 2010 cuyo objeto de la concesion de las terminales aeroportuarias de Nororiente - Aeropuertos Camilo Daza Cucuta, Palonegro  Bucaramanga, Yaraguies Barrancabermeja, Alfonso Lopez de Valledupar, Simon Bolivar Santa Marta y Almirante Padilla de Rioacha.</t>
  </si>
  <si>
    <t>ALCALDIA DE BARRANQUILLA</t>
  </si>
  <si>
    <t>Contrato No. GPI-001-200 Interventoria a los trabajos de diseño construccion rehabilitacion y mantenimiento de la malla vial de Barranquilla por el sistema de concesion</t>
  </si>
  <si>
    <t xml:space="preserve">En ejecucion </t>
  </si>
  <si>
    <t>Interventoria Tecnica, Administrativa, Financiera, y Ambiental para el mejoramiento en pavimentos asfaltico de la via Sincelejo - Cerrito de la Palma, Laguna, Flor, San Antonio de Palmito departamento de Sucre.</t>
  </si>
  <si>
    <t>Gobernación del Magdalena</t>
  </si>
  <si>
    <t>Contrato de Interventoría No 001 de 2007 para la primera fase del plan vial del norte del departamento del Magdalena</t>
  </si>
  <si>
    <t>EN EJECUCIÒN</t>
  </si>
  <si>
    <t>Instituto Nacional de Concesiones -INCO</t>
  </si>
  <si>
    <t>Interventoría técnica, financiera y operativa en las etapas de construcción y operación del contrato de concesión No 001161 de 2001  carretera Zipaquirá - Palenque/Bucaramanga</t>
  </si>
  <si>
    <t>Gobernación de Boyacá</t>
  </si>
  <si>
    <t>Interventoría técnica, administrativa, financiera y ambiental para el mejoramiento y pavimentación del anillo vial turístico de Sugamuxi sector Aquitania-Tota-Cuitiva-Iza-Firavitoba-Pantano de Vargas. Departamento de Boyacá</t>
  </si>
  <si>
    <t>Instituto de Desarrollo Urbano -IDU</t>
  </si>
  <si>
    <t>Interventoría técnica, administrativa, financiera, legal, social y ambiental para la construcción de las siguientes obras: a) intersección Av. Paseo Country (cr 15) con Av. Carlos Lleras Restrepo (cl100) en Bogotá. B) Intersección a desnivel de la Av. Germán Arciniega (cra11) por Av. Laureano Gómez (cr 9) en Bogotá. C) Av. Germán Arciniega (cr 11) Desde Cl 106 hasta Av. Laureano Gómez (cr 9) en Bogotá</t>
  </si>
  <si>
    <t>Interventoría para la construcción de la Avenida Laureano Gómez Ak (9) desde Av. San Juan Bosco Ac(170) hasta Avenida Cedritos Ac(147) y construcción de la calzada sur de la Avenida San José Ac(170)  desde la Avenida Boyacá hasta Avenida Cota Ak(91)  correspondientes respectivamente a los códigos de obra 101 y 107 del acuerdo 180 de 2005 de valorización en Bogotá</t>
  </si>
  <si>
    <t>CONTRATO DE INTERVENTORÍA No. SEA-069 DEL 20 DE ABRIL DE 2012. 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008 de 2007 y demás documentos que lo modifiquen, adicionen o complementen para la Concesión Vial Ruta Caribe, así como regular los términos y condiciones bajo los cuales la AGENCIA pagará al Interventor de forma mensual la contraprestación ofrecida por el Interventor y aceptada por la AGENCIA durante el Concurso de Méritos Abiertos consistentes en una suma global fija.</t>
  </si>
  <si>
    <t>CONTROL Y VIGILANCIA DE LAS OBRAS: N-340 DE CÁDIZ Y GIBRALTAR A BARCELONA AUTOVÍA A-7 TRAMO: MURO DE ALCOY - PUERTO DE ALBAIDA</t>
  </si>
  <si>
    <t>CONSULTORÍA Y ASISTENCIA TÉCNICA EN MATERIA DE CONTROL Y VIGILANCIA, COORDINACIÓN EN MATERIA DE MEDIO AMBIENTE Y DE SEGURIDAD Y SALUD DE LAS OBRAS:"M-40 REMODELACIÓN DEL ENLACE CON LA CARRETERA M-511, CLAVE 47-M-1201".</t>
  </si>
  <si>
    <t>Interventoría para el mejoramiento y mantenimiento integral de la ruta  Calarcá - Ibagué y variante de Ibagué del corredor vial del Pacífico (incluido el mantenimiento rutinario, señalización, el monitoreo y vigilancia y los conteos de tránsito) ruta 40 tramo 4003 y 40TLC.  Contrato No. 1947 de 2004</t>
  </si>
  <si>
    <t>Área de Gobierno de Urbanismo y Vivienda</t>
  </si>
  <si>
    <t>Asistencia técnica para la supervisión de rehabilitación, mantenimiento, acondicionamiento y mejora de las urbanas principales pavimentadas, incluyendo también las redes subterráneas de servicios domiciliarios( abastecimiento de aguas, alcantarillado, gas , energía eléctrica y telefonía)</t>
  </si>
  <si>
    <t>Asistencia técnica para la supervisión control y vigilancia de las obras de rehabilitación, mantenimiento acondicionamiento y mejora de vías urbanas principales pavimentadas, todas ellas pavimentadas con pavimento asfaltico, incluidas sus redes subterráneas de servicios públicos domiciliarios (abastecimiento, alcantarillado, telefonía gas y suministro eléctrico)</t>
  </si>
  <si>
    <t>Control y vigilancia de las obras ronda Sur de León. Tramo: de la N-630 a la A -66. Red arterial de León. Provincia de León. CLAVE: 48-LE-3580-30, 183/03-6: 55/03</t>
  </si>
  <si>
    <t>Interventoría integral del Contrato de Concesión, que incluye, pero no se limita a la Interventoría financiera, administrativa, técnica,  legal, operativa, ambiental y de seguridad aeroportuaria del contrato de concesión 8000011OK de 2008, así como regular los términos y condiciones bajo los  cuales los contratantes pagaran al interventor de forma mensual la contraprestación ofrecida por el interventor de forma mensual la contraprestación ofrecida por el interventor y aceptada por los contratantes durante el concurso de méritos consistente en una suma global fija.</t>
  </si>
  <si>
    <t>GOBERNACIÓN DE CASANARE</t>
  </si>
  <si>
    <t>Contrato No. 0852 de 1997: Interventoría y asesoría técnica y administrativa para las obras de ampliación, rectificación y pavimentación de la vía Aguazul - Maní, sector K33+000 a Maní</t>
  </si>
  <si>
    <t>Interventoría técnica, ambiental, legal, administrativa, predial, financiera, y operativa en la etapa de operación del contrato de concesión No. 0849 de 1995 desarrollo vial carretera Neiva – 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No. SEA-C-007 de 2005.(SIC)</t>
  </si>
  <si>
    <t>AGENCIA NACIONAL DE INFRAESTRUTURA - ANI</t>
  </si>
  <si>
    <t>Interventoría técnica, económica, financiera, jurídica, administrativa, operativa, medio ambiental y socio predial del contrato de concesión bajo un esquema de asociación público privada que se derive del proceso licitatorio VJ-VE-LP-005-2012 correspondiente al corredor “Loboguerrero-Buga"</t>
  </si>
  <si>
    <t>Servicios de consultoría y asistencia técnica para el control y vigilancia de la Autovía del Mediterráneo. N-340, de Cádiz a Barcelona por Málaga. Tramo: Castell de Ferro - Polopos (Granada),</t>
  </si>
  <si>
    <t xml:space="preserve">Consejería de Transportes e Infraestructuras de la Comunidad de Madrid.  </t>
  </si>
  <si>
    <t>Contrato No. 3969: Supervisión de la Construcción de la Nueva Carretera M-45 Tramo  1: N-II AL EJE O´DONEELL" Y TRAMO 2: EJE O´DONNELL A LA N -IV.</t>
  </si>
  <si>
    <t>Secretaria de Infraestructura Departamento del Magdalena</t>
  </si>
  <si>
    <t>Interventoría del contrato de concesión no 044 de 1993 para la rehabilitación, construcción, mejoramiento, conservación, mantenimiento y operación de la vía barranquilla-Ciénaga, entre abscisas K0+000 al K62+000</t>
  </si>
  <si>
    <t>Alcaldia mayor de Cartagena</t>
  </si>
  <si>
    <t>Interventoría a el contrato de concesión para la construcción y mejoramiento de la vía transversal de Barú</t>
  </si>
  <si>
    <t>Gobernacion del departamento de Magdalena</t>
  </si>
  <si>
    <t>Interventoría de los estudios y diseños definitivos y gestión predial de la doble calzada Ye de Ciénaga-Santa Marta y de la doble calzada de la vía alterna al puerto, sector Quebrada del Doctor- Mamatoco y diseño de las obras complementarias y del espacio publico del plan vial del norte</t>
  </si>
  <si>
    <t>EJECUCION</t>
  </si>
  <si>
    <t>Interventoría técnica, administrativa, legal. Financiera, ambiental y social para la ejecución de la totalidad de las obras de contribución y todas las actividades necesarias para la adecuación de la AC 26 (Av. Jorge Eliecer Gaitán) al sistema transmilenio, en el tramo 3 comprendido entra la TV 76 y la KR 19, Grupo 4 de la licitación publica numero IDU-LP-DG-022-2007 en Bogotá</t>
  </si>
  <si>
    <t>Experiencia aportada a través de matriz</t>
  </si>
  <si>
    <t>MINISTERIO DE FOMENTO (CARRETERAS DEL ESTADO DE MADRID)</t>
  </si>
  <si>
    <t>Inscripcion al contrato de concesion de obras publicas para la consevacion y explotacion de autovias de primera generacion de la autovia A-4 del Sur, del p.k. 9100 al 67.5oo Tramo: Madrid-Ocaña. Red de Carreteras del estado. Provincia de Madrid</t>
  </si>
  <si>
    <t>Gobernacion de Boyaca</t>
  </si>
  <si>
    <t>Gobernacion del Magdalena</t>
  </si>
  <si>
    <t>Contrato de interventoría No 001 de 2007 para la primera fase del plan vial del norte del departamento del Magdalena</t>
  </si>
  <si>
    <t>Area de Gobierno de Urbanismo y Vivienda</t>
  </si>
  <si>
    <t>Control y vigilancia de las obras ronda Sur de Leon. Tramo: de la N-630 a la A -66. Red arterial de Leon. Provincia de Leon. CLAVE: 48-LE-3580-30, 183/03-6: 55/03</t>
  </si>
  <si>
    <t xml:space="preserve">Consejeria de Transportes e Infraestructuras de la Comunidad de Madrid.  </t>
  </si>
  <si>
    <t>Interventoría para el mejoramiento y mantenimiento integral de la ruta Caucasia - Sincelejo del corredor vial de occidente (incluido el mantenimiento rutinario, la señalización, el monitoreo y vigilancia y los conteos de transito) ruta 25 tramo 2513 y 2514. (interv. Caucasia - Sincelejo)</t>
  </si>
  <si>
    <t>Interventoría de las obras de construcción y pavimentación de la vía alterna interna, sector piñal (pr3) - Sena (pr4+300) incluye intersección a desnivel a la altura del Sena ruta 40 tramo 4001 (interv. buenaventura piñal-Sena - u144)</t>
  </si>
  <si>
    <t xml:space="preserve">
Interventoría técnica, predial, socio-ambiental y legal de la construcción de los tramos capellanía - Zipaquirá, variante portachuelo y otras obras pertenecientes al contrato de concesión no. 0664 de 1994 "desarrollo vial del norte de Bogotá
</t>
  </si>
  <si>
    <t>Interventoría para el mejoramiento y pavimentacion de la carretera fuente de oro - Puerto Lleras - Cruce Puerto Rico Puerto Araujo - San Jose del Guaviare Sector Fuente de oro - Puerto lleras  k320+000 - k34+000</t>
  </si>
  <si>
    <t>Agencia Nacional de Infraestructura - ANI</t>
  </si>
  <si>
    <t>Realizar la interventoría integral que incluye pero no se limita a la interventoría técnica, jurídica, administrativa, financiera, operativa, predial y socio-ambiental del contrato de concesión no. 006 de 2007. Para la concesión área metropolitana de Cúcuta, concesionaria San Simón s.a.</t>
  </si>
  <si>
    <t>Interventoría que incluye pero no se limita a la interventoría técnica, financiera, administrativa, jurídica, gestión social, predial y ambiental del proyecto corredor de las palmeras  fase 2 para el programa de la prosperidad – modulo 1</t>
  </si>
  <si>
    <t>30% DE LA EXP GENERAL REQUERIDA (POR LO MENOS UN CONTRATO - FIGURAS ASOCIATIVAS)</t>
  </si>
  <si>
    <t>EJECUCIÓN</t>
  </si>
  <si>
    <t>POR TRATARSE DE UN CONTRATO DE LA ANI, SE VERIFICA AL INTERIOR DE LA ENTIDAD Y SE TOMO EL VALOR FACTURADO A LA FECHA</t>
  </si>
  <si>
    <t>Aporta experiencia de la Matriz</t>
  </si>
  <si>
    <t>El valor ejecutado para el contrato no se puede verificar en el certificado; sin embargo, el proponente es hábil.</t>
  </si>
  <si>
    <t>Se solicita aclarar el valor del certificado, indicando la conversión realizada por el proponente y la sección del certificado de la cual se extrae.</t>
  </si>
  <si>
    <t>CONSORCIO DE CUCUTA</t>
  </si>
  <si>
    <t>Aporta exp de la matriz</t>
  </si>
  <si>
    <t>Por tratarse de un contrato de la ANI, se verifica al interior de la entidad el valor facturado a la fecha (diciembre).</t>
  </si>
  <si>
    <t>El contrato de orden no. 6 no se encuentra en el RUP, no obstante el proponente queda HABIL.</t>
  </si>
  <si>
    <t>HABIL</t>
  </si>
  <si>
    <t>PENDIENTE</t>
  </si>
  <si>
    <t>ACREDITA</t>
  </si>
  <si>
    <t>NO ACREDITA</t>
  </si>
  <si>
    <t>CUMPLE</t>
  </si>
  <si>
    <t>CONSORCIO CONEXION NORTE</t>
  </si>
  <si>
    <t>------</t>
  </si>
  <si>
    <t>-------</t>
  </si>
  <si>
    <t>--------</t>
  </si>
  <si>
    <t>-----</t>
  </si>
  <si>
    <t>---------</t>
  </si>
  <si>
    <t>---</t>
  </si>
  <si>
    <t>----</t>
  </si>
  <si>
    <t>_____</t>
  </si>
  <si>
    <t>EN PROCESO DE SUBSANACIÓN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</si>
</sst>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quot;$&quot;* #,##0_-;_-&quot;$&quot;* &quot;-&quot;_-;_-@_-"/>
    <numFmt numFmtId="41" formatCode="_-* #,##0_-;\-* #,##0_-;_-* &quot;-&quot;_-;_-@_-"/>
    <numFmt numFmtId="44" formatCode="_-&quot;$&quot;* #,##0.00_-;\-&quot;$&quot;* #,##0.00_-;_-&quot;$&quot;* &quot;-&quot;??_-;_-@_-"/>
    <numFmt numFmtId="164" formatCode="_(&quot;$&quot;\ * #,##0.00_);_(&quot;$&quot;\ * \(#,##0.00\);_(&quot;$&quot;\ * &quot;-&quot;??_);_(@_)"/>
    <numFmt numFmtId="165" formatCode="dd/mm/yyyy;@"/>
    <numFmt numFmtId="166" formatCode="_ * #,##0.00_ ;_ * \-#,##0.00_ ;_ * &quot;-&quot;??_ ;_ @_ "/>
    <numFmt numFmtId="167" formatCode="&quot;$&quot;#,##0;[Red]&quot;$&quot;#,##0"/>
    <numFmt numFmtId="168" formatCode="_-[$$-240A]\ * #,##0_-;_-[$$-240A]\ * #,##0\-;_-[$$-240A]\ * &quot;-&quot;_-;_-@_-"/>
    <numFmt numFmtId="169" formatCode="_-[$$-409]* #,##0.00_ ;_-[$$-409]* \-#,##0.00\ ;_-[$$-409]* &quot;-&quot;??_ ;_-@_ "/>
    <numFmt numFmtId="170" formatCode="0.0000"/>
    <numFmt numFmtId="171" formatCode="0.0%"/>
    <numFmt numFmtId="172" formatCode="&quot;$&quot;\ #,##0.00"/>
    <numFmt numFmtId="173" formatCode="&quot;$&quot;#,##0.00;[Red]&quot;$&quot;#,##0.00"/>
    <numFmt numFmtId="174" formatCode="[$$]\ #,##0.00;\-[$$]\ #,##0.00"/>
    <numFmt numFmtId="175" formatCode="_(* #,##0.00_);_(* \(#,##0.00\);_(* &quot;-&quot;??_);_(@_)"/>
    <numFmt numFmtId="176" formatCode="_(* #,##0.000_);_(* \(#,##0.000\);_(* &quot;-&quot;??_);_(@_)"/>
    <numFmt numFmtId="177" formatCode="_-[$$-240A]* #,##0.00_-;\-[$$-240A]* #,##0.00_-;_-[$$-240A]* &quot;-&quot;??_-;_-@_-"/>
    <numFmt numFmtId="178" formatCode="_(* #,##0.0000_);_(* \(#,##0.0000\);_(* &quot;-&quot;??_);_(@_)"/>
    <numFmt numFmtId="179" formatCode="[$-C0A]d\-mmm\-yy;@"/>
    <numFmt numFmtId="180" formatCode="_(&quot;$&quot;* #,##0.00_);_(&quot;$&quot;* \(#,##0.00\);_(&quot;$&quot;* &quot;-&quot;??_);_(@_)"/>
  </numFmts>
  <fonts count="49">
    <font>
      <sz val="12"/>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sz val="11"/>
      <color rgb="FF00000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sz val="10"/>
      <color rgb="FF000000"/>
      <name val="Arial"/>
      <family val="2"/>
    </font>
    <font>
      <b/>
      <i/>
      <sz val="11"/>
      <color theme="1"/>
      <name val="Arial"/>
      <family val="2"/>
    </font>
    <font>
      <sz val="8"/>
      <color theme="0"/>
      <name val="Calibri"/>
      <family val="2"/>
      <scheme val="minor"/>
    </font>
    <font>
      <sz val="8"/>
      <name val="Calibri"/>
      <family val="2"/>
      <scheme val="minor"/>
    </font>
    <font>
      <sz val="12"/>
      <color theme="1"/>
      <name val="Arial"/>
      <family val="2"/>
    </font>
    <font>
      <sz val="8"/>
      <color theme="1"/>
      <name val="Calibri"/>
      <family val="2"/>
      <scheme val="minor"/>
    </font>
    <font>
      <b/>
      <sz val="9"/>
      <color theme="0"/>
      <name val="Arial"/>
      <family val="2"/>
    </font>
    <font>
      <b/>
      <sz val="11"/>
      <name val="Arial"/>
      <family val="2"/>
    </font>
    <font>
      <sz val="11"/>
      <color theme="1"/>
      <name val="Arial"/>
      <family val="2"/>
    </font>
    <font>
      <b/>
      <u/>
      <sz val="11"/>
      <color theme="0"/>
      <name val="Arial"/>
      <family val="2"/>
    </font>
    <font>
      <sz val="8"/>
      <color rgb="FFFFFFFF"/>
      <name val="Calibri"/>
      <family val="2"/>
      <scheme val="minor"/>
    </font>
    <font>
      <sz val="13"/>
      <name val="Arial Narrow"/>
      <family val="2"/>
    </font>
    <font>
      <b/>
      <i/>
      <sz val="11"/>
      <color theme="0"/>
      <name val="Arial"/>
      <family val="2"/>
    </font>
    <font>
      <sz val="10"/>
      <name val="Arial"/>
      <family val="2"/>
    </font>
    <font>
      <sz val="11"/>
      <name val="Arial Narrow"/>
      <family val="2"/>
    </font>
    <font>
      <sz val="10"/>
      <color rgb="FF000000"/>
      <name val="Calibri"/>
      <family val="2"/>
      <scheme val="minor"/>
    </font>
    <font>
      <sz val="11"/>
      <color rgb="FF000000"/>
      <name val="Arial Narrow"/>
      <family val="2"/>
    </font>
    <font>
      <sz val="10"/>
      <name val="Arial Narrow"/>
      <family val="2"/>
    </font>
    <font>
      <sz val="9"/>
      <name val="Arial Narrow"/>
      <family val="2"/>
    </font>
    <font>
      <sz val="9"/>
      <color rgb="FF000000"/>
      <name val="Arial Narrow"/>
      <family val="2"/>
    </font>
    <font>
      <sz val="14"/>
      <name val="Arial Narrow"/>
      <family val="2"/>
    </font>
    <font>
      <sz val="12"/>
      <name val="DIN-Regular"/>
      <family val="2"/>
    </font>
    <font>
      <sz val="11"/>
      <color indexed="8"/>
      <name val="Calibri"/>
      <family val="2"/>
    </font>
    <font>
      <sz val="9"/>
      <name val="Arial"/>
      <family val="2"/>
    </font>
    <font>
      <sz val="11"/>
      <color rgb="FF000000"/>
      <name val="Calibri"/>
      <family val="2"/>
      <scheme val="minor"/>
    </font>
    <font>
      <sz val="12"/>
      <name val="Arial Narrow"/>
      <family val="2"/>
    </font>
    <font>
      <sz val="11"/>
      <name val="DIN-Regular"/>
      <family val="2"/>
    </font>
    <font>
      <sz val="10"/>
      <color theme="1"/>
      <name val="Arial"/>
      <family val="2"/>
    </font>
    <font>
      <b/>
      <i/>
      <sz val="10"/>
      <color theme="1"/>
      <name val="Calibri"/>
      <family val="2"/>
      <scheme val="minor"/>
    </font>
    <font>
      <sz val="10"/>
      <name val="Times New Roman"/>
      <family val="1"/>
    </font>
    <font>
      <b/>
      <sz val="9"/>
      <color indexed="81"/>
      <name val="Tahoma"/>
      <family val="2"/>
    </font>
    <font>
      <sz val="9"/>
      <color indexed="81"/>
      <name val="Tahoma"/>
      <family val="2"/>
    </font>
    <font>
      <sz val="8"/>
      <color rgb="FFFF0000"/>
      <name val="Calibri"/>
      <family val="2"/>
      <scheme val="minor"/>
    </font>
  </fonts>
  <fills count="14">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249977111117893"/>
        <bgColor indexed="64"/>
      </patternFill>
    </fill>
    <fill>
      <patternFill patternType="solid">
        <fgColor rgb="FF00B050"/>
        <bgColor indexed="64"/>
      </patternFill>
    </fill>
  </fills>
  <borders count="58">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medium">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s>
  <cellStyleXfs count="84">
    <xf numFmtId="0" fontId="0"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alignment vertical="top"/>
      <protection locked="0"/>
    </xf>
    <xf numFmtId="41" fontId="2" fillId="0" borderId="0" applyFont="0" applyFill="0" applyBorder="0" applyAlignment="0" applyProtection="0"/>
    <xf numFmtId="166" fontId="8" fillId="0" borderId="0" applyFont="0" applyFill="0" applyBorder="0" applyAlignment="0" applyProtection="0"/>
    <xf numFmtId="42" fontId="2" fillId="0" borderId="0" applyFont="0" applyFill="0" applyBorder="0" applyAlignment="0" applyProtection="0"/>
    <xf numFmtId="164" fontId="8" fillId="0" borderId="0" applyFont="0" applyFill="0" applyBorder="0" applyAlignment="0" applyProtection="0"/>
    <xf numFmtId="0" fontId="9" fillId="0" borderId="0"/>
    <xf numFmtId="0" fontId="8" fillId="0" borderId="0"/>
    <xf numFmtId="0" fontId="8" fillId="0" borderId="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2" fillId="0" borderId="0" applyFont="0" applyFill="0" applyBorder="0" applyAlignment="0" applyProtection="0"/>
    <xf numFmtId="175" fontId="2" fillId="0" borderId="0" applyFont="0" applyFill="0" applyBorder="0" applyAlignment="0" applyProtection="0"/>
    <xf numFmtId="0" fontId="29" fillId="0" borderId="0"/>
    <xf numFmtId="175" fontId="8" fillId="0" borderId="0" applyFont="0" applyFill="0" applyBorder="0" applyAlignment="0" applyProtection="0"/>
    <xf numFmtId="0"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4" fontId="38" fillId="0" borderId="0" applyFont="0" applyFill="0" applyBorder="0" applyAlignment="0" applyProtection="0"/>
    <xf numFmtId="180"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38" fillId="0" borderId="0" applyFont="0" applyFill="0" applyBorder="0" applyAlignment="0" applyProtection="0"/>
    <xf numFmtId="0" fontId="1" fillId="0" borderId="0"/>
  </cellStyleXfs>
  <cellXfs count="874">
    <xf numFmtId="0" fontId="0" fillId="0" borderId="0" xfId="0"/>
    <xf numFmtId="0" fontId="4" fillId="0" borderId="0" xfId="0" applyFont="1" applyBorder="1" applyAlignment="1">
      <alignment vertical="center"/>
    </xf>
    <xf numFmtId="0" fontId="0" fillId="0" borderId="0" xfId="0" applyBorder="1" applyAlignment="1">
      <alignment vertical="center"/>
    </xf>
    <xf numFmtId="169" fontId="4" fillId="0" borderId="0" xfId="0" applyNumberFormat="1" applyFont="1" applyBorder="1" applyAlignment="1">
      <alignment vertical="center"/>
    </xf>
    <xf numFmtId="0" fontId="5" fillId="5" borderId="13" xfId="2" applyFont="1" applyFill="1" applyBorder="1" applyAlignment="1">
      <alignment horizontal="center" vertical="center"/>
    </xf>
    <xf numFmtId="0" fontId="5" fillId="5" borderId="14" xfId="2" applyFont="1" applyFill="1" applyBorder="1" applyAlignment="1">
      <alignment horizontal="center" vertical="center"/>
    </xf>
    <xf numFmtId="0" fontId="0" fillId="0" borderId="0" xfId="0" applyFont="1" applyBorder="1" applyAlignment="1">
      <alignment vertical="center"/>
    </xf>
    <xf numFmtId="0" fontId="16" fillId="0" borderId="13" xfId="0" applyFont="1" applyFill="1" applyBorder="1" applyAlignment="1">
      <alignment vertical="center" wrapText="1"/>
    </xf>
    <xf numFmtId="3" fontId="4" fillId="0" borderId="14" xfId="0" applyNumberFormat="1" applyFont="1" applyFill="1" applyBorder="1" applyAlignment="1">
      <alignment vertical="center"/>
    </xf>
    <xf numFmtId="0" fontId="14" fillId="0" borderId="0" xfId="0" applyFont="1" applyBorder="1" applyAlignment="1">
      <alignment vertical="center"/>
    </xf>
    <xf numFmtId="0" fontId="4" fillId="0" borderId="15" xfId="0" applyFont="1" applyBorder="1" applyAlignment="1">
      <alignment vertical="center"/>
    </xf>
    <xf numFmtId="4" fontId="4" fillId="0" borderId="16" xfId="0" applyNumberFormat="1" applyFont="1" applyFill="1" applyBorder="1" applyAlignment="1">
      <alignment vertical="center"/>
    </xf>
    <xf numFmtId="0" fontId="5" fillId="5" borderId="17" xfId="2" applyFont="1" applyFill="1" applyBorder="1" applyAlignment="1">
      <alignment horizontal="center" vertical="center"/>
    </xf>
    <xf numFmtId="0" fontId="6" fillId="0" borderId="15" xfId="0" applyFont="1" applyBorder="1" applyAlignment="1">
      <alignment vertical="center" wrapText="1"/>
    </xf>
    <xf numFmtId="14" fontId="6" fillId="0" borderId="16" xfId="0" applyNumberFormat="1" applyFont="1" applyFill="1" applyBorder="1" applyAlignment="1">
      <alignment vertical="center"/>
    </xf>
    <xf numFmtId="14" fontId="4" fillId="0" borderId="0" xfId="0" applyNumberFormat="1" applyFont="1" applyBorder="1" applyAlignment="1">
      <alignment vertical="center"/>
    </xf>
    <xf numFmtId="4" fontId="4" fillId="0" borderId="18" xfId="0" applyNumberFormat="1" applyFont="1" applyBorder="1" applyAlignment="1">
      <alignment horizontal="center" vertical="center" wrapText="1"/>
    </xf>
    <xf numFmtId="0" fontId="6" fillId="0" borderId="19" xfId="0" applyFont="1" applyBorder="1" applyAlignment="1">
      <alignment vertical="center" wrapText="1"/>
    </xf>
    <xf numFmtId="14" fontId="4" fillId="0" borderId="20" xfId="0" applyNumberFormat="1" applyFont="1" applyFill="1" applyBorder="1" applyAlignment="1">
      <alignment vertical="center"/>
    </xf>
    <xf numFmtId="0" fontId="6" fillId="0" borderId="0" xfId="0" applyFont="1" applyBorder="1" applyAlignment="1">
      <alignment vertical="center" wrapText="1"/>
    </xf>
    <xf numFmtId="10" fontId="4" fillId="0" borderId="0" xfId="0" applyNumberFormat="1" applyFont="1" applyBorder="1" applyAlignment="1">
      <alignment vertical="center"/>
    </xf>
    <xf numFmtId="0" fontId="5" fillId="5" borderId="15" xfId="2" applyFont="1" applyFill="1" applyBorder="1" applyAlignment="1">
      <alignment horizontal="center" vertical="center"/>
    </xf>
    <xf numFmtId="0" fontId="5" fillId="5" borderId="16" xfId="2" applyFont="1" applyFill="1" applyBorder="1" applyAlignment="1">
      <alignment horizontal="center" vertical="center"/>
    </xf>
    <xf numFmtId="0" fontId="4" fillId="0" borderId="15" xfId="0" applyFont="1" applyBorder="1" applyAlignment="1">
      <alignment horizontal="center" vertical="center"/>
    </xf>
    <xf numFmtId="169" fontId="4" fillId="0" borderId="16" xfId="0" applyNumberFormat="1" applyFont="1" applyBorder="1" applyAlignment="1">
      <alignment vertical="center"/>
    </xf>
    <xf numFmtId="170" fontId="4" fillId="0" borderId="0" xfId="0" applyNumberFormat="1" applyFont="1" applyBorder="1" applyAlignment="1">
      <alignment vertical="center"/>
    </xf>
    <xf numFmtId="0" fontId="4" fillId="0" borderId="19" xfId="0" applyFont="1" applyBorder="1" applyAlignment="1">
      <alignment horizontal="center" vertical="center"/>
    </xf>
    <xf numFmtId="169" fontId="4" fillId="0" borderId="20" xfId="0" applyNumberFormat="1" applyFont="1" applyBorder="1" applyAlignment="1">
      <alignment vertical="center"/>
    </xf>
    <xf numFmtId="0" fontId="4" fillId="0" borderId="0" xfId="0" applyFont="1" applyAlignment="1">
      <alignment vertical="center"/>
    </xf>
    <xf numFmtId="0" fontId="4" fillId="0" borderId="0" xfId="0" applyFont="1"/>
    <xf numFmtId="0" fontId="0" fillId="0" borderId="0" xfId="0" applyFont="1"/>
    <xf numFmtId="0" fontId="20" fillId="0" borderId="0" xfId="0" applyFont="1"/>
    <xf numFmtId="0" fontId="18" fillId="5" borderId="25" xfId="3" applyFont="1" applyFill="1" applyBorder="1" applyAlignment="1">
      <alignment horizontal="center" vertical="center" wrapText="1"/>
    </xf>
    <xf numFmtId="41" fontId="18" fillId="5" borderId="25" xfId="3" applyNumberFormat="1" applyFont="1" applyFill="1" applyBorder="1" applyAlignment="1">
      <alignment horizontal="center" vertical="center" wrapText="1"/>
    </xf>
    <xf numFmtId="41" fontId="19" fillId="9" borderId="4" xfId="3" applyNumberFormat="1" applyFont="1" applyFill="1" applyBorder="1" applyAlignment="1">
      <alignment horizontal="center" vertical="center" wrapText="1"/>
    </xf>
    <xf numFmtId="0" fontId="21" fillId="0" borderId="4" xfId="0" applyFont="1" applyBorder="1" applyAlignment="1">
      <alignment horizontal="left" vertical="center" wrapText="1"/>
    </xf>
    <xf numFmtId="41" fontId="21" fillId="0" borderId="4" xfId="0" applyNumberFormat="1" applyFont="1"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21" fillId="0" borderId="0" xfId="0" applyFont="1"/>
    <xf numFmtId="0" fontId="21" fillId="0" borderId="0" xfId="0" applyFont="1" applyAlignment="1">
      <alignment horizontal="left"/>
    </xf>
    <xf numFmtId="41" fontId="21" fillId="0" borderId="0" xfId="0" applyNumberFormat="1" applyFont="1" applyAlignment="1">
      <alignment horizontal="right"/>
    </xf>
    <xf numFmtId="41" fontId="21" fillId="0" borderId="0" xfId="0" applyNumberFormat="1" applyFont="1" applyAlignment="1">
      <alignment horizontal="center"/>
    </xf>
    <xf numFmtId="4" fontId="4" fillId="0" borderId="28" xfId="0" applyNumberFormat="1" applyFont="1" applyBorder="1" applyAlignment="1">
      <alignment horizontal="center" vertical="center" wrapText="1"/>
    </xf>
    <xf numFmtId="10" fontId="18" fillId="5" borderId="25" xfId="3" applyNumberFormat="1" applyFont="1" applyFill="1" applyBorder="1" applyAlignment="1">
      <alignment horizontal="center" vertical="center" wrapText="1"/>
    </xf>
    <xf numFmtId="10" fontId="21" fillId="0" borderId="4" xfId="0" applyNumberFormat="1" applyFont="1" applyBorder="1" applyAlignment="1">
      <alignment horizontal="center" vertical="center" wrapText="1"/>
    </xf>
    <xf numFmtId="10" fontId="21" fillId="0" borderId="0" xfId="0" applyNumberFormat="1" applyFont="1" applyAlignment="1">
      <alignment horizontal="center"/>
    </xf>
    <xf numFmtId="0" fontId="21" fillId="0" borderId="4" xfId="0" applyFont="1" applyBorder="1" applyAlignment="1">
      <alignment horizontal="left"/>
    </xf>
    <xf numFmtId="10" fontId="21" fillId="0" borderId="4" xfId="0" applyNumberFormat="1" applyFont="1" applyBorder="1" applyAlignment="1">
      <alignment horizontal="center"/>
    </xf>
    <xf numFmtId="0" fontId="4" fillId="0" borderId="4" xfId="0" applyFont="1" applyBorder="1" applyAlignment="1">
      <alignment wrapText="1"/>
    </xf>
    <xf numFmtId="0" fontId="4" fillId="0" borderId="4" xfId="0" applyFont="1" applyBorder="1"/>
    <xf numFmtId="41" fontId="21" fillId="0" borderId="4" xfId="0" applyNumberFormat="1" applyFont="1" applyBorder="1" applyAlignment="1">
      <alignment horizontal="right"/>
    </xf>
    <xf numFmtId="41" fontId="21" fillId="0" borderId="4" xfId="0" applyNumberFormat="1" applyFont="1" applyBorder="1" applyAlignment="1">
      <alignment horizontal="center"/>
    </xf>
    <xf numFmtId="9" fontId="21" fillId="0" borderId="4" xfId="1" applyFont="1" applyBorder="1" applyAlignment="1">
      <alignment horizontal="center" vertical="center" wrapText="1"/>
    </xf>
    <xf numFmtId="171" fontId="21" fillId="0" borderId="4" xfId="1" applyNumberFormat="1" applyFont="1" applyBorder="1" applyAlignment="1">
      <alignment horizontal="center" vertical="center" wrapText="1"/>
    </xf>
    <xf numFmtId="4" fontId="4" fillId="0" borderId="4" xfId="0" applyNumberFormat="1" applyFont="1" applyFill="1" applyBorder="1" applyAlignment="1">
      <alignment horizontal="center" vertical="center" wrapText="1"/>
    </xf>
    <xf numFmtId="165" fontId="13" fillId="0" borderId="4" xfId="2" applyNumberFormat="1" applyFont="1" applyFill="1" applyBorder="1" applyAlignment="1">
      <alignment horizontal="center" vertical="center" wrapText="1"/>
    </xf>
    <xf numFmtId="165" fontId="23" fillId="0" borderId="4" xfId="2"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9" fontId="4" fillId="0" borderId="4" xfId="12" applyFont="1" applyFill="1" applyBorder="1" applyAlignment="1">
      <alignment horizontal="center" vertical="center"/>
    </xf>
    <xf numFmtId="165"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67" fontId="4" fillId="0" borderId="4" xfId="0" applyNumberFormat="1" applyFont="1" applyFill="1" applyBorder="1" applyAlignment="1">
      <alignment vertical="center"/>
    </xf>
    <xf numFmtId="167" fontId="4" fillId="0" borderId="4" xfId="0"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4" fontId="4" fillId="0" borderId="4" xfId="1"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vertical="center"/>
    </xf>
    <xf numFmtId="9" fontId="4" fillId="0" borderId="4" xfId="12" applyFont="1" applyFill="1" applyBorder="1" applyAlignment="1">
      <alignment horizontal="center" vertical="center" wrapText="1"/>
    </xf>
    <xf numFmtId="167" fontId="4" fillId="0" borderId="4" xfId="0" applyNumberFormat="1" applyFont="1" applyFill="1" applyBorder="1" applyAlignment="1">
      <alignment vertical="center" wrapText="1"/>
    </xf>
    <xf numFmtId="0" fontId="4" fillId="0" borderId="4" xfId="0" applyFont="1" applyFill="1" applyBorder="1" applyAlignment="1">
      <alignment horizontal="left" vertical="center"/>
    </xf>
    <xf numFmtId="0" fontId="0" fillId="0" borderId="4" xfId="0" applyFill="1" applyBorder="1" applyAlignment="1">
      <alignment vertical="center" wrapText="1"/>
    </xf>
    <xf numFmtId="9" fontId="0" fillId="0" borderId="4" xfId="1" applyFont="1" applyFill="1" applyBorder="1" applyAlignment="1">
      <alignment horizontal="center" vertical="center"/>
    </xf>
    <xf numFmtId="9" fontId="4" fillId="0" borderId="4" xfId="1" applyFont="1" applyFill="1" applyBorder="1" applyAlignment="1">
      <alignment horizontal="center" vertical="center"/>
    </xf>
    <xf numFmtId="14" fontId="4" fillId="0" borderId="4" xfId="12"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4" fontId="4" fillId="0" borderId="4" xfId="0" applyNumberFormat="1" applyFont="1" applyFill="1" applyBorder="1" applyAlignment="1">
      <alignment horizontal="center" vertical="center"/>
    </xf>
    <xf numFmtId="0" fontId="0" fillId="0" borderId="4" xfId="0" applyFill="1" applyBorder="1" applyAlignment="1">
      <alignment vertical="center"/>
    </xf>
    <xf numFmtId="0" fontId="6" fillId="0" borderId="4" xfId="0" applyFont="1" applyFill="1" applyBorder="1" applyAlignment="1">
      <alignment horizontal="left" vertical="center" wrapText="1"/>
    </xf>
    <xf numFmtId="0" fontId="6" fillId="0" borderId="4" xfId="0" applyFont="1" applyFill="1" applyBorder="1" applyAlignment="1">
      <alignment vertical="center" wrapText="1"/>
    </xf>
    <xf numFmtId="9" fontId="6" fillId="0" borderId="4"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wrapText="1"/>
    </xf>
    <xf numFmtId="167" fontId="6" fillId="0" borderId="4" xfId="0" applyNumberFormat="1" applyFont="1" applyFill="1" applyBorder="1" applyAlignment="1">
      <alignment vertical="center"/>
    </xf>
    <xf numFmtId="167" fontId="6" fillId="0" borderId="4" xfId="0" applyNumberFormat="1" applyFont="1" applyFill="1" applyBorder="1" applyAlignment="1">
      <alignment horizontal="center" vertical="center"/>
    </xf>
    <xf numFmtId="0" fontId="4" fillId="6" borderId="4" xfId="0" applyFont="1" applyFill="1" applyBorder="1" applyAlignment="1">
      <alignment horizontal="center" vertical="center"/>
    </xf>
    <xf numFmtId="0" fontId="4" fillId="6" borderId="4" xfId="0" applyFont="1" applyFill="1" applyBorder="1" applyAlignment="1">
      <alignment horizontal="left" vertical="center"/>
    </xf>
    <xf numFmtId="0" fontId="14" fillId="6" borderId="4" xfId="0" applyFont="1" applyFill="1" applyBorder="1" applyAlignment="1">
      <alignment vertical="center" wrapText="1"/>
    </xf>
    <xf numFmtId="0" fontId="4" fillId="6" borderId="4" xfId="0" applyFont="1" applyFill="1" applyBorder="1" applyAlignment="1">
      <alignment horizontal="left" vertical="center" wrapText="1"/>
    </xf>
    <xf numFmtId="9" fontId="4" fillId="6" borderId="4" xfId="12" applyFont="1" applyFill="1" applyBorder="1" applyAlignment="1">
      <alignment horizontal="center" vertical="center" wrapText="1"/>
    </xf>
    <xf numFmtId="165" fontId="4" fillId="6" borderId="4" xfId="0" applyNumberFormat="1" applyFont="1" applyFill="1" applyBorder="1" applyAlignment="1">
      <alignment horizontal="center" vertical="center" wrapText="1"/>
    </xf>
    <xf numFmtId="0" fontId="4" fillId="6" borderId="4" xfId="0" applyNumberFormat="1" applyFont="1" applyFill="1" applyBorder="1" applyAlignment="1">
      <alignment horizontal="center" vertical="center" wrapText="1"/>
    </xf>
    <xf numFmtId="167" fontId="4" fillId="6" borderId="4" xfId="0" applyNumberFormat="1" applyFont="1" applyFill="1" applyBorder="1" applyAlignment="1">
      <alignment vertical="center" wrapText="1"/>
    </xf>
    <xf numFmtId="167" fontId="4" fillId="6" borderId="4" xfId="0" applyNumberFormat="1" applyFont="1" applyFill="1" applyBorder="1" applyAlignment="1">
      <alignment horizontal="center" vertical="center" wrapText="1"/>
    </xf>
    <xf numFmtId="1" fontId="4" fillId="6" borderId="4" xfId="0" applyNumberFormat="1" applyFont="1" applyFill="1" applyBorder="1" applyAlignment="1">
      <alignment horizontal="center" vertical="center" wrapText="1"/>
    </xf>
    <xf numFmtId="0" fontId="4" fillId="0" borderId="4" xfId="0" applyFont="1" applyBorder="1" applyAlignment="1">
      <alignment vertical="center"/>
    </xf>
    <xf numFmtId="0" fontId="4" fillId="6" borderId="4" xfId="0" applyFont="1" applyFill="1" applyBorder="1" applyAlignment="1">
      <alignment vertical="center"/>
    </xf>
    <xf numFmtId="0" fontId="4" fillId="6" borderId="4" xfId="0" applyFont="1" applyFill="1" applyBorder="1" applyAlignment="1">
      <alignment vertical="center" wrapText="1"/>
    </xf>
    <xf numFmtId="9" fontId="4" fillId="6" borderId="4" xfId="1" applyFont="1" applyFill="1" applyBorder="1" applyAlignment="1">
      <alignment horizontal="center" vertical="center"/>
    </xf>
    <xf numFmtId="14" fontId="4" fillId="6" borderId="4" xfId="12" applyNumberFormat="1" applyFont="1" applyFill="1" applyBorder="1" applyAlignment="1">
      <alignment horizontal="center" vertical="center"/>
    </xf>
    <xf numFmtId="14" fontId="4" fillId="6" borderId="4" xfId="0" applyNumberFormat="1" applyFont="1" applyFill="1" applyBorder="1" applyAlignment="1">
      <alignment horizontal="center" vertical="center"/>
    </xf>
    <xf numFmtId="0" fontId="4" fillId="6" borderId="4" xfId="0" applyNumberFormat="1" applyFont="1" applyFill="1" applyBorder="1" applyAlignment="1">
      <alignment horizontal="center" vertical="center"/>
    </xf>
    <xf numFmtId="167" fontId="4" fillId="6" borderId="4" xfId="0" applyNumberFormat="1" applyFont="1" applyFill="1" applyBorder="1" applyAlignment="1">
      <alignment horizontal="center" vertical="center"/>
    </xf>
    <xf numFmtId="168" fontId="4" fillId="6" borderId="4" xfId="0" applyNumberFormat="1" applyFont="1" applyFill="1" applyBorder="1" applyAlignment="1">
      <alignment horizontal="center" vertical="center"/>
    </xf>
    <xf numFmtId="0" fontId="0" fillId="0" borderId="4" xfId="0" applyBorder="1" applyAlignment="1">
      <alignment vertical="center"/>
    </xf>
    <xf numFmtId="0" fontId="4" fillId="0" borderId="6" xfId="0" applyFont="1" applyFill="1" applyBorder="1" applyAlignment="1">
      <alignment vertical="center"/>
    </xf>
    <xf numFmtId="0" fontId="4" fillId="0" borderId="25" xfId="0" applyFont="1" applyFill="1" applyBorder="1" applyAlignment="1">
      <alignment horizontal="center" vertical="center"/>
    </xf>
    <xf numFmtId="0" fontId="4" fillId="0" borderId="25" xfId="0" applyFont="1" applyFill="1" applyBorder="1" applyAlignment="1">
      <alignment horizontal="left" vertical="center"/>
    </xf>
    <xf numFmtId="0" fontId="14" fillId="0" borderId="25"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5" xfId="0" applyFont="1" applyFill="1" applyBorder="1" applyAlignment="1">
      <alignment vertical="center" wrapText="1"/>
    </xf>
    <xf numFmtId="9" fontId="4" fillId="0" borderId="25" xfId="12" applyFont="1" applyFill="1" applyBorder="1" applyAlignment="1">
      <alignment horizontal="center" vertical="center"/>
    </xf>
    <xf numFmtId="165" fontId="4" fillId="0" borderId="25" xfId="0" applyNumberFormat="1" applyFont="1" applyFill="1" applyBorder="1" applyAlignment="1">
      <alignment horizontal="center" vertical="center" wrapText="1"/>
    </xf>
    <xf numFmtId="167" fontId="4" fillId="0" borderId="25" xfId="0" applyNumberFormat="1" applyFont="1" applyFill="1" applyBorder="1" applyAlignment="1">
      <alignment horizontal="center" vertical="center" wrapText="1"/>
    </xf>
    <xf numFmtId="167" fontId="4" fillId="0" borderId="25" xfId="0" applyNumberFormat="1" applyFont="1" applyFill="1" applyBorder="1" applyAlignment="1">
      <alignment vertical="center"/>
    </xf>
    <xf numFmtId="167" fontId="4" fillId="0" borderId="25" xfId="0" applyNumberFormat="1" applyFont="1" applyFill="1" applyBorder="1" applyAlignment="1">
      <alignment horizontal="center" vertical="center"/>
    </xf>
    <xf numFmtId="3" fontId="4" fillId="0" borderId="25" xfId="1" applyNumberFormat="1" applyFont="1" applyFill="1" applyBorder="1" applyAlignment="1">
      <alignment horizontal="center" vertical="center"/>
    </xf>
    <xf numFmtId="4" fontId="4" fillId="0" borderId="25" xfId="1" applyNumberFormat="1" applyFont="1" applyFill="1" applyBorder="1" applyAlignment="1">
      <alignment horizontal="center" vertical="center"/>
    </xf>
    <xf numFmtId="4" fontId="4" fillId="0" borderId="25"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0" fontId="14" fillId="0" borderId="30" xfId="0" applyFont="1" applyFill="1" applyBorder="1" applyAlignment="1">
      <alignment horizontal="center" vertical="center" wrapText="1"/>
    </xf>
    <xf numFmtId="0" fontId="14" fillId="0" borderId="30" xfId="0" applyFont="1" applyFill="1" applyBorder="1" applyAlignment="1">
      <alignment vertical="center" wrapText="1"/>
    </xf>
    <xf numFmtId="0" fontId="4" fillId="0" borderId="30" xfId="0" applyFont="1" applyFill="1" applyBorder="1" applyAlignment="1">
      <alignment horizontal="left" vertical="center" wrapText="1"/>
    </xf>
    <xf numFmtId="0" fontId="4" fillId="0" borderId="30" xfId="0" applyFont="1" applyFill="1" applyBorder="1" applyAlignment="1">
      <alignment vertical="center" wrapText="1"/>
    </xf>
    <xf numFmtId="9" fontId="4" fillId="0" borderId="30" xfId="12" applyFont="1" applyFill="1" applyBorder="1" applyAlignment="1">
      <alignment horizontal="center" vertical="center"/>
    </xf>
    <xf numFmtId="165"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167" fontId="4" fillId="0" borderId="30" xfId="0" applyNumberFormat="1" applyFont="1" applyFill="1" applyBorder="1" applyAlignment="1">
      <alignment horizontal="center" vertical="center" wrapText="1"/>
    </xf>
    <xf numFmtId="167" fontId="4" fillId="0" borderId="30" xfId="0" applyNumberFormat="1" applyFont="1" applyFill="1" applyBorder="1" applyAlignment="1">
      <alignment vertical="center"/>
    </xf>
    <xf numFmtId="167" fontId="4" fillId="0" borderId="30" xfId="0" applyNumberFormat="1" applyFont="1" applyFill="1" applyBorder="1" applyAlignment="1">
      <alignment horizontal="center" vertical="center"/>
    </xf>
    <xf numFmtId="3" fontId="4" fillId="0" borderId="30" xfId="1" applyNumberFormat="1" applyFont="1" applyFill="1" applyBorder="1" applyAlignment="1">
      <alignment horizontal="center" vertical="center"/>
    </xf>
    <xf numFmtId="4" fontId="4" fillId="0" borderId="30" xfId="1" applyNumberFormat="1" applyFont="1" applyFill="1" applyBorder="1" applyAlignment="1">
      <alignment horizontal="center" vertical="center"/>
    </xf>
    <xf numFmtId="4" fontId="4" fillId="0" borderId="30"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14" fillId="0" borderId="35" xfId="0" applyFont="1" applyFill="1" applyBorder="1" applyAlignment="1">
      <alignment vertical="center" wrapText="1"/>
    </xf>
    <xf numFmtId="0" fontId="4" fillId="0" borderId="35" xfId="0" applyFont="1" applyFill="1" applyBorder="1" applyAlignment="1">
      <alignment horizontal="left" vertical="center" wrapText="1"/>
    </xf>
    <xf numFmtId="0" fontId="4" fillId="0" borderId="35" xfId="0" applyFont="1" applyFill="1" applyBorder="1" applyAlignment="1">
      <alignment vertical="center" wrapText="1"/>
    </xf>
    <xf numFmtId="9" fontId="4" fillId="0" borderId="35" xfId="12" applyFont="1" applyFill="1" applyBorder="1" applyAlignment="1">
      <alignment horizontal="center" vertical="center"/>
    </xf>
    <xf numFmtId="165" fontId="4" fillId="0" borderId="35"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167" fontId="4" fillId="0" borderId="35" xfId="0" applyNumberFormat="1" applyFont="1" applyFill="1" applyBorder="1" applyAlignment="1">
      <alignment horizontal="center" vertical="center" wrapText="1"/>
    </xf>
    <xf numFmtId="167" fontId="4" fillId="0" borderId="35" xfId="0" applyNumberFormat="1" applyFont="1" applyFill="1" applyBorder="1" applyAlignment="1">
      <alignment vertical="center"/>
    </xf>
    <xf numFmtId="167" fontId="4" fillId="0" borderId="35" xfId="0" applyNumberFormat="1" applyFont="1" applyFill="1" applyBorder="1" applyAlignment="1">
      <alignment horizontal="center" vertical="center"/>
    </xf>
    <xf numFmtId="3" fontId="4" fillId="0" borderId="35" xfId="1" applyNumberFormat="1" applyFont="1" applyFill="1" applyBorder="1" applyAlignment="1">
      <alignment horizontal="center" vertical="center"/>
    </xf>
    <xf numFmtId="4" fontId="4" fillId="0" borderId="35" xfId="1" applyNumberFormat="1" applyFont="1" applyFill="1" applyBorder="1" applyAlignment="1">
      <alignment horizontal="center" vertical="center"/>
    </xf>
    <xf numFmtId="4" fontId="4" fillId="0" borderId="35"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21" fillId="0" borderId="4" xfId="0" applyFont="1" applyBorder="1" applyAlignment="1">
      <alignment horizontal="center" vertical="center"/>
    </xf>
    <xf numFmtId="0" fontId="4" fillId="0" borderId="30" xfId="0" applyFont="1" applyFill="1" applyBorder="1" applyAlignment="1">
      <alignment horizontal="left" vertical="center"/>
    </xf>
    <xf numFmtId="0" fontId="0" fillId="0" borderId="6" xfId="0" applyFill="1" applyBorder="1" applyAlignment="1">
      <alignment vertical="center"/>
    </xf>
    <xf numFmtId="9" fontId="4" fillId="0" borderId="25" xfId="12"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167" fontId="4" fillId="0" borderId="25" xfId="0" applyNumberFormat="1" applyFont="1" applyFill="1" applyBorder="1" applyAlignment="1">
      <alignment vertical="center" wrapText="1"/>
    </xf>
    <xf numFmtId="9" fontId="4" fillId="0" borderId="30" xfId="12" applyFont="1" applyFill="1" applyBorder="1" applyAlignment="1">
      <alignment horizontal="center" vertical="center" wrapText="1"/>
    </xf>
    <xf numFmtId="167" fontId="4" fillId="0" borderId="30" xfId="0" applyNumberFormat="1" applyFont="1" applyFill="1" applyBorder="1" applyAlignment="1">
      <alignment vertical="center" wrapText="1"/>
    </xf>
    <xf numFmtId="9" fontId="4" fillId="0" borderId="35" xfId="12" applyFont="1" applyFill="1" applyBorder="1" applyAlignment="1">
      <alignment horizontal="center" vertical="center" wrapText="1"/>
    </xf>
    <xf numFmtId="167" fontId="4" fillId="0" borderId="35" xfId="0" applyNumberFormat="1" applyFont="1" applyFill="1" applyBorder="1" applyAlignment="1">
      <alignment vertical="center" wrapText="1"/>
    </xf>
    <xf numFmtId="0" fontId="0" fillId="0" borderId="33" xfId="0" applyFill="1" applyBorder="1" applyAlignment="1">
      <alignment horizontal="left" vertical="center" wrapText="1"/>
    </xf>
    <xf numFmtId="0" fontId="4" fillId="0" borderId="38" xfId="0" applyFont="1" applyFill="1" applyBorder="1" applyAlignment="1">
      <alignment horizontal="left" vertical="center" wrapText="1"/>
    </xf>
    <xf numFmtId="1" fontId="4" fillId="0" borderId="27" xfId="0" applyNumberFormat="1"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21" fillId="0" borderId="30" xfId="0" applyFont="1" applyBorder="1" applyAlignment="1">
      <alignment horizontal="left" vertical="center" wrapText="1"/>
    </xf>
    <xf numFmtId="9" fontId="21" fillId="0" borderId="30" xfId="1" applyFont="1" applyBorder="1" applyAlignment="1">
      <alignment horizontal="center" vertical="center" wrapText="1"/>
    </xf>
    <xf numFmtId="4" fontId="21" fillId="0" borderId="29" xfId="0" applyNumberFormat="1" applyFont="1" applyBorder="1" applyAlignment="1">
      <alignment horizontal="center" vertical="center" wrapText="1"/>
    </xf>
    <xf numFmtId="4" fontId="21" fillId="0" borderId="30" xfId="0" applyNumberFormat="1" applyFont="1" applyBorder="1" applyAlignment="1">
      <alignment horizontal="center" vertical="center" wrapText="1"/>
    </xf>
    <xf numFmtId="0" fontId="21" fillId="0" borderId="0" xfId="0" applyFont="1" applyAlignment="1">
      <alignment wrapText="1"/>
    </xf>
    <xf numFmtId="4" fontId="21" fillId="0" borderId="32" xfId="0" applyNumberFormat="1" applyFont="1" applyBorder="1" applyAlignment="1">
      <alignment horizontal="center" vertical="center" wrapText="1"/>
    </xf>
    <xf numFmtId="0" fontId="21" fillId="0" borderId="35" xfId="0" applyFont="1" applyBorder="1" applyAlignment="1">
      <alignment horizontal="left" vertical="center" wrapText="1"/>
    </xf>
    <xf numFmtId="9" fontId="21" fillId="0" borderId="35" xfId="1" applyFont="1" applyBorder="1" applyAlignment="1">
      <alignment horizontal="center" vertical="center" wrapText="1"/>
    </xf>
    <xf numFmtId="4" fontId="21" fillId="0" borderId="34" xfId="0" applyNumberFormat="1" applyFont="1" applyBorder="1" applyAlignment="1">
      <alignment horizontal="center" vertical="center" wrapText="1"/>
    </xf>
    <xf numFmtId="4" fontId="21" fillId="0" borderId="35" xfId="0" applyNumberFormat="1" applyFont="1" applyBorder="1" applyAlignment="1">
      <alignment horizontal="center" vertical="center" wrapText="1"/>
    </xf>
    <xf numFmtId="4" fontId="21" fillId="0" borderId="29" xfId="0" applyNumberFormat="1" applyFont="1" applyBorder="1" applyAlignment="1">
      <alignment horizontal="center" vertical="center"/>
    </xf>
    <xf numFmtId="4" fontId="21" fillId="0" borderId="34" xfId="0" applyNumberFormat="1" applyFont="1" applyBorder="1" applyAlignment="1">
      <alignment horizontal="center" vertical="center"/>
    </xf>
    <xf numFmtId="0" fontId="21" fillId="0" borderId="42" xfId="0" applyFont="1" applyBorder="1" applyAlignment="1">
      <alignment horizontal="center" vertical="center" wrapText="1"/>
    </xf>
    <xf numFmtId="0" fontId="21" fillId="0" borderId="42" xfId="0" applyFont="1" applyBorder="1" applyAlignment="1">
      <alignment horizontal="left" vertical="center" wrapText="1"/>
    </xf>
    <xf numFmtId="9" fontId="21" fillId="0" borderId="42" xfId="1" applyFont="1" applyBorder="1" applyAlignment="1">
      <alignment horizontal="center" vertical="center" wrapText="1"/>
    </xf>
    <xf numFmtId="4" fontId="21" fillId="0" borderId="41" xfId="0" applyNumberFormat="1" applyFont="1" applyBorder="1" applyAlignment="1">
      <alignment horizontal="center" vertical="center"/>
    </xf>
    <xf numFmtId="4" fontId="21" fillId="0" borderId="32" xfId="0" applyNumberFormat="1" applyFont="1" applyBorder="1" applyAlignment="1">
      <alignment horizontal="center" vertical="center"/>
    </xf>
    <xf numFmtId="171" fontId="21" fillId="0" borderId="30" xfId="1" applyNumberFormat="1" applyFont="1" applyBorder="1" applyAlignment="1">
      <alignment horizontal="center" vertical="center" wrapText="1"/>
    </xf>
    <xf numFmtId="171" fontId="21" fillId="0" borderId="35" xfId="1" applyNumberFormat="1" applyFont="1" applyBorder="1" applyAlignment="1">
      <alignment horizontal="center" vertical="center" wrapText="1"/>
    </xf>
    <xf numFmtId="2" fontId="21" fillId="0" borderId="41" xfId="0" applyNumberFormat="1" applyFont="1" applyBorder="1" applyAlignment="1">
      <alignment horizontal="center" vertical="center"/>
    </xf>
    <xf numFmtId="10" fontId="21" fillId="0" borderId="30" xfId="0" applyNumberFormat="1" applyFont="1" applyBorder="1" applyAlignment="1">
      <alignment horizontal="center" vertical="center" wrapText="1"/>
    </xf>
    <xf numFmtId="2" fontId="21" fillId="0" borderId="29" xfId="0" applyNumberFormat="1" applyFont="1" applyBorder="1" applyAlignment="1">
      <alignment horizontal="center" vertical="center"/>
    </xf>
    <xf numFmtId="10" fontId="21" fillId="0" borderId="35" xfId="0" applyNumberFormat="1" applyFont="1" applyBorder="1" applyAlignment="1">
      <alignment horizontal="center" vertical="center" wrapText="1"/>
    </xf>
    <xf numFmtId="2" fontId="21" fillId="0" borderId="34" xfId="0" applyNumberFormat="1" applyFont="1" applyBorder="1" applyAlignment="1">
      <alignment horizontal="center" vertical="center"/>
    </xf>
    <xf numFmtId="2" fontId="21" fillId="0" borderId="32" xfId="0" applyNumberFormat="1" applyFont="1" applyBorder="1" applyAlignment="1">
      <alignment horizontal="center" vertical="center"/>
    </xf>
    <xf numFmtId="4" fontId="21" fillId="0" borderId="29" xfId="0" applyNumberFormat="1" applyFont="1" applyFill="1" applyBorder="1" applyAlignment="1">
      <alignment horizontal="center" vertical="center"/>
    </xf>
    <xf numFmtId="4" fontId="21" fillId="0" borderId="34" xfId="0" applyNumberFormat="1" applyFont="1" applyFill="1" applyBorder="1" applyAlignment="1">
      <alignment horizontal="center" vertical="center"/>
    </xf>
    <xf numFmtId="0" fontId="21" fillId="0" borderId="30" xfId="0" applyFont="1" applyBorder="1" applyAlignment="1">
      <alignment horizontal="left"/>
    </xf>
    <xf numFmtId="10" fontId="21" fillId="0" borderId="30" xfId="0" applyNumberFormat="1" applyFont="1" applyBorder="1" applyAlignment="1">
      <alignment horizontal="center"/>
    </xf>
    <xf numFmtId="0" fontId="21" fillId="0" borderId="35" xfId="0" applyFont="1" applyBorder="1" applyAlignment="1">
      <alignment horizontal="left"/>
    </xf>
    <xf numFmtId="10" fontId="21" fillId="0" borderId="35" xfId="0" applyNumberFormat="1" applyFont="1" applyBorder="1" applyAlignment="1">
      <alignment horizontal="center"/>
    </xf>
    <xf numFmtId="4" fontId="21" fillId="0" borderId="7" xfId="0" applyNumberFormat="1" applyFont="1" applyBorder="1" applyAlignment="1">
      <alignment horizontal="center" vertical="center" wrapText="1"/>
    </xf>
    <xf numFmtId="0" fontId="21" fillId="0" borderId="41" xfId="0" applyFont="1" applyBorder="1" applyAlignment="1">
      <alignment horizontal="center" vertical="center" wrapText="1"/>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xf numFmtId="0" fontId="21" fillId="0" borderId="0" xfId="0" applyFont="1" applyAlignment="1">
      <alignment horizontal="center"/>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24" fillId="0" borderId="30" xfId="0" applyNumberFormat="1" applyFont="1" applyFill="1" applyBorder="1" applyAlignment="1">
      <alignment horizontal="center" vertical="center" wrapText="1"/>
    </xf>
    <xf numFmtId="1" fontId="24" fillId="0" borderId="4" xfId="0" applyNumberFormat="1" applyFont="1" applyFill="1" applyBorder="1" applyAlignment="1">
      <alignment horizontal="center" vertical="center" wrapText="1"/>
    </xf>
    <xf numFmtId="1" fontId="24" fillId="0" borderId="35"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7" xfId="0" applyFont="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24" fillId="0" borderId="30" xfId="0" applyNumberFormat="1" applyFont="1" applyFill="1" applyBorder="1" applyAlignment="1">
      <alignment horizontal="center" vertical="center" wrapText="1"/>
    </xf>
    <xf numFmtId="1" fontId="24" fillId="0" borderId="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 fontId="24" fillId="0" borderId="25" xfId="0" applyNumberFormat="1"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7" xfId="0" applyFont="1" applyBorder="1" applyAlignment="1">
      <alignment horizontal="left" vertical="center" wrapText="1"/>
    </xf>
    <xf numFmtId="9" fontId="21" fillId="0" borderId="7" xfId="1" applyFont="1" applyBorder="1" applyAlignment="1">
      <alignment horizontal="center" vertical="center" wrapText="1"/>
    </xf>
    <xf numFmtId="0" fontId="21" fillId="0" borderId="25" xfId="0" applyFont="1" applyBorder="1" applyAlignment="1">
      <alignment horizontal="left" vertical="center" wrapText="1"/>
    </xf>
    <xf numFmtId="9" fontId="21" fillId="0" borderId="25" xfId="1" applyFont="1" applyBorder="1" applyAlignment="1">
      <alignment horizontal="center" vertical="center" wrapText="1"/>
    </xf>
    <xf numFmtId="10" fontId="21" fillId="0" borderId="42" xfId="0" applyNumberFormat="1" applyFont="1" applyBorder="1" applyAlignment="1">
      <alignment horizontal="center" vertical="center" wrapText="1"/>
    </xf>
    <xf numFmtId="0" fontId="21" fillId="0" borderId="7" xfId="0" applyFont="1" applyBorder="1" applyAlignment="1">
      <alignment horizontal="left"/>
    </xf>
    <xf numFmtId="10" fontId="21" fillId="0" borderId="7" xfId="0" applyNumberFormat="1" applyFont="1" applyBorder="1" applyAlignment="1">
      <alignment horizontal="center"/>
    </xf>
    <xf numFmtId="0" fontId="17" fillId="0" borderId="0" xfId="0" applyFont="1" applyBorder="1" applyAlignment="1">
      <alignment vertical="center" wrapText="1"/>
    </xf>
    <xf numFmtId="0" fontId="14" fillId="0" borderId="0" xfId="0" applyFont="1" applyBorder="1" applyAlignment="1">
      <alignment vertical="center" wrapText="1"/>
    </xf>
    <xf numFmtId="0" fontId="21" fillId="0" borderId="27" xfId="0" applyFont="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 fontId="24" fillId="0" borderId="25"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14" fillId="0" borderId="7"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1" fontId="4" fillId="0" borderId="7" xfId="0" applyNumberFormat="1" applyFont="1" applyFill="1" applyBorder="1" applyAlignment="1">
      <alignment horizontal="center" vertical="center" wrapText="1"/>
    </xf>
    <xf numFmtId="9" fontId="4" fillId="0" borderId="7" xfId="12" applyFont="1" applyFill="1" applyBorder="1" applyAlignment="1">
      <alignment horizontal="center" vertical="center"/>
    </xf>
    <xf numFmtId="165"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67" fontId="4" fillId="0" borderId="7" xfId="0" applyNumberFormat="1" applyFont="1" applyFill="1" applyBorder="1" applyAlignment="1">
      <alignment horizontal="center" vertical="center" wrapText="1"/>
    </xf>
    <xf numFmtId="167" fontId="4" fillId="0" borderId="7" xfId="0" applyNumberFormat="1" applyFont="1" applyFill="1" applyBorder="1" applyAlignment="1">
      <alignment vertical="center"/>
    </xf>
    <xf numFmtId="167" fontId="4" fillId="0" borderId="7" xfId="0" applyNumberFormat="1" applyFont="1" applyFill="1" applyBorder="1" applyAlignment="1">
      <alignment horizontal="center" vertical="center"/>
    </xf>
    <xf numFmtId="3" fontId="4" fillId="0" borderId="7" xfId="1" applyNumberFormat="1" applyFont="1" applyFill="1" applyBorder="1" applyAlignment="1">
      <alignment horizontal="center" vertical="center"/>
    </xf>
    <xf numFmtId="4" fontId="4" fillId="0" borderId="7" xfId="1" applyNumberFormat="1" applyFont="1" applyFill="1" applyBorder="1" applyAlignment="1">
      <alignment horizontal="center" vertical="center"/>
    </xf>
    <xf numFmtId="4" fontId="4" fillId="0" borderId="7"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4" fillId="0" borderId="47" xfId="0" applyFont="1" applyFill="1" applyBorder="1" applyAlignment="1">
      <alignment horizontal="left" vertical="center" wrapText="1"/>
    </xf>
    <xf numFmtId="9" fontId="4" fillId="0" borderId="7" xfId="12" applyFont="1" applyFill="1" applyBorder="1" applyAlignment="1">
      <alignment horizontal="center" vertical="center" wrapText="1"/>
    </xf>
    <xf numFmtId="167" fontId="4" fillId="0" borderId="7" xfId="0" applyNumberFormat="1" applyFont="1" applyFill="1" applyBorder="1" applyAlignment="1">
      <alignment vertical="center" wrapText="1"/>
    </xf>
    <xf numFmtId="0" fontId="14" fillId="0" borderId="7" xfId="0" applyFont="1" applyFill="1" applyBorder="1" applyAlignment="1">
      <alignment horizontal="center" vertical="center" wrapText="1"/>
    </xf>
    <xf numFmtId="1" fontId="2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15" fillId="0" borderId="47" xfId="0" applyFont="1" applyFill="1" applyBorder="1" applyAlignment="1">
      <alignment horizontal="left" vertical="center" wrapText="1"/>
    </xf>
    <xf numFmtId="0" fontId="21" fillId="0" borderId="19" xfId="0" applyFont="1" applyBorder="1" applyAlignment="1">
      <alignment horizontal="center" vertical="center" wrapText="1"/>
    </xf>
    <xf numFmtId="41" fontId="21" fillId="0" borderId="42" xfId="0" applyNumberFormat="1" applyFont="1" applyBorder="1" applyAlignment="1">
      <alignment horizontal="center" vertical="center" wrapText="1"/>
    </xf>
    <xf numFmtId="0" fontId="6" fillId="0" borderId="30" xfId="0" applyFont="1" applyFill="1" applyBorder="1" applyAlignment="1">
      <alignment horizontal="left" vertical="center" wrapText="1"/>
    </xf>
    <xf numFmtId="0" fontId="6" fillId="0" borderId="30" xfId="0" applyFont="1" applyFill="1" applyBorder="1" applyAlignment="1">
      <alignment vertical="center" wrapText="1"/>
    </xf>
    <xf numFmtId="9" fontId="6" fillId="0" borderId="30"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wrapText="1"/>
    </xf>
    <xf numFmtId="167" fontId="6" fillId="0" borderId="30" xfId="0" applyNumberFormat="1" applyFont="1" applyFill="1" applyBorder="1" applyAlignment="1">
      <alignment vertical="center"/>
    </xf>
    <xf numFmtId="167" fontId="6" fillId="0" borderId="30" xfId="0" applyNumberFormat="1" applyFont="1" applyFill="1" applyBorder="1" applyAlignment="1">
      <alignment horizontal="center" vertical="center"/>
    </xf>
    <xf numFmtId="0" fontId="21" fillId="0" borderId="2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65" fontId="13" fillId="5" borderId="7" xfId="2"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7" xfId="0" applyFont="1" applyFill="1" applyBorder="1" applyAlignment="1">
      <alignment vertical="center" wrapText="1"/>
    </xf>
    <xf numFmtId="9" fontId="6" fillId="0" borderId="35"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wrapText="1"/>
    </xf>
    <xf numFmtId="167" fontId="6" fillId="0" borderId="35" xfId="0" applyNumberFormat="1" applyFont="1" applyFill="1" applyBorder="1" applyAlignment="1">
      <alignment vertical="center"/>
    </xf>
    <xf numFmtId="167" fontId="6" fillId="0" borderId="35"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0" fontId="0" fillId="0" borderId="0" xfId="0" applyNumberFormat="1" applyBorder="1" applyAlignment="1">
      <alignment vertical="center"/>
    </xf>
    <xf numFmtId="172" fontId="4" fillId="6" borderId="4" xfId="0" applyNumberFormat="1" applyFont="1" applyFill="1" applyBorder="1" applyAlignment="1">
      <alignment horizontal="center" vertical="center"/>
    </xf>
    <xf numFmtId="172" fontId="4" fillId="6" borderId="4" xfId="0" applyNumberFormat="1" applyFont="1" applyFill="1" applyBorder="1" applyAlignment="1">
      <alignment vertical="center" wrapText="1"/>
    </xf>
    <xf numFmtId="0" fontId="17" fillId="6" borderId="4" xfId="0" applyFont="1" applyFill="1" applyBorder="1" applyAlignment="1">
      <alignment vertical="center" wrapText="1"/>
    </xf>
    <xf numFmtId="172" fontId="4" fillId="0" borderId="4" xfId="0" applyNumberFormat="1" applyFont="1" applyFill="1" applyBorder="1" applyAlignment="1">
      <alignment vertical="center" wrapText="1"/>
    </xf>
    <xf numFmtId="0" fontId="17" fillId="0" borderId="4" xfId="0" applyFont="1" applyFill="1" applyBorder="1" applyAlignment="1">
      <alignment vertical="center" wrapText="1"/>
    </xf>
    <xf numFmtId="172" fontId="4" fillId="0" borderId="35" xfId="0" applyNumberFormat="1" applyFont="1" applyFill="1" applyBorder="1" applyAlignment="1">
      <alignment vertical="center" wrapText="1"/>
    </xf>
    <xf numFmtId="0" fontId="17" fillId="0" borderId="35" xfId="0" applyFont="1" applyFill="1" applyBorder="1" applyAlignment="1">
      <alignment vertical="center" wrapText="1"/>
    </xf>
    <xf numFmtId="172" fontId="4" fillId="0" borderId="30" xfId="0" applyNumberFormat="1" applyFont="1" applyFill="1" applyBorder="1" applyAlignment="1">
      <alignment vertical="center" wrapText="1"/>
    </xf>
    <xf numFmtId="0" fontId="17" fillId="0" borderId="30" xfId="0" applyFont="1" applyFill="1" applyBorder="1" applyAlignment="1">
      <alignment vertical="center" wrapText="1"/>
    </xf>
    <xf numFmtId="172" fontId="4" fillId="0" borderId="4" xfId="0" applyNumberFormat="1" applyFont="1" applyFill="1" applyBorder="1" applyAlignment="1">
      <alignment vertical="center"/>
    </xf>
    <xf numFmtId="172" fontId="4" fillId="0" borderId="30" xfId="0" applyNumberFormat="1" applyFont="1" applyFill="1" applyBorder="1" applyAlignment="1">
      <alignment vertical="center"/>
    </xf>
    <xf numFmtId="172" fontId="6" fillId="0" borderId="4" xfId="0" applyNumberFormat="1" applyFont="1" applyFill="1" applyBorder="1" applyAlignment="1">
      <alignment vertical="center"/>
    </xf>
    <xf numFmtId="14" fontId="15" fillId="0" borderId="4" xfId="10" applyNumberFormat="1" applyFont="1" applyBorder="1" applyAlignment="1">
      <alignment horizontal="center" vertical="center"/>
    </xf>
    <xf numFmtId="0" fontId="15" fillId="0" borderId="4" xfId="10" applyFont="1" applyBorder="1" applyAlignment="1">
      <alignment horizontal="justify" vertical="center" wrapText="1"/>
    </xf>
    <xf numFmtId="0" fontId="15" fillId="0" borderId="4" xfId="10" applyFont="1" applyBorder="1" applyAlignment="1">
      <alignment horizontal="center" vertical="center" wrapText="1"/>
    </xf>
    <xf numFmtId="14" fontId="15" fillId="0" borderId="25" xfId="10" applyNumberFormat="1" applyFont="1" applyBorder="1" applyAlignment="1">
      <alignment horizontal="center" vertical="center"/>
    </xf>
    <xf numFmtId="0" fontId="15" fillId="0" borderId="25" xfId="10" applyFont="1" applyBorder="1" applyAlignment="1">
      <alignment horizontal="justify" vertical="center" wrapText="1"/>
    </xf>
    <xf numFmtId="0" fontId="15" fillId="0" borderId="25" xfId="10" applyFont="1" applyBorder="1" applyAlignment="1">
      <alignment horizontal="center" vertical="center" wrapText="1"/>
    </xf>
    <xf numFmtId="172" fontId="15" fillId="0" borderId="4" xfId="64" applyNumberFormat="1" applyFont="1" applyBorder="1" applyAlignment="1">
      <alignment horizontal="center" vertical="center"/>
    </xf>
    <xf numFmtId="1" fontId="4" fillId="0" borderId="1" xfId="0" applyNumberFormat="1" applyFont="1" applyFill="1" applyBorder="1" applyAlignment="1">
      <alignment horizontal="center" vertical="center" wrapText="1"/>
    </xf>
    <xf numFmtId="172" fontId="15" fillId="0" borderId="25" xfId="64" applyNumberFormat="1" applyFont="1" applyBorder="1" applyAlignment="1">
      <alignment horizontal="center" vertical="center"/>
    </xf>
    <xf numFmtId="0" fontId="17" fillId="0" borderId="25" xfId="0" applyFont="1" applyFill="1" applyBorder="1" applyAlignment="1">
      <alignment vertical="center" wrapText="1"/>
    </xf>
    <xf numFmtId="4" fontId="4" fillId="0" borderId="35" xfId="0" applyNumberFormat="1" applyFont="1" applyFill="1" applyBorder="1" applyAlignment="1">
      <alignment horizontal="center" vertical="center"/>
    </xf>
    <xf numFmtId="172" fontId="4" fillId="0" borderId="35" xfId="0" applyNumberFormat="1" applyFont="1" applyFill="1" applyBorder="1" applyAlignment="1">
      <alignment horizontal="center" vertical="center"/>
    </xf>
    <xf numFmtId="14" fontId="4" fillId="0" borderId="35" xfId="0" applyNumberFormat="1" applyFont="1" applyFill="1" applyBorder="1" applyAlignment="1">
      <alignment horizontal="center" vertical="center"/>
    </xf>
    <xf numFmtId="14" fontId="4" fillId="0" borderId="35" xfId="12" applyNumberFormat="1" applyFont="1" applyFill="1" applyBorder="1" applyAlignment="1">
      <alignment horizontal="center" vertical="center"/>
    </xf>
    <xf numFmtId="9" fontId="4" fillId="0" borderId="35" xfId="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5" xfId="0" applyFont="1" applyFill="1" applyBorder="1" applyAlignment="1">
      <alignment vertical="center"/>
    </xf>
    <xf numFmtId="0" fontId="4" fillId="10" borderId="31" xfId="0" applyFont="1" applyFill="1" applyBorder="1" applyAlignment="1">
      <alignment horizontal="left" vertical="center" wrapText="1"/>
    </xf>
    <xf numFmtId="0" fontId="15" fillId="0" borderId="4" xfId="0" applyFont="1" applyBorder="1" applyAlignment="1">
      <alignment horizontal="center" vertical="center"/>
    </xf>
    <xf numFmtId="172" fontId="15" fillId="0" borderId="4" xfId="6" applyNumberFormat="1" applyFont="1" applyBorder="1" applyAlignment="1">
      <alignment vertical="center"/>
    </xf>
    <xf numFmtId="9" fontId="15" fillId="0" borderId="4" xfId="10" applyNumberFormat="1" applyFont="1" applyBorder="1" applyAlignment="1">
      <alignment horizontal="center" vertical="center"/>
    </xf>
    <xf numFmtId="0" fontId="15" fillId="0" borderId="4" xfId="10" applyFont="1" applyBorder="1" applyAlignment="1">
      <alignment horizontal="center" vertical="center"/>
    </xf>
    <xf numFmtId="9" fontId="15" fillId="0" borderId="4" xfId="12" applyFont="1" applyBorder="1" applyAlignment="1">
      <alignment horizontal="center" vertical="center"/>
    </xf>
    <xf numFmtId="172" fontId="15" fillId="0" borderId="35" xfId="64" applyNumberFormat="1" applyFont="1" applyBorder="1" applyAlignment="1">
      <alignment vertical="center"/>
    </xf>
    <xf numFmtId="9" fontId="15" fillId="0" borderId="35" xfId="10" applyNumberFormat="1" applyFont="1" applyBorder="1" applyAlignment="1">
      <alignment horizontal="center" vertical="center"/>
    </xf>
    <xf numFmtId="0" fontId="15" fillId="0" borderId="35" xfId="10" applyFont="1" applyBorder="1" applyAlignment="1">
      <alignment horizontal="justify" vertical="center" wrapText="1"/>
    </xf>
    <xf numFmtId="0" fontId="15" fillId="0" borderId="35" xfId="10" applyFont="1" applyBorder="1" applyAlignment="1">
      <alignment horizontal="center" vertical="center" wrapText="1"/>
    </xf>
    <xf numFmtId="172" fontId="15" fillId="0" borderId="4" xfId="64" applyNumberFormat="1" applyFont="1" applyBorder="1" applyAlignment="1">
      <alignment vertical="center"/>
    </xf>
    <xf numFmtId="0" fontId="15" fillId="0" borderId="4" xfId="10" applyFont="1" applyFill="1" applyBorder="1" applyAlignment="1">
      <alignment horizontal="justify" vertical="center" wrapText="1"/>
    </xf>
    <xf numFmtId="0" fontId="15" fillId="0" borderId="4" xfId="10" applyFont="1" applyFill="1" applyBorder="1" applyAlignment="1">
      <alignment horizontal="center" vertical="center" wrapText="1"/>
    </xf>
    <xf numFmtId="172" fontId="15" fillId="0" borderId="25" xfId="10" applyNumberFormat="1" applyFont="1" applyBorder="1" applyAlignment="1">
      <alignment horizontal="center" vertical="center"/>
    </xf>
    <xf numFmtId="9" fontId="15" fillId="0" borderId="25" xfId="10" applyNumberFormat="1" applyFont="1" applyBorder="1" applyAlignment="1">
      <alignment horizontal="center" vertical="center"/>
    </xf>
    <xf numFmtId="0" fontId="15" fillId="0" borderId="25" xfId="10" applyFont="1" applyFill="1" applyBorder="1" applyAlignment="1">
      <alignment horizontal="center" vertical="center" wrapText="1"/>
    </xf>
    <xf numFmtId="4" fontId="4" fillId="10" borderId="35" xfId="0" applyNumberFormat="1" applyFont="1" applyFill="1" applyBorder="1" applyAlignment="1">
      <alignment horizontal="center" vertical="center" wrapText="1"/>
    </xf>
    <xf numFmtId="172" fontId="4" fillId="0" borderId="35" xfId="0" applyNumberFormat="1" applyFont="1" applyFill="1" applyBorder="1" applyAlignment="1">
      <alignment vertical="center"/>
    </xf>
    <xf numFmtId="0" fontId="17" fillId="0" borderId="4"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11" borderId="30" xfId="0" applyFont="1" applyFill="1" applyBorder="1" applyAlignment="1">
      <alignment horizontal="center" vertical="center" wrapText="1"/>
    </xf>
    <xf numFmtId="0" fontId="17" fillId="11" borderId="30" xfId="0" applyFont="1" applyFill="1" applyBorder="1" applyAlignment="1">
      <alignment vertical="center" wrapText="1"/>
    </xf>
    <xf numFmtId="0" fontId="4" fillId="0" borderId="27" xfId="0" applyFont="1" applyFill="1" applyBorder="1" applyAlignment="1">
      <alignment horizontal="center" vertical="center" wrapText="1"/>
    </xf>
    <xf numFmtId="1" fontId="4" fillId="11" borderId="27" xfId="0" applyNumberFormat="1" applyFont="1" applyFill="1" applyBorder="1" applyAlignment="1">
      <alignment horizontal="center" vertical="center" wrapText="1"/>
    </xf>
    <xf numFmtId="9" fontId="4" fillId="11" borderId="27" xfId="12" applyFont="1" applyFill="1" applyBorder="1" applyAlignment="1">
      <alignment horizontal="center" vertical="center"/>
    </xf>
    <xf numFmtId="165" fontId="4" fillId="11" borderId="27" xfId="0" applyNumberFormat="1" applyFont="1" applyFill="1" applyBorder="1" applyAlignment="1">
      <alignment horizontal="center" vertical="center" wrapText="1"/>
    </xf>
    <xf numFmtId="0" fontId="4" fillId="11" borderId="27" xfId="0" applyNumberFormat="1" applyFont="1" applyFill="1" applyBorder="1" applyAlignment="1">
      <alignment horizontal="center" vertical="center" wrapText="1"/>
    </xf>
    <xf numFmtId="167" fontId="4" fillId="11" borderId="27" xfId="0" applyNumberFormat="1" applyFont="1" applyFill="1" applyBorder="1" applyAlignment="1">
      <alignment horizontal="center" vertical="center" wrapText="1"/>
    </xf>
    <xf numFmtId="167" fontId="4" fillId="11" borderId="27" xfId="0" applyNumberFormat="1" applyFont="1" applyFill="1" applyBorder="1" applyAlignment="1">
      <alignment vertical="center"/>
    </xf>
    <xf numFmtId="167" fontId="4" fillId="11" borderId="27" xfId="0" applyNumberFormat="1" applyFont="1" applyFill="1" applyBorder="1" applyAlignment="1">
      <alignment horizontal="center" vertical="center"/>
    </xf>
    <xf numFmtId="0" fontId="4" fillId="11" borderId="27" xfId="0" applyFont="1" applyFill="1" applyBorder="1" applyAlignment="1">
      <alignment horizontal="center" vertical="center"/>
    </xf>
    <xf numFmtId="3" fontId="4" fillId="11" borderId="27" xfId="1" applyNumberFormat="1" applyFont="1" applyFill="1" applyBorder="1" applyAlignment="1">
      <alignment horizontal="center" vertical="center"/>
    </xf>
    <xf numFmtId="4" fontId="4" fillId="11" borderId="27" xfId="1" applyNumberFormat="1" applyFont="1" applyFill="1" applyBorder="1" applyAlignment="1">
      <alignment horizontal="center" vertical="center"/>
    </xf>
    <xf numFmtId="4" fontId="4" fillId="11" borderId="27" xfId="0" applyNumberFormat="1" applyFont="1" applyFill="1" applyBorder="1" applyAlignment="1">
      <alignment horizontal="center" vertical="center" wrapText="1"/>
    </xf>
    <xf numFmtId="0" fontId="4" fillId="11" borderId="6" xfId="0" applyFont="1" applyFill="1" applyBorder="1" applyAlignment="1">
      <alignment vertical="center"/>
    </xf>
    <xf numFmtId="0" fontId="4" fillId="11" borderId="4" xfId="0" applyFont="1" applyFill="1" applyBorder="1" applyAlignment="1">
      <alignment vertical="center"/>
    </xf>
    <xf numFmtId="0" fontId="4" fillId="11" borderId="4" xfId="0" applyFont="1" applyFill="1" applyBorder="1" applyAlignment="1">
      <alignment horizontal="center" vertical="center"/>
    </xf>
    <xf numFmtId="0" fontId="17" fillId="11" borderId="4" xfId="0" applyFont="1" applyFill="1" applyBorder="1" applyAlignment="1">
      <alignment horizontal="center" vertical="center" wrapText="1"/>
    </xf>
    <xf numFmtId="0" fontId="17" fillId="11" borderId="4" xfId="0" applyFont="1" applyFill="1" applyBorder="1" applyAlignment="1">
      <alignment vertical="center" wrapText="1"/>
    </xf>
    <xf numFmtId="1" fontId="4" fillId="11" borderId="4" xfId="0" applyNumberFormat="1" applyFont="1" applyFill="1" applyBorder="1" applyAlignment="1">
      <alignment horizontal="center" vertical="center" wrapText="1"/>
    </xf>
    <xf numFmtId="0" fontId="4" fillId="11" borderId="33" xfId="0" applyFont="1" applyFill="1" applyBorder="1" applyAlignment="1">
      <alignment horizontal="left" vertical="center" wrapText="1"/>
    </xf>
    <xf numFmtId="0" fontId="15" fillId="11" borderId="33" xfId="0" applyFont="1" applyFill="1" applyBorder="1" applyAlignment="1">
      <alignment horizontal="left" vertical="center" wrapText="1"/>
    </xf>
    <xf numFmtId="0" fontId="4" fillId="11" borderId="35" xfId="0" applyFont="1" applyFill="1" applyBorder="1" applyAlignment="1">
      <alignment horizontal="center" vertical="center"/>
    </xf>
    <xf numFmtId="0" fontId="17" fillId="11" borderId="35" xfId="0" applyFont="1" applyFill="1" applyBorder="1" applyAlignment="1">
      <alignment horizontal="center" vertical="center" wrapText="1"/>
    </xf>
    <xf numFmtId="0" fontId="17" fillId="11" borderId="35" xfId="0" applyFont="1" applyFill="1" applyBorder="1" applyAlignment="1">
      <alignment vertical="center" wrapText="1"/>
    </xf>
    <xf numFmtId="1" fontId="4" fillId="11" borderId="35" xfId="0" applyNumberFormat="1" applyFont="1" applyFill="1" applyBorder="1" applyAlignment="1">
      <alignment horizontal="center" vertical="center" wrapText="1"/>
    </xf>
    <xf numFmtId="0" fontId="15" fillId="11" borderId="36" xfId="0" applyFont="1" applyFill="1" applyBorder="1" applyAlignment="1">
      <alignment horizontal="left" vertical="center" wrapText="1"/>
    </xf>
    <xf numFmtId="0" fontId="15" fillId="0" borderId="30" xfId="10" applyFont="1" applyBorder="1" applyAlignment="1">
      <alignment horizontal="center" vertical="center" wrapText="1"/>
    </xf>
    <xf numFmtId="0" fontId="15" fillId="0" borderId="30" xfId="10" applyFont="1" applyBorder="1" applyAlignment="1">
      <alignment horizontal="justify" vertical="center" wrapText="1"/>
    </xf>
    <xf numFmtId="9" fontId="15" fillId="0" borderId="30" xfId="10" applyNumberFormat="1" applyFont="1" applyBorder="1" applyAlignment="1">
      <alignment horizontal="center" vertical="center"/>
    </xf>
    <xf numFmtId="172" fontId="15" fillId="0" borderId="30" xfId="64" applyNumberFormat="1" applyFont="1" applyBorder="1" applyAlignment="1">
      <alignment horizontal="center" vertical="center"/>
    </xf>
    <xf numFmtId="0" fontId="15" fillId="0" borderId="4" xfId="10" applyFont="1" applyBorder="1" applyAlignment="1">
      <alignment horizontal="left" vertical="center" wrapText="1"/>
    </xf>
    <xf numFmtId="1" fontId="4" fillId="11" borderId="7" xfId="0" applyNumberFormat="1" applyFont="1" applyFill="1" applyBorder="1" applyAlignment="1">
      <alignment horizontal="center" vertical="center" wrapText="1"/>
    </xf>
    <xf numFmtId="0" fontId="15" fillId="0" borderId="26" xfId="10" applyFont="1" applyFill="1" applyBorder="1" applyAlignment="1">
      <alignment horizontal="center" vertical="center" wrapText="1"/>
    </xf>
    <xf numFmtId="0" fontId="15" fillId="0" borderId="26" xfId="10" applyFont="1" applyFill="1" applyBorder="1" applyAlignment="1">
      <alignment horizontal="justify" vertical="center" wrapText="1"/>
    </xf>
    <xf numFmtId="1" fontId="4" fillId="0" borderId="26" xfId="0" applyNumberFormat="1" applyFont="1" applyFill="1" applyBorder="1" applyAlignment="1">
      <alignment horizontal="center" vertical="center" wrapText="1"/>
    </xf>
    <xf numFmtId="9" fontId="15" fillId="0" borderId="26" xfId="10" applyNumberFormat="1" applyFont="1" applyBorder="1" applyAlignment="1">
      <alignment horizontal="center" vertical="center"/>
    </xf>
    <xf numFmtId="165" fontId="4" fillId="0" borderId="26"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167" fontId="4" fillId="0" borderId="26" xfId="0" applyNumberFormat="1" applyFont="1" applyFill="1" applyBorder="1" applyAlignment="1">
      <alignment horizontal="center" vertical="center" wrapText="1"/>
    </xf>
    <xf numFmtId="172" fontId="15" fillId="0" borderId="26" xfId="64" applyNumberFormat="1" applyFont="1" applyBorder="1" applyAlignment="1">
      <alignment vertical="center"/>
    </xf>
    <xf numFmtId="167" fontId="4" fillId="0" borderId="26" xfId="0" applyNumberFormat="1" applyFont="1" applyFill="1" applyBorder="1" applyAlignment="1">
      <alignment horizontal="center" vertical="center"/>
    </xf>
    <xf numFmtId="0" fontId="4" fillId="0" borderId="26" xfId="0" applyFont="1" applyFill="1" applyBorder="1" applyAlignment="1">
      <alignment horizontal="center" vertical="center"/>
    </xf>
    <xf numFmtId="3" fontId="4" fillId="0" borderId="26" xfId="1" applyNumberFormat="1" applyFont="1" applyFill="1" applyBorder="1" applyAlignment="1">
      <alignment horizontal="center" vertical="center"/>
    </xf>
    <xf numFmtId="4" fontId="4" fillId="0" borderId="26" xfId="1" applyNumberFormat="1" applyFont="1" applyFill="1" applyBorder="1" applyAlignment="1">
      <alignment horizontal="center" vertical="center"/>
    </xf>
    <xf numFmtId="4" fontId="4" fillId="0" borderId="26" xfId="0" applyNumberFormat="1" applyFont="1" applyFill="1" applyBorder="1" applyAlignment="1">
      <alignment horizontal="center" vertical="center" wrapText="1"/>
    </xf>
    <xf numFmtId="0" fontId="17" fillId="11" borderId="27" xfId="0" applyFont="1" applyFill="1" applyBorder="1" applyAlignment="1">
      <alignment horizontal="center" vertical="center" wrapText="1"/>
    </xf>
    <xf numFmtId="0" fontId="27" fillId="0" borderId="30" xfId="10" applyFont="1" applyBorder="1" applyAlignment="1">
      <alignment horizontal="center" vertical="center"/>
    </xf>
    <xf numFmtId="9" fontId="15" fillId="0" borderId="30" xfId="12" applyFont="1" applyBorder="1" applyAlignment="1">
      <alignment horizontal="center" vertical="center"/>
    </xf>
    <xf numFmtId="14" fontId="15" fillId="0" borderId="30" xfId="10" applyNumberFormat="1" applyFont="1" applyBorder="1" applyAlignment="1">
      <alignment horizontal="center" vertical="center"/>
    </xf>
    <xf numFmtId="14" fontId="15" fillId="0" borderId="27" xfId="10" applyNumberFormat="1" applyFont="1" applyBorder="1" applyAlignment="1">
      <alignment horizontal="center" vertical="center"/>
    </xf>
    <xf numFmtId="0" fontId="4" fillId="0" borderId="27" xfId="0" applyNumberFormat="1" applyFont="1" applyFill="1" applyBorder="1" applyAlignment="1">
      <alignment horizontal="center" vertical="center" wrapText="1"/>
    </xf>
    <xf numFmtId="167" fontId="4" fillId="0" borderId="27" xfId="0" applyNumberFormat="1" applyFont="1" applyFill="1" applyBorder="1" applyAlignment="1">
      <alignment horizontal="center" vertical="center" wrapText="1"/>
    </xf>
    <xf numFmtId="172" fontId="15" fillId="0" borderId="27" xfId="6" applyNumberFormat="1" applyFont="1" applyBorder="1" applyAlignment="1">
      <alignment vertical="center"/>
    </xf>
    <xf numFmtId="0" fontId="4" fillId="0" borderId="27" xfId="0" applyFont="1" applyFill="1" applyBorder="1" applyAlignment="1">
      <alignment horizontal="center" vertical="center"/>
    </xf>
    <xf numFmtId="3" fontId="4" fillId="0" borderId="27" xfId="1" applyNumberFormat="1" applyFont="1" applyFill="1" applyBorder="1" applyAlignment="1">
      <alignment horizontal="center" vertical="center"/>
    </xf>
    <xf numFmtId="4" fontId="4" fillId="0" borderId="27" xfId="1" applyNumberFormat="1" applyFont="1" applyFill="1" applyBorder="1" applyAlignment="1">
      <alignment horizontal="center" vertical="center"/>
    </xf>
    <xf numFmtId="4" fontId="4" fillId="0" borderId="27" xfId="0" applyNumberFormat="1" applyFont="1" applyFill="1" applyBorder="1" applyAlignment="1">
      <alignment horizontal="center" vertical="center" wrapText="1"/>
    </xf>
    <xf numFmtId="0" fontId="17" fillId="11" borderId="7" xfId="0" applyFont="1" applyFill="1" applyBorder="1" applyAlignment="1">
      <alignment horizontal="center" vertical="center" wrapText="1"/>
    </xf>
    <xf numFmtId="0" fontId="27" fillId="0" borderId="4" xfId="10" applyFont="1" applyBorder="1" applyAlignment="1">
      <alignment horizontal="center" vertical="center"/>
    </xf>
    <xf numFmtId="0" fontId="17" fillId="0" borderId="35" xfId="0" applyFont="1" applyFill="1" applyBorder="1" applyAlignment="1">
      <alignment horizontal="center" vertical="center"/>
    </xf>
    <xf numFmtId="0" fontId="27" fillId="0" borderId="35" xfId="10" applyFont="1" applyBorder="1" applyAlignment="1">
      <alignment horizontal="center" vertical="center"/>
    </xf>
    <xf numFmtId="9" fontId="15" fillId="0" borderId="35" xfId="12" applyFont="1" applyBorder="1" applyAlignment="1">
      <alignment horizontal="center" vertical="center"/>
    </xf>
    <xf numFmtId="14" fontId="15" fillId="0" borderId="35" xfId="10" applyNumberFormat="1" applyFont="1" applyBorder="1" applyAlignment="1">
      <alignment horizontal="center" vertical="center"/>
    </xf>
    <xf numFmtId="172" fontId="15" fillId="0" borderId="35" xfId="6" applyNumberFormat="1" applyFont="1" applyBorder="1" applyAlignment="1">
      <alignment vertical="center"/>
    </xf>
    <xf numFmtId="1" fontId="4" fillId="11" borderId="30" xfId="0" applyNumberFormat="1" applyFont="1" applyFill="1" applyBorder="1" applyAlignment="1">
      <alignment horizontal="center" vertical="center" wrapText="1"/>
    </xf>
    <xf numFmtId="1" fontId="4" fillId="10" borderId="30" xfId="0" applyNumberFormat="1" applyFont="1" applyFill="1" applyBorder="1" applyAlignment="1">
      <alignment horizontal="center" vertical="center" wrapText="1"/>
    </xf>
    <xf numFmtId="0" fontId="4" fillId="11" borderId="4" xfId="0" applyFont="1" applyFill="1" applyBorder="1" applyAlignment="1">
      <alignment horizontal="left" vertical="center" wrapText="1"/>
    </xf>
    <xf numFmtId="0" fontId="4" fillId="11" borderId="35" xfId="0" applyFont="1" applyFill="1" applyBorder="1" applyAlignment="1">
      <alignment horizontal="left" vertical="center" wrapText="1"/>
    </xf>
    <xf numFmtId="0" fontId="4" fillId="11" borderId="35" xfId="0" applyFont="1" applyFill="1" applyBorder="1" applyAlignment="1">
      <alignment vertical="center" wrapText="1"/>
    </xf>
    <xf numFmtId="9" fontId="4" fillId="11" borderId="35" xfId="12" applyFont="1" applyFill="1" applyBorder="1" applyAlignment="1">
      <alignment horizontal="center" vertical="center"/>
    </xf>
    <xf numFmtId="165" fontId="4" fillId="11" borderId="35" xfId="0" applyNumberFormat="1" applyFont="1" applyFill="1" applyBorder="1" applyAlignment="1">
      <alignment horizontal="center" vertical="center" wrapText="1"/>
    </xf>
    <xf numFmtId="0" fontId="4" fillId="11" borderId="35" xfId="0" applyNumberFormat="1" applyFont="1" applyFill="1" applyBorder="1" applyAlignment="1">
      <alignment horizontal="center" vertical="center" wrapText="1"/>
    </xf>
    <xf numFmtId="167" fontId="4" fillId="11" borderId="35" xfId="0" applyNumberFormat="1" applyFont="1" applyFill="1" applyBorder="1" applyAlignment="1">
      <alignment horizontal="center" vertical="center" wrapText="1"/>
    </xf>
    <xf numFmtId="167" fontId="4" fillId="11" borderId="35" xfId="0" applyNumberFormat="1" applyFont="1" applyFill="1" applyBorder="1" applyAlignment="1">
      <alignment vertical="center"/>
    </xf>
    <xf numFmtId="167" fontId="4" fillId="11" borderId="35" xfId="0" applyNumberFormat="1" applyFont="1" applyFill="1" applyBorder="1" applyAlignment="1">
      <alignment horizontal="center" vertical="center"/>
    </xf>
    <xf numFmtId="3" fontId="4" fillId="11" borderId="35" xfId="1" applyNumberFormat="1" applyFont="1" applyFill="1" applyBorder="1" applyAlignment="1">
      <alignment horizontal="center" vertical="center"/>
    </xf>
    <xf numFmtId="4" fontId="4" fillId="11" borderId="35" xfId="1" applyNumberFormat="1" applyFont="1" applyFill="1" applyBorder="1" applyAlignment="1">
      <alignment horizontal="center" vertical="center"/>
    </xf>
    <xf numFmtId="4" fontId="4" fillId="11" borderId="35" xfId="0" applyNumberFormat="1" applyFont="1" applyFill="1" applyBorder="1" applyAlignment="1">
      <alignment horizontal="center" vertical="center" wrapText="1"/>
    </xf>
    <xf numFmtId="4" fontId="21" fillId="0" borderId="48" xfId="0" applyNumberFormat="1" applyFont="1" applyBorder="1" applyAlignment="1">
      <alignment horizontal="center" vertical="center" wrapText="1"/>
    </xf>
    <xf numFmtId="164" fontId="4" fillId="0" borderId="30" xfId="64" applyFont="1" applyFill="1" applyBorder="1" applyAlignment="1">
      <alignment vertical="center"/>
    </xf>
    <xf numFmtId="0" fontId="4" fillId="0" borderId="30" xfId="1" applyNumberFormat="1" applyFont="1" applyFill="1" applyBorder="1" applyAlignment="1">
      <alignment horizontal="center" vertical="center"/>
    </xf>
    <xf numFmtId="173" fontId="4" fillId="0" borderId="30" xfId="0" applyNumberFormat="1" applyFont="1" applyFill="1" applyBorder="1" applyAlignment="1">
      <alignment horizontal="center" vertical="center" wrapText="1"/>
    </xf>
    <xf numFmtId="167" fontId="4" fillId="0" borderId="6" xfId="0" applyNumberFormat="1" applyFont="1" applyFill="1" applyBorder="1" applyAlignment="1">
      <alignment vertical="center"/>
    </xf>
    <xf numFmtId="164" fontId="4" fillId="0" borderId="4" xfId="64" applyFont="1" applyFill="1" applyBorder="1" applyAlignment="1">
      <alignment vertical="center"/>
    </xf>
    <xf numFmtId="0" fontId="4" fillId="0" borderId="4" xfId="1" applyNumberFormat="1" applyFont="1" applyFill="1" applyBorder="1" applyAlignment="1">
      <alignment horizontal="center" vertical="center"/>
    </xf>
    <xf numFmtId="173" fontId="4" fillId="0" borderId="4"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74" fontId="4" fillId="0" borderId="4" xfId="0" applyNumberFormat="1" applyFont="1" applyFill="1" applyBorder="1" applyAlignment="1">
      <alignment horizontal="center" vertical="center"/>
    </xf>
    <xf numFmtId="10" fontId="4" fillId="0" borderId="30" xfId="12" applyNumberFormat="1" applyFont="1" applyFill="1" applyBorder="1" applyAlignment="1">
      <alignment horizontal="center" vertical="center"/>
    </xf>
    <xf numFmtId="173" fontId="4" fillId="0" borderId="27" xfId="0" applyNumberFormat="1" applyFont="1" applyFill="1" applyBorder="1" applyAlignment="1">
      <alignment vertical="center"/>
    </xf>
    <xf numFmtId="167" fontId="4" fillId="0" borderId="27" xfId="0" applyNumberFormat="1" applyFont="1" applyFill="1" applyBorder="1" applyAlignment="1">
      <alignment horizontal="center" vertical="center"/>
    </xf>
    <xf numFmtId="173" fontId="4" fillId="0" borderId="4" xfId="0" applyNumberFormat="1" applyFont="1" applyFill="1" applyBorder="1" applyAlignment="1">
      <alignment vertical="center"/>
    </xf>
    <xf numFmtId="164" fontId="4" fillId="0" borderId="35" xfId="0" applyNumberFormat="1" applyFont="1" applyFill="1" applyBorder="1" applyAlignment="1">
      <alignment vertical="center"/>
    </xf>
    <xf numFmtId="173" fontId="4" fillId="0" borderId="35" xfId="0" applyNumberFormat="1" applyFont="1" applyFill="1" applyBorder="1" applyAlignment="1">
      <alignment horizontal="center" vertical="center" wrapText="1"/>
    </xf>
    <xf numFmtId="3" fontId="4" fillId="0" borderId="30" xfId="0" applyNumberFormat="1" applyFont="1" applyFill="1" applyBorder="1" applyAlignment="1">
      <alignment vertical="center"/>
    </xf>
    <xf numFmtId="3" fontId="4" fillId="0" borderId="4" xfId="0" applyNumberFormat="1" applyFont="1" applyFill="1" applyBorder="1" applyAlignment="1">
      <alignment vertical="center"/>
    </xf>
    <xf numFmtId="167" fontId="4" fillId="0" borderId="4" xfId="0" applyNumberFormat="1" applyFont="1" applyFill="1" applyBorder="1" applyAlignment="1">
      <alignment horizontal="right" vertical="center"/>
    </xf>
    <xf numFmtId="173" fontId="4" fillId="0" borderId="30" xfId="0" applyNumberFormat="1" applyFont="1" applyFill="1" applyBorder="1" applyAlignment="1">
      <alignment vertical="center"/>
    </xf>
    <xf numFmtId="178" fontId="4" fillId="0" borderId="30" xfId="65" applyNumberFormat="1" applyFont="1" applyFill="1" applyBorder="1" applyAlignment="1">
      <alignment horizontal="center" vertical="center"/>
    </xf>
    <xf numFmtId="177" fontId="4" fillId="0" borderId="30" xfId="1" applyNumberFormat="1" applyFont="1" applyFill="1" applyBorder="1" applyAlignment="1">
      <alignment horizontal="center" vertical="center"/>
    </xf>
    <xf numFmtId="175" fontId="4" fillId="0" borderId="30" xfId="65" applyFont="1" applyFill="1" applyBorder="1" applyAlignment="1">
      <alignment horizontal="center" vertical="center"/>
    </xf>
    <xf numFmtId="9" fontId="30" fillId="0" borderId="24" xfId="66" applyNumberFormat="1" applyFont="1" applyBorder="1" applyAlignment="1">
      <alignment horizontal="center" vertical="center"/>
    </xf>
    <xf numFmtId="14" fontId="32" fillId="0" borderId="24" xfId="66" applyNumberFormat="1" applyFont="1" applyBorder="1" applyAlignment="1">
      <alignment vertical="center" wrapText="1"/>
    </xf>
    <xf numFmtId="14" fontId="30" fillId="0" borderId="24" xfId="66" applyNumberFormat="1" applyFont="1" applyBorder="1" applyAlignment="1">
      <alignment vertical="center"/>
    </xf>
    <xf numFmtId="0" fontId="30" fillId="0" borderId="24" xfId="66" applyFont="1" applyBorder="1" applyAlignment="1">
      <alignment horizontal="center" vertical="center"/>
    </xf>
    <xf numFmtId="0" fontId="31" fillId="0" borderId="4" xfId="66" applyFont="1" applyBorder="1" applyAlignment="1">
      <alignment horizontal="justify" vertical="justify"/>
    </xf>
    <xf numFmtId="9" fontId="30" fillId="0" borderId="6" xfId="66" applyNumberFormat="1" applyFont="1" applyBorder="1" applyAlignment="1">
      <alignment horizontal="center" vertical="center"/>
    </xf>
    <xf numFmtId="14" fontId="32" fillId="0" borderId="6" xfId="66" applyNumberFormat="1" applyFont="1" applyBorder="1" applyAlignment="1">
      <alignment vertical="center" wrapText="1"/>
    </xf>
    <xf numFmtId="14" fontId="30" fillId="0" borderId="6" xfId="66" applyNumberFormat="1" applyFont="1" applyBorder="1" applyAlignment="1">
      <alignment vertical="center"/>
    </xf>
    <xf numFmtId="0" fontId="31" fillId="0" borderId="4" xfId="66" applyFont="1" applyBorder="1" applyAlignment="1">
      <alignment horizontal="justify" vertical="justify" wrapText="1"/>
    </xf>
    <xf numFmtId="0" fontId="33" fillId="0" borderId="4" xfId="10" applyFont="1" applyBorder="1" applyAlignment="1">
      <alignment horizontal="center" vertical="center" wrapText="1"/>
    </xf>
    <xf numFmtId="0" fontId="34" fillId="0" borderId="4" xfId="10" applyFont="1" applyBorder="1" applyAlignment="1">
      <alignment horizontal="justify" vertical="center" wrapText="1"/>
    </xf>
    <xf numFmtId="9" fontId="30" fillId="0" borderId="4" xfId="10" applyNumberFormat="1" applyFont="1" applyBorder="1" applyAlignment="1">
      <alignment horizontal="center" vertical="center"/>
    </xf>
    <xf numFmtId="14" fontId="33" fillId="0" borderId="4" xfId="10" applyNumberFormat="1" applyFont="1" applyBorder="1" applyAlignment="1">
      <alignment vertical="center" wrapText="1"/>
    </xf>
    <xf numFmtId="14" fontId="30" fillId="0" borderId="4" xfId="10" applyNumberFormat="1" applyFont="1" applyBorder="1" applyAlignment="1">
      <alignment horizontal="right" vertical="center"/>
    </xf>
    <xf numFmtId="0" fontId="30" fillId="0" borderId="4" xfId="10" applyFont="1" applyBorder="1" applyAlignment="1">
      <alignment horizontal="center" vertical="center" wrapText="1"/>
    </xf>
    <xf numFmtId="0" fontId="30" fillId="0" borderId="4" xfId="10" applyFont="1" applyBorder="1" applyAlignment="1">
      <alignment horizontal="justify" vertical="center" wrapText="1"/>
    </xf>
    <xf numFmtId="14" fontId="30" fillId="0" borderId="4" xfId="10" applyNumberFormat="1" applyFont="1" applyBorder="1" applyAlignment="1">
      <alignment horizontal="center" vertical="center"/>
    </xf>
    <xf numFmtId="0" fontId="17" fillId="0" borderId="4" xfId="0" applyFont="1" applyFill="1" applyBorder="1" applyAlignment="1">
      <alignment horizontal="center" vertical="center"/>
    </xf>
    <xf numFmtId="15" fontId="15" fillId="0" borderId="4" xfId="0" applyNumberFormat="1" applyFont="1" applyFill="1" applyBorder="1" applyAlignment="1" applyProtection="1">
      <alignment horizontal="center" vertical="center" wrapText="1"/>
    </xf>
    <xf numFmtId="0" fontId="17" fillId="0" borderId="30" xfId="0" applyFont="1" applyFill="1" applyBorder="1" applyAlignment="1">
      <alignment horizontal="center" vertical="center"/>
    </xf>
    <xf numFmtId="0" fontId="36" fillId="0" borderId="4" xfId="10" applyFont="1" applyBorder="1" applyAlignment="1">
      <alignment horizontal="center" vertical="center" wrapText="1"/>
    </xf>
    <xf numFmtId="0" fontId="30" fillId="0" borderId="4" xfId="10" applyFont="1" applyBorder="1" applyAlignment="1">
      <alignment vertical="center" wrapText="1"/>
    </xf>
    <xf numFmtId="9" fontId="36" fillId="0" borderId="4" xfId="1" applyFont="1" applyBorder="1" applyAlignment="1">
      <alignment horizontal="center" vertical="center" wrapText="1"/>
    </xf>
    <xf numFmtId="179" fontId="36" fillId="0" borderId="4" xfId="10" applyNumberFormat="1" applyFont="1" applyBorder="1" applyAlignment="1">
      <alignment horizontal="center" vertical="center"/>
    </xf>
    <xf numFmtId="0" fontId="37" fillId="0" borderId="4" xfId="10" applyFont="1" applyBorder="1" applyAlignment="1">
      <alignment horizontal="center" vertical="center" wrapText="1"/>
    </xf>
    <xf numFmtId="0" fontId="37" fillId="0" borderId="4" xfId="10" applyFont="1" applyBorder="1" applyAlignment="1">
      <alignment horizontal="justify" vertical="center" wrapText="1"/>
    </xf>
    <xf numFmtId="9" fontId="37" fillId="0" borderId="4" xfId="10" applyNumberFormat="1" applyFont="1" applyBorder="1" applyAlignment="1">
      <alignment horizontal="center" vertical="center" wrapText="1"/>
    </xf>
    <xf numFmtId="14" fontId="37" fillId="0" borderId="4" xfId="10" applyNumberFormat="1" applyFont="1" applyBorder="1" applyAlignment="1">
      <alignment horizontal="center" vertical="center" wrapText="1"/>
    </xf>
    <xf numFmtId="0" fontId="37" fillId="0" borderId="4" xfId="10" applyFont="1" applyFill="1" applyBorder="1" applyAlignment="1">
      <alignment horizontal="center" vertical="center" wrapText="1"/>
    </xf>
    <xf numFmtId="0" fontId="37" fillId="0" borderId="4" xfId="10" applyFont="1" applyFill="1" applyBorder="1" applyAlignment="1">
      <alignment horizontal="justify" vertical="center" wrapText="1"/>
    </xf>
    <xf numFmtId="9" fontId="37" fillId="0" borderId="4" xfId="10" applyNumberFormat="1" applyFont="1" applyFill="1" applyBorder="1" applyAlignment="1">
      <alignment horizontal="center" vertical="center" wrapText="1"/>
    </xf>
    <xf numFmtId="14" fontId="37" fillId="0" borderId="4" xfId="1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4" fillId="0" borderId="35" xfId="1"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17" fillId="6" borderId="4" xfId="0" applyFont="1" applyFill="1" applyBorder="1" applyAlignment="1">
      <alignment horizontal="center" vertical="center"/>
    </xf>
    <xf numFmtId="0" fontId="39" fillId="0" borderId="4" xfId="10" applyFont="1" applyBorder="1" applyAlignment="1">
      <alignment horizontal="center" vertical="center" wrapText="1"/>
    </xf>
    <xf numFmtId="0" fontId="39" fillId="0" borderId="4" xfId="10" applyFont="1" applyBorder="1" applyAlignment="1">
      <alignment horizontal="left" vertical="center" wrapText="1"/>
    </xf>
    <xf numFmtId="0" fontId="30" fillId="0" borderId="24" xfId="0" applyFont="1" applyBorder="1" applyAlignment="1">
      <alignment horizontal="center" vertical="center"/>
    </xf>
    <xf numFmtId="0" fontId="31" fillId="0" borderId="25" xfId="0" applyFont="1" applyBorder="1" applyAlignment="1">
      <alignment vertical="center" wrapText="1"/>
    </xf>
    <xf numFmtId="14" fontId="40" fillId="0" borderId="24" xfId="0" applyNumberFormat="1" applyFont="1" applyBorder="1" applyAlignment="1">
      <alignment vertical="center" wrapText="1"/>
    </xf>
    <xf numFmtId="14" fontId="30" fillId="0" borderId="24" xfId="0" applyNumberFormat="1" applyFont="1" applyBorder="1" applyAlignment="1">
      <alignment vertical="center"/>
    </xf>
    <xf numFmtId="14" fontId="40" fillId="0" borderId="6" xfId="0" applyNumberFormat="1" applyFont="1" applyBorder="1" applyAlignment="1">
      <alignment vertical="center" wrapText="1"/>
    </xf>
    <xf numFmtId="14" fontId="30" fillId="0" borderId="6" xfId="0" applyNumberFormat="1" applyFont="1" applyBorder="1" applyAlignment="1">
      <alignment vertical="center"/>
    </xf>
    <xf numFmtId="0" fontId="17" fillId="0" borderId="25" xfId="0" applyFont="1" applyFill="1" applyBorder="1" applyAlignment="1">
      <alignment horizontal="center" vertical="center"/>
    </xf>
    <xf numFmtId="9" fontId="30" fillId="0" borderId="4" xfId="1" applyFont="1" applyBorder="1" applyAlignment="1">
      <alignment horizontal="center" vertical="center"/>
    </xf>
    <xf numFmtId="9" fontId="30" fillId="0" borderId="4" xfId="10" applyNumberFormat="1" applyFont="1" applyBorder="1" applyAlignment="1">
      <alignment horizontal="center" vertical="center" wrapText="1"/>
    </xf>
    <xf numFmtId="0" fontId="41" fillId="0" borderId="4" xfId="10" applyFont="1" applyBorder="1" applyAlignment="1">
      <alignment vertical="center" wrapText="1"/>
    </xf>
    <xf numFmtId="9" fontId="36" fillId="0" borderId="4" xfId="1" applyFont="1" applyBorder="1" applyAlignment="1">
      <alignment horizontal="center" vertical="center"/>
    </xf>
    <xf numFmtId="0" fontId="42" fillId="0" borderId="4" xfId="10" applyFont="1" applyBorder="1" applyAlignment="1">
      <alignment horizontal="center" vertical="center" wrapText="1"/>
    </xf>
    <xf numFmtId="0" fontId="42" fillId="0" borderId="4" xfId="10" applyFont="1" applyBorder="1" applyAlignment="1">
      <alignment horizontal="justify" vertical="center"/>
    </xf>
    <xf numFmtId="9" fontId="42" fillId="0" borderId="4" xfId="10" applyNumberFormat="1" applyFont="1" applyBorder="1" applyAlignment="1">
      <alignment horizontal="center" vertical="center" wrapText="1"/>
    </xf>
    <xf numFmtId="14" fontId="42" fillId="0" borderId="4" xfId="10" applyNumberFormat="1" applyFont="1" applyBorder="1" applyAlignment="1">
      <alignment horizontal="center" vertical="center" wrapText="1"/>
    </xf>
    <xf numFmtId="14" fontId="42" fillId="0" borderId="4" xfId="10" applyNumberFormat="1" applyFont="1" applyFill="1" applyBorder="1" applyAlignment="1">
      <alignment horizontal="center" vertical="center"/>
    </xf>
    <xf numFmtId="167" fontId="15" fillId="0" borderId="4"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0" fontId="17" fillId="0" borderId="7" xfId="0" applyFont="1" applyFill="1" applyBorder="1" applyAlignment="1">
      <alignment horizontal="center" vertical="center"/>
    </xf>
    <xf numFmtId="0" fontId="14" fillId="11" borderId="30" xfId="0" applyFont="1" applyFill="1" applyBorder="1" applyAlignment="1">
      <alignment horizontal="center" vertical="center" wrapText="1"/>
    </xf>
    <xf numFmtId="0" fontId="14" fillId="11" borderId="30" xfId="0" applyFont="1" applyFill="1" applyBorder="1" applyAlignment="1">
      <alignment vertical="center" wrapText="1"/>
    </xf>
    <xf numFmtId="165" fontId="4" fillId="11" borderId="30" xfId="0" applyNumberFormat="1" applyFont="1" applyFill="1" applyBorder="1" applyAlignment="1">
      <alignment horizontal="center" vertical="center" wrapText="1"/>
    </xf>
    <xf numFmtId="167" fontId="4" fillId="11" borderId="30" xfId="0" applyNumberFormat="1" applyFont="1" applyFill="1" applyBorder="1" applyAlignment="1">
      <alignment vertical="center"/>
    </xf>
    <xf numFmtId="0" fontId="4" fillId="11" borderId="31" xfId="0" applyFont="1" applyFill="1" applyBorder="1" applyAlignment="1">
      <alignment horizontal="left" vertical="center" wrapText="1"/>
    </xf>
    <xf numFmtId="0" fontId="43" fillId="0" borderId="25" xfId="0" applyFont="1" applyFill="1" applyBorder="1" applyAlignment="1">
      <alignment horizontal="center" vertical="center"/>
    </xf>
    <xf numFmtId="0" fontId="43" fillId="0" borderId="25" xfId="0" applyFont="1" applyFill="1" applyBorder="1" applyAlignment="1">
      <alignment horizontal="center" vertical="center" wrapText="1"/>
    </xf>
    <xf numFmtId="0" fontId="43" fillId="0" borderId="25" xfId="0" applyFont="1" applyFill="1" applyBorder="1" applyAlignment="1">
      <alignment vertical="center" wrapText="1"/>
    </xf>
    <xf numFmtId="1" fontId="43" fillId="0" borderId="25" xfId="0" applyNumberFormat="1" applyFont="1" applyFill="1" applyBorder="1" applyAlignment="1">
      <alignment horizontal="center" vertical="center" wrapText="1"/>
    </xf>
    <xf numFmtId="3" fontId="43" fillId="0" borderId="4" xfId="1" applyNumberFormat="1" applyFont="1" applyFill="1" applyBorder="1" applyAlignment="1">
      <alignment horizontal="center" vertical="center"/>
    </xf>
    <xf numFmtId="4" fontId="43" fillId="0" borderId="25" xfId="1" applyNumberFormat="1" applyFont="1" applyFill="1" applyBorder="1" applyAlignment="1">
      <alignment horizontal="center" vertical="center"/>
    </xf>
    <xf numFmtId="4" fontId="43" fillId="0" borderId="25" xfId="0" applyNumberFormat="1" applyFont="1" applyFill="1" applyBorder="1" applyAlignment="1">
      <alignment horizontal="center" vertical="center" wrapText="1"/>
    </xf>
    <xf numFmtId="1" fontId="43" fillId="0" borderId="25" xfId="0" applyNumberFormat="1" applyFont="1" applyFill="1" applyBorder="1" applyAlignment="1">
      <alignment horizontal="center" vertical="center" wrapText="1"/>
    </xf>
    <xf numFmtId="0" fontId="43" fillId="0" borderId="6" xfId="0" applyFont="1" applyFill="1" applyBorder="1" applyAlignment="1">
      <alignment vertical="center"/>
    </xf>
    <xf numFmtId="0" fontId="43" fillId="0" borderId="4" xfId="0" applyFont="1" applyFill="1" applyBorder="1" applyAlignment="1">
      <alignment vertical="center"/>
    </xf>
    <xf numFmtId="0" fontId="43" fillId="0" borderId="4" xfId="0" applyFont="1" applyFill="1" applyBorder="1" applyAlignment="1">
      <alignment horizontal="center" vertical="center"/>
    </xf>
    <xf numFmtId="0" fontId="33" fillId="0" borderId="4" xfId="10" applyFont="1" applyBorder="1" applyAlignment="1">
      <alignment vertical="center" wrapText="1"/>
    </xf>
    <xf numFmtId="1" fontId="43" fillId="11" borderId="4" xfId="0" applyNumberFormat="1" applyFont="1" applyFill="1" applyBorder="1" applyAlignment="1">
      <alignment horizontal="center" vertical="center" wrapText="1"/>
    </xf>
    <xf numFmtId="9" fontId="43" fillId="0" borderId="4" xfId="12" applyFont="1" applyFill="1" applyBorder="1" applyAlignment="1">
      <alignment horizontal="center" vertical="center"/>
    </xf>
    <xf numFmtId="165" fontId="43" fillId="0" borderId="4" xfId="0" applyNumberFormat="1" applyFont="1" applyFill="1" applyBorder="1" applyAlignment="1">
      <alignment horizontal="center" vertical="center" wrapText="1"/>
    </xf>
    <xf numFmtId="0" fontId="43" fillId="0" borderId="4" xfId="0" applyNumberFormat="1" applyFont="1" applyFill="1" applyBorder="1" applyAlignment="1">
      <alignment horizontal="center" vertical="center" wrapText="1"/>
    </xf>
    <xf numFmtId="167" fontId="43" fillId="0" borderId="4" xfId="0" applyNumberFormat="1" applyFont="1" applyFill="1" applyBorder="1" applyAlignment="1">
      <alignment horizontal="center" vertical="center" wrapText="1"/>
    </xf>
    <xf numFmtId="173" fontId="43" fillId="0" borderId="4" xfId="0" applyNumberFormat="1" applyFont="1" applyFill="1" applyBorder="1" applyAlignment="1">
      <alignment vertical="center"/>
    </xf>
    <xf numFmtId="167" fontId="43" fillId="0" borderId="4" xfId="0" applyNumberFormat="1" applyFont="1" applyFill="1" applyBorder="1" applyAlignment="1">
      <alignment horizontal="center" vertical="center"/>
    </xf>
    <xf numFmtId="4" fontId="43" fillId="0" borderId="4" xfId="1" applyNumberFormat="1" applyFont="1" applyFill="1" applyBorder="1" applyAlignment="1">
      <alignment horizontal="center" vertical="center"/>
    </xf>
    <xf numFmtId="167" fontId="43" fillId="11" borderId="4" xfId="0" applyNumberFormat="1" applyFont="1" applyFill="1" applyBorder="1" applyAlignment="1">
      <alignment horizontal="center" vertical="center" wrapText="1"/>
    </xf>
    <xf numFmtId="1" fontId="43" fillId="0" borderId="4" xfId="0" applyNumberFormat="1" applyFont="1" applyFill="1" applyBorder="1" applyAlignment="1">
      <alignment horizontal="center" vertical="center" wrapText="1"/>
    </xf>
    <xf numFmtId="0" fontId="43" fillId="0" borderId="33" xfId="0" applyFont="1" applyFill="1" applyBorder="1" applyAlignment="1">
      <alignment horizontal="left" vertical="center" wrapText="1"/>
    </xf>
    <xf numFmtId="167" fontId="43" fillId="0" borderId="4" xfId="0" applyNumberFormat="1" applyFont="1" applyFill="1" applyBorder="1" applyAlignment="1">
      <alignment vertical="center"/>
    </xf>
    <xf numFmtId="0" fontId="4" fillId="0" borderId="22" xfId="0" applyFont="1" applyFill="1" applyBorder="1" applyAlignment="1">
      <alignment vertical="center"/>
    </xf>
    <xf numFmtId="0" fontId="4" fillId="0" borderId="7" xfId="0" applyFont="1" applyFill="1" applyBorder="1" applyAlignment="1">
      <alignment vertical="center"/>
    </xf>
    <xf numFmtId="173" fontId="4" fillId="11" borderId="30" xfId="0" applyNumberFormat="1" applyFont="1" applyFill="1" applyBorder="1" applyAlignment="1">
      <alignment vertical="center"/>
    </xf>
    <xf numFmtId="167" fontId="4" fillId="11" borderId="30" xfId="0" applyNumberFormat="1" applyFont="1" applyFill="1" applyBorder="1" applyAlignment="1">
      <alignment horizontal="center" vertical="center"/>
    </xf>
    <xf numFmtId="0" fontId="4" fillId="11" borderId="30" xfId="0" applyFont="1" applyFill="1" applyBorder="1" applyAlignment="1">
      <alignment horizontal="center" vertical="center"/>
    </xf>
    <xf numFmtId="3" fontId="43" fillId="11" borderId="4" xfId="1" applyNumberFormat="1" applyFont="1" applyFill="1" applyBorder="1" applyAlignment="1">
      <alignment horizontal="center" vertical="center"/>
    </xf>
    <xf numFmtId="167" fontId="4" fillId="11" borderId="30" xfId="0" applyNumberFormat="1" applyFont="1" applyFill="1" applyBorder="1" applyAlignment="1">
      <alignment horizontal="center" vertical="center" wrapText="1"/>
    </xf>
    <xf numFmtId="4" fontId="4" fillId="11" borderId="30" xfId="0" applyNumberFormat="1" applyFont="1" applyFill="1" applyBorder="1" applyAlignment="1">
      <alignment horizontal="center" vertical="center" wrapText="1"/>
    </xf>
    <xf numFmtId="167" fontId="4" fillId="11" borderId="4" xfId="0" applyNumberFormat="1" applyFont="1" applyFill="1" applyBorder="1" applyAlignment="1">
      <alignment horizontal="center" vertical="center" wrapText="1"/>
    </xf>
    <xf numFmtId="4" fontId="4" fillId="11" borderId="4" xfId="0" applyNumberFormat="1" applyFont="1" applyFill="1" applyBorder="1" applyAlignment="1">
      <alignment horizontal="center" vertical="center" wrapText="1"/>
    </xf>
    <xf numFmtId="9" fontId="4" fillId="11" borderId="4" xfId="12" applyFont="1" applyFill="1" applyBorder="1" applyAlignment="1">
      <alignment horizontal="center" vertical="center"/>
    </xf>
    <xf numFmtId="167" fontId="4" fillId="11" borderId="4" xfId="0" applyNumberFormat="1" applyFont="1" applyFill="1" applyBorder="1" applyAlignment="1">
      <alignment vertical="center"/>
    </xf>
    <xf numFmtId="0" fontId="45" fillId="0" borderId="4" xfId="10" applyFont="1" applyFill="1" applyBorder="1" applyAlignment="1">
      <alignment horizontal="justify" vertical="top" wrapText="1"/>
    </xf>
    <xf numFmtId="0" fontId="45" fillId="0" borderId="4" xfId="10" applyFont="1" applyBorder="1" applyAlignment="1">
      <alignment horizontal="center" vertical="center" wrapText="1"/>
    </xf>
    <xf numFmtId="0" fontId="45" fillId="0" borderId="4" xfId="10" applyFont="1" applyFill="1" applyBorder="1" applyAlignment="1">
      <alignment horizontal="center" vertical="center" wrapText="1"/>
    </xf>
    <xf numFmtId="0" fontId="14" fillId="11" borderId="4" xfId="0" applyFont="1" applyFill="1" applyBorder="1" applyAlignment="1">
      <alignment vertical="center" wrapText="1"/>
    </xf>
    <xf numFmtId="0" fontId="0" fillId="0" borderId="4" xfId="0" applyFill="1" applyBorder="1" applyAlignment="1">
      <alignment horizontal="center" vertical="center" wrapText="1"/>
    </xf>
    <xf numFmtId="0" fontId="0" fillId="11" borderId="4" xfId="0" applyFill="1" applyBorder="1" applyAlignment="1">
      <alignment vertical="center" wrapText="1"/>
    </xf>
    <xf numFmtId="9" fontId="4" fillId="11" borderId="4" xfId="1" applyFont="1" applyFill="1" applyBorder="1" applyAlignment="1">
      <alignment horizontal="center" vertical="center"/>
    </xf>
    <xf numFmtId="0" fontId="4" fillId="6"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xf>
    <xf numFmtId="0" fontId="14" fillId="11" borderId="35" xfId="0" applyFont="1" applyFill="1" applyBorder="1" applyAlignment="1">
      <alignment vertical="center" wrapText="1"/>
    </xf>
    <xf numFmtId="1" fontId="4" fillId="0" borderId="27"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0" xfId="0" applyNumberFormat="1"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0" fontId="44" fillId="0" borderId="4" xfId="0" applyFont="1" applyFill="1" applyBorder="1" applyAlignment="1">
      <alignment vertical="center" wrapText="1"/>
    </xf>
    <xf numFmtId="4" fontId="43" fillId="0" borderId="4"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3" fillId="0" borderId="30" xfId="0" applyFont="1" applyFill="1" applyBorder="1" applyAlignment="1">
      <alignment horizontal="center" vertical="center"/>
    </xf>
    <xf numFmtId="0" fontId="44" fillId="0" borderId="30" xfId="0" applyFont="1" applyFill="1" applyBorder="1" applyAlignment="1">
      <alignment vertical="center" wrapText="1"/>
    </xf>
    <xf numFmtId="0" fontId="43" fillId="0" borderId="30" xfId="0" applyFont="1" applyFill="1" applyBorder="1" applyAlignment="1">
      <alignment horizontal="center" vertical="center" wrapText="1"/>
    </xf>
    <xf numFmtId="0" fontId="43" fillId="0" borderId="30" xfId="0" applyFont="1" applyFill="1" applyBorder="1" applyAlignment="1">
      <alignment vertical="center" wrapText="1"/>
    </xf>
    <xf numFmtId="1" fontId="43" fillId="0" borderId="30" xfId="0" applyNumberFormat="1" applyFont="1" applyFill="1" applyBorder="1" applyAlignment="1">
      <alignment horizontal="center" vertical="center" wrapText="1"/>
    </xf>
    <xf numFmtId="9" fontId="43" fillId="0" borderId="30" xfId="12" applyFont="1" applyFill="1" applyBorder="1" applyAlignment="1">
      <alignment horizontal="center" vertical="center"/>
    </xf>
    <xf numFmtId="165" fontId="43" fillId="0" borderId="30" xfId="0" applyNumberFormat="1" applyFont="1" applyFill="1" applyBorder="1" applyAlignment="1">
      <alignment horizontal="center" vertical="center" wrapText="1"/>
    </xf>
    <xf numFmtId="0" fontId="43" fillId="0" borderId="30" xfId="0" applyNumberFormat="1" applyFont="1" applyFill="1" applyBorder="1" applyAlignment="1">
      <alignment horizontal="center" vertical="center" wrapText="1"/>
    </xf>
    <xf numFmtId="167" fontId="43" fillId="0" borderId="30" xfId="0" applyNumberFormat="1" applyFont="1" applyFill="1" applyBorder="1" applyAlignment="1">
      <alignment horizontal="center" vertical="center" wrapText="1"/>
    </xf>
    <xf numFmtId="167" fontId="43" fillId="0" borderId="30" xfId="0" applyNumberFormat="1" applyFont="1" applyFill="1" applyBorder="1" applyAlignment="1">
      <alignment vertical="center"/>
    </xf>
    <xf numFmtId="167" fontId="43" fillId="0" borderId="30" xfId="0" applyNumberFormat="1" applyFont="1" applyFill="1" applyBorder="1" applyAlignment="1">
      <alignment horizontal="center" vertical="center"/>
    </xf>
    <xf numFmtId="3" fontId="43" fillId="0" borderId="30" xfId="1" applyNumberFormat="1" applyFont="1" applyFill="1" applyBorder="1" applyAlignment="1">
      <alignment horizontal="center" vertical="center"/>
    </xf>
    <xf numFmtId="4" fontId="43" fillId="0" borderId="30" xfId="1" applyNumberFormat="1" applyFont="1" applyFill="1" applyBorder="1" applyAlignment="1">
      <alignment horizontal="center" vertical="center"/>
    </xf>
    <xf numFmtId="4" fontId="43" fillId="0" borderId="30" xfId="0" applyNumberFormat="1" applyFont="1" applyFill="1" applyBorder="1" applyAlignment="1">
      <alignment horizontal="center" vertical="center" wrapText="1"/>
    </xf>
    <xf numFmtId="0" fontId="43" fillId="0" borderId="31" xfId="0" applyFont="1" applyFill="1" applyBorder="1" applyAlignment="1">
      <alignment horizontal="left" vertical="center" wrapText="1"/>
    </xf>
    <xf numFmtId="1" fontId="43" fillId="0" borderId="26" xfId="0" applyNumberFormat="1" applyFont="1" applyFill="1" applyBorder="1" applyAlignment="1">
      <alignment horizontal="center" vertical="center" wrapText="1"/>
    </xf>
    <xf numFmtId="3" fontId="43" fillId="11" borderId="30" xfId="1" applyNumberFormat="1" applyFont="1" applyFill="1" applyBorder="1" applyAlignment="1">
      <alignment horizontal="center" vertical="center"/>
    </xf>
    <xf numFmtId="0" fontId="43" fillId="0" borderId="35" xfId="0" applyFont="1" applyFill="1" applyBorder="1" applyAlignment="1">
      <alignment vertical="center" wrapText="1"/>
    </xf>
    <xf numFmtId="0" fontId="4" fillId="0" borderId="46" xfId="0" applyFont="1" applyFill="1" applyBorder="1" applyAlignment="1">
      <alignment horizontal="left" vertical="center" wrapText="1"/>
    </xf>
    <xf numFmtId="0" fontId="14" fillId="11" borderId="25" xfId="0" applyFont="1" applyFill="1" applyBorder="1" applyAlignment="1">
      <alignment vertical="center" wrapText="1"/>
    </xf>
    <xf numFmtId="0" fontId="45" fillId="0" borderId="27" xfId="10" applyFont="1" applyBorder="1" applyAlignment="1">
      <alignment horizontal="center" vertical="center" wrapText="1"/>
    </xf>
    <xf numFmtId="0" fontId="45" fillId="0" borderId="30" xfId="10" applyFont="1" applyFill="1" applyBorder="1" applyAlignment="1">
      <alignment horizontal="justify" vertical="top" wrapText="1"/>
    </xf>
    <xf numFmtId="0" fontId="45" fillId="0" borderId="35" xfId="10" applyFont="1" applyFill="1" applyBorder="1" applyAlignment="1">
      <alignment horizontal="center" vertical="center" wrapText="1"/>
    </xf>
    <xf numFmtId="0" fontId="45" fillId="0" borderId="35" xfId="10" applyFont="1" applyFill="1" applyBorder="1" applyAlignment="1">
      <alignment horizontal="justify" vertical="top" wrapText="1"/>
    </xf>
    <xf numFmtId="9" fontId="4" fillId="11" borderId="26" xfId="12" applyFont="1" applyFill="1" applyBorder="1" applyAlignment="1">
      <alignment horizontal="center" vertical="center"/>
    </xf>
    <xf numFmtId="167" fontId="4" fillId="0" borderId="26" xfId="0" applyNumberFormat="1" applyFont="1" applyFill="1" applyBorder="1" applyAlignment="1">
      <alignment vertical="center"/>
    </xf>
    <xf numFmtId="0" fontId="4" fillId="0" borderId="26" xfId="0" applyFont="1" applyFill="1" applyBorder="1" applyAlignment="1">
      <alignment vertical="center" wrapText="1"/>
    </xf>
    <xf numFmtId="0" fontId="43" fillId="0" borderId="7" xfId="0" applyFont="1" applyFill="1" applyBorder="1" applyAlignment="1">
      <alignment vertical="center" wrapText="1"/>
    </xf>
    <xf numFmtId="9" fontId="4" fillId="11" borderId="7" xfId="12" applyFont="1" applyFill="1" applyBorder="1" applyAlignment="1">
      <alignment horizontal="center" vertical="center"/>
    </xf>
    <xf numFmtId="167" fontId="4" fillId="11" borderId="7" xfId="0" applyNumberFormat="1" applyFont="1" applyFill="1" applyBorder="1" applyAlignment="1">
      <alignment vertical="center"/>
    </xf>
    <xf numFmtId="167" fontId="4" fillId="11" borderId="7" xfId="0" applyNumberFormat="1" applyFont="1" applyFill="1" applyBorder="1" applyAlignment="1">
      <alignment horizontal="center" vertical="center"/>
    </xf>
    <xf numFmtId="0" fontId="4" fillId="11" borderId="7" xfId="0" applyFont="1" applyFill="1" applyBorder="1" applyAlignment="1">
      <alignment horizontal="center" vertical="center"/>
    </xf>
    <xf numFmtId="3" fontId="4" fillId="11" borderId="7" xfId="1" applyNumberFormat="1" applyFont="1" applyFill="1" applyBorder="1" applyAlignment="1">
      <alignment horizontal="center" vertical="center"/>
    </xf>
    <xf numFmtId="4" fontId="4" fillId="11" borderId="7" xfId="1" applyNumberFormat="1" applyFont="1" applyFill="1" applyBorder="1" applyAlignment="1">
      <alignment horizontal="center" vertical="center"/>
    </xf>
    <xf numFmtId="0" fontId="14" fillId="0" borderId="25" xfId="0" applyFont="1" applyFill="1" applyBorder="1" applyAlignment="1">
      <alignment horizontal="center" vertical="center" wrapText="1"/>
    </xf>
    <xf numFmtId="0" fontId="30" fillId="0" borderId="25" xfId="10" applyFont="1" applyBorder="1" applyAlignment="1">
      <alignment horizontal="center" vertical="center" wrapText="1"/>
    </xf>
    <xf numFmtId="0" fontId="30" fillId="0" borderId="25" xfId="10" applyFont="1" applyBorder="1" applyAlignment="1">
      <alignment horizontal="justify" vertical="center" wrapText="1"/>
    </xf>
    <xf numFmtId="9" fontId="30" fillId="0" borderId="25" xfId="10" applyNumberFormat="1" applyFont="1" applyBorder="1" applyAlignment="1">
      <alignment horizontal="center" vertical="center"/>
    </xf>
    <xf numFmtId="14" fontId="30" fillId="0" borderId="25" xfId="10" applyNumberFormat="1" applyFont="1" applyBorder="1" applyAlignment="1">
      <alignment horizontal="center" vertical="center"/>
    </xf>
    <xf numFmtId="0" fontId="30" fillId="0" borderId="50" xfId="66" applyFont="1" applyBorder="1" applyAlignment="1">
      <alignment horizontal="center" vertical="center"/>
    </xf>
    <xf numFmtId="0" fontId="31" fillId="0" borderId="30" xfId="66" applyFont="1" applyBorder="1" applyAlignment="1">
      <alignment horizontal="justify" vertical="center" wrapText="1"/>
    </xf>
    <xf numFmtId="9" fontId="30" fillId="0" borderId="50" xfId="66" applyNumberFormat="1" applyFont="1" applyBorder="1" applyAlignment="1">
      <alignment horizontal="center" vertical="center"/>
    </xf>
    <xf numFmtId="14" fontId="32" fillId="0" borderId="50" xfId="66" applyNumberFormat="1" applyFont="1" applyBorder="1" applyAlignment="1">
      <alignment vertical="center" wrapText="1"/>
    </xf>
    <xf numFmtId="14" fontId="30" fillId="0" borderId="50" xfId="66" applyNumberFormat="1" applyFont="1" applyBorder="1" applyAlignment="1">
      <alignment vertical="center"/>
    </xf>
    <xf numFmtId="0" fontId="30" fillId="0" borderId="53" xfId="66" applyFont="1" applyBorder="1" applyAlignment="1">
      <alignment horizontal="center" vertical="center"/>
    </xf>
    <xf numFmtId="0" fontId="35" fillId="0" borderId="26" xfId="66" applyFont="1" applyBorder="1" applyAlignment="1">
      <alignment horizontal="justify" vertical="center" wrapText="1"/>
    </xf>
    <xf numFmtId="9" fontId="30" fillId="0" borderId="53" xfId="66" applyNumberFormat="1" applyFont="1" applyBorder="1" applyAlignment="1">
      <alignment horizontal="center" vertical="center"/>
    </xf>
    <xf numFmtId="14" fontId="32" fillId="0" borderId="53" xfId="66" applyNumberFormat="1" applyFont="1" applyBorder="1" applyAlignment="1">
      <alignment vertical="center" wrapText="1"/>
    </xf>
    <xf numFmtId="14" fontId="30" fillId="0" borderId="53" xfId="66" applyNumberFormat="1" applyFont="1" applyBorder="1" applyAlignment="1">
      <alignment vertical="center"/>
    </xf>
    <xf numFmtId="0" fontId="30" fillId="0" borderId="7" xfId="10" applyFont="1" applyBorder="1" applyAlignment="1">
      <alignment horizontal="center" vertical="center" wrapText="1"/>
    </xf>
    <xf numFmtId="0" fontId="30" fillId="0" borderId="7" xfId="10" applyFont="1" applyBorder="1" applyAlignment="1">
      <alignment horizontal="justify" vertical="center" wrapText="1"/>
    </xf>
    <xf numFmtId="9" fontId="30" fillId="0" borderId="7" xfId="10" applyNumberFormat="1" applyFont="1" applyBorder="1" applyAlignment="1">
      <alignment horizontal="center" vertical="center"/>
    </xf>
    <xf numFmtId="15" fontId="15" fillId="0" borderId="7" xfId="0" applyNumberFormat="1" applyFont="1" applyFill="1" applyBorder="1" applyAlignment="1" applyProtection="1">
      <alignment horizontal="center" vertical="center" wrapText="1"/>
    </xf>
    <xf numFmtId="167" fontId="4" fillId="0" borderId="1" xfId="0" applyNumberFormat="1" applyFont="1" applyFill="1" applyBorder="1" applyAlignment="1">
      <alignment vertical="center"/>
    </xf>
    <xf numFmtId="0" fontId="36" fillId="0" borderId="30" xfId="10" applyFont="1" applyBorder="1" applyAlignment="1">
      <alignment horizontal="center" vertical="center" wrapText="1"/>
    </xf>
    <xf numFmtId="0" fontId="30" fillId="0" borderId="30" xfId="10" applyFont="1" applyBorder="1" applyAlignment="1">
      <alignment vertical="center" wrapText="1"/>
    </xf>
    <xf numFmtId="9" fontId="36" fillId="0" borderId="27" xfId="1" applyFont="1" applyBorder="1" applyAlignment="1">
      <alignment horizontal="center" vertical="center" wrapText="1"/>
    </xf>
    <xf numFmtId="179" fontId="36" fillId="0" borderId="30" xfId="10" applyNumberFormat="1" applyFont="1" applyBorder="1" applyAlignment="1">
      <alignment horizontal="center" vertical="center"/>
    </xf>
    <xf numFmtId="0" fontId="30" fillId="0" borderId="35" xfId="10" applyFont="1" applyBorder="1" applyAlignment="1">
      <alignment horizontal="left" vertical="center" wrapText="1"/>
    </xf>
    <xf numFmtId="9" fontId="4" fillId="0" borderId="26" xfId="12" applyFont="1" applyFill="1" applyBorder="1" applyAlignment="1">
      <alignment horizontal="center" vertical="center"/>
    </xf>
    <xf numFmtId="179" fontId="36" fillId="0" borderId="35" xfId="10" applyNumberFormat="1" applyFont="1" applyBorder="1" applyAlignment="1">
      <alignment horizontal="center" vertical="center"/>
    </xf>
    <xf numFmtId="0" fontId="37" fillId="0" borderId="30" xfId="10" applyFont="1" applyBorder="1" applyAlignment="1">
      <alignment horizontal="center" vertical="center" wrapText="1"/>
    </xf>
    <xf numFmtId="0" fontId="37" fillId="0" borderId="30" xfId="10" applyFont="1" applyBorder="1" applyAlignment="1">
      <alignment horizontal="justify" vertical="center" wrapText="1"/>
    </xf>
    <xf numFmtId="9" fontId="37" fillId="0" borderId="30" xfId="10" applyNumberFormat="1" applyFont="1" applyBorder="1" applyAlignment="1">
      <alignment horizontal="center" vertical="center" wrapText="1"/>
    </xf>
    <xf numFmtId="14" fontId="37" fillId="0" borderId="30" xfId="10" applyNumberFormat="1" applyFont="1" applyBorder="1" applyAlignment="1">
      <alignment horizontal="center" vertical="center" wrapText="1"/>
    </xf>
    <xf numFmtId="0" fontId="37" fillId="0" borderId="35" xfId="10" applyFont="1" applyFill="1" applyBorder="1" applyAlignment="1">
      <alignment horizontal="center" vertical="center" wrapText="1"/>
    </xf>
    <xf numFmtId="0" fontId="37" fillId="0" borderId="35" xfId="10" applyFont="1" applyBorder="1" applyAlignment="1">
      <alignment horizontal="justify" vertical="center" wrapText="1"/>
    </xf>
    <xf numFmtId="9" fontId="37" fillId="0" borderId="35" xfId="10" applyNumberFormat="1" applyFont="1" applyFill="1" applyBorder="1" applyAlignment="1">
      <alignment horizontal="center" vertical="center" wrapText="1"/>
    </xf>
    <xf numFmtId="14" fontId="37" fillId="0" borderId="35" xfId="10" applyNumberFormat="1" applyFont="1" applyFill="1" applyBorder="1" applyAlignment="1">
      <alignment horizontal="center" vertical="center"/>
    </xf>
    <xf numFmtId="167" fontId="4" fillId="0" borderId="27" xfId="0" applyNumberFormat="1" applyFont="1" applyFill="1" applyBorder="1" applyAlignment="1">
      <alignment vertical="center"/>
    </xf>
    <xf numFmtId="0" fontId="6" fillId="0" borderId="35" xfId="0" applyFont="1" applyFill="1" applyBorder="1" applyAlignment="1">
      <alignment horizontal="center" vertical="center" wrapText="1"/>
    </xf>
    <xf numFmtId="0" fontId="6" fillId="0" borderId="35" xfId="0" applyFont="1" applyFill="1" applyBorder="1" applyAlignment="1">
      <alignment vertical="center" wrapText="1"/>
    </xf>
    <xf numFmtId="0" fontId="39" fillId="0" borderId="30" xfId="10" applyFont="1" applyBorder="1" applyAlignment="1">
      <alignment horizontal="center" vertical="center" wrapText="1"/>
    </xf>
    <xf numFmtId="0" fontId="39" fillId="0" borderId="30" xfId="10" applyFont="1" applyBorder="1" applyAlignment="1">
      <alignment horizontal="left" vertical="center" wrapText="1"/>
    </xf>
    <xf numFmtId="9" fontId="30" fillId="0" borderId="30" xfId="10" applyNumberFormat="1" applyFont="1" applyBorder="1" applyAlignment="1">
      <alignment horizontal="center" vertical="center"/>
    </xf>
    <xf numFmtId="14" fontId="8" fillId="0" borderId="30" xfId="10" applyNumberFormat="1" applyBorder="1" applyAlignment="1">
      <alignment vertical="center" wrapText="1"/>
    </xf>
    <xf numFmtId="14" fontId="30" fillId="0" borderId="30" xfId="10" applyNumberFormat="1" applyFont="1" applyBorder="1" applyAlignment="1">
      <alignment horizontal="right" vertical="center"/>
    </xf>
    <xf numFmtId="0" fontId="39" fillId="0" borderId="35" xfId="10" applyFont="1" applyBorder="1" applyAlignment="1">
      <alignment horizontal="center" vertical="center" wrapText="1"/>
    </xf>
    <xf numFmtId="0" fontId="39" fillId="0" borderId="35" xfId="10" applyFont="1" applyBorder="1" applyAlignment="1">
      <alignment horizontal="left" vertical="center" wrapText="1"/>
    </xf>
    <xf numFmtId="9" fontId="30" fillId="0" borderId="35" xfId="10" applyNumberFormat="1" applyFont="1" applyBorder="1" applyAlignment="1">
      <alignment horizontal="center" vertical="center"/>
    </xf>
    <xf numFmtId="14" fontId="8" fillId="0" borderId="35" xfId="10" applyNumberFormat="1" applyBorder="1" applyAlignment="1">
      <alignment vertical="center" wrapText="1"/>
    </xf>
    <xf numFmtId="14" fontId="30" fillId="0" borderId="35" xfId="10" applyNumberFormat="1" applyFont="1" applyBorder="1" applyAlignment="1">
      <alignment vertical="center"/>
    </xf>
    <xf numFmtId="0" fontId="30" fillId="0" borderId="30" xfId="10" applyFont="1" applyBorder="1" applyAlignment="1">
      <alignment horizontal="center" vertical="center" wrapText="1"/>
    </xf>
    <xf numFmtId="0" fontId="30" fillId="0" borderId="30" xfId="10" applyFont="1" applyBorder="1" applyAlignment="1">
      <alignment horizontal="justify" vertical="center" wrapText="1"/>
    </xf>
    <xf numFmtId="9" fontId="30" fillId="0" borderId="30" xfId="1" applyFont="1" applyBorder="1" applyAlignment="1">
      <alignment horizontal="center" vertical="center"/>
    </xf>
    <xf numFmtId="14" fontId="30" fillId="0" borderId="30" xfId="10" applyNumberFormat="1" applyFont="1" applyBorder="1" applyAlignment="1">
      <alignment horizontal="center" vertical="center"/>
    </xf>
    <xf numFmtId="0" fontId="30" fillId="0" borderId="35" xfId="10" applyFont="1" applyBorder="1" applyAlignment="1">
      <alignment horizontal="center" vertical="center" wrapText="1"/>
    </xf>
    <xf numFmtId="0" fontId="30" fillId="0" borderId="35" xfId="10" applyFont="1" applyBorder="1" applyAlignment="1">
      <alignment horizontal="justify" vertical="center" wrapText="1"/>
    </xf>
    <xf numFmtId="9" fontId="30" fillId="0" borderId="35" xfId="10" applyNumberFormat="1" applyFont="1" applyBorder="1" applyAlignment="1">
      <alignment horizontal="center" vertical="center" wrapText="1"/>
    </xf>
    <xf numFmtId="15" fontId="15" fillId="0" borderId="35" xfId="0" applyNumberFormat="1" applyFont="1" applyFill="1" applyBorder="1" applyAlignment="1" applyProtection="1">
      <alignment horizontal="center" vertical="center" wrapText="1"/>
    </xf>
    <xf numFmtId="0" fontId="41" fillId="0" borderId="30" xfId="10" applyFont="1" applyBorder="1" applyAlignment="1">
      <alignment vertical="center" wrapText="1"/>
    </xf>
    <xf numFmtId="9" fontId="36" fillId="0" borderId="30" xfId="1" applyFont="1" applyBorder="1" applyAlignment="1">
      <alignment horizontal="center" vertical="center"/>
    </xf>
    <xf numFmtId="0" fontId="41" fillId="0" borderId="35" xfId="10" applyFont="1" applyBorder="1" applyAlignment="1">
      <alignment vertical="center" wrapText="1"/>
    </xf>
    <xf numFmtId="9" fontId="36" fillId="0" borderId="35" xfId="1" applyFont="1" applyBorder="1" applyAlignment="1">
      <alignment horizontal="center" vertical="center"/>
    </xf>
    <xf numFmtId="0" fontId="0" fillId="0" borderId="35" xfId="0" applyFill="1" applyBorder="1" applyAlignment="1">
      <alignment vertical="center" wrapText="1"/>
    </xf>
    <xf numFmtId="0" fontId="6" fillId="0" borderId="35" xfId="0" applyFont="1" applyFill="1" applyBorder="1" applyAlignment="1">
      <alignment horizontal="left" vertical="center" wrapText="1"/>
    </xf>
    <xf numFmtId="0" fontId="42" fillId="0" borderId="30" xfId="10" applyFont="1" applyBorder="1" applyAlignment="1">
      <alignment horizontal="center" vertical="center" wrapText="1"/>
    </xf>
    <xf numFmtId="0" fontId="42" fillId="0" borderId="30" xfId="10" applyFont="1" applyBorder="1" applyAlignment="1">
      <alignment horizontal="justify" vertical="center"/>
    </xf>
    <xf numFmtId="9" fontId="42" fillId="0" borderId="30" xfId="10" applyNumberFormat="1" applyFont="1" applyBorder="1" applyAlignment="1">
      <alignment horizontal="center" vertical="center" wrapText="1"/>
    </xf>
    <xf numFmtId="14" fontId="42" fillId="0" borderId="30" xfId="10" applyNumberFormat="1" applyFont="1" applyBorder="1" applyAlignment="1">
      <alignment horizontal="center" vertical="center" wrapText="1"/>
    </xf>
    <xf numFmtId="0" fontId="42" fillId="0" borderId="35" xfId="10" applyFont="1" applyBorder="1" applyAlignment="1">
      <alignment horizontal="center" vertical="center" wrapText="1"/>
    </xf>
    <xf numFmtId="0" fontId="42" fillId="0" borderId="35" xfId="10" applyFont="1" applyBorder="1" applyAlignment="1">
      <alignment horizontal="justify" vertical="center"/>
    </xf>
    <xf numFmtId="9" fontId="42" fillId="0" borderId="35" xfId="10" applyNumberFormat="1" applyFont="1" applyBorder="1" applyAlignment="1">
      <alignment horizontal="center" vertical="center" wrapText="1"/>
    </xf>
    <xf numFmtId="14" fontId="42" fillId="0" borderId="35" xfId="10" applyNumberFormat="1"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26"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165" fontId="4" fillId="0" borderId="27" xfId="0" applyNumberFormat="1" applyFont="1" applyFill="1" applyBorder="1" applyAlignment="1">
      <alignment horizontal="center" vertical="center" wrapText="1"/>
    </xf>
    <xf numFmtId="176" fontId="4" fillId="0" borderId="27" xfId="65" applyNumberFormat="1" applyFont="1" applyFill="1" applyBorder="1" applyAlignment="1">
      <alignment horizontal="center" vertical="center"/>
    </xf>
    <xf numFmtId="177" fontId="4" fillId="0" borderId="27" xfId="1" applyNumberFormat="1" applyFont="1" applyFill="1" applyBorder="1" applyAlignment="1">
      <alignment horizontal="center" vertical="center"/>
    </xf>
    <xf numFmtId="1" fontId="4" fillId="0" borderId="9" xfId="0" applyNumberFormat="1" applyFont="1" applyFill="1" applyBorder="1" applyAlignment="1">
      <alignment vertical="center" wrapText="1"/>
    </xf>
    <xf numFmtId="1" fontId="4" fillId="0" borderId="6" xfId="0" applyNumberFormat="1" applyFont="1" applyFill="1" applyBorder="1" applyAlignment="1">
      <alignment vertical="center" wrapText="1"/>
    </xf>
    <xf numFmtId="1" fontId="4" fillId="0" borderId="33" xfId="0" applyNumberFormat="1" applyFont="1" applyFill="1" applyBorder="1" applyAlignment="1">
      <alignment vertical="center" wrapText="1"/>
    </xf>
    <xf numFmtId="0" fontId="21" fillId="0" borderId="35" xfId="0" applyFont="1" applyFill="1" applyBorder="1" applyAlignment="1">
      <alignment horizontal="left" vertical="center" wrapText="1"/>
    </xf>
    <xf numFmtId="9" fontId="21" fillId="0" borderId="35" xfId="1" applyFont="1" applyFill="1" applyBorder="1" applyAlignment="1">
      <alignment horizontal="center" vertical="center" wrapText="1"/>
    </xf>
    <xf numFmtId="0" fontId="21" fillId="0" borderId="30" xfId="0" applyFont="1" applyFill="1" applyBorder="1" applyAlignment="1">
      <alignment horizontal="left" vertical="center" wrapText="1"/>
    </xf>
    <xf numFmtId="171" fontId="21" fillId="0" borderId="30" xfId="1" applyNumberFormat="1" applyFont="1" applyFill="1" applyBorder="1" applyAlignment="1">
      <alignment horizontal="center" vertical="center" wrapText="1"/>
    </xf>
    <xf numFmtId="171" fontId="21" fillId="0" borderId="35" xfId="1" applyNumberFormat="1" applyFont="1" applyFill="1" applyBorder="1" applyAlignment="1">
      <alignment horizontal="center" vertical="center" wrapText="1"/>
    </xf>
    <xf numFmtId="9" fontId="21" fillId="0" borderId="30" xfId="1" applyFont="1" applyFill="1" applyBorder="1" applyAlignment="1">
      <alignment horizontal="center" vertical="center" wrapText="1"/>
    </xf>
    <xf numFmtId="0" fontId="21" fillId="0" borderId="4" xfId="0" applyFont="1" applyFill="1" applyBorder="1" applyAlignment="1">
      <alignment horizontal="left" vertical="center" wrapText="1"/>
    </xf>
    <xf numFmtId="9" fontId="21" fillId="0" borderId="4" xfId="1" applyFont="1" applyFill="1" applyBorder="1" applyAlignment="1">
      <alignment horizontal="center" vertical="center" wrapText="1"/>
    </xf>
    <xf numFmtId="41" fontId="21" fillId="0" borderId="4" xfId="0" applyNumberFormat="1" applyFont="1" applyBorder="1" applyAlignment="1">
      <alignment horizontal="center" vertical="center"/>
    </xf>
    <xf numFmtId="0" fontId="4" fillId="0" borderId="0" xfId="0" applyFont="1" applyAlignment="1">
      <alignment horizontal="center" vertical="center"/>
    </xf>
    <xf numFmtId="1" fontId="18" fillId="5" borderId="25" xfId="3" applyNumberFormat="1" applyFont="1" applyFill="1" applyBorder="1" applyAlignment="1">
      <alignment horizontal="center" vertical="center" wrapText="1"/>
    </xf>
    <xf numFmtId="1" fontId="21" fillId="0" borderId="42"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1" fontId="21" fillId="0" borderId="4" xfId="0" applyNumberFormat="1" applyFont="1" applyBorder="1" applyAlignment="1">
      <alignment horizontal="center" vertical="center"/>
    </xf>
    <xf numFmtId="1" fontId="21" fillId="0" borderId="0" xfId="0" applyNumberFormat="1" applyFont="1" applyAlignment="1">
      <alignment horizontal="center" vertical="center"/>
    </xf>
    <xf numFmtId="2" fontId="21" fillId="0" borderId="32" xfId="0" applyNumberFormat="1" applyFont="1" applyFill="1" applyBorder="1" applyAlignment="1">
      <alignment horizontal="center" vertical="center"/>
    </xf>
    <xf numFmtId="4" fontId="21" fillId="0" borderId="54" xfId="0" applyNumberFormat="1" applyFont="1" applyBorder="1" applyAlignment="1">
      <alignment horizontal="center" vertical="center" wrapText="1"/>
    </xf>
    <xf numFmtId="4" fontId="21" fillId="0" borderId="55" xfId="0" applyNumberFormat="1" applyFont="1" applyBorder="1" applyAlignment="1">
      <alignment horizontal="center" vertical="center" wrapText="1"/>
    </xf>
    <xf numFmtId="4" fontId="21" fillId="0" borderId="56" xfId="0" applyNumberFormat="1" applyFont="1" applyBorder="1" applyAlignment="1">
      <alignment horizontal="center" vertical="center" wrapText="1"/>
    </xf>
    <xf numFmtId="4" fontId="21" fillId="0" borderId="57" xfId="0" applyNumberFormat="1" applyFont="1" applyBorder="1" applyAlignment="1">
      <alignment horizontal="center" vertical="center" wrapText="1"/>
    </xf>
    <xf numFmtId="4" fontId="21" fillId="0" borderId="39" xfId="0" applyNumberFormat="1" applyFont="1" applyBorder="1" applyAlignment="1">
      <alignment horizontal="center" vertical="center" wrapText="1"/>
    </xf>
    <xf numFmtId="4" fontId="21" fillId="0" borderId="21" xfId="0" applyNumberFormat="1" applyFont="1" applyBorder="1" applyAlignment="1">
      <alignment horizontal="center" vertical="center" wrapText="1"/>
    </xf>
    <xf numFmtId="4" fontId="21" fillId="0" borderId="40" xfId="0" applyNumberFormat="1" applyFont="1" applyBorder="1" applyAlignment="1">
      <alignment horizontal="center" vertical="center" wrapText="1"/>
    </xf>
    <xf numFmtId="4" fontId="21" fillId="0" borderId="54" xfId="0" applyNumberFormat="1" applyFont="1" applyBorder="1" applyAlignment="1">
      <alignment horizontal="center" vertical="center"/>
    </xf>
    <xf numFmtId="4" fontId="21" fillId="0" borderId="55" xfId="0" applyNumberFormat="1" applyFont="1" applyBorder="1" applyAlignment="1">
      <alignment horizontal="center" vertical="center"/>
    </xf>
    <xf numFmtId="4" fontId="21" fillId="0" borderId="11" xfId="0" applyNumberFormat="1" applyFont="1" applyBorder="1" applyAlignment="1">
      <alignment horizontal="center" vertical="center"/>
    </xf>
    <xf numFmtId="1" fontId="21" fillId="0" borderId="4" xfId="0" quotePrefix="1" applyNumberFormat="1" applyFont="1" applyBorder="1" applyAlignment="1">
      <alignment horizontal="center" vertical="center" wrapText="1"/>
    </xf>
    <xf numFmtId="41" fontId="21" fillId="0" borderId="4" xfId="0" quotePrefix="1" applyNumberFormat="1" applyFont="1" applyBorder="1" applyAlignment="1">
      <alignment horizontal="center" vertical="center" wrapText="1"/>
    </xf>
    <xf numFmtId="0" fontId="21" fillId="0" borderId="41" xfId="0" quotePrefix="1" applyFont="1" applyBorder="1" applyAlignment="1">
      <alignment horizontal="center" vertical="center" wrapText="1"/>
    </xf>
    <xf numFmtId="0" fontId="19" fillId="0" borderId="30" xfId="0" applyFont="1" applyBorder="1" applyAlignment="1">
      <alignment horizontal="left" vertical="center" wrapText="1"/>
    </xf>
    <xf numFmtId="10" fontId="19" fillId="0" borderId="30" xfId="0" applyNumberFormat="1" applyFont="1" applyBorder="1" applyAlignment="1">
      <alignment horizontal="center" vertical="center" wrapText="1"/>
    </xf>
    <xf numFmtId="0" fontId="19" fillId="0" borderId="4" xfId="0" applyFont="1" applyBorder="1" applyAlignment="1">
      <alignment horizontal="left" vertical="center" wrapText="1"/>
    </xf>
    <xf numFmtId="10" fontId="19" fillId="0" borderId="4" xfId="0" applyNumberFormat="1" applyFont="1" applyBorder="1" applyAlignment="1">
      <alignment horizontal="center" vertical="center" wrapText="1"/>
    </xf>
    <xf numFmtId="0" fontId="19" fillId="0" borderId="35" xfId="0" applyFont="1" applyBorder="1" applyAlignment="1">
      <alignment horizontal="left" vertical="center" wrapText="1"/>
    </xf>
    <xf numFmtId="10" fontId="19" fillId="0" borderId="35" xfId="0" applyNumberFormat="1" applyFont="1" applyBorder="1" applyAlignment="1">
      <alignment horizontal="center" vertical="center" wrapText="1"/>
    </xf>
    <xf numFmtId="41" fontId="19" fillId="0" borderId="4" xfId="0" applyNumberFormat="1" applyFont="1" applyBorder="1" applyAlignment="1">
      <alignment horizontal="center" vertical="center" wrapText="1"/>
    </xf>
    <xf numFmtId="41" fontId="21" fillId="0" borderId="7" xfId="0" applyNumberFormat="1" applyFont="1" applyBorder="1" applyAlignment="1">
      <alignment horizontal="center" vertical="center"/>
    </xf>
    <xf numFmtId="41" fontId="21" fillId="0" borderId="25" xfId="0" applyNumberFormat="1" applyFont="1" applyBorder="1" applyAlignment="1">
      <alignment horizontal="center" vertical="center"/>
    </xf>
    <xf numFmtId="41" fontId="21" fillId="0" borderId="1" xfId="0" applyNumberFormat="1" applyFont="1" applyBorder="1" applyAlignment="1">
      <alignment horizontal="center" vertical="center"/>
    </xf>
    <xf numFmtId="41" fontId="21" fillId="0" borderId="7" xfId="0" quotePrefix="1" applyNumberFormat="1" applyFont="1" applyBorder="1" applyAlignment="1">
      <alignment horizontal="center" vertical="center" wrapText="1"/>
    </xf>
    <xf numFmtId="41" fontId="21" fillId="0" borderId="25" xfId="0" applyNumberFormat="1" applyFont="1" applyBorder="1" applyAlignment="1">
      <alignment horizontal="center" vertical="center" wrapText="1"/>
    </xf>
    <xf numFmtId="41" fontId="21" fillId="0" borderId="7" xfId="0" applyNumberFormat="1" applyFont="1" applyBorder="1" applyAlignment="1">
      <alignment horizontal="center" vertical="center" wrapText="1"/>
    </xf>
    <xf numFmtId="41" fontId="21" fillId="0" borderId="7" xfId="0" quotePrefix="1" applyNumberFormat="1" applyFont="1" applyBorder="1" applyAlignment="1">
      <alignment horizontal="center" vertical="center"/>
    </xf>
    <xf numFmtId="41" fontId="21" fillId="0" borderId="1" xfId="0" applyNumberFormat="1" applyFont="1" applyBorder="1" applyAlignment="1">
      <alignment horizontal="center" vertical="center" wrapText="1"/>
    </xf>
    <xf numFmtId="41" fontId="21" fillId="0" borderId="27" xfId="0" quotePrefix="1" applyNumberFormat="1" applyFont="1" applyBorder="1" applyAlignment="1">
      <alignment horizontal="center" vertical="center" wrapText="1"/>
    </xf>
    <xf numFmtId="41" fontId="21" fillId="0" borderId="27" xfId="0" applyNumberFormat="1" applyFont="1" applyBorder="1" applyAlignment="1">
      <alignment horizontal="center" vertical="center" wrapText="1"/>
    </xf>
    <xf numFmtId="41" fontId="21" fillId="0" borderId="26" xfId="0" applyNumberFormat="1" applyFont="1" applyBorder="1" applyAlignment="1">
      <alignment horizontal="center" vertical="center" wrapText="1"/>
    </xf>
    <xf numFmtId="0" fontId="21" fillId="0" borderId="7"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1" fontId="21" fillId="0" borderId="7" xfId="0" quotePrefix="1" applyNumberFormat="1" applyFont="1" applyBorder="1" applyAlignment="1">
      <alignment horizontal="center" vertical="center" wrapText="1"/>
    </xf>
    <xf numFmtId="1" fontId="21" fillId="0" borderId="25" xfId="0" applyNumberFormat="1" applyFont="1" applyBorder="1" applyAlignment="1">
      <alignment horizontal="center" vertical="center" wrapText="1"/>
    </xf>
    <xf numFmtId="1" fontId="21" fillId="0" borderId="7"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1" fontId="21" fillId="0" borderId="7" xfId="0" applyNumberFormat="1" applyFont="1" applyBorder="1" applyAlignment="1">
      <alignment horizontal="center" vertical="center"/>
    </xf>
    <xf numFmtId="1" fontId="21" fillId="0" borderId="25" xfId="0" applyNumberFormat="1" applyFont="1" applyBorder="1" applyAlignment="1">
      <alignment horizontal="center" vertical="center"/>
    </xf>
    <xf numFmtId="41" fontId="19" fillId="0" borderId="27" xfId="0" applyNumberFormat="1" applyFont="1" applyBorder="1" applyAlignment="1">
      <alignment horizontal="center" vertical="center" wrapText="1"/>
    </xf>
    <xf numFmtId="41" fontId="19" fillId="0" borderId="1" xfId="0" applyNumberFormat="1" applyFont="1" applyBorder="1" applyAlignment="1">
      <alignment horizontal="center" vertical="center" wrapText="1"/>
    </xf>
    <xf numFmtId="41" fontId="19" fillId="0" borderId="26" xfId="0" applyNumberFormat="1" applyFont="1" applyBorder="1" applyAlignment="1">
      <alignment horizontal="center" vertical="center" wrapText="1"/>
    </xf>
    <xf numFmtId="41" fontId="21" fillId="0" borderId="7" xfId="0" applyNumberFormat="1" applyFont="1" applyFill="1" applyBorder="1" applyAlignment="1">
      <alignment horizontal="center" vertical="center" wrapText="1"/>
    </xf>
    <xf numFmtId="41" fontId="21" fillId="0" borderId="1" xfId="0" applyNumberFormat="1" applyFont="1" applyFill="1" applyBorder="1" applyAlignment="1">
      <alignment horizontal="center" vertical="center" wrapText="1"/>
    </xf>
    <xf numFmtId="41" fontId="21" fillId="0" borderId="25" xfId="0" applyNumberFormat="1" applyFont="1" applyFill="1" applyBorder="1" applyAlignment="1">
      <alignment horizontal="center" vertical="center" wrapText="1"/>
    </xf>
    <xf numFmtId="41" fontId="19" fillId="0" borderId="7" xfId="0" applyNumberFormat="1" applyFont="1" applyBorder="1" applyAlignment="1">
      <alignment horizontal="center" vertical="center" wrapText="1"/>
    </xf>
    <xf numFmtId="41" fontId="19" fillId="0" borderId="25" xfId="0" applyNumberFormat="1" applyFont="1" applyBorder="1" applyAlignment="1">
      <alignment horizontal="center" vertical="center" wrapText="1"/>
    </xf>
    <xf numFmtId="0" fontId="21" fillId="0" borderId="7" xfId="0" quotePrefix="1" applyNumberFormat="1" applyFont="1" applyBorder="1" applyAlignment="1">
      <alignment horizontal="center" vertical="center" wrapText="1"/>
    </xf>
    <xf numFmtId="1" fontId="21" fillId="0" borderId="7" xfId="0" quotePrefix="1" applyNumberFormat="1" applyFont="1" applyBorder="1" applyAlignment="1">
      <alignment horizontal="center" vertical="center"/>
    </xf>
    <xf numFmtId="1" fontId="21" fillId="0" borderId="1" xfId="0" applyNumberFormat="1" applyFont="1" applyBorder="1" applyAlignment="1">
      <alignment horizontal="center" vertical="center"/>
    </xf>
    <xf numFmtId="1" fontId="21" fillId="0" borderId="7" xfId="0" quotePrefix="1" applyNumberFormat="1" applyFont="1" applyFill="1" applyBorder="1" applyAlignment="1">
      <alignment horizontal="center" vertical="center" wrapText="1"/>
    </xf>
    <xf numFmtId="1" fontId="21" fillId="0" borderId="25" xfId="0" applyNumberFormat="1" applyFont="1" applyFill="1" applyBorder="1" applyAlignment="1">
      <alignment horizontal="center" vertical="center" wrapText="1"/>
    </xf>
    <xf numFmtId="1" fontId="21" fillId="0" borderId="27" xfId="0" applyNumberFormat="1" applyFont="1" applyBorder="1" applyAlignment="1">
      <alignment horizontal="center" vertical="center" wrapText="1"/>
    </xf>
    <xf numFmtId="1" fontId="21" fillId="0" borderId="7" xfId="0" applyNumberFormat="1" applyFont="1" applyFill="1" applyBorder="1" applyAlignment="1">
      <alignment horizontal="center" vertical="center" wrapText="1"/>
    </xf>
    <xf numFmtId="1" fontId="21" fillId="0" borderId="26" xfId="0" applyNumberFormat="1" applyFont="1" applyBorder="1" applyAlignment="1">
      <alignment horizontal="center" vertical="center" wrapText="1"/>
    </xf>
    <xf numFmtId="1" fontId="21" fillId="0" borderId="27" xfId="0" quotePrefix="1" applyNumberFormat="1"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18" fillId="4" borderId="21" xfId="0" applyFont="1" applyFill="1" applyBorder="1" applyAlignment="1">
      <alignment horizontal="center" wrapText="1"/>
    </xf>
    <xf numFmtId="0" fontId="18" fillId="4" borderId="10" xfId="0" applyFont="1" applyFill="1" applyBorder="1" applyAlignment="1">
      <alignment horizontal="center" wrapText="1"/>
    </xf>
    <xf numFmtId="0" fontId="18" fillId="4" borderId="22" xfId="0" applyFont="1" applyFill="1" applyBorder="1" applyAlignment="1">
      <alignment horizontal="center" wrapText="1"/>
    </xf>
    <xf numFmtId="41" fontId="19" fillId="8" borderId="4" xfId="0" applyNumberFormat="1" applyFont="1" applyFill="1" applyBorder="1" applyAlignment="1">
      <alignment horizontal="center" vertical="center" wrapText="1"/>
    </xf>
    <xf numFmtId="0" fontId="18" fillId="4" borderId="23" xfId="0" applyFont="1" applyFill="1" applyBorder="1" applyAlignment="1">
      <alignment horizontal="center" wrapText="1"/>
    </xf>
    <xf numFmtId="0" fontId="18" fillId="4" borderId="5" xfId="0" applyFont="1" applyFill="1" applyBorder="1" applyAlignment="1">
      <alignment horizontal="center" wrapText="1"/>
    </xf>
    <xf numFmtId="0" fontId="18" fillId="4" borderId="24" xfId="0" applyFont="1" applyFill="1" applyBorder="1" applyAlignment="1">
      <alignment horizontal="center" wrapText="1"/>
    </xf>
    <xf numFmtId="0" fontId="21" fillId="0" borderId="2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0" xfId="0" applyFont="1" applyBorder="1" applyAlignment="1">
      <alignment horizontal="center" vertical="center"/>
    </xf>
    <xf numFmtId="0" fontId="21" fillId="0" borderId="4" xfId="0" applyFont="1" applyBorder="1" applyAlignment="1">
      <alignment horizontal="center" vertical="center"/>
    </xf>
    <xf numFmtId="0" fontId="21" fillId="0" borderId="35" xfId="0" applyFont="1" applyBorder="1" applyAlignment="1">
      <alignment horizontal="center" vertical="center"/>
    </xf>
    <xf numFmtId="0" fontId="21" fillId="0" borderId="27"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26" xfId="0" applyFont="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165" fontId="13" fillId="5" borderId="4" xfId="2" applyNumberFormat="1" applyFont="1" applyFill="1" applyBorder="1" applyAlignment="1">
      <alignment horizontal="center" vertical="center" wrapText="1"/>
    </xf>
    <xf numFmtId="165" fontId="13" fillId="5" borderId="7" xfId="2" applyNumberFormat="1" applyFont="1" applyFill="1" applyBorder="1" applyAlignment="1">
      <alignment horizontal="center" vertical="center" wrapText="1"/>
    </xf>
    <xf numFmtId="165" fontId="13" fillId="12" borderId="4" xfId="2" applyNumberFormat="1" applyFont="1" applyFill="1" applyBorder="1" applyAlignment="1">
      <alignment horizontal="center" vertical="center" wrapText="1"/>
    </xf>
    <xf numFmtId="165" fontId="13" fillId="12" borderId="7" xfId="2" applyNumberFormat="1" applyFont="1" applyFill="1" applyBorder="1" applyAlignment="1">
      <alignment horizontal="center" vertical="center" wrapText="1"/>
    </xf>
    <xf numFmtId="165" fontId="13" fillId="4" borderId="4" xfId="2" applyNumberFormat="1" applyFont="1" applyFill="1" applyBorder="1" applyAlignment="1">
      <alignment horizontal="center" vertical="center" wrapText="1"/>
    </xf>
    <xf numFmtId="165" fontId="13" fillId="4" borderId="7" xfId="2" applyNumberFormat="1" applyFont="1" applyFill="1" applyBorder="1" applyAlignment="1">
      <alignment horizontal="center" vertical="center" wrapText="1"/>
    </xf>
    <xf numFmtId="9" fontId="13" fillId="5" borderId="4" xfId="1" applyFont="1" applyFill="1" applyBorder="1" applyAlignment="1">
      <alignment horizontal="center" vertical="center" wrapText="1"/>
    </xf>
    <xf numFmtId="9" fontId="13" fillId="5" borderId="7" xfId="1" applyFont="1" applyFill="1" applyBorder="1" applyAlignment="1">
      <alignment horizontal="center" vertical="center" wrapText="1"/>
    </xf>
    <xf numFmtId="14" fontId="13" fillId="5" borderId="4" xfId="2" applyNumberFormat="1" applyFont="1" applyFill="1" applyBorder="1" applyAlignment="1">
      <alignment horizontal="center" vertical="center" wrapText="1"/>
    </xf>
    <xf numFmtId="14" fontId="13" fillId="5" borderId="7" xfId="2" applyNumberFormat="1" applyFont="1" applyFill="1" applyBorder="1" applyAlignment="1">
      <alignment horizontal="center" vertical="center" wrapText="1"/>
    </xf>
    <xf numFmtId="0" fontId="13" fillId="12" borderId="4" xfId="2" applyNumberFormat="1" applyFont="1" applyFill="1" applyBorder="1" applyAlignment="1">
      <alignment horizontal="center" vertical="center" wrapText="1"/>
    </xf>
    <xf numFmtId="0" fontId="13" fillId="12" borderId="7" xfId="2" applyNumberFormat="1" applyFont="1" applyFill="1" applyBorder="1" applyAlignment="1">
      <alignment horizontal="center" vertical="center" wrapText="1"/>
    </xf>
    <xf numFmtId="165" fontId="22" fillId="12" borderId="4" xfId="2" applyNumberFormat="1" applyFont="1" applyFill="1" applyBorder="1" applyAlignment="1">
      <alignment horizontal="center" vertical="center" wrapText="1"/>
    </xf>
    <xf numFmtId="165" fontId="22" fillId="12" borderId="7" xfId="2" applyNumberFormat="1" applyFont="1" applyFill="1" applyBorder="1" applyAlignment="1">
      <alignment horizontal="center" vertical="center" wrapText="1"/>
    </xf>
    <xf numFmtId="165" fontId="22" fillId="12" borderId="1" xfId="2" applyNumberFormat="1" applyFont="1" applyFill="1" applyBorder="1" applyAlignment="1">
      <alignment horizontal="center" vertical="center" wrapText="1"/>
    </xf>
    <xf numFmtId="165" fontId="12" fillId="5" borderId="4" xfId="2" applyNumberFormat="1" applyFont="1" applyFill="1" applyBorder="1" applyAlignment="1">
      <alignment horizontal="center" vertical="center" wrapText="1"/>
    </xf>
    <xf numFmtId="165" fontId="12" fillId="5" borderId="7" xfId="2" applyNumberFormat="1" applyFont="1" applyFill="1" applyBorder="1" applyAlignment="1">
      <alignment horizontal="center" vertical="center" wrapText="1"/>
    </xf>
    <xf numFmtId="1" fontId="22" fillId="5" borderId="4" xfId="2" applyNumberFormat="1" applyFont="1" applyFill="1" applyBorder="1" applyAlignment="1">
      <alignment horizontal="center" vertical="center" wrapText="1"/>
    </xf>
    <xf numFmtId="1" fontId="22" fillId="5" borderId="7" xfId="2" applyNumberFormat="1"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8" xfId="0" applyFont="1" applyFill="1" applyBorder="1" applyAlignment="1">
      <alignment horizontal="center" vertical="center"/>
    </xf>
    <xf numFmtId="1" fontId="4" fillId="0" borderId="30"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1" fontId="43" fillId="0" borderId="4"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34" xfId="0" applyFont="1" applyFill="1" applyBorder="1" applyAlignment="1">
      <alignment horizontal="center" vertical="center"/>
    </xf>
    <xf numFmtId="1" fontId="43" fillId="0" borderId="30"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1" fontId="4" fillId="0" borderId="25" xfId="0" applyNumberFormat="1" applyFont="1" applyFill="1" applyBorder="1" applyAlignment="1">
      <alignment horizontal="center" vertical="center" wrapText="1"/>
    </xf>
    <xf numFmtId="165" fontId="13" fillId="13" borderId="4" xfId="2" applyNumberFormat="1" applyFont="1" applyFill="1" applyBorder="1" applyAlignment="1">
      <alignment horizontal="center" vertical="center" wrapText="1"/>
    </xf>
    <xf numFmtId="165" fontId="13" fillId="13" borderId="7" xfId="2" applyNumberFormat="1" applyFont="1" applyFill="1" applyBorder="1" applyAlignment="1">
      <alignment horizontal="center" vertical="center" wrapText="1"/>
    </xf>
    <xf numFmtId="0" fontId="13" fillId="13" borderId="4" xfId="2" applyNumberFormat="1" applyFont="1" applyFill="1" applyBorder="1" applyAlignment="1">
      <alignment horizontal="center" vertical="center" wrapText="1"/>
    </xf>
    <xf numFmtId="0" fontId="13" fillId="13" borderId="7" xfId="2" applyNumberFormat="1" applyFont="1" applyFill="1" applyBorder="1" applyAlignment="1">
      <alignment horizontal="center" vertical="center" wrapText="1"/>
    </xf>
    <xf numFmtId="165" fontId="13" fillId="4" borderId="26" xfId="2" applyNumberFormat="1" applyFont="1" applyFill="1" applyBorder="1" applyAlignment="1">
      <alignment horizontal="center" vertical="center" wrapText="1"/>
    </xf>
    <xf numFmtId="165" fontId="22" fillId="13" borderId="4" xfId="2" applyNumberFormat="1" applyFont="1" applyFill="1" applyBorder="1" applyAlignment="1">
      <alignment horizontal="center" vertical="center" wrapText="1"/>
    </xf>
    <xf numFmtId="165" fontId="22" fillId="13" borderId="7" xfId="2" applyNumberFormat="1" applyFont="1" applyFill="1" applyBorder="1" applyAlignment="1">
      <alignment horizontal="center" vertical="center" wrapText="1"/>
    </xf>
    <xf numFmtId="165" fontId="28" fillId="5" borderId="4" xfId="2" applyNumberFormat="1" applyFont="1" applyFill="1" applyBorder="1" applyAlignment="1">
      <alignment horizontal="center" vertical="center" wrapText="1"/>
    </xf>
    <xf numFmtId="165" fontId="28" fillId="5" borderId="7" xfId="2" applyNumberFormat="1" applyFont="1" applyFill="1" applyBorder="1" applyAlignment="1">
      <alignment horizontal="center" vertical="center" wrapText="1"/>
    </xf>
    <xf numFmtId="165" fontId="22" fillId="5" borderId="4" xfId="2" applyNumberFormat="1" applyFont="1" applyFill="1" applyBorder="1" applyAlignment="1">
      <alignment horizontal="center" vertical="center" wrapText="1"/>
    </xf>
    <xf numFmtId="165" fontId="22" fillId="5" borderId="7" xfId="2"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0" borderId="40" xfId="0" applyNumberFormat="1" applyFont="1" applyFill="1" applyBorder="1" applyAlignment="1">
      <alignment horizontal="center" vertical="center" wrapText="1"/>
    </xf>
    <xf numFmtId="1" fontId="4" fillId="0" borderId="51" xfId="0" applyNumberFormat="1" applyFont="1" applyFill="1" applyBorder="1" applyAlignment="1">
      <alignment horizontal="center" vertical="center" wrapText="1"/>
    </xf>
    <xf numFmtId="1" fontId="4" fillId="0" borderId="52" xfId="0" applyNumberFormat="1" applyFont="1" applyFill="1" applyBorder="1" applyAlignment="1">
      <alignment horizontal="center" vertical="center" wrapText="1"/>
    </xf>
    <xf numFmtId="1" fontId="4" fillId="0" borderId="39" xfId="0" applyNumberFormat="1" applyFont="1" applyFill="1" applyBorder="1" applyAlignment="1">
      <alignment horizontal="center" vertical="center" wrapText="1"/>
    </xf>
    <xf numFmtId="1" fontId="4" fillId="0" borderId="49" xfId="0" applyNumberFormat="1" applyFont="1" applyFill="1" applyBorder="1" applyAlignment="1">
      <alignment horizontal="center" vertical="center" wrapText="1"/>
    </xf>
    <xf numFmtId="1" fontId="4" fillId="0" borderId="50" xfId="0" applyNumberFormat="1" applyFont="1" applyFill="1" applyBorder="1" applyAlignment="1">
      <alignment horizontal="center" vertical="center" wrapText="1"/>
    </xf>
    <xf numFmtId="0" fontId="13" fillId="5" borderId="4" xfId="2" applyNumberFormat="1" applyFont="1" applyFill="1" applyBorder="1" applyAlignment="1">
      <alignment horizontal="center" vertical="center" wrapText="1"/>
    </xf>
    <xf numFmtId="0" fontId="13" fillId="5" borderId="7" xfId="2" applyNumberFormat="1" applyFont="1" applyFill="1" applyBorder="1" applyAlignment="1">
      <alignment horizontal="center" vertical="center" wrapText="1"/>
    </xf>
    <xf numFmtId="165" fontId="13" fillId="4" borderId="1" xfId="2" applyNumberFormat="1"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3" xfId="0" applyFont="1" applyFill="1" applyBorder="1" applyAlignment="1">
      <alignment horizontal="center" vertical="center"/>
    </xf>
    <xf numFmtId="1" fontId="24" fillId="0" borderId="30" xfId="0" applyNumberFormat="1" applyFont="1" applyFill="1" applyBorder="1" applyAlignment="1">
      <alignment horizontal="center" vertical="center" wrapText="1"/>
    </xf>
    <xf numFmtId="1" fontId="24" fillId="0" borderId="4" xfId="0" applyNumberFormat="1" applyFont="1" applyFill="1" applyBorder="1" applyAlignment="1">
      <alignment horizontal="center" vertical="center" wrapText="1"/>
    </xf>
    <xf numFmtId="1" fontId="24" fillId="0" borderId="35" xfId="0" applyNumberFormat="1" applyFont="1" applyFill="1" applyBorder="1" applyAlignment="1">
      <alignment horizontal="center" vertical="center" wrapText="1"/>
    </xf>
    <xf numFmtId="1" fontId="24" fillId="0" borderId="25" xfId="0" applyNumberFormat="1" applyFont="1" applyFill="1" applyBorder="1" applyAlignment="1">
      <alignment horizontal="center" vertical="center" wrapText="1"/>
    </xf>
    <xf numFmtId="1" fontId="24" fillId="0" borderId="7" xfId="0" applyNumberFormat="1"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37" xfId="0" applyFont="1" applyBorder="1" applyAlignment="1">
      <alignment horizontal="center" vertical="center" wrapText="1"/>
    </xf>
    <xf numFmtId="165" fontId="13" fillId="12" borderId="1" xfId="2" applyNumberFormat="1" applyFont="1" applyFill="1" applyBorder="1" applyAlignment="1">
      <alignment horizontal="center" vertical="center" wrapText="1"/>
    </xf>
    <xf numFmtId="172" fontId="13" fillId="5" borderId="4" xfId="2" applyNumberFormat="1" applyFont="1" applyFill="1" applyBorder="1" applyAlignment="1">
      <alignment horizontal="center" vertical="center" wrapText="1"/>
    </xf>
    <xf numFmtId="172" fontId="13" fillId="5" borderId="7" xfId="2" applyNumberFormat="1" applyFont="1" applyFill="1" applyBorder="1" applyAlignment="1">
      <alignment horizontal="center" vertical="center" wrapText="1"/>
    </xf>
    <xf numFmtId="0" fontId="4" fillId="11" borderId="29" xfId="0" applyFont="1" applyFill="1" applyBorder="1" applyAlignment="1">
      <alignment horizontal="center" vertical="center"/>
    </xf>
    <xf numFmtId="0" fontId="4" fillId="11" borderId="32" xfId="0" applyFont="1" applyFill="1" applyBorder="1" applyAlignment="1">
      <alignment horizontal="center" vertical="center"/>
    </xf>
    <xf numFmtId="0" fontId="4" fillId="11" borderId="34"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65" fontId="22" fillId="4" borderId="4" xfId="2" applyNumberFormat="1" applyFont="1" applyFill="1" applyBorder="1" applyAlignment="1">
      <alignment horizontal="center" vertical="center" wrapText="1"/>
    </xf>
    <xf numFmtId="165" fontId="22" fillId="4" borderId="7" xfId="2" applyNumberFormat="1" applyFont="1" applyFill="1" applyBorder="1" applyAlignment="1">
      <alignment horizontal="center" vertical="center" wrapText="1"/>
    </xf>
    <xf numFmtId="0" fontId="21" fillId="0" borderId="44" xfId="0" quotePrefix="1" applyFont="1" applyBorder="1" applyAlignment="1">
      <alignment horizontal="center" vertical="center" wrapText="1"/>
    </xf>
    <xf numFmtId="0" fontId="18" fillId="5" borderId="4" xfId="3" applyFont="1" applyFill="1" applyBorder="1" applyAlignment="1">
      <alignment horizontal="center" vertical="center" wrapText="1"/>
    </xf>
    <xf numFmtId="0" fontId="18" fillId="5" borderId="7" xfId="3" applyFont="1" applyFill="1" applyBorder="1" applyAlignment="1">
      <alignment horizontal="center" vertical="center" wrapText="1"/>
    </xf>
    <xf numFmtId="10" fontId="18" fillId="5" borderId="4" xfId="3" applyNumberFormat="1" applyFont="1" applyFill="1" applyBorder="1" applyAlignment="1">
      <alignment horizontal="center" vertical="center" wrapText="1"/>
    </xf>
    <xf numFmtId="10" fontId="18" fillId="5" borderId="7" xfId="3" applyNumberFormat="1" applyFont="1" applyFill="1" applyBorder="1" applyAlignment="1">
      <alignment horizontal="center" vertical="center" wrapText="1"/>
    </xf>
    <xf numFmtId="165" fontId="18" fillId="5" borderId="0" xfId="2" applyNumberFormat="1" applyFont="1" applyFill="1" applyBorder="1" applyAlignment="1">
      <alignment horizontal="center" vertical="center" wrapText="1"/>
    </xf>
    <xf numFmtId="0" fontId="26" fillId="7" borderId="7"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18" fillId="5" borderId="22" xfId="2" applyFont="1" applyFill="1" applyBorder="1" applyAlignment="1">
      <alignment horizontal="center" vertical="center" textRotation="90" wrapText="1"/>
    </xf>
    <xf numFmtId="0" fontId="18" fillId="5" borderId="3" xfId="2" applyFont="1" applyFill="1" applyBorder="1" applyAlignment="1">
      <alignment horizontal="center" vertical="center" textRotation="90" wrapText="1"/>
    </xf>
    <xf numFmtId="0" fontId="18" fillId="5" borderId="0" xfId="2" applyFont="1" applyFill="1" applyBorder="1" applyAlignment="1">
      <alignment horizontal="center" vertical="center" textRotation="90" wrapText="1"/>
    </xf>
    <xf numFmtId="165" fontId="18" fillId="5" borderId="21" xfId="2" applyNumberFormat="1" applyFont="1" applyFill="1" applyBorder="1" applyAlignment="1">
      <alignment horizontal="center" vertical="center" wrapText="1"/>
    </xf>
    <xf numFmtId="165" fontId="18" fillId="5" borderId="2" xfId="2" applyNumberFormat="1" applyFont="1" applyFill="1" applyBorder="1" applyAlignment="1">
      <alignment horizontal="center" vertical="center" wrapText="1"/>
    </xf>
    <xf numFmtId="165" fontId="18" fillId="5" borderId="10" xfId="2" applyNumberFormat="1" applyFont="1" applyFill="1" applyBorder="1" applyAlignment="1">
      <alignment horizontal="center" vertical="center" wrapText="1"/>
    </xf>
    <xf numFmtId="41" fontId="48" fillId="0" borderId="7" xfId="0" applyNumberFormat="1" applyFont="1" applyBorder="1" applyAlignment="1">
      <alignment horizontal="center" vertical="center" wrapText="1"/>
    </xf>
    <xf numFmtId="41" fontId="48" fillId="0" borderId="27" xfId="0" applyNumberFormat="1" applyFont="1" applyBorder="1" applyAlignment="1">
      <alignment horizontal="center" vertical="center" wrapText="1"/>
    </xf>
    <xf numFmtId="41" fontId="48" fillId="0" borderId="26" xfId="0" applyNumberFormat="1" applyFont="1" applyBorder="1" applyAlignment="1">
      <alignment horizontal="center" vertical="center" wrapText="1"/>
    </xf>
    <xf numFmtId="41" fontId="48" fillId="0" borderId="25" xfId="0" applyNumberFormat="1" applyFont="1" applyBorder="1" applyAlignment="1">
      <alignment horizontal="center" vertical="center" wrapText="1"/>
    </xf>
    <xf numFmtId="41" fontId="48" fillId="0" borderId="4" xfId="0" applyNumberFormat="1" applyFont="1" applyBorder="1" applyAlignment="1">
      <alignment horizontal="center" vertical="center" wrapText="1"/>
    </xf>
    <xf numFmtId="41" fontId="48" fillId="0" borderId="1" xfId="0" applyNumberFormat="1" applyFont="1" applyBorder="1" applyAlignment="1">
      <alignment horizontal="center" vertical="center" wrapText="1"/>
    </xf>
  </cellXfs>
  <cellStyles count="84">
    <cellStyle name="60% - Énfasis1" xfId="2" builtinId="32"/>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0] 2" xfId="5"/>
    <cellStyle name="Millares 2" xfId="6"/>
    <cellStyle name="Millares 2 2" xfId="68"/>
    <cellStyle name="Millares 3" xfId="65"/>
    <cellStyle name="Moneda [0] 2" xfId="7"/>
    <cellStyle name="Moneda 10" xfId="69"/>
    <cellStyle name="Moneda 11" xfId="70"/>
    <cellStyle name="Moneda 12" xfId="71"/>
    <cellStyle name="Moneda 2" xfId="64"/>
    <cellStyle name="Moneda 2 12 2" xfId="8"/>
    <cellStyle name="Moneda 3" xfId="72"/>
    <cellStyle name="Moneda 4" xfId="73"/>
    <cellStyle name="Moneda 5" xfId="74"/>
    <cellStyle name="Moneda 6" xfId="75"/>
    <cellStyle name="Moneda 7" xfId="76"/>
    <cellStyle name="Moneda 8" xfId="77"/>
    <cellStyle name="Moneda 9" xfId="78"/>
    <cellStyle name="Normal" xfId="0" builtinId="0"/>
    <cellStyle name="Normal 11 45 9" xfId="9"/>
    <cellStyle name="Normal 11 45 9 2" xfId="83"/>
    <cellStyle name="Normal 2" xfId="10"/>
    <cellStyle name="Normal 3" xfId="11"/>
    <cellStyle name="Normal 3 2" xfId="79"/>
    <cellStyle name="Normal 4" xfId="80"/>
    <cellStyle name="Normal 5" xfId="66"/>
    <cellStyle name="Porcentaje" xfId="1" builtinId="5"/>
    <cellStyle name="Porcentual 2" xfId="12"/>
    <cellStyle name="Porcentual 2 2" xfId="13"/>
    <cellStyle name="Porcentual 2 3" xfId="81"/>
    <cellStyle name="Porcentual 3" xfId="82"/>
  </cellStyles>
  <dxfs count="165">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Copia%20de%20MATRIZ%20TECNICA%20VJ-VGC-001-2016-AMC%2025-2-16%20JOY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MATRIZ%20TECNICA%20VJ-VGC-001-2016-AMC%20P6-1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ramirez/AppData/Local/Microsoft/Windows/Temporary%20Internet%20Files/Content.Outlook/Y2JWMDD0/MATRIZ%20TECNICA%20VJ-VGC-023-2015%20NUS%200902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amirez/AppData/Local/Microsoft/Windows/Temporary%20Internet%20Files/Content.Outlook/Y2JWMDD0/MATRIZ%20TECNICA%20VJ-VGC-023-2015%20NUS9-02-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wnloads/MATRIZ%20TECNICA%20VJ-VGC-001-2016-AMC-20-2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ownloads/MATRIZ%20TECNICA%20VJ-VGC-001-2016-AMC%2025-2-16%20ANDR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ownloads/MATRIZ%20TECNICA%20VJ-VGC-001-2016-AMC%20ANDR&#201;S%20PARRADO%20Y%20ANDRES%20BELTRAN%2034-4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EXP GEN. 1-5"/>
      <sheetName val="EXP ESPEC. 1-5"/>
      <sheetName val="EXP GEN. 6-12"/>
      <sheetName val="EXP ESPEC. 6-12"/>
      <sheetName val="EXP GEN. 13-19"/>
      <sheetName val="EXP ESPEC. 13-19"/>
      <sheetName val="EXP GEN. 20-26"/>
      <sheetName val="EXP ESPEC. 20-26"/>
      <sheetName val="EXP GEN. 27-33"/>
      <sheetName val="EXP ESPEC. 27-33"/>
      <sheetName val="EXP GEN. 34-40"/>
      <sheetName val="EXP ESPEC. 34-40"/>
      <sheetName val="DESEMPATE"/>
      <sheetName val="EXP GEN. 41"/>
      <sheetName val="EXP ESPEC. 41"/>
      <sheetName val="CONSOLIDADO"/>
    </sheetNames>
    <sheetDataSet>
      <sheetData sheetId="0" refreshError="1">
        <row r="5">
          <cell r="D5">
            <v>5618.8818142313958</v>
          </cell>
          <cell r="F5">
            <v>1685.6645442694187</v>
          </cell>
          <cell r="H5">
            <v>2865.6297252580121</v>
          </cell>
          <cell r="J5">
            <v>3371.3290885388374</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C4" t="str">
            <v>P01-01</v>
          </cell>
          <cell r="D4" t="str">
            <v xml:space="preserve">WSP SERVICIOS S.A.S  </v>
          </cell>
        </row>
        <row r="5">
          <cell r="C5" t="str">
            <v>P01-02</v>
          </cell>
          <cell r="D5" t="str">
            <v xml:space="preserve">SMA S.A.  </v>
          </cell>
        </row>
        <row r="6">
          <cell r="C6" t="str">
            <v>P02-01</v>
          </cell>
          <cell r="D6" t="str">
            <v xml:space="preserve">GRUSAMAR INGENIERIA Y CONSULTING SL SUCURSAL </v>
          </cell>
        </row>
        <row r="7">
          <cell r="C7" t="str">
            <v>P02-02</v>
          </cell>
          <cell r="D7" t="str">
            <v xml:space="preserve">JUAN AMADO LIZARAZO </v>
          </cell>
        </row>
        <row r="8">
          <cell r="C8" t="str">
            <v>P03-01</v>
          </cell>
          <cell r="D8" t="str">
            <v>C&amp;M CONSULTORES S.A.</v>
          </cell>
        </row>
        <row r="9">
          <cell r="C9" t="str">
            <v>P03-02</v>
          </cell>
          <cell r="D9" t="str">
            <v>OMC</v>
          </cell>
        </row>
        <row r="10">
          <cell r="C10" t="str">
            <v>P03-03</v>
          </cell>
          <cell r="D10" t="str">
            <v>GESTIÓN INTEGRAL DEL SUELO SUCURSAL COLOMBIA</v>
          </cell>
        </row>
        <row r="11">
          <cell r="C11" t="str">
            <v>P04-01</v>
          </cell>
          <cell r="D11" t="str">
            <v xml:space="preserve">GEOTECNIA Y CIMIENTOS INGEOCIM S.A.S. </v>
          </cell>
        </row>
        <row r="12">
          <cell r="C12" t="str">
            <v>P04-02</v>
          </cell>
          <cell r="D12" t="str">
            <v>TYPSA</v>
          </cell>
        </row>
        <row r="13">
          <cell r="C13" t="str">
            <v>P05-01</v>
          </cell>
          <cell r="D13" t="str">
            <v xml:space="preserve">AFA CONSULTORES Y CONSTRUCTORES S.A </v>
          </cell>
        </row>
        <row r="14">
          <cell r="C14" t="str">
            <v>P05-02</v>
          </cell>
          <cell r="D14" t="str">
            <v>INC GROUP S.A.S.</v>
          </cell>
        </row>
        <row r="15">
          <cell r="C15" t="str">
            <v>P06-01</v>
          </cell>
          <cell r="D15" t="str">
            <v xml:space="preserve">INZETT S.A.S.  </v>
          </cell>
        </row>
        <row r="16">
          <cell r="C16" t="str">
            <v>P06-02</v>
          </cell>
          <cell r="D16" t="str">
            <v>CIVING INGENIEROS CONTRATISTAS S EN C</v>
          </cell>
        </row>
        <row r="17">
          <cell r="C17" t="str">
            <v>P06-03</v>
          </cell>
          <cell r="D17" t="str">
            <v>J FELIPE ARDILA V &amp; CIA S.A.S.</v>
          </cell>
        </row>
        <row r="18">
          <cell r="C18" t="str">
            <v>P07-01</v>
          </cell>
          <cell r="D18" t="str">
            <v>SERTIC S.A.S.</v>
          </cell>
        </row>
        <row r="19">
          <cell r="C19" t="str">
            <v>P07-02</v>
          </cell>
          <cell r="D19" t="str">
            <v>CPS INGENIEROS OBRA CIVIL Y MEDIO AMBIENTE SUCURSAL COLOMBIA SL</v>
          </cell>
        </row>
        <row r="20">
          <cell r="C20" t="str">
            <v>P07-01</v>
          </cell>
          <cell r="D20" t="str">
            <v>GOMEZ CAJIAO Y ASOCIADOS S.A.</v>
          </cell>
        </row>
        <row r="21">
          <cell r="C21" t="str">
            <v>P07-02</v>
          </cell>
          <cell r="D21" t="str">
            <v>CONSULTORIA INTOK DE COLOMBIA Y ASOCIADOS S.A.S</v>
          </cell>
        </row>
        <row r="22">
          <cell r="C22" t="str">
            <v>P08-01</v>
          </cell>
          <cell r="D22" t="str">
            <v>CONSULTORIA INTEGRAL EN INGENIERIA S.A. DE CV</v>
          </cell>
        </row>
        <row r="23">
          <cell r="C23" t="str">
            <v>P08-02</v>
          </cell>
          <cell r="D23" t="str">
            <v>INGENIERIA Y CONSULTORIA INGECON S.A.S.</v>
          </cell>
        </row>
        <row r="24">
          <cell r="C24" t="str">
            <v>P09-01</v>
          </cell>
          <cell r="D24" t="str">
            <v>ESTRUCTURADOR COLOMBIA S.A.S.</v>
          </cell>
        </row>
        <row r="25">
          <cell r="C25" t="str">
            <v>P09-02</v>
          </cell>
          <cell r="D25" t="str">
            <v>ECOVIAS S.A.S.</v>
          </cell>
        </row>
        <row r="26">
          <cell r="C26" t="str">
            <v>P10-01</v>
          </cell>
          <cell r="D26" t="str">
            <v>JOYCO</v>
          </cell>
        </row>
        <row r="27">
          <cell r="C27" t="str">
            <v>P11-01</v>
          </cell>
          <cell r="D27" t="str">
            <v>GIC GERENCIA INTERVENTORIA Y CONSULTORIA S.A.S.</v>
          </cell>
        </row>
        <row r="28">
          <cell r="C28" t="str">
            <v>P11-02</v>
          </cell>
          <cell r="D28" t="str">
            <v>CONSULTORES UNIDOS S.A.</v>
          </cell>
        </row>
        <row r="29">
          <cell r="C29" t="str">
            <v>P12-01</v>
          </cell>
          <cell r="D29" t="str">
            <v>INGEANDINA CONSULTORES DE INGENIERIA S.A.S.</v>
          </cell>
        </row>
        <row r="30">
          <cell r="C30" t="str">
            <v>P12-02</v>
          </cell>
          <cell r="D30" t="str">
            <v>GEOCONTROL SUCURSAL COLOMBIA</v>
          </cell>
        </row>
        <row r="31">
          <cell r="C31" t="str">
            <v>P13-01</v>
          </cell>
          <cell r="D31" t="str">
            <v>VELNEC S.A</v>
          </cell>
        </row>
        <row r="32">
          <cell r="C32" t="str">
            <v>P13-02</v>
          </cell>
          <cell r="D32" t="str">
            <v>GNC INGENIERIA S.A.S.</v>
          </cell>
        </row>
        <row r="33">
          <cell r="C33" t="str">
            <v>P14-01</v>
          </cell>
          <cell r="D33" t="str">
            <v>ARREDONDO MADRID INGENIEROS CIVILES (AIM) LIMITADA</v>
          </cell>
        </row>
        <row r="34">
          <cell r="C34" t="str">
            <v>P14-02</v>
          </cell>
          <cell r="D34" t="str">
            <v>INGENIERIA INTEGRAL DE OBRAS - INGEOBRAS SAS</v>
          </cell>
        </row>
        <row r="35">
          <cell r="C35" t="str">
            <v>P15-01</v>
          </cell>
          <cell r="D35" t="str">
            <v>3B PROYECTOS SAS</v>
          </cell>
        </row>
        <row r="36">
          <cell r="C36" t="str">
            <v>P16-01</v>
          </cell>
          <cell r="D36" t="str">
            <v>SEDIC</v>
          </cell>
        </row>
        <row r="37">
          <cell r="C37" t="str">
            <v>P16-02</v>
          </cell>
          <cell r="D37" t="str">
            <v>CB INGENIEROS</v>
          </cell>
        </row>
        <row r="38">
          <cell r="C38" t="str">
            <v>P17-01</v>
          </cell>
          <cell r="D38" t="str">
            <v>SERVINC LTDA</v>
          </cell>
        </row>
        <row r="39">
          <cell r="C39" t="str">
            <v>P17-02</v>
          </cell>
          <cell r="D39" t="str">
            <v>VQMSAS</v>
          </cell>
        </row>
        <row r="40">
          <cell r="C40" t="str">
            <v>P18-01</v>
          </cell>
          <cell r="D40" t="str">
            <v>DIEGO FONSECA CHAVES</v>
          </cell>
        </row>
        <row r="41">
          <cell r="C41" t="str">
            <v>P18-02</v>
          </cell>
          <cell r="D41" t="str">
            <v>B&amp;C SA</v>
          </cell>
        </row>
        <row r="42">
          <cell r="C42" t="str">
            <v>P19-01</v>
          </cell>
          <cell r="D42" t="str">
            <v>INTERVENTORIAS Y DISEÑOS S.A.</v>
          </cell>
        </row>
        <row r="43">
          <cell r="C43" t="str">
            <v>P19-02</v>
          </cell>
          <cell r="D43" t="str">
            <v>INGENOBRAS SAS</v>
          </cell>
        </row>
        <row r="44">
          <cell r="C44" t="str">
            <v>P20-01</v>
          </cell>
          <cell r="D44" t="str">
            <v>GETINSA INGENIERIA SL SUCURSAL COLOMBIA</v>
          </cell>
        </row>
        <row r="45">
          <cell r="C45" t="str">
            <v>P20-02</v>
          </cell>
          <cell r="D45" t="str">
            <v>EUROESTUDIOS INGENIEROS DE CONSULTA SA</v>
          </cell>
        </row>
        <row r="46">
          <cell r="C46" t="str">
            <v>P21-01</v>
          </cell>
          <cell r="D46" t="str">
            <v>INFRAESTRUCTURA INTEGRAL SAS</v>
          </cell>
        </row>
        <row r="47">
          <cell r="C47" t="str">
            <v>P21-02</v>
          </cell>
          <cell r="D47" t="str">
            <v>CANO JIMENEZ ESTUDIOS SA</v>
          </cell>
        </row>
        <row r="48">
          <cell r="C48" t="str">
            <v>P22-01</v>
          </cell>
          <cell r="D48" t="str">
            <v>MAB INGENIERIA DE VALOR S.A.</v>
          </cell>
        </row>
        <row r="49">
          <cell r="C49" t="str">
            <v>P22-02</v>
          </cell>
          <cell r="D49" t="str">
            <v>PROYECTOS Y ESTRUCTURAS ESPECIALES S.A</v>
          </cell>
        </row>
        <row r="50">
          <cell r="C50" t="str">
            <v>P23-01</v>
          </cell>
          <cell r="D50" t="str">
            <v>AYESA COLOMBIA INGENIERIA Y ARQUITECTURA SAS</v>
          </cell>
        </row>
        <row r="51">
          <cell r="C51" t="str">
            <v>P23-02</v>
          </cell>
          <cell r="D51" t="str">
            <v>INTERSA SA</v>
          </cell>
        </row>
        <row r="52">
          <cell r="C52" t="str">
            <v>P24-01</v>
          </cell>
          <cell r="D52" t="str">
            <v>JAHVM MCGREGOR SAS</v>
          </cell>
        </row>
        <row r="53">
          <cell r="C53" t="str">
            <v>P24-02</v>
          </cell>
          <cell r="D53" t="str">
            <v>PROYECTOS CONTRUCCIONES CIVILES Y VIALES LTDA</v>
          </cell>
        </row>
        <row r="54">
          <cell r="C54" t="str">
            <v>P24-03</v>
          </cell>
          <cell r="D54" t="str">
            <v>TOP SUELOS INGENIERIA S.A.S.</v>
          </cell>
        </row>
        <row r="55">
          <cell r="C55" t="str">
            <v>P25-01</v>
          </cell>
          <cell r="D55" t="str">
            <v>EUROCONTROL SA</v>
          </cell>
        </row>
        <row r="56">
          <cell r="C56" t="str">
            <v>P25-02</v>
          </cell>
          <cell r="D56" t="str">
            <v>CAYCO SAS</v>
          </cell>
        </row>
        <row r="57">
          <cell r="C57" t="str">
            <v>P25-03</v>
          </cell>
          <cell r="D57" t="str">
            <v>GARPER INGENIERÍA CIA S.A.S.</v>
          </cell>
        </row>
        <row r="58">
          <cell r="C58" t="str">
            <v>P26-01</v>
          </cell>
          <cell r="D58" t="str">
            <v>PROGIN SA</v>
          </cell>
        </row>
        <row r="59">
          <cell r="C59" t="str">
            <v>P26-02</v>
          </cell>
          <cell r="D59" t="str">
            <v>PLANES S.A.</v>
          </cell>
        </row>
        <row r="60">
          <cell r="C60" t="str">
            <v>P27-01</v>
          </cell>
          <cell r="D60" t="str">
            <v>INTERPRO SAS</v>
          </cell>
        </row>
        <row r="61">
          <cell r="C61" t="str">
            <v>P27-02</v>
          </cell>
          <cell r="D61" t="str">
            <v>BAG ENGINEERING CONSULTANCY GROUP S.A.S.</v>
          </cell>
        </row>
        <row r="62">
          <cell r="C62" t="str">
            <v>P28-01</v>
          </cell>
          <cell r="D62" t="str">
            <v>CONCOL INGENIERIA SAS</v>
          </cell>
        </row>
        <row r="63">
          <cell r="C63" t="str">
            <v>P29-01</v>
          </cell>
          <cell r="D63" t="str">
            <v>ING INGENIERIA SA</v>
          </cell>
        </row>
        <row r="64">
          <cell r="C64" t="str">
            <v>P29-02</v>
          </cell>
          <cell r="D64" t="str">
            <v>INGETEC GERENCIA &amp; SUPERVISION SA</v>
          </cell>
        </row>
        <row r="65">
          <cell r="C65" t="str">
            <v>P30-01</v>
          </cell>
          <cell r="D65" t="str">
            <v>HMV CONSULTORIA SAS</v>
          </cell>
        </row>
        <row r="66">
          <cell r="C66" t="str">
            <v>P31-01</v>
          </cell>
          <cell r="D66" t="str">
            <v>SERINCO COLOMBIA</v>
          </cell>
        </row>
        <row r="67">
          <cell r="C67" t="str">
            <v>P31-02</v>
          </cell>
          <cell r="D67" t="str">
            <v>DICONSULTORIA SA</v>
          </cell>
        </row>
        <row r="68">
          <cell r="C68" t="str">
            <v>P32-01</v>
          </cell>
          <cell r="D68" t="str">
            <v>INGENIERIA CONSULTORIA Y PLANEACION S.A. INCOPLAN S.A</v>
          </cell>
        </row>
        <row r="69">
          <cell r="C69" t="str">
            <v>P32-02</v>
          </cell>
          <cell r="D69" t="str">
            <v>SONDEOS ESTRUCTURAS Y GEOTECNIA SUCURSAL S.A.</v>
          </cell>
        </row>
        <row r="70">
          <cell r="C70" t="str">
            <v>P33-01</v>
          </cell>
          <cell r="D70" t="str">
            <v xml:space="preserve">INGENIERIA DE PROYECTOS SAS.  </v>
          </cell>
        </row>
        <row r="71">
          <cell r="C71" t="str">
            <v>P33-02</v>
          </cell>
          <cell r="D71" t="str">
            <v>INGENIEROS CIVILES ESPECIALISTAS LTDA</v>
          </cell>
        </row>
        <row r="72">
          <cell r="C72" t="str">
            <v>P33-03</v>
          </cell>
          <cell r="D72" t="str">
            <v>EGIS COLOMBIA SAS</v>
          </cell>
        </row>
        <row r="73">
          <cell r="C73" t="str">
            <v>P34-01</v>
          </cell>
          <cell r="D73" t="str">
            <v>CONSULTORES TECNICOS Y ECONOMICOS SA</v>
          </cell>
        </row>
        <row r="74">
          <cell r="C74" t="str">
            <v>P34-02</v>
          </cell>
          <cell r="D74" t="str">
            <v>CONSULTORES E INTERVENTORES TECNICOS SAS</v>
          </cell>
        </row>
        <row r="75">
          <cell r="C75" t="str">
            <v>P35-01</v>
          </cell>
          <cell r="D75" t="str">
            <v>PROINTEC COLOMBIA</v>
          </cell>
        </row>
        <row r="76">
          <cell r="C76" t="str">
            <v>P35-02</v>
          </cell>
          <cell r="D76" t="str">
            <v>CONSULTORES DE INGENIERIA UG21 SL SUCURSAL COLOMBIA</v>
          </cell>
        </row>
        <row r="77">
          <cell r="C77" t="str">
            <v>P36-01</v>
          </cell>
          <cell r="D77" t="str">
            <v>ETA SA</v>
          </cell>
        </row>
        <row r="78">
          <cell r="C78" t="str">
            <v>P36-02</v>
          </cell>
          <cell r="D78" t="str">
            <v xml:space="preserve">GC&amp;Q INGENIEROS CONSULTORES SAS. </v>
          </cell>
        </row>
        <row r="79">
          <cell r="C79" t="str">
            <v>P37-01</v>
          </cell>
          <cell r="D79" t="str">
            <v>BATEMAN INGENIERIA S.A.</v>
          </cell>
        </row>
        <row r="80">
          <cell r="C80" t="str">
            <v>P37-02</v>
          </cell>
          <cell r="D80" t="str">
            <v>IAR PROYECTOS SAS</v>
          </cell>
        </row>
        <row r="81">
          <cell r="C81" t="str">
            <v>P38-01</v>
          </cell>
          <cell r="D81" t="str">
            <v>IV INGENIEROS CONSULTORES SUCURSAL COLOMBIA</v>
          </cell>
        </row>
        <row r="82">
          <cell r="C82" t="str">
            <v>P38-02</v>
          </cell>
          <cell r="D82" t="str">
            <v>ALPHA GRUPO CONSULTOR E INTERVENTOR SAS</v>
          </cell>
        </row>
        <row r="83">
          <cell r="C83" t="str">
            <v>P38-03</v>
          </cell>
          <cell r="D83" t="str">
            <v>CELQO SAS</v>
          </cell>
        </row>
        <row r="84">
          <cell r="C84" t="str">
            <v>P39-01</v>
          </cell>
          <cell r="D84" t="str">
            <v xml:space="preserve">                                         CEMOSA</v>
          </cell>
        </row>
        <row r="85">
          <cell r="C85" t="str">
            <v>P39-02</v>
          </cell>
          <cell r="D85" t="str">
            <v>INGENIERIA Y DESARROLLO XIMA DE COLOMBIA SAS</v>
          </cell>
        </row>
        <row r="86">
          <cell r="C86" t="str">
            <v>P40-01</v>
          </cell>
          <cell r="D86" t="str">
            <v xml:space="preserve">JOSE MANUEL GUARDO POLO </v>
          </cell>
        </row>
        <row r="87">
          <cell r="C87" t="str">
            <v>P40-02</v>
          </cell>
          <cell r="D87" t="str">
            <v>GRUPO POSSO SAS</v>
          </cell>
        </row>
        <row r="88">
          <cell r="C88" t="str">
            <v>P41-01</v>
          </cell>
          <cell r="D88" t="str">
            <v>LA VIABILIDAD LTDA</v>
          </cell>
        </row>
        <row r="89">
          <cell r="C89" t="str">
            <v>P41-02</v>
          </cell>
          <cell r="D89" t="str">
            <v>SESAC SA</v>
          </cell>
        </row>
        <row r="90">
          <cell r="C90" t="str">
            <v>P41-03</v>
          </cell>
          <cell r="D90" t="str">
            <v>SILVIA CARREÑO Y ASOCIADOS SAS</v>
          </cell>
        </row>
        <row r="91">
          <cell r="C91" t="str">
            <v>P41-04</v>
          </cell>
          <cell r="D91" t="str">
            <v>ARENAS DE LA HOZ CONSULTORES 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1-5"/>
      <sheetName val="EXP ESPEC. 1-5"/>
      <sheetName val="EXP GEN. 6-12"/>
      <sheetName val="EXP ESPEC. 6-12"/>
      <sheetName val="EXP GEN. 13-19"/>
      <sheetName val="EXP ESPEC. 13-19"/>
      <sheetName val="EXP GEN. 20-26"/>
      <sheetName val="EXP ESPEC. 20-26"/>
      <sheetName val="EXP GEN. 27-33"/>
      <sheetName val="EXP ESPEC. 27-33"/>
      <sheetName val="EXP GEN. 34-40"/>
      <sheetName val="EXP ESPEC. 34-40"/>
      <sheetName val="EXP GEN. 41"/>
      <sheetName val="EXP ESPEC. 41"/>
      <sheetName val="DESEMPATE"/>
    </sheetNames>
    <sheetDataSet>
      <sheetData sheetId="0">
        <row r="4">
          <cell r="C4" t="str">
            <v>P01-01</v>
          </cell>
          <cell r="D4" t="str">
            <v xml:space="preserve">WSP SERVICIOS S.A.S  </v>
          </cell>
        </row>
        <row r="5">
          <cell r="C5" t="str">
            <v>P01-02</v>
          </cell>
          <cell r="D5" t="str">
            <v xml:space="preserve">SMA S.A.  </v>
          </cell>
        </row>
        <row r="6">
          <cell r="C6" t="str">
            <v>P02-01</v>
          </cell>
          <cell r="D6" t="str">
            <v xml:space="preserve">GRUSAMAR INGENIERIA Y CONSULTING SL SUCURSAL </v>
          </cell>
        </row>
        <row r="7">
          <cell r="C7" t="str">
            <v>P02-02</v>
          </cell>
          <cell r="D7" t="str">
            <v xml:space="preserve">JUAN AMADO LIZARAZO </v>
          </cell>
        </row>
        <row r="8">
          <cell r="C8" t="str">
            <v>P03-01</v>
          </cell>
          <cell r="D8" t="str">
            <v>C&amp;M CONSULTORES S.A.</v>
          </cell>
        </row>
        <row r="9">
          <cell r="C9" t="str">
            <v>P03-02</v>
          </cell>
          <cell r="D9" t="str">
            <v>OMC</v>
          </cell>
        </row>
        <row r="10">
          <cell r="C10" t="str">
            <v>P03-03</v>
          </cell>
          <cell r="D10" t="str">
            <v>GESTIÓN INTEGRAL DEL SUELO SUCURSAL COLOMBIA</v>
          </cell>
        </row>
        <row r="11">
          <cell r="C11" t="str">
            <v>P04-01</v>
          </cell>
          <cell r="D11" t="str">
            <v xml:space="preserve">GEOTECNIA Y CIMIENTOS INGEOCIM S.A.S. </v>
          </cell>
        </row>
        <row r="12">
          <cell r="C12" t="str">
            <v>P04-02</v>
          </cell>
          <cell r="D12" t="str">
            <v>TYPSA</v>
          </cell>
        </row>
        <row r="13">
          <cell r="C13" t="str">
            <v>P05-01</v>
          </cell>
          <cell r="D13" t="str">
            <v xml:space="preserve">AFA CONSULTORES Y CONSTRUCTORES S.A </v>
          </cell>
        </row>
        <row r="14">
          <cell r="C14" t="str">
            <v>P05-02</v>
          </cell>
          <cell r="D14" t="str">
            <v>INC GROUP S.A.S.</v>
          </cell>
        </row>
        <row r="15">
          <cell r="A15" t="str">
            <v>CM001P06</v>
          </cell>
          <cell r="C15" t="str">
            <v>P06-01</v>
          </cell>
          <cell r="D15" t="str">
            <v xml:space="preserve">INZETT S.A.S.  </v>
          </cell>
        </row>
        <row r="16">
          <cell r="C16" t="str">
            <v>P06-02</v>
          </cell>
          <cell r="D16" t="str">
            <v>CIVING INGENIEROS CONTRATISTAS S EN C</v>
          </cell>
        </row>
        <row r="17">
          <cell r="C17" t="str">
            <v>P06-03</v>
          </cell>
          <cell r="D17" t="str">
            <v>J FELIPE ARDILA V &amp; CIA S.A.S.</v>
          </cell>
        </row>
        <row r="18">
          <cell r="A18" t="str">
            <v>CM001P07</v>
          </cell>
          <cell r="C18" t="str">
            <v>P07-01</v>
          </cell>
          <cell r="D18" t="str">
            <v>GOMEZ CAJIAO Y ASOCIADOS S.A.</v>
          </cell>
        </row>
        <row r="19">
          <cell r="C19" t="str">
            <v>P07-02</v>
          </cell>
          <cell r="D19" t="str">
            <v>CONSULTORIA INTOK DE COLOMBIA Y ASOCIADOS S.A.S</v>
          </cell>
        </row>
        <row r="20">
          <cell r="A20" t="str">
            <v>CM001P08</v>
          </cell>
          <cell r="C20" t="str">
            <v>P08-01</v>
          </cell>
          <cell r="D20" t="str">
            <v>CONSULTORIA INTEGRAL EN INGENIERIA S.A. DE CV</v>
          </cell>
        </row>
        <row r="21">
          <cell r="C21" t="str">
            <v>P08-02</v>
          </cell>
          <cell r="D21" t="str">
            <v>INGENIERIA Y CONSULTORIA INGECON S.A.S.</v>
          </cell>
        </row>
        <row r="22">
          <cell r="A22" t="str">
            <v>CM001P09</v>
          </cell>
          <cell r="C22" t="str">
            <v>P09-01</v>
          </cell>
          <cell r="D22" t="str">
            <v>ESTRUCTURADOR COLOMBIA S.A.S.</v>
          </cell>
        </row>
        <row r="23">
          <cell r="C23" t="str">
            <v>P09-02</v>
          </cell>
          <cell r="D23" t="str">
            <v>ECOVIAS S.A.S.</v>
          </cell>
        </row>
        <row r="24">
          <cell r="A24" t="str">
            <v>CM001P10</v>
          </cell>
          <cell r="C24" t="str">
            <v>P10-01</v>
          </cell>
          <cell r="D24" t="str">
            <v>JOYCO</v>
          </cell>
        </row>
        <row r="25">
          <cell r="A25" t="str">
            <v>CM001P11</v>
          </cell>
          <cell r="C25" t="str">
            <v>P11-01</v>
          </cell>
          <cell r="D25" t="str">
            <v>GIC GERENCIA INTERVENTORIA Y CONSULTORIA S.A.S.</v>
          </cell>
        </row>
        <row r="26">
          <cell r="C26" t="str">
            <v>P11-02</v>
          </cell>
          <cell r="D26" t="str">
            <v>CONSULTORES UNIDOS S.A.</v>
          </cell>
        </row>
        <row r="27">
          <cell r="A27" t="str">
            <v>CM001P12</v>
          </cell>
          <cell r="C27" t="str">
            <v>P12-01</v>
          </cell>
          <cell r="D27" t="str">
            <v>INGEANDINA CONSULTORES DE INGENIERIA S.A.S.</v>
          </cell>
        </row>
        <row r="28">
          <cell r="C28" t="str">
            <v>P12-02</v>
          </cell>
          <cell r="D28" t="str">
            <v>GEOCONTROL SUCURSAL COLOMBIA</v>
          </cell>
        </row>
        <row r="29">
          <cell r="C29" t="str">
            <v>P13-01</v>
          </cell>
          <cell r="D29" t="str">
            <v>VELNEC S.A</v>
          </cell>
        </row>
        <row r="30">
          <cell r="C30" t="str">
            <v>P13-02</v>
          </cell>
          <cell r="D30" t="str">
            <v>GNC INGENIERIA S.A.S.</v>
          </cell>
        </row>
        <row r="31">
          <cell r="C31" t="str">
            <v>P14-01</v>
          </cell>
          <cell r="D31" t="str">
            <v>ARREDONDO MADRID INGENIEROS CIVILES (AIM) LIMITADA</v>
          </cell>
        </row>
        <row r="32">
          <cell r="C32" t="str">
            <v>P14-02</v>
          </cell>
          <cell r="D32" t="str">
            <v>INGENIERIA INTEGRAL DE OBRAS - INGEOBRAS SAS</v>
          </cell>
        </row>
        <row r="33">
          <cell r="C33" t="str">
            <v>P15-01</v>
          </cell>
          <cell r="D33" t="str">
            <v>3B PROYECTOS SAS</v>
          </cell>
        </row>
        <row r="34">
          <cell r="C34" t="str">
            <v>P16-01</v>
          </cell>
          <cell r="D34" t="str">
            <v>SEDIC</v>
          </cell>
        </row>
        <row r="35">
          <cell r="C35" t="str">
            <v>P16-02</v>
          </cell>
          <cell r="D35" t="str">
            <v>CB INGENIEROS</v>
          </cell>
        </row>
        <row r="36">
          <cell r="C36" t="str">
            <v>P17-01</v>
          </cell>
          <cell r="D36" t="str">
            <v>SERVINC LTDA</v>
          </cell>
        </row>
        <row r="37">
          <cell r="C37" t="str">
            <v>P17-02</v>
          </cell>
          <cell r="D37" t="str">
            <v>VQMSAS</v>
          </cell>
        </row>
        <row r="38">
          <cell r="C38" t="str">
            <v>P18-01</v>
          </cell>
          <cell r="D38" t="str">
            <v>DIEGO FONSECA CHAVES</v>
          </cell>
        </row>
        <row r="39">
          <cell r="C39" t="str">
            <v>P18-02</v>
          </cell>
          <cell r="D39" t="str">
            <v>B&amp;C SA</v>
          </cell>
        </row>
        <row r="40">
          <cell r="C40" t="str">
            <v>P19-01</v>
          </cell>
          <cell r="D40" t="str">
            <v>INTERVENTORIAS Y DISEÑOS S.A.</v>
          </cell>
        </row>
        <row r="41">
          <cell r="C41" t="str">
            <v>P19-02</v>
          </cell>
          <cell r="D41" t="str">
            <v>INGENOBRAS SAS</v>
          </cell>
        </row>
        <row r="42">
          <cell r="C42" t="str">
            <v>P20-01</v>
          </cell>
          <cell r="D42" t="str">
            <v>GETINSA INGENIERIA SL SUCURSAL COLOMBIA</v>
          </cell>
        </row>
        <row r="43">
          <cell r="C43" t="str">
            <v>P20-02</v>
          </cell>
          <cell r="D43" t="str">
            <v>EUROESTUDIOS INGENIEROS DE CONSULTA SA</v>
          </cell>
        </row>
        <row r="44">
          <cell r="C44" t="str">
            <v>P21-01</v>
          </cell>
          <cell r="D44" t="str">
            <v>INFRAESTRUCTURA INTEGRAL SAS</v>
          </cell>
        </row>
        <row r="45">
          <cell r="C45" t="str">
            <v>P21-02</v>
          </cell>
          <cell r="D45" t="str">
            <v>CANO JIMENEZ ESTUDIOS SA</v>
          </cell>
        </row>
        <row r="46">
          <cell r="C46" t="str">
            <v>P22-01</v>
          </cell>
          <cell r="D46" t="str">
            <v>MAB INGENIERIA DE VALOR S.A.</v>
          </cell>
        </row>
        <row r="47">
          <cell r="C47" t="str">
            <v>P22-02</v>
          </cell>
          <cell r="D47" t="str">
            <v>PROYECTOS Y ESTRUCTURAS ESPECIALES S.A</v>
          </cell>
        </row>
        <row r="48">
          <cell r="C48" t="str">
            <v>P23-01</v>
          </cell>
          <cell r="D48" t="str">
            <v>AYESA COLOMBIA INGENIERIA Y ARQUITECTURA SAS</v>
          </cell>
        </row>
        <row r="49">
          <cell r="C49" t="str">
            <v>P23-02</v>
          </cell>
          <cell r="D49" t="str">
            <v>INTERSA SA</v>
          </cell>
        </row>
        <row r="50">
          <cell r="C50" t="str">
            <v>P24-01</v>
          </cell>
          <cell r="D50" t="str">
            <v>JAHVM MCGREGOR SAS</v>
          </cell>
        </row>
        <row r="51">
          <cell r="C51" t="str">
            <v>P24-02</v>
          </cell>
          <cell r="D51" t="str">
            <v>PROYECTOS CONTRUCCIONES CIVILES Y VIALES LTDA</v>
          </cell>
        </row>
        <row r="52">
          <cell r="C52" t="str">
            <v>P24-03</v>
          </cell>
          <cell r="D52" t="str">
            <v>TOP SUELOS INGENIERIA S.A.S.</v>
          </cell>
        </row>
        <row r="53">
          <cell r="C53" t="str">
            <v>P25-01</v>
          </cell>
          <cell r="D53" t="str">
            <v>EUROCONTROL SA</v>
          </cell>
        </row>
        <row r="54">
          <cell r="C54" t="str">
            <v>P25-02</v>
          </cell>
          <cell r="D54" t="str">
            <v>CAYCO SAS</v>
          </cell>
        </row>
        <row r="55">
          <cell r="C55" t="str">
            <v>P25-03</v>
          </cell>
          <cell r="D55" t="str">
            <v>GARPER INGENIERÍA CIA S.A.S.</v>
          </cell>
        </row>
        <row r="56">
          <cell r="C56" t="str">
            <v>P26-01</v>
          </cell>
          <cell r="D56" t="str">
            <v>PROGIN SA</v>
          </cell>
        </row>
        <row r="57">
          <cell r="C57" t="str">
            <v>P26-02</v>
          </cell>
          <cell r="D57" t="str">
            <v>PLANES S.A.</v>
          </cell>
        </row>
        <row r="58">
          <cell r="C58" t="str">
            <v>P27-01</v>
          </cell>
          <cell r="D58" t="str">
            <v>INTERPRO SAS</v>
          </cell>
        </row>
        <row r="59">
          <cell r="C59" t="str">
            <v>P27-02</v>
          </cell>
          <cell r="D59" t="str">
            <v>BAG ENGINEERING CONSULTANCY GROUP S.A.S.</v>
          </cell>
        </row>
        <row r="60">
          <cell r="C60" t="str">
            <v>P28-01</v>
          </cell>
          <cell r="D60" t="str">
            <v>CONCOL INGENIERIA SAS</v>
          </cell>
        </row>
        <row r="61">
          <cell r="C61" t="str">
            <v>P29-01</v>
          </cell>
          <cell r="D61" t="str">
            <v>ING INGENIERIA SA</v>
          </cell>
        </row>
        <row r="62">
          <cell r="C62" t="str">
            <v>P29-02</v>
          </cell>
          <cell r="D62" t="str">
            <v>INGETEC GERENCIA &amp; SUPERVISION SA</v>
          </cell>
        </row>
        <row r="63">
          <cell r="C63" t="str">
            <v>P30-01</v>
          </cell>
          <cell r="D63" t="str">
            <v>HMV CONSULTORIA SAS</v>
          </cell>
        </row>
        <row r="64">
          <cell r="C64" t="str">
            <v>P31-01</v>
          </cell>
          <cell r="D64" t="str">
            <v>SERINCO COLOMBIA</v>
          </cell>
        </row>
        <row r="65">
          <cell r="C65" t="str">
            <v>P31-02</v>
          </cell>
          <cell r="D65" t="str">
            <v>DICONSULTORIA SA</v>
          </cell>
        </row>
        <row r="66">
          <cell r="C66" t="str">
            <v>P32-01</v>
          </cell>
          <cell r="D66" t="str">
            <v>INGENIERIA CONSULTORIA Y PLANEACION S.A. INCOPLAN S.A</v>
          </cell>
        </row>
        <row r="67">
          <cell r="C67" t="str">
            <v>P32-02</v>
          </cell>
          <cell r="D67" t="str">
            <v>SONDEOS ESTRUCTURAS Y GEOTECNIA SUCURSAL S.A.</v>
          </cell>
        </row>
        <row r="68">
          <cell r="C68" t="str">
            <v>P33-01</v>
          </cell>
          <cell r="D68" t="str">
            <v xml:space="preserve">INGENIERIA DE PROYECTOS SAS.  </v>
          </cell>
        </row>
        <row r="69">
          <cell r="C69" t="str">
            <v>P33-02</v>
          </cell>
          <cell r="D69" t="str">
            <v>INGENIEROS CIVILES ESPECIALISTAS LTDA</v>
          </cell>
        </row>
        <row r="70">
          <cell r="C70" t="str">
            <v>P33-03</v>
          </cell>
          <cell r="D70" t="str">
            <v>EGIS COLOMBIA SAS</v>
          </cell>
        </row>
        <row r="71">
          <cell r="C71" t="str">
            <v>P34-01</v>
          </cell>
          <cell r="D71" t="str">
            <v>CONSULTORES TECNICOS Y ECONOMICOS SA</v>
          </cell>
        </row>
        <row r="72">
          <cell r="C72" t="str">
            <v>P34-02</v>
          </cell>
          <cell r="D72" t="str">
            <v>CONSULTORES E INTERVENTORES TECNICOS SAS</v>
          </cell>
        </row>
        <row r="73">
          <cell r="C73" t="str">
            <v>P35-01</v>
          </cell>
          <cell r="D73" t="str">
            <v>PROINTEC COLOMBIA</v>
          </cell>
        </row>
        <row r="74">
          <cell r="C74" t="str">
            <v>P35-02</v>
          </cell>
          <cell r="D74" t="str">
            <v>CONSULTORES DE INGENIERIA UG21 SL SUCURSAL COLOMBIA</v>
          </cell>
        </row>
        <row r="75">
          <cell r="C75" t="str">
            <v>P36-01</v>
          </cell>
          <cell r="D75" t="str">
            <v>ETA SA</v>
          </cell>
        </row>
        <row r="76">
          <cell r="C76" t="str">
            <v>P36-02</v>
          </cell>
          <cell r="D76" t="str">
            <v xml:space="preserve">GC&amp;Q INGENIEROS CONSULTORES SAS. </v>
          </cell>
        </row>
        <row r="77">
          <cell r="C77" t="str">
            <v>P37-01</v>
          </cell>
          <cell r="D77" t="str">
            <v>BATEMAN INGENIERIA S.A.</v>
          </cell>
        </row>
        <row r="78">
          <cell r="C78" t="str">
            <v>P37-02</v>
          </cell>
          <cell r="D78" t="str">
            <v>IAR PROYECTOS SAS</v>
          </cell>
        </row>
        <row r="79">
          <cell r="C79" t="str">
            <v>P38-01</v>
          </cell>
          <cell r="D79" t="str">
            <v>IV INGENIEROS CONSULTORES SUCURSAL COLOMBIA</v>
          </cell>
        </row>
        <row r="80">
          <cell r="C80" t="str">
            <v>P38-02</v>
          </cell>
          <cell r="D80" t="str">
            <v>ALPHA GRUPO CONSULTOR E INTERVENTOR SAS</v>
          </cell>
        </row>
        <row r="81">
          <cell r="C81" t="str">
            <v>P38-03</v>
          </cell>
          <cell r="D81" t="str">
            <v>CELQO SAS</v>
          </cell>
        </row>
        <row r="82">
          <cell r="C82" t="str">
            <v>P39-01</v>
          </cell>
          <cell r="D82" t="str">
            <v xml:space="preserve">                                         CEMOSA</v>
          </cell>
        </row>
        <row r="83">
          <cell r="C83" t="str">
            <v>P39-02</v>
          </cell>
          <cell r="D83" t="str">
            <v>INGENIERIA Y DESARROLLO XIMA DE COLOMBIA SAS</v>
          </cell>
        </row>
        <row r="84">
          <cell r="C84" t="str">
            <v>P40-01</v>
          </cell>
          <cell r="D84" t="str">
            <v xml:space="preserve">JOSE MANUEL GUARDO POLO </v>
          </cell>
        </row>
        <row r="85">
          <cell r="C85" t="str">
            <v>P40-02</v>
          </cell>
          <cell r="D85" t="str">
            <v>GRUPO POSSO SAS</v>
          </cell>
        </row>
        <row r="86">
          <cell r="C86" t="str">
            <v>P41-01</v>
          </cell>
          <cell r="D86" t="str">
            <v>LA VIABILIDAD LTDA</v>
          </cell>
        </row>
        <row r="87">
          <cell r="C87" t="str">
            <v>P41-02</v>
          </cell>
          <cell r="D87" t="str">
            <v>SESAC SA</v>
          </cell>
        </row>
        <row r="88">
          <cell r="C88" t="str">
            <v>P41-03</v>
          </cell>
          <cell r="D88" t="str">
            <v>SILVIA CARREÑO Y ASOCIADOS SAS</v>
          </cell>
        </row>
        <row r="89">
          <cell r="C89" t="str">
            <v>P41-04</v>
          </cell>
          <cell r="D89" t="str">
            <v>ARENAS DE LA HOZ CONSULTORES S.A.S</v>
          </cell>
        </row>
      </sheetData>
      <sheetData sheetId="1">
        <row r="5">
          <cell r="D5">
            <v>5618.8818142313958</v>
          </cell>
          <cell r="F5">
            <v>1685.6645442694187</v>
          </cell>
          <cell r="H5">
            <v>2865.6297252580121</v>
          </cell>
          <cell r="J5">
            <v>3371.3290885388374</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sheetData sheetId="3"/>
      <sheetData sheetId="4">
        <row r="35">
          <cell r="R35">
            <v>1913.98</v>
          </cell>
        </row>
        <row r="36">
          <cell r="R36">
            <v>2875.18</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25-32"/>
      <sheetName val="EXP ESPEC. 25-32"/>
      <sheetName val="EXP G. 1-8"/>
      <sheetName val="EXP G. 9-16"/>
      <sheetName val="EXP G. 17-24"/>
      <sheetName val="EXP G.41-50"/>
      <sheetName val="DESEMPATE"/>
    </sheetNames>
    <sheetDataSet>
      <sheetData sheetId="0" refreshError="1"/>
      <sheetData sheetId="1" refreshError="1">
        <row r="5">
          <cell r="D5">
            <v>1931.0428561832061</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17-24"/>
      <sheetName val="EXP ESPEC. 17-24"/>
      <sheetName val="DESEMPATE"/>
    </sheetNames>
    <sheetDataSet>
      <sheetData sheetId="0" refreshError="1"/>
      <sheetData sheetId="1" refreshError="1">
        <row r="5">
          <cell r="D5">
            <v>1931.0428561832061</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1-5"/>
      <sheetName val="EXP ESPEC. 1-5"/>
      <sheetName val="EXP GEN. 6-12"/>
      <sheetName val="EXP ESPEC. 6-12"/>
      <sheetName val="EXP GEN. 13-19"/>
      <sheetName val="EXP ESPEC. 13-19"/>
      <sheetName val="EXP GEN. 20-26"/>
      <sheetName val="EXP ESPEC. 20-26"/>
      <sheetName val="EXP GEN. 27-33"/>
      <sheetName val="EXP ESPEC. 27-33"/>
      <sheetName val="EXP GEN. 34-40"/>
      <sheetName val="EXP ESPEC. 34-40"/>
      <sheetName val="EXP GEN. 41"/>
      <sheetName val="EXP ESPEC. 41"/>
      <sheetName val="DESEMPATE"/>
    </sheetNames>
    <sheetDataSet>
      <sheetData sheetId="0">
        <row r="4">
          <cell r="C4" t="str">
            <v>P01-01</v>
          </cell>
          <cell r="D4" t="str">
            <v xml:space="preserve">WSP SERVICIOS S.A.S  </v>
          </cell>
        </row>
        <row r="5">
          <cell r="C5" t="str">
            <v>P01-02</v>
          </cell>
          <cell r="D5" t="str">
            <v xml:space="preserve">SMA S.A.  </v>
          </cell>
        </row>
        <row r="6">
          <cell r="C6" t="str">
            <v>P02-01</v>
          </cell>
          <cell r="D6" t="str">
            <v xml:space="preserve">GRUSAMAR INGENIERIA Y CONSULTING SL SUCURSAL </v>
          </cell>
        </row>
        <row r="7">
          <cell r="C7" t="str">
            <v>P02-02</v>
          </cell>
          <cell r="D7" t="str">
            <v xml:space="preserve">JUAN AMADO LIZARAZO </v>
          </cell>
        </row>
        <row r="8">
          <cell r="C8" t="str">
            <v>P03-01</v>
          </cell>
          <cell r="D8" t="str">
            <v>C&amp;M CONSULTORES S.A.</v>
          </cell>
        </row>
        <row r="9">
          <cell r="C9" t="str">
            <v>P03-02</v>
          </cell>
          <cell r="D9" t="str">
            <v>OMC</v>
          </cell>
        </row>
        <row r="10">
          <cell r="C10" t="str">
            <v>P03-03</v>
          </cell>
          <cell r="D10" t="str">
            <v>GESTIÓN INTEGRAL DEL SUELO SUCURSAL COLOMBIA</v>
          </cell>
        </row>
        <row r="11">
          <cell r="C11" t="str">
            <v>P04-01</v>
          </cell>
          <cell r="D11" t="str">
            <v xml:space="preserve">GEOTECNIA Y CIMIENTOS INGEOCIM S.A.S. </v>
          </cell>
        </row>
        <row r="12">
          <cell r="C12" t="str">
            <v>P04-02</v>
          </cell>
          <cell r="D12" t="str">
            <v>TYPSA</v>
          </cell>
        </row>
        <row r="13">
          <cell r="C13" t="str">
            <v>P05-01</v>
          </cell>
          <cell r="D13" t="str">
            <v xml:space="preserve">AFA CONSULTORES Y CONSTRUCTORES S.A </v>
          </cell>
        </row>
        <row r="14">
          <cell r="C14" t="str">
            <v>P05-02</v>
          </cell>
          <cell r="D14" t="str">
            <v>INC GROUP S.A.S.</v>
          </cell>
        </row>
        <row r="15">
          <cell r="C15" t="str">
            <v>P06-01</v>
          </cell>
          <cell r="D15" t="str">
            <v xml:space="preserve">INZETT S.A.S.  </v>
          </cell>
        </row>
        <row r="16">
          <cell r="C16" t="str">
            <v>P06-02</v>
          </cell>
          <cell r="D16" t="str">
            <v>CIVING INGENIEROS CONTRATISTAS S EN C</v>
          </cell>
        </row>
        <row r="17">
          <cell r="C17" t="str">
            <v>P06-03</v>
          </cell>
          <cell r="D17" t="str">
            <v>J FELIPE ARDILA V &amp; CIA S.A.S.</v>
          </cell>
        </row>
        <row r="18">
          <cell r="C18" t="str">
            <v>P07-01</v>
          </cell>
          <cell r="D18" t="str">
            <v>SERTIC S.A.S.</v>
          </cell>
        </row>
        <row r="19">
          <cell r="C19" t="str">
            <v>P07-02</v>
          </cell>
          <cell r="D19" t="str">
            <v>CPS INGENIEROS OBRA CIVIL Y MEDIO AMBIENTE SUCURSAL COLOMBIA SL</v>
          </cell>
        </row>
        <row r="20">
          <cell r="C20" t="str">
            <v>P07-01</v>
          </cell>
          <cell r="D20" t="str">
            <v>GOMEZ CAJIAO Y ASOCIADOS S.A.</v>
          </cell>
        </row>
        <row r="21">
          <cell r="C21" t="str">
            <v>P07-02</v>
          </cell>
          <cell r="D21" t="str">
            <v>CONSULTORIA INTOK DE COLOMBIA Y ASOCIADOS S.A.S</v>
          </cell>
        </row>
        <row r="22">
          <cell r="C22" t="str">
            <v>P08-01</v>
          </cell>
          <cell r="D22" t="str">
            <v>CONSULTORIA INTEGRAL EN INGENIERIA S.A. DE CV</v>
          </cell>
        </row>
        <row r="23">
          <cell r="C23" t="str">
            <v>P08-02</v>
          </cell>
          <cell r="D23" t="str">
            <v>INGENIERIA Y CONSULTORIA INGECON S.A.S.</v>
          </cell>
        </row>
        <row r="24">
          <cell r="C24" t="str">
            <v>P09-01</v>
          </cell>
          <cell r="D24" t="str">
            <v>ESTRUCTURADOR COLOMBIA S.A.S.</v>
          </cell>
        </row>
        <row r="25">
          <cell r="C25" t="str">
            <v>P09-02</v>
          </cell>
          <cell r="D25" t="str">
            <v>ECOVIAS S.A.S.</v>
          </cell>
        </row>
        <row r="26">
          <cell r="C26" t="str">
            <v>P10-01</v>
          </cell>
          <cell r="D26" t="str">
            <v>JOYCO</v>
          </cell>
        </row>
        <row r="27">
          <cell r="C27" t="str">
            <v>P11-01</v>
          </cell>
          <cell r="D27" t="str">
            <v>GIC GERENCIA INTERVENTORIA Y CONSULTORIA S.A.S.</v>
          </cell>
        </row>
        <row r="28">
          <cell r="C28" t="str">
            <v>P11-02</v>
          </cell>
          <cell r="D28" t="str">
            <v>CONSULTORES UNIDOS S.A.</v>
          </cell>
        </row>
        <row r="29">
          <cell r="C29" t="str">
            <v>P12-01</v>
          </cell>
          <cell r="D29" t="str">
            <v>INGEANDINA CONSULTORES DE INGENIERIA S.A.S.</v>
          </cell>
        </row>
        <row r="30">
          <cell r="C30" t="str">
            <v>P12-02</v>
          </cell>
          <cell r="D30" t="str">
            <v>GEOCONTROL SUCURSAL COLOMBIA</v>
          </cell>
        </row>
        <row r="31">
          <cell r="C31" t="str">
            <v>P13-01</v>
          </cell>
          <cell r="D31" t="str">
            <v>VELNEC S.A</v>
          </cell>
        </row>
        <row r="32">
          <cell r="C32" t="str">
            <v>P13-02</v>
          </cell>
          <cell r="D32" t="str">
            <v>GNC INGENIERIA S.A.S.</v>
          </cell>
        </row>
        <row r="33">
          <cell r="C33" t="str">
            <v>P14-01</v>
          </cell>
          <cell r="D33" t="str">
            <v>ARREDONDO MADRID INGENIEROS CIVILES (AIM) LIMITADA</v>
          </cell>
        </row>
        <row r="34">
          <cell r="C34" t="str">
            <v>P14-02</v>
          </cell>
          <cell r="D34" t="str">
            <v>INGENIERIA INTEGRAL DE OBRAS - INGEOBRAS SAS</v>
          </cell>
        </row>
        <row r="35">
          <cell r="C35" t="str">
            <v>P15-01</v>
          </cell>
          <cell r="D35" t="str">
            <v>3B PROYECTOS SAS</v>
          </cell>
        </row>
        <row r="36">
          <cell r="C36" t="str">
            <v>P16-01</v>
          </cell>
          <cell r="D36" t="str">
            <v>SEDIC</v>
          </cell>
        </row>
        <row r="37">
          <cell r="C37" t="str">
            <v>P16-02</v>
          </cell>
          <cell r="D37" t="str">
            <v>CB INGENIEROS</v>
          </cell>
        </row>
        <row r="38">
          <cell r="C38" t="str">
            <v>P17-01</v>
          </cell>
          <cell r="D38" t="str">
            <v>SERVINC LTDA</v>
          </cell>
        </row>
        <row r="39">
          <cell r="C39" t="str">
            <v>P17-02</v>
          </cell>
          <cell r="D39" t="str">
            <v>VQMSAS</v>
          </cell>
        </row>
        <row r="40">
          <cell r="C40" t="str">
            <v>P18-01</v>
          </cell>
          <cell r="D40" t="str">
            <v>DIEGO FONSECA CHAVES</v>
          </cell>
        </row>
        <row r="41">
          <cell r="C41" t="str">
            <v>P18-02</v>
          </cell>
          <cell r="D41" t="str">
            <v>B&amp;C SA</v>
          </cell>
        </row>
        <row r="42">
          <cell r="C42" t="str">
            <v>P19-01</v>
          </cell>
          <cell r="D42" t="str">
            <v>INTERVENTORIAS Y DISEÑOS S.A.</v>
          </cell>
        </row>
        <row r="43">
          <cell r="C43" t="str">
            <v>P19-02</v>
          </cell>
          <cell r="D43" t="str">
            <v>INGENOBRAS SAS</v>
          </cell>
        </row>
        <row r="44">
          <cell r="C44" t="str">
            <v>P20-01</v>
          </cell>
          <cell r="D44" t="str">
            <v>GETINSA INGENIERIA SL SUCURSAL COLOMBIA</v>
          </cell>
        </row>
        <row r="45">
          <cell r="C45" t="str">
            <v>P20-02</v>
          </cell>
          <cell r="D45" t="str">
            <v>EUROESTUDIOS INGENIEROS DE CONSULTA SA</v>
          </cell>
        </row>
        <row r="46">
          <cell r="C46" t="str">
            <v>P21-01</v>
          </cell>
          <cell r="D46" t="str">
            <v>INFRAESTRUCTURA INTEGRAL SAS</v>
          </cell>
        </row>
        <row r="47">
          <cell r="C47" t="str">
            <v>P21-02</v>
          </cell>
          <cell r="D47" t="str">
            <v>CANO JIMENEZ ESTUDIOS SA</v>
          </cell>
        </row>
        <row r="48">
          <cell r="C48" t="str">
            <v>P22-01</v>
          </cell>
          <cell r="D48" t="str">
            <v>MAB INGENIERIA DE VALOR S.A.</v>
          </cell>
        </row>
        <row r="49">
          <cell r="C49" t="str">
            <v>P22-02</v>
          </cell>
          <cell r="D49" t="str">
            <v>PROYECTOS Y ESTRUCTURAS ESPECIALES S.A</v>
          </cell>
        </row>
        <row r="50">
          <cell r="C50" t="str">
            <v>P23-01</v>
          </cell>
          <cell r="D50" t="str">
            <v>AYESA COLOMBIA INGENIERIA Y ARQUITECTURA SAS</v>
          </cell>
        </row>
        <row r="51">
          <cell r="C51" t="str">
            <v>P23-02</v>
          </cell>
          <cell r="D51" t="str">
            <v>INTERSA SA</v>
          </cell>
        </row>
        <row r="52">
          <cell r="C52" t="str">
            <v>P24-01</v>
          </cell>
          <cell r="D52" t="str">
            <v>JAHVM MCGREGOR SAS</v>
          </cell>
        </row>
        <row r="53">
          <cell r="C53" t="str">
            <v>P24-02</v>
          </cell>
          <cell r="D53" t="str">
            <v>PROYECTOS CONTRUCCIONES CIVILES Y VIALES LTDA</v>
          </cell>
        </row>
        <row r="54">
          <cell r="C54" t="str">
            <v>P24-03</v>
          </cell>
          <cell r="D54" t="str">
            <v>TOP SUELOS INGENIERIA S.A.S.</v>
          </cell>
        </row>
        <row r="55">
          <cell r="C55" t="str">
            <v>P25-01</v>
          </cell>
          <cell r="D55" t="str">
            <v>EUROCONTROL SA</v>
          </cell>
        </row>
        <row r="56">
          <cell r="C56" t="str">
            <v>P25-02</v>
          </cell>
          <cell r="D56" t="str">
            <v>CAYCO SAS</v>
          </cell>
        </row>
        <row r="57">
          <cell r="C57" t="str">
            <v>P25-03</v>
          </cell>
          <cell r="D57" t="str">
            <v>GARPER INGENIERÍA CIA S.A.S.</v>
          </cell>
        </row>
        <row r="58">
          <cell r="C58" t="str">
            <v>P26-01</v>
          </cell>
          <cell r="D58" t="str">
            <v>PROGIN SA</v>
          </cell>
        </row>
        <row r="59">
          <cell r="C59" t="str">
            <v>P26-02</v>
          </cell>
          <cell r="D59" t="str">
            <v>PLANES S.A.</v>
          </cell>
        </row>
        <row r="60">
          <cell r="C60" t="str">
            <v>P27-01</v>
          </cell>
          <cell r="D60" t="str">
            <v>INTERPRO SAS</v>
          </cell>
        </row>
        <row r="61">
          <cell r="C61" t="str">
            <v>P27-02</v>
          </cell>
          <cell r="D61" t="str">
            <v>BAG ENGINEERING CONSULTANCY GROUP S.A.S.</v>
          </cell>
        </row>
        <row r="62">
          <cell r="C62" t="str">
            <v>P28-01</v>
          </cell>
          <cell r="D62" t="str">
            <v>CONCOL INGENIERIA SAS</v>
          </cell>
        </row>
        <row r="63">
          <cell r="C63" t="str">
            <v>P29-01</v>
          </cell>
          <cell r="D63" t="str">
            <v>ING INGENIERIA SA</v>
          </cell>
        </row>
        <row r="64">
          <cell r="C64" t="str">
            <v>P29-02</v>
          </cell>
          <cell r="D64" t="str">
            <v>INGETEC GERENCIA &amp; SUPERVISION SA</v>
          </cell>
        </row>
        <row r="65">
          <cell r="C65" t="str">
            <v>P30-01</v>
          </cell>
          <cell r="D65" t="str">
            <v>HMV CONSULTORIA SAS</v>
          </cell>
        </row>
        <row r="66">
          <cell r="C66" t="str">
            <v>P31-01</v>
          </cell>
          <cell r="D66" t="str">
            <v>SERINCO COLOMBIA</v>
          </cell>
        </row>
        <row r="67">
          <cell r="C67" t="str">
            <v>P31-02</v>
          </cell>
          <cell r="D67" t="str">
            <v>DICONSULTORIA SA</v>
          </cell>
        </row>
        <row r="68">
          <cell r="C68" t="str">
            <v>P32-01</v>
          </cell>
          <cell r="D68" t="str">
            <v>INGENIERIA CONSULTORIA Y PLANEACION S.A. INCOPLAN S.A</v>
          </cell>
        </row>
        <row r="69">
          <cell r="C69" t="str">
            <v>P32-02</v>
          </cell>
          <cell r="D69" t="str">
            <v>SONDEOS ESTRUCTURAS Y GEOTECNIA SUCURSAL S.A.</v>
          </cell>
        </row>
        <row r="70">
          <cell r="C70" t="str">
            <v>P33-01</v>
          </cell>
          <cell r="D70" t="str">
            <v xml:space="preserve">INGENIERIA DE PROYECTOS SAS.  </v>
          </cell>
        </row>
        <row r="71">
          <cell r="C71" t="str">
            <v>P33-02</v>
          </cell>
          <cell r="D71" t="str">
            <v>INGENIEROS CIVILES ESPECIALISTAS LTDA</v>
          </cell>
        </row>
        <row r="72">
          <cell r="C72" t="str">
            <v>P33-03</v>
          </cell>
          <cell r="D72" t="str">
            <v>EGIS COLOMBIA SAS</v>
          </cell>
        </row>
        <row r="73">
          <cell r="C73" t="str">
            <v>P34-01</v>
          </cell>
          <cell r="D73" t="str">
            <v>CONSULTORES TECNICOS Y ECONOMICOS SA</v>
          </cell>
        </row>
        <row r="74">
          <cell r="C74" t="str">
            <v>P34-02</v>
          </cell>
          <cell r="D74" t="str">
            <v>CONSULTORES E INTERVENTORES TECNICOS SAS</v>
          </cell>
        </row>
        <row r="75">
          <cell r="C75" t="str">
            <v>P35-01</v>
          </cell>
          <cell r="D75" t="str">
            <v>PROINTEC COLOMBIA</v>
          </cell>
        </row>
        <row r="76">
          <cell r="C76" t="str">
            <v>P35-02</v>
          </cell>
          <cell r="D76" t="str">
            <v>CONSULTORES DE INGENIERIA UG21 SL SUCURSAL COLOMBIA</v>
          </cell>
        </row>
        <row r="77">
          <cell r="C77" t="str">
            <v>P36-01</v>
          </cell>
          <cell r="D77" t="str">
            <v>ETA SA</v>
          </cell>
        </row>
        <row r="78">
          <cell r="C78" t="str">
            <v>P36-02</v>
          </cell>
          <cell r="D78" t="str">
            <v xml:space="preserve">GC&amp;Q INGENIEROS CONSULTORES SAS. </v>
          </cell>
        </row>
        <row r="79">
          <cell r="C79" t="str">
            <v>P37-01</v>
          </cell>
          <cell r="D79" t="str">
            <v>BATEMAN INGENIERIA S.A.</v>
          </cell>
        </row>
        <row r="80">
          <cell r="C80" t="str">
            <v>P37-02</v>
          </cell>
          <cell r="D80" t="str">
            <v>IAR PROYECTOS SAS</v>
          </cell>
        </row>
        <row r="81">
          <cell r="C81" t="str">
            <v>P38-01</v>
          </cell>
          <cell r="D81" t="str">
            <v>IV INGENIEROS CONSULTORES SUCURSAL COLOMBIA</v>
          </cell>
        </row>
        <row r="82">
          <cell r="C82" t="str">
            <v>P38-02</v>
          </cell>
          <cell r="D82" t="str">
            <v>ALPHA GRUPO CONSULTOR E INTERVENTOR SAS</v>
          </cell>
        </row>
        <row r="83">
          <cell r="C83" t="str">
            <v>P38-03</v>
          </cell>
          <cell r="D83" t="str">
            <v>CELQO SAS</v>
          </cell>
        </row>
        <row r="84">
          <cell r="C84" t="str">
            <v>P39-01</v>
          </cell>
          <cell r="D84" t="str">
            <v xml:space="preserve">                                         CEMOSA</v>
          </cell>
        </row>
        <row r="85">
          <cell r="C85" t="str">
            <v>P39-02</v>
          </cell>
          <cell r="D85" t="str">
            <v>INGENIERIA Y DESARROLLO XIMA DE COLOMBIA SAS</v>
          </cell>
        </row>
        <row r="86">
          <cell r="C86" t="str">
            <v>P40-01</v>
          </cell>
          <cell r="D86" t="str">
            <v xml:space="preserve">JOSE MANUEL GUARDO POLO </v>
          </cell>
        </row>
        <row r="87">
          <cell r="C87" t="str">
            <v>P40-02</v>
          </cell>
          <cell r="D87" t="str">
            <v>GRUPO POSSO SAS</v>
          </cell>
        </row>
        <row r="88">
          <cell r="C88" t="str">
            <v>P41-01</v>
          </cell>
          <cell r="D88" t="str">
            <v>LA VIABILIDAD LTDA</v>
          </cell>
        </row>
        <row r="89">
          <cell r="C89" t="str">
            <v>P41-02</v>
          </cell>
          <cell r="D89" t="str">
            <v>SESAC SA</v>
          </cell>
        </row>
        <row r="90">
          <cell r="C90" t="str">
            <v>P41-03</v>
          </cell>
          <cell r="D90" t="str">
            <v>SILVIA CARREÑO Y ASOCIADOS SAS</v>
          </cell>
        </row>
        <row r="91">
          <cell r="C91" t="str">
            <v>P41-04</v>
          </cell>
          <cell r="D91" t="str">
            <v>ARENAS DE LA HOZ CONSULTORES S.A.S</v>
          </cell>
        </row>
      </sheetData>
      <sheetData sheetId="1">
        <row r="5">
          <cell r="D5">
            <v>5618.8818142313958</v>
          </cell>
          <cell r="F5">
            <v>1685.6645442694187</v>
          </cell>
          <cell r="H5">
            <v>2865.6297252580121</v>
          </cell>
          <cell r="J5">
            <v>3371.3290885388374</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6-12"/>
      <sheetName val="EXP ESPEC. 6-12"/>
      <sheetName val="EXP GEN. 13-19"/>
      <sheetName val="EXP ESPEC. 13-19"/>
      <sheetName val="EXP GEN. 20-26"/>
      <sheetName val="EXP ESPEC. 20-26"/>
      <sheetName val="EXP GEN. 27-33"/>
      <sheetName val="EXP GEN. 34-40"/>
      <sheetName val="EXP ESPEC. 34-40"/>
      <sheetName val="EXP ESPEC. 27-33"/>
      <sheetName val="DESEMPATE"/>
    </sheetNames>
    <sheetDataSet>
      <sheetData sheetId="0" refreshError="1">
        <row r="4">
          <cell r="C4" t="str">
            <v>P01-01</v>
          </cell>
          <cell r="D4" t="str">
            <v xml:space="preserve">WSP SERVICIOS S.A.S  </v>
          </cell>
        </row>
        <row r="5">
          <cell r="C5" t="str">
            <v>P01-02</v>
          </cell>
          <cell r="D5" t="str">
            <v xml:space="preserve">SMA S.A.  </v>
          </cell>
        </row>
        <row r="6">
          <cell r="C6" t="str">
            <v>P02-01</v>
          </cell>
          <cell r="D6" t="str">
            <v xml:space="preserve">GRUSAMAR INGENIERIA Y CONSULTING SL SUCURSAL </v>
          </cell>
        </row>
        <row r="7">
          <cell r="C7" t="str">
            <v>P02-02</v>
          </cell>
          <cell r="D7" t="str">
            <v xml:space="preserve">JUAN AMADO LIZARAZO </v>
          </cell>
        </row>
        <row r="8">
          <cell r="C8" t="str">
            <v>P03-01</v>
          </cell>
          <cell r="D8" t="str">
            <v>C&amp;M CONSULTORES S.A.</v>
          </cell>
        </row>
        <row r="9">
          <cell r="C9" t="str">
            <v>P03-02</v>
          </cell>
          <cell r="D9" t="str">
            <v>OMC</v>
          </cell>
        </row>
        <row r="10">
          <cell r="C10" t="str">
            <v>P03-03</v>
          </cell>
          <cell r="D10" t="str">
            <v>GESTIÓN INTEGRAL DEL SUELO SUCURSAL COLOMBIA</v>
          </cell>
        </row>
        <row r="11">
          <cell r="C11" t="str">
            <v>P04-01</v>
          </cell>
          <cell r="D11" t="str">
            <v xml:space="preserve">GEOTECNIA Y CIMIENTOS INGEOCIM S.A.S. </v>
          </cell>
        </row>
        <row r="12">
          <cell r="C12" t="str">
            <v>P04-02</v>
          </cell>
          <cell r="D12" t="str">
            <v>TYPSA</v>
          </cell>
        </row>
        <row r="13">
          <cell r="C13" t="str">
            <v>P05-01</v>
          </cell>
          <cell r="D13" t="str">
            <v xml:space="preserve">AFA CONSULTORES Y CONSTRUCTORES S.A </v>
          </cell>
        </row>
        <row r="14">
          <cell r="C14" t="str">
            <v>P05-02</v>
          </cell>
          <cell r="D14" t="str">
            <v>INC GROUP S.A.S.</v>
          </cell>
        </row>
        <row r="15">
          <cell r="C15" t="str">
            <v>P06-01</v>
          </cell>
          <cell r="D15" t="str">
            <v xml:space="preserve">INZETT S.A.S.  </v>
          </cell>
        </row>
        <row r="16">
          <cell r="C16" t="str">
            <v>P06-02</v>
          </cell>
          <cell r="D16" t="str">
            <v>CIVING INGENIEROS CONTRATISTAS S EN C</v>
          </cell>
        </row>
        <row r="17">
          <cell r="C17" t="str">
            <v>P06-03</v>
          </cell>
          <cell r="D17" t="str">
            <v>J FELIPE ARDILA V &amp; CIA S.A.S.</v>
          </cell>
        </row>
        <row r="18">
          <cell r="C18" t="str">
            <v>P07-01</v>
          </cell>
          <cell r="D18" t="str">
            <v>SERTIC S.A.S.</v>
          </cell>
        </row>
        <row r="19">
          <cell r="C19" t="str">
            <v>P07-02</v>
          </cell>
          <cell r="D19" t="str">
            <v>CPS INGENIEROS OBRA CIVIL Y MEDIO AMBIENTE SUCURSAL COLOMBIA SL</v>
          </cell>
        </row>
        <row r="20">
          <cell r="C20" t="str">
            <v>P07-01</v>
          </cell>
          <cell r="D20" t="str">
            <v>GOMEZ CAJIAO Y ASOCIADOS S.A.</v>
          </cell>
        </row>
        <row r="21">
          <cell r="C21" t="str">
            <v>P07-02</v>
          </cell>
          <cell r="D21" t="str">
            <v>CONSULTORIA INTOK DE COLOMBIA Y ASOCIADOS S.A.S</v>
          </cell>
        </row>
        <row r="22">
          <cell r="C22" t="str">
            <v>P08-01</v>
          </cell>
          <cell r="D22" t="str">
            <v>CONSULTORIA INTEGRAL EN INGENIERIA S.A. DE CV</v>
          </cell>
        </row>
        <row r="23">
          <cell r="C23" t="str">
            <v>P08-02</v>
          </cell>
          <cell r="D23" t="str">
            <v>INGENIERIA Y CONSULTORIA INGECON S.A.S.</v>
          </cell>
        </row>
        <row r="24">
          <cell r="C24" t="str">
            <v>P09-01</v>
          </cell>
          <cell r="D24" t="str">
            <v>ESTRUCTURADOR COLOMBIA S.A.S.</v>
          </cell>
        </row>
        <row r="25">
          <cell r="C25" t="str">
            <v>P09-02</v>
          </cell>
          <cell r="D25" t="str">
            <v>ECOVIAS S.A.S.</v>
          </cell>
        </row>
        <row r="26">
          <cell r="C26" t="str">
            <v>P10-01</v>
          </cell>
          <cell r="D26" t="str">
            <v>JOYCO</v>
          </cell>
        </row>
        <row r="27">
          <cell r="C27" t="str">
            <v>P11-01</v>
          </cell>
          <cell r="D27" t="str">
            <v>GIC GERENCIA INTERVENTORIA Y CONSULTORIA S.A.S.</v>
          </cell>
        </row>
        <row r="28">
          <cell r="C28" t="str">
            <v>P11-02</v>
          </cell>
          <cell r="D28" t="str">
            <v>CONSULTORES UNIDOS S.A.</v>
          </cell>
        </row>
        <row r="29">
          <cell r="C29" t="str">
            <v>P12-01</v>
          </cell>
          <cell r="D29" t="str">
            <v>INGEANDINA CONSULTORES DE INGENIERIA S.A.S.</v>
          </cell>
        </row>
        <row r="30">
          <cell r="C30" t="str">
            <v>P12-02</v>
          </cell>
          <cell r="D30" t="str">
            <v>GEOCONTROL SUCURSAL COLOMBIA</v>
          </cell>
        </row>
        <row r="31">
          <cell r="C31" t="str">
            <v>P13-01</v>
          </cell>
          <cell r="D31" t="str">
            <v>VELNEC S.A</v>
          </cell>
        </row>
        <row r="32">
          <cell r="C32" t="str">
            <v>P13-02</v>
          </cell>
          <cell r="D32" t="str">
            <v>GNC INGENIERIA S.A.S.</v>
          </cell>
        </row>
        <row r="33">
          <cell r="C33" t="str">
            <v>P14-01</v>
          </cell>
          <cell r="D33" t="str">
            <v>ARREDONDO MADRID INGENIEROS CIVILES (AIM) LIMITADA</v>
          </cell>
        </row>
        <row r="34">
          <cell r="C34" t="str">
            <v>P14-02</v>
          </cell>
          <cell r="D34" t="str">
            <v>INGENIERIA INTEGRAL DE OBRAS - INGEOBRAS SAS</v>
          </cell>
        </row>
        <row r="35">
          <cell r="C35" t="str">
            <v>P15-01</v>
          </cell>
          <cell r="D35" t="str">
            <v>3B PROYECTOS SAS</v>
          </cell>
        </row>
        <row r="36">
          <cell r="C36" t="str">
            <v>P16-01</v>
          </cell>
          <cell r="D36" t="str">
            <v>SEDIC</v>
          </cell>
        </row>
        <row r="37">
          <cell r="C37" t="str">
            <v>P16-02</v>
          </cell>
          <cell r="D37" t="str">
            <v>CB INGENIEROS</v>
          </cell>
        </row>
        <row r="38">
          <cell r="C38" t="str">
            <v>P17-01</v>
          </cell>
          <cell r="D38" t="str">
            <v>SERVINC LTDA</v>
          </cell>
        </row>
        <row r="39">
          <cell r="C39" t="str">
            <v>P17-02</v>
          </cell>
          <cell r="D39" t="str">
            <v>VQMSAS</v>
          </cell>
        </row>
        <row r="40">
          <cell r="C40" t="str">
            <v>P18-01</v>
          </cell>
          <cell r="D40" t="str">
            <v>DIEGO FONSECA CHAVES</v>
          </cell>
        </row>
        <row r="41">
          <cell r="C41" t="str">
            <v>P18-02</v>
          </cell>
          <cell r="D41" t="str">
            <v>B&amp;C SA</v>
          </cell>
        </row>
        <row r="42">
          <cell r="C42" t="str">
            <v>P19-01</v>
          </cell>
          <cell r="D42" t="str">
            <v>INTERVENTORIAS Y DISEÑOS S.A.</v>
          </cell>
        </row>
        <row r="43">
          <cell r="C43" t="str">
            <v>P19-02</v>
          </cell>
          <cell r="D43" t="str">
            <v>INGENOBRAS SAS</v>
          </cell>
        </row>
        <row r="44">
          <cell r="C44" t="str">
            <v>P20-01</v>
          </cell>
          <cell r="D44" t="str">
            <v>GETINSA INGENIERIA SL SUCURSAL COLOMBIA</v>
          </cell>
        </row>
        <row r="45">
          <cell r="C45" t="str">
            <v>P20-02</v>
          </cell>
          <cell r="D45" t="str">
            <v>EUROESTUDIOS INGENIEROS DE CONSULTA SA</v>
          </cell>
        </row>
        <row r="46">
          <cell r="C46" t="str">
            <v>P21-01</v>
          </cell>
          <cell r="D46" t="str">
            <v>INFRAESTRUCTURA INTEGRAL SAS</v>
          </cell>
        </row>
        <row r="47">
          <cell r="C47" t="str">
            <v>P21-02</v>
          </cell>
          <cell r="D47" t="str">
            <v>CANO JIMENEZ ESTUDIOS SA</v>
          </cell>
        </row>
        <row r="48">
          <cell r="C48" t="str">
            <v>P22-01</v>
          </cell>
          <cell r="D48" t="str">
            <v>MAB INGENIERIA DE VALOR S.A.</v>
          </cell>
        </row>
        <row r="49">
          <cell r="C49" t="str">
            <v>P22-02</v>
          </cell>
          <cell r="D49" t="str">
            <v>PROYECTOS Y ESTRUCTURAS ESPECIALES S.A</v>
          </cell>
        </row>
        <row r="50">
          <cell r="C50" t="str">
            <v>P23-01</v>
          </cell>
          <cell r="D50" t="str">
            <v>AYESA COLOMBIA INGENIERIA Y ARQUITECTURA SAS</v>
          </cell>
        </row>
        <row r="51">
          <cell r="C51" t="str">
            <v>P23-02</v>
          </cell>
          <cell r="D51" t="str">
            <v>INTERSA SA</v>
          </cell>
        </row>
        <row r="52">
          <cell r="C52" t="str">
            <v>P24-01</v>
          </cell>
          <cell r="D52" t="str">
            <v>JAHVM MCGREGOR SAS</v>
          </cell>
        </row>
        <row r="53">
          <cell r="C53" t="str">
            <v>P24-02</v>
          </cell>
          <cell r="D53" t="str">
            <v>PROYECTOS CONTRUCCIONES CIVILES Y VIALES LTDA</v>
          </cell>
        </row>
        <row r="54">
          <cell r="C54" t="str">
            <v>P24-03</v>
          </cell>
          <cell r="D54" t="str">
            <v>TOP SUELOS INGENIERIA S.A.S.</v>
          </cell>
        </row>
        <row r="55">
          <cell r="C55" t="str">
            <v>P25-01</v>
          </cell>
          <cell r="D55" t="str">
            <v>EUROCONTROL SA</v>
          </cell>
        </row>
        <row r="56">
          <cell r="C56" t="str">
            <v>P25-02</v>
          </cell>
          <cell r="D56" t="str">
            <v>CAYCO SAS</v>
          </cell>
        </row>
        <row r="57">
          <cell r="C57" t="str">
            <v>P25-03</v>
          </cell>
          <cell r="D57" t="str">
            <v>GARPER INGENIERÍA CIA S.A.S.</v>
          </cell>
        </row>
        <row r="58">
          <cell r="C58" t="str">
            <v>P26-01</v>
          </cell>
          <cell r="D58" t="str">
            <v>PROGIN SA</v>
          </cell>
        </row>
        <row r="59">
          <cell r="C59" t="str">
            <v>P26-02</v>
          </cell>
          <cell r="D59" t="str">
            <v>PLANES S.A.</v>
          </cell>
        </row>
        <row r="60">
          <cell r="C60" t="str">
            <v>P27-01</v>
          </cell>
          <cell r="D60" t="str">
            <v>INTERPRO SAS</v>
          </cell>
        </row>
        <row r="61">
          <cell r="C61" t="str">
            <v>P27-02</v>
          </cell>
          <cell r="D61" t="str">
            <v>BAC ENGINEERING CONSULTANCY GROUP S.A.S.</v>
          </cell>
        </row>
        <row r="62">
          <cell r="C62" t="str">
            <v>P28-01</v>
          </cell>
          <cell r="D62" t="str">
            <v>CONCOL INGENIERIA SAS</v>
          </cell>
        </row>
        <row r="63">
          <cell r="C63" t="str">
            <v>P29-01</v>
          </cell>
          <cell r="D63" t="str">
            <v>ING INGENIERIA SA</v>
          </cell>
        </row>
        <row r="64">
          <cell r="C64" t="str">
            <v>P29-02</v>
          </cell>
          <cell r="D64" t="str">
            <v>INGETEC GERENCIA &amp; SUPERVISION SA</v>
          </cell>
        </row>
        <row r="65">
          <cell r="C65" t="str">
            <v>P30-01</v>
          </cell>
          <cell r="D65" t="str">
            <v>HMV CONSULTORIA SAS</v>
          </cell>
        </row>
        <row r="66">
          <cell r="C66" t="str">
            <v>P31-01</v>
          </cell>
          <cell r="D66" t="str">
            <v>SERINCO COLOMBIA</v>
          </cell>
        </row>
        <row r="67">
          <cell r="C67" t="str">
            <v>P31-02</v>
          </cell>
          <cell r="D67" t="str">
            <v>DICONSULTORIA SA</v>
          </cell>
        </row>
        <row r="68">
          <cell r="C68" t="str">
            <v>P32-01</v>
          </cell>
          <cell r="D68" t="str">
            <v>INGENIERIA CONSULTORIA Y PLANEACION S.A. INCOPLAN S.A</v>
          </cell>
        </row>
        <row r="69">
          <cell r="C69" t="str">
            <v>P32-02</v>
          </cell>
          <cell r="D69" t="str">
            <v>SONDEOS ESTRUCTURAS Y GEOTECNIA SUCURSAL S.A.</v>
          </cell>
        </row>
        <row r="70">
          <cell r="C70" t="str">
            <v>P33-01</v>
          </cell>
          <cell r="D70" t="str">
            <v xml:space="preserve">INGENIERIA DE PROYECTOS SAS.  </v>
          </cell>
        </row>
        <row r="71">
          <cell r="C71" t="str">
            <v>P33-02</v>
          </cell>
          <cell r="D71" t="str">
            <v>INGENIEROS CIVILES ESPECIALISTAS LTDA</v>
          </cell>
        </row>
        <row r="72">
          <cell r="C72" t="str">
            <v>P33-03</v>
          </cell>
          <cell r="D72" t="str">
            <v>EGIS COLOMBIA SAS</v>
          </cell>
        </row>
        <row r="73">
          <cell r="C73" t="str">
            <v>P34-01</v>
          </cell>
          <cell r="D73" t="str">
            <v>CONSULTORES TECNICOS Y ECONOMICOS SA</v>
          </cell>
        </row>
        <row r="74">
          <cell r="C74" t="str">
            <v>P34-02</v>
          </cell>
          <cell r="D74" t="str">
            <v>CONSULTORES E INTERVENTORES TECNICOS SAS</v>
          </cell>
        </row>
        <row r="75">
          <cell r="C75" t="str">
            <v>P35-01</v>
          </cell>
          <cell r="D75" t="str">
            <v>PROINTEC COLOMBIA</v>
          </cell>
        </row>
        <row r="76">
          <cell r="C76" t="str">
            <v>P35-02</v>
          </cell>
          <cell r="D76" t="str">
            <v>CONSULTORES DE INGENIERIA UG21 SL SUCURSAL COLOMBIA</v>
          </cell>
        </row>
        <row r="77">
          <cell r="C77" t="str">
            <v>P36-01</v>
          </cell>
          <cell r="D77" t="str">
            <v>ETA SA</v>
          </cell>
        </row>
        <row r="78">
          <cell r="C78" t="str">
            <v>P36-02</v>
          </cell>
          <cell r="D78" t="str">
            <v xml:space="preserve">GC&amp;Q INGENIEROS CONSULTORES SAS. </v>
          </cell>
        </row>
        <row r="79">
          <cell r="C79" t="str">
            <v>P37-01</v>
          </cell>
          <cell r="D79" t="str">
            <v>BATEMAN INGENIERIA S.A.</v>
          </cell>
        </row>
        <row r="80">
          <cell r="C80" t="str">
            <v>P37-02</v>
          </cell>
          <cell r="D80" t="str">
            <v>IAR PROYECTOS SAS</v>
          </cell>
        </row>
        <row r="81">
          <cell r="C81" t="str">
            <v>P38-01</v>
          </cell>
          <cell r="D81" t="str">
            <v>IV INGENIEROS CONSULTORES SUCURSAL COLOMBIA</v>
          </cell>
        </row>
        <row r="82">
          <cell r="C82" t="str">
            <v>P38-02</v>
          </cell>
          <cell r="D82" t="str">
            <v>ALPHA GRUPO CONSULTOR E INTERVENTOR SAS</v>
          </cell>
        </row>
        <row r="83">
          <cell r="C83" t="str">
            <v>P38-03</v>
          </cell>
          <cell r="D83" t="str">
            <v>CELQO SAS</v>
          </cell>
        </row>
        <row r="84">
          <cell r="C84" t="str">
            <v>P39-01</v>
          </cell>
          <cell r="D84" t="str">
            <v xml:space="preserve">                                         CEMOSA</v>
          </cell>
        </row>
        <row r="85">
          <cell r="C85" t="str">
            <v>P39-02</v>
          </cell>
          <cell r="D85" t="str">
            <v>INGENIERIA Y DESARROLLO XIMA DE COLOMBIA SAS</v>
          </cell>
        </row>
        <row r="86">
          <cell r="C86" t="str">
            <v>P40-01</v>
          </cell>
          <cell r="D86" t="str">
            <v xml:space="preserve">JOSE MANUEL GUARDO POLO </v>
          </cell>
        </row>
        <row r="87">
          <cell r="C87" t="str">
            <v>P40-02</v>
          </cell>
          <cell r="D87" t="str">
            <v>GRUPO POSSO SAS</v>
          </cell>
        </row>
        <row r="88">
          <cell r="C88" t="str">
            <v>P41-01</v>
          </cell>
          <cell r="D88" t="str">
            <v>LA VIABILIDAD LTDA</v>
          </cell>
        </row>
        <row r="89">
          <cell r="C89" t="str">
            <v>P41-02</v>
          </cell>
          <cell r="D89" t="str">
            <v>SESAC SA</v>
          </cell>
        </row>
        <row r="90">
          <cell r="C90" t="str">
            <v>P41-03</v>
          </cell>
          <cell r="D90" t="str">
            <v>SILVIA CARREÑO Y ASOCIADOS SAS</v>
          </cell>
        </row>
        <row r="91">
          <cell r="C91" t="str">
            <v>P41-04</v>
          </cell>
          <cell r="D91" t="str">
            <v>ARENAS DE LA HOZ CONSULTORES S.A.S</v>
          </cell>
        </row>
      </sheetData>
      <sheetData sheetId="1" refreshError="1">
        <row r="5">
          <cell r="D5">
            <v>5618.8818142313958</v>
          </cell>
          <cell r="F5">
            <v>1685.6645442694187</v>
          </cell>
          <cell r="H5">
            <v>2865.6297252580121</v>
          </cell>
          <cell r="J5">
            <v>3371.3290885388374</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ÁMETROS"/>
      <sheetName val="EXP GEN. 1-5"/>
      <sheetName val="EXP ESPEC. 1-5"/>
      <sheetName val="EXP GEN. 6-12"/>
      <sheetName val="EXP ESPEC. 6-12"/>
      <sheetName val="EXP GEN. 13-19"/>
      <sheetName val="EXP ESPEC. 13-19"/>
      <sheetName val="EXP GEN. 20-26"/>
      <sheetName val="EXP ESPEC. 20-26"/>
      <sheetName val="EXP GEN. 27-33"/>
      <sheetName val="EXP ESPEC. 27-33"/>
      <sheetName val="EXP GEN. 34-40"/>
      <sheetName val="EXP ESPEC. 34-40"/>
      <sheetName val="EXP GEN. 41"/>
      <sheetName val="EXP ESPEC. 41"/>
      <sheetName val="DESEMPATE"/>
    </sheetNames>
    <sheetDataSet>
      <sheetData sheetId="0">
        <row r="4">
          <cell r="C4" t="str">
            <v>P01-01</v>
          </cell>
          <cell r="D4" t="str">
            <v xml:space="preserve">WSP SERVICIOS S.A.S  </v>
          </cell>
        </row>
        <row r="5">
          <cell r="C5" t="str">
            <v>P01-02</v>
          </cell>
          <cell r="D5" t="str">
            <v xml:space="preserve">SMA S.A.  </v>
          </cell>
        </row>
        <row r="6">
          <cell r="C6" t="str">
            <v>P02-01</v>
          </cell>
          <cell r="D6" t="str">
            <v xml:space="preserve">GRUSAMAR INGENIERIA Y CONSULTING SL SUCURSAL </v>
          </cell>
        </row>
        <row r="7">
          <cell r="C7" t="str">
            <v>P02-02</v>
          </cell>
          <cell r="D7" t="str">
            <v xml:space="preserve">JUAN AMADO LIZARAZO </v>
          </cell>
        </row>
        <row r="8">
          <cell r="C8" t="str">
            <v>P03-01</v>
          </cell>
          <cell r="D8" t="str">
            <v>C&amp;M CONSULTORES S.A.</v>
          </cell>
        </row>
        <row r="9">
          <cell r="C9" t="str">
            <v>P03-02</v>
          </cell>
          <cell r="D9" t="str">
            <v>OMC</v>
          </cell>
        </row>
        <row r="10">
          <cell r="C10" t="str">
            <v>P03-03</v>
          </cell>
          <cell r="D10" t="str">
            <v>GESTIÓN INTEGRAL DEL SUELO SUCURSAL COLOMBIA</v>
          </cell>
        </row>
        <row r="11">
          <cell r="C11" t="str">
            <v>P04-01</v>
          </cell>
          <cell r="D11" t="str">
            <v xml:space="preserve">GEOTECNIA Y CIMIENTOS INGEOCIM S.A.S. </v>
          </cell>
        </row>
        <row r="12">
          <cell r="C12" t="str">
            <v>P04-02</v>
          </cell>
          <cell r="D12" t="str">
            <v>TYPSA</v>
          </cell>
        </row>
        <row r="13">
          <cell r="C13" t="str">
            <v>P05-01</v>
          </cell>
          <cell r="D13" t="str">
            <v xml:space="preserve">AFA CONSULTORES Y CONSTRUCTORES S.A </v>
          </cell>
        </row>
        <row r="14">
          <cell r="C14" t="str">
            <v>P05-02</v>
          </cell>
          <cell r="D14" t="str">
            <v>INC GROUP S.A.S.</v>
          </cell>
        </row>
        <row r="15">
          <cell r="C15" t="str">
            <v>P06-01</v>
          </cell>
          <cell r="D15" t="str">
            <v xml:space="preserve">INZETT S.A.S.  </v>
          </cell>
        </row>
        <row r="16">
          <cell r="C16" t="str">
            <v>P06-02</v>
          </cell>
          <cell r="D16" t="str">
            <v>CIVING INGENIEROS CONTRATISTAS S EN C</v>
          </cell>
        </row>
        <row r="17">
          <cell r="C17" t="str">
            <v>P06-03</v>
          </cell>
          <cell r="D17" t="str">
            <v>J FELIPE ARDILA V &amp; CIA S.A.S.</v>
          </cell>
        </row>
        <row r="18">
          <cell r="C18" t="str">
            <v>P07-01</v>
          </cell>
          <cell r="D18" t="str">
            <v>SERTIC S.A.S.</v>
          </cell>
        </row>
        <row r="19">
          <cell r="C19" t="str">
            <v>P07-02</v>
          </cell>
          <cell r="D19" t="str">
            <v>CPS INGENIEROS OBRA CIVIL Y MEDIO AMBIENTE SUCURSAL COLOMBIA SL</v>
          </cell>
        </row>
        <row r="20">
          <cell r="C20" t="str">
            <v>P07-01</v>
          </cell>
          <cell r="D20" t="str">
            <v>GOMEZ CAJIAO Y ASOCIADOS S.A.</v>
          </cell>
        </row>
        <row r="21">
          <cell r="C21" t="str">
            <v>P07-02</v>
          </cell>
          <cell r="D21" t="str">
            <v>CONSULTORIA INTOK DE COLOMBIA Y ASOCIADOS S.A.S</v>
          </cell>
        </row>
        <row r="22">
          <cell r="C22" t="str">
            <v>P08-01</v>
          </cell>
          <cell r="D22" t="str">
            <v>CONSULTORIA INTEGRAL EN INGENIERIA S.A. DE CV</v>
          </cell>
        </row>
        <row r="23">
          <cell r="C23" t="str">
            <v>P08-02</v>
          </cell>
          <cell r="D23" t="str">
            <v>INGENIERIA Y CONSULTORIA INGECON S.A.S.</v>
          </cell>
        </row>
        <row r="24">
          <cell r="C24" t="str">
            <v>P09-01</v>
          </cell>
          <cell r="D24" t="str">
            <v>ESTRUCTURADOR COLOMBIA S.A.S.</v>
          </cell>
        </row>
        <row r="25">
          <cell r="C25" t="str">
            <v>P09-02</v>
          </cell>
          <cell r="D25" t="str">
            <v>ECOVIAS S.A.S.</v>
          </cell>
        </row>
        <row r="26">
          <cell r="C26" t="str">
            <v>P10-01</v>
          </cell>
          <cell r="D26" t="str">
            <v>JOYCO</v>
          </cell>
        </row>
        <row r="27">
          <cell r="C27" t="str">
            <v>P11-01</v>
          </cell>
          <cell r="D27" t="str">
            <v>GIC GERENCIA INTERVENTORIA Y CONSULTORIA S.A.S.</v>
          </cell>
        </row>
        <row r="28">
          <cell r="C28" t="str">
            <v>P11-02</v>
          </cell>
          <cell r="D28" t="str">
            <v>CONSULTORES UNIDOS S.A.</v>
          </cell>
        </row>
        <row r="29">
          <cell r="C29" t="str">
            <v>P12-01</v>
          </cell>
          <cell r="D29" t="str">
            <v>INGEANDINA CONSULTORES DE INGENIERIA S.A.S.</v>
          </cell>
        </row>
        <row r="30">
          <cell r="C30" t="str">
            <v>P12-02</v>
          </cell>
          <cell r="D30" t="str">
            <v>GEOCONTROL SUCURSAL COLOMBIA</v>
          </cell>
        </row>
        <row r="31">
          <cell r="C31" t="str">
            <v>P13-01</v>
          </cell>
          <cell r="D31" t="str">
            <v>VELNEC S.A</v>
          </cell>
        </row>
        <row r="32">
          <cell r="C32" t="str">
            <v>P13-02</v>
          </cell>
          <cell r="D32" t="str">
            <v>GNC INGENIERIA S.A.S.</v>
          </cell>
        </row>
        <row r="33">
          <cell r="C33" t="str">
            <v>P14-01</v>
          </cell>
          <cell r="D33" t="str">
            <v>ARREDONDO MADRID INGENIEROS CIVILES (AIM) LIMITADA</v>
          </cell>
        </row>
        <row r="34">
          <cell r="C34" t="str">
            <v>P14-02</v>
          </cell>
          <cell r="D34" t="str">
            <v>INGENIERIA INTEGRAL DE OBRAS - INGEOBRAS SAS</v>
          </cell>
        </row>
        <row r="35">
          <cell r="C35" t="str">
            <v>P15-01</v>
          </cell>
          <cell r="D35" t="str">
            <v>3B PROYECTOS SAS</v>
          </cell>
        </row>
        <row r="36">
          <cell r="C36" t="str">
            <v>P16-01</v>
          </cell>
          <cell r="D36" t="str">
            <v>SEDIC</v>
          </cell>
        </row>
        <row r="37">
          <cell r="C37" t="str">
            <v>P16-02</v>
          </cell>
          <cell r="D37" t="str">
            <v>CB INGENIEROS</v>
          </cell>
        </row>
        <row r="38">
          <cell r="C38" t="str">
            <v>P17-01</v>
          </cell>
          <cell r="D38" t="str">
            <v>SERVINC LTDA</v>
          </cell>
        </row>
        <row r="39">
          <cell r="C39" t="str">
            <v>P17-02</v>
          </cell>
          <cell r="D39" t="str">
            <v>VQMSAS</v>
          </cell>
        </row>
        <row r="40">
          <cell r="C40" t="str">
            <v>P18-01</v>
          </cell>
          <cell r="D40" t="str">
            <v>DIEGO FONSECA CHAVES</v>
          </cell>
        </row>
        <row r="41">
          <cell r="C41" t="str">
            <v>P18-02</v>
          </cell>
          <cell r="D41" t="str">
            <v>B&amp;C SA</v>
          </cell>
        </row>
        <row r="42">
          <cell r="C42" t="str">
            <v>P19-01</v>
          </cell>
          <cell r="D42" t="str">
            <v>INTERVENTORIAS Y DISEÑOS S.A.</v>
          </cell>
        </row>
        <row r="43">
          <cell r="C43" t="str">
            <v>P19-02</v>
          </cell>
          <cell r="D43" t="str">
            <v>INGENOBRAS SAS</v>
          </cell>
        </row>
        <row r="44">
          <cell r="C44" t="str">
            <v>P20-01</v>
          </cell>
          <cell r="D44" t="str">
            <v>GETINSA INGENIERIA SL SUCURSAL COLOMBIA</v>
          </cell>
        </row>
        <row r="45">
          <cell r="C45" t="str">
            <v>P20-02</v>
          </cell>
          <cell r="D45" t="str">
            <v>EUROESTUDIOS INGENIEROS DE CONSULTA SA</v>
          </cell>
        </row>
        <row r="46">
          <cell r="C46" t="str">
            <v>P21-01</v>
          </cell>
          <cell r="D46" t="str">
            <v>INFRAESTRUCTURA INTEGRAL SAS</v>
          </cell>
        </row>
        <row r="47">
          <cell r="C47" t="str">
            <v>P21-02</v>
          </cell>
          <cell r="D47" t="str">
            <v>CANO JIMENEZ ESTUDIOS SA</v>
          </cell>
        </row>
        <row r="48">
          <cell r="C48" t="str">
            <v>P22-01</v>
          </cell>
          <cell r="D48" t="str">
            <v>MAB INGENIERIA DE VALOR S.A.</v>
          </cell>
        </row>
        <row r="49">
          <cell r="C49" t="str">
            <v>P22-02</v>
          </cell>
          <cell r="D49" t="str">
            <v>PROYECTOS Y ESTRUCTURAS ESPECIALES S.A</v>
          </cell>
        </row>
        <row r="50">
          <cell r="C50" t="str">
            <v>P23-01</v>
          </cell>
          <cell r="D50" t="str">
            <v>AYESA COLOMBIA INGENIERIA Y ARQUITECTURA SAS</v>
          </cell>
        </row>
        <row r="51">
          <cell r="C51" t="str">
            <v>P23-02</v>
          </cell>
          <cell r="D51" t="str">
            <v>INTERSA SA</v>
          </cell>
        </row>
        <row r="52">
          <cell r="C52" t="str">
            <v>P24-01</v>
          </cell>
          <cell r="D52" t="str">
            <v>JAHVM MCGREGOR SAS</v>
          </cell>
        </row>
        <row r="53">
          <cell r="C53" t="str">
            <v>P24-02</v>
          </cell>
          <cell r="D53" t="str">
            <v>PROYECTOS CONTRUCCIONES CIVILES Y VIALES LTDA</v>
          </cell>
        </row>
        <row r="54">
          <cell r="C54" t="str">
            <v>P24-03</v>
          </cell>
          <cell r="D54" t="str">
            <v>TOP SUELOS INGENIERIA S.A.S.</v>
          </cell>
        </row>
        <row r="55">
          <cell r="C55" t="str">
            <v>P25-01</v>
          </cell>
          <cell r="D55" t="str">
            <v>EUROCONTROL SA</v>
          </cell>
        </row>
        <row r="56">
          <cell r="C56" t="str">
            <v>P25-02</v>
          </cell>
          <cell r="D56" t="str">
            <v>CAYCO SAS</v>
          </cell>
        </row>
        <row r="57">
          <cell r="C57" t="str">
            <v>P25-03</v>
          </cell>
          <cell r="D57" t="str">
            <v>GARPER INGENIERÍA CIA S.A.S.</v>
          </cell>
        </row>
        <row r="58">
          <cell r="C58" t="str">
            <v>P26-01</v>
          </cell>
          <cell r="D58" t="str">
            <v>PROGIN SA</v>
          </cell>
        </row>
        <row r="59">
          <cell r="C59" t="str">
            <v>P26-02</v>
          </cell>
          <cell r="D59" t="str">
            <v>PLANES S.A.</v>
          </cell>
        </row>
        <row r="60">
          <cell r="C60" t="str">
            <v>P27-01</v>
          </cell>
          <cell r="D60" t="str">
            <v>INTERPRO SAS</v>
          </cell>
        </row>
        <row r="61">
          <cell r="C61" t="str">
            <v>P27-02</v>
          </cell>
          <cell r="D61" t="str">
            <v>BAG ENGINEERING CONSULTANCY GROUP S.A.S.</v>
          </cell>
        </row>
        <row r="62">
          <cell r="C62" t="str">
            <v>P28-01</v>
          </cell>
          <cell r="D62" t="str">
            <v>CONCOL INGENIERIA SAS</v>
          </cell>
        </row>
        <row r="63">
          <cell r="C63" t="str">
            <v>P29-01</v>
          </cell>
          <cell r="D63" t="str">
            <v>ING INGENIERIA SA</v>
          </cell>
        </row>
        <row r="64">
          <cell r="C64" t="str">
            <v>P29-02</v>
          </cell>
          <cell r="D64" t="str">
            <v>INGETEC GERENCIA &amp; SUPERVISION SA</v>
          </cell>
        </row>
        <row r="65">
          <cell r="C65" t="str">
            <v>P30-01</v>
          </cell>
          <cell r="D65" t="str">
            <v>HMV CONSULTORIA SAS</v>
          </cell>
        </row>
        <row r="66">
          <cell r="C66" t="str">
            <v>P31-01</v>
          </cell>
          <cell r="D66" t="str">
            <v>SERINCO COLOMBIA</v>
          </cell>
        </row>
        <row r="67">
          <cell r="C67" t="str">
            <v>P31-02</v>
          </cell>
          <cell r="D67" t="str">
            <v>DICONSULTORIA SA</v>
          </cell>
        </row>
        <row r="68">
          <cell r="C68" t="str">
            <v>P32-01</v>
          </cell>
          <cell r="D68" t="str">
            <v>INGENIERIA CONSULTORIA Y PLANEACION S.A. INCOPLAN S.A</v>
          </cell>
        </row>
        <row r="69">
          <cell r="C69" t="str">
            <v>P32-02</v>
          </cell>
          <cell r="D69" t="str">
            <v>SONDEOS ESTRUCTURAS Y GEOTECNIA SUCURSAL S.A.</v>
          </cell>
        </row>
        <row r="70">
          <cell r="C70" t="str">
            <v>P33-01</v>
          </cell>
          <cell r="D70" t="str">
            <v xml:space="preserve">INGENIERIA DE PROYECTOS SAS.  </v>
          </cell>
        </row>
        <row r="71">
          <cell r="C71" t="str">
            <v>P33-02</v>
          </cell>
          <cell r="D71" t="str">
            <v>INGENIEROS CIVILES ESPECIALISTAS LTDA</v>
          </cell>
        </row>
        <row r="72">
          <cell r="C72" t="str">
            <v>P33-03</v>
          </cell>
          <cell r="D72" t="str">
            <v>EGIS COLOMBIA SAS</v>
          </cell>
        </row>
        <row r="73">
          <cell r="C73" t="str">
            <v>P34-01</v>
          </cell>
          <cell r="D73" t="str">
            <v>CONSULTORES TECNICOS Y ECONOMICOS SA</v>
          </cell>
        </row>
        <row r="74">
          <cell r="C74" t="str">
            <v>P34-02</v>
          </cell>
          <cell r="D74" t="str">
            <v>CONSULTORES E INTERVENTORES TECNICOS SAS</v>
          </cell>
        </row>
        <row r="75">
          <cell r="C75" t="str">
            <v>P35-01</v>
          </cell>
          <cell r="D75" t="str">
            <v>PROINTEC COLOMBIA</v>
          </cell>
        </row>
        <row r="76">
          <cell r="C76" t="str">
            <v>P35-02</v>
          </cell>
          <cell r="D76" t="str">
            <v>CONSULTORES DE INGENIERIA UG21 SL SUCURSAL COLOMBIA</v>
          </cell>
        </row>
        <row r="77">
          <cell r="C77" t="str">
            <v>P36-01</v>
          </cell>
          <cell r="D77" t="str">
            <v>ETA SA</v>
          </cell>
        </row>
        <row r="78">
          <cell r="C78" t="str">
            <v>P36-02</v>
          </cell>
          <cell r="D78" t="str">
            <v xml:space="preserve">GC&amp;Q INGENIEROS CONSULTORES SAS. </v>
          </cell>
        </row>
        <row r="79">
          <cell r="C79" t="str">
            <v>P37-01</v>
          </cell>
          <cell r="D79" t="str">
            <v>BATEMAN INGENIERIA S.A.</v>
          </cell>
        </row>
        <row r="80">
          <cell r="C80" t="str">
            <v>P37-02</v>
          </cell>
          <cell r="D80" t="str">
            <v>IAR PROYECTOS SAS</v>
          </cell>
        </row>
        <row r="81">
          <cell r="C81" t="str">
            <v>P38-01</v>
          </cell>
          <cell r="D81" t="str">
            <v>IV INGENIEROS CONSULTORES SUCURSAL COLOMBIA</v>
          </cell>
        </row>
        <row r="82">
          <cell r="C82" t="str">
            <v>P38-02</v>
          </cell>
          <cell r="D82" t="str">
            <v>ALPHA GRUPO CONSULTOR E INTERVENTOR SAS</v>
          </cell>
        </row>
        <row r="83">
          <cell r="C83" t="str">
            <v>P38-03</v>
          </cell>
          <cell r="D83" t="str">
            <v>CELQO SAS</v>
          </cell>
        </row>
        <row r="84">
          <cell r="C84" t="str">
            <v>P39-01</v>
          </cell>
          <cell r="D84" t="str">
            <v xml:space="preserve">                                         CEMOSA</v>
          </cell>
        </row>
        <row r="85">
          <cell r="C85" t="str">
            <v>P39-02</v>
          </cell>
          <cell r="D85" t="str">
            <v>INGENIERIA Y DESARROLLO XIMA DE COLOMBIA SAS</v>
          </cell>
        </row>
        <row r="86">
          <cell r="C86" t="str">
            <v>P40-01</v>
          </cell>
          <cell r="D86" t="str">
            <v xml:space="preserve">JOSE MANUEL GUARDO POLO </v>
          </cell>
        </row>
        <row r="87">
          <cell r="C87" t="str">
            <v>P40-02</v>
          </cell>
          <cell r="D87" t="str">
            <v>GRUPO POSSO SAS</v>
          </cell>
        </row>
        <row r="88">
          <cell r="C88" t="str">
            <v>P41-01</v>
          </cell>
          <cell r="D88" t="str">
            <v>LA VIABILIDAD LTDA</v>
          </cell>
        </row>
        <row r="89">
          <cell r="C89" t="str">
            <v>P41-02</v>
          </cell>
          <cell r="D89" t="str">
            <v>SESAC SA</v>
          </cell>
        </row>
        <row r="90">
          <cell r="C90" t="str">
            <v>P41-03</v>
          </cell>
          <cell r="D90" t="str">
            <v>SILVIA CARREÑO Y ASOCIADOS SAS</v>
          </cell>
        </row>
        <row r="91">
          <cell r="C91" t="str">
            <v>P41-04</v>
          </cell>
          <cell r="D91" t="str">
            <v>ARENAS DE LA HOZ CONSULTORES S.A.S</v>
          </cell>
        </row>
      </sheetData>
      <sheetData sheetId="1">
        <row r="5">
          <cell r="D5">
            <v>5618.8818142313958</v>
          </cell>
          <cell r="F5">
            <v>1685.6645442694187</v>
          </cell>
          <cell r="H5">
            <v>2865.6297252580121</v>
          </cell>
          <cell r="J5">
            <v>3371.3290885388374</v>
          </cell>
        </row>
        <row r="11">
          <cell r="A11">
            <v>1990</v>
          </cell>
          <cell r="B11">
            <v>41025</v>
          </cell>
        </row>
        <row r="12">
          <cell r="A12">
            <v>1991</v>
          </cell>
          <cell r="B12">
            <v>51716</v>
          </cell>
        </row>
        <row r="13">
          <cell r="A13">
            <v>1992</v>
          </cell>
          <cell r="B13">
            <v>65190</v>
          </cell>
        </row>
        <row r="14">
          <cell r="A14">
            <v>1993</v>
          </cell>
          <cell r="B14">
            <v>81510</v>
          </cell>
        </row>
        <row r="15">
          <cell r="A15">
            <v>1994</v>
          </cell>
          <cell r="B15">
            <v>98700</v>
          </cell>
        </row>
        <row r="16">
          <cell r="A16">
            <v>1995</v>
          </cell>
          <cell r="B16">
            <v>118933.5</v>
          </cell>
        </row>
        <row r="17">
          <cell r="A17">
            <v>1996</v>
          </cell>
          <cell r="B17">
            <v>142125</v>
          </cell>
        </row>
        <row r="18">
          <cell r="A18">
            <v>1997</v>
          </cell>
          <cell r="B18">
            <v>172005</v>
          </cell>
        </row>
        <row r="19">
          <cell r="A19">
            <v>1998</v>
          </cell>
          <cell r="B19">
            <v>203826</v>
          </cell>
        </row>
        <row r="20">
          <cell r="A20">
            <v>1999</v>
          </cell>
          <cell r="B20">
            <v>236460</v>
          </cell>
        </row>
        <row r="21">
          <cell r="A21">
            <v>2000</v>
          </cell>
          <cell r="B21">
            <v>260100</v>
          </cell>
        </row>
        <row r="22">
          <cell r="A22">
            <v>2001</v>
          </cell>
          <cell r="B22">
            <v>286000</v>
          </cell>
        </row>
        <row r="23">
          <cell r="A23">
            <v>2002</v>
          </cell>
          <cell r="B23">
            <v>309000</v>
          </cell>
        </row>
        <row r="24">
          <cell r="A24">
            <v>2003</v>
          </cell>
          <cell r="B24">
            <v>332000</v>
          </cell>
        </row>
        <row r="25">
          <cell r="A25">
            <v>2004</v>
          </cell>
          <cell r="B25">
            <v>358000</v>
          </cell>
        </row>
        <row r="26">
          <cell r="A26">
            <v>2005</v>
          </cell>
          <cell r="B26">
            <v>381500</v>
          </cell>
        </row>
        <row r="27">
          <cell r="A27">
            <v>2006</v>
          </cell>
          <cell r="B27">
            <v>408000</v>
          </cell>
        </row>
        <row r="28">
          <cell r="A28">
            <v>2007</v>
          </cell>
          <cell r="B28">
            <v>433700</v>
          </cell>
        </row>
        <row r="29">
          <cell r="A29">
            <v>2008</v>
          </cell>
          <cell r="B29">
            <v>461500</v>
          </cell>
        </row>
        <row r="30">
          <cell r="A30">
            <v>2009</v>
          </cell>
          <cell r="B30">
            <v>496900</v>
          </cell>
        </row>
        <row r="31">
          <cell r="A31">
            <v>2010</v>
          </cell>
          <cell r="B31">
            <v>515000</v>
          </cell>
        </row>
        <row r="32">
          <cell r="A32">
            <v>2011</v>
          </cell>
          <cell r="B32">
            <v>535600</v>
          </cell>
        </row>
        <row r="33">
          <cell r="A33">
            <v>2012</v>
          </cell>
          <cell r="B33">
            <v>566700</v>
          </cell>
        </row>
        <row r="34">
          <cell r="A34">
            <v>2013</v>
          </cell>
          <cell r="B34">
            <v>589500</v>
          </cell>
        </row>
        <row r="35">
          <cell r="A35">
            <v>2014</v>
          </cell>
          <cell r="B35">
            <v>616000</v>
          </cell>
        </row>
        <row r="36">
          <cell r="A36">
            <v>2015</v>
          </cell>
          <cell r="B36">
            <v>644350</v>
          </cell>
        </row>
        <row r="37">
          <cell r="A37">
            <v>2016</v>
          </cell>
          <cell r="B37">
            <v>689554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Z105"/>
  <sheetViews>
    <sheetView tabSelected="1" topLeftCell="C43" zoomScaleNormal="100" zoomScalePageLayoutView="125" workbookViewId="0">
      <selection activeCell="H82" sqref="H82:H83"/>
    </sheetView>
  </sheetViews>
  <sheetFormatPr baseColWidth="10" defaultRowHeight="15.75"/>
  <cols>
    <col min="1" max="1" width="7.75" style="39" customWidth="1"/>
    <col min="2" max="2" width="42" style="39" bestFit="1" customWidth="1"/>
    <col min="3" max="3" width="9.875" style="39" customWidth="1"/>
    <col min="4" max="4" width="41.125" style="40" customWidth="1"/>
    <col min="5" max="5" width="10.625" style="46" customWidth="1"/>
    <col min="6" max="6" width="10.25" style="37" customWidth="1"/>
    <col min="7" max="7" width="10.875" style="29" customWidth="1"/>
    <col min="8" max="8" width="10.625" style="686" customWidth="1"/>
    <col min="9" max="9" width="8.625" style="691" customWidth="1"/>
    <col min="10" max="10" width="8.5" style="41" customWidth="1"/>
    <col min="11" max="11" width="6.5" style="41" customWidth="1"/>
    <col min="12" max="12" width="6" style="42" customWidth="1"/>
    <col min="13" max="13" width="8" style="42" hidden="1" customWidth="1"/>
    <col min="14" max="14" width="7.5" style="42" hidden="1" customWidth="1"/>
    <col min="15" max="15" width="6" style="42" customWidth="1"/>
    <col min="16" max="16" width="20" style="29" customWidth="1"/>
    <col min="17" max="17" width="15.875" style="29" customWidth="1"/>
    <col min="18" max="19" width="14.875" style="29" customWidth="1"/>
    <col min="20" max="23" width="11.375" style="29" bestFit="1" customWidth="1"/>
    <col min="24" max="24" width="3.875" style="29" customWidth="1"/>
    <col min="25" max="25" width="10.5" style="29" customWidth="1"/>
    <col min="26" max="26" width="30.875" style="29" bestFit="1" customWidth="1"/>
    <col min="27" max="27" width="38.875" style="29" customWidth="1"/>
    <col min="28" max="28" width="15.875" style="29" customWidth="1"/>
    <col min="29" max="30" width="14.875" style="29" customWidth="1"/>
    <col min="31" max="34" width="11.375" style="29" bestFit="1" customWidth="1"/>
    <col min="35" max="35" width="3.5" style="29" customWidth="1"/>
    <col min="36" max="36" width="10.5" style="29" bestFit="1" customWidth="1"/>
    <col min="37" max="37" width="30.875" style="29" bestFit="1" customWidth="1"/>
    <col min="38" max="38" width="38.875" style="29" customWidth="1"/>
    <col min="39" max="39" width="15.875" style="29" customWidth="1"/>
    <col min="40" max="41" width="14.875" style="29" customWidth="1"/>
    <col min="42" max="45" width="11.375" style="29" bestFit="1" customWidth="1"/>
    <col min="46" max="46" width="4.625" style="29" customWidth="1"/>
    <col min="47" max="47" width="9.125" style="29" customWidth="1"/>
    <col min="48" max="48" width="30.875" style="29" bestFit="1" customWidth="1"/>
    <col min="49" max="49" width="38.875" style="29" customWidth="1"/>
    <col min="50" max="50" width="15.875" style="29" customWidth="1"/>
    <col min="51" max="51" width="14.875" style="29" customWidth="1"/>
    <col min="52" max="52" width="15" style="29" customWidth="1"/>
    <col min="53" max="56" width="11.375" style="29" bestFit="1" customWidth="1"/>
    <col min="57" max="57" width="4.125" style="29" customWidth="1"/>
    <col min="58" max="58" width="10.5" style="29" bestFit="1" customWidth="1"/>
    <col min="59" max="59" width="30.875" style="29" bestFit="1" customWidth="1"/>
    <col min="60" max="60" width="38.875" style="29" customWidth="1"/>
    <col min="61" max="61" width="15.875" style="29" customWidth="1"/>
    <col min="62" max="63" width="14.875" style="29" customWidth="1"/>
    <col min="64" max="67" width="11.375" style="29" bestFit="1" customWidth="1"/>
    <col min="68" max="68" width="3.875" style="29" customWidth="1"/>
    <col min="69" max="69" width="10.5" style="29" bestFit="1" customWidth="1"/>
    <col min="70" max="70" width="30.875" style="29" bestFit="1" customWidth="1"/>
    <col min="71" max="71" width="38.875" style="29" customWidth="1"/>
    <col min="72" max="72" width="15.875" style="29" customWidth="1"/>
    <col min="73" max="74" width="14.875" style="29" customWidth="1"/>
    <col min="75" max="78" width="11.375" style="29" bestFit="1" customWidth="1"/>
  </cols>
  <sheetData>
    <row r="1" spans="1:78">
      <c r="A1" s="758" t="s">
        <v>191</v>
      </c>
      <c r="B1" s="759"/>
      <c r="C1" s="759"/>
      <c r="D1" s="759"/>
      <c r="E1" s="759"/>
      <c r="F1" s="759"/>
      <c r="G1" s="759"/>
      <c r="H1" s="759"/>
      <c r="I1" s="759"/>
      <c r="J1" s="759"/>
      <c r="K1" s="760"/>
      <c r="L1" s="761" t="s">
        <v>49</v>
      </c>
      <c r="M1" s="761"/>
      <c r="N1" s="761"/>
      <c r="O1" s="761"/>
      <c r="P1" s="28"/>
    </row>
    <row r="2" spans="1:78" s="30" customFormat="1">
      <c r="A2" s="762" t="s">
        <v>50</v>
      </c>
      <c r="B2" s="763"/>
      <c r="C2" s="763"/>
      <c r="D2" s="763"/>
      <c r="E2" s="763"/>
      <c r="F2" s="763"/>
      <c r="G2" s="763"/>
      <c r="H2" s="763"/>
      <c r="I2" s="763"/>
      <c r="J2" s="763"/>
      <c r="K2" s="764"/>
      <c r="L2" s="761"/>
      <c r="M2" s="761"/>
      <c r="N2" s="761"/>
      <c r="O2" s="761"/>
      <c r="P2" s="28"/>
      <c r="X2" s="31"/>
      <c r="AI2" s="31"/>
      <c r="AT2" s="31"/>
      <c r="BE2" s="31"/>
      <c r="BP2" s="31"/>
    </row>
    <row r="3" spans="1:78" ht="45.75" thickBot="1">
      <c r="A3" s="32" t="s">
        <v>51</v>
      </c>
      <c r="B3" s="32" t="s">
        <v>52</v>
      </c>
      <c r="C3" s="32" t="s">
        <v>85</v>
      </c>
      <c r="D3" s="32" t="s">
        <v>53</v>
      </c>
      <c r="E3" s="44" t="s">
        <v>72</v>
      </c>
      <c r="F3" s="33" t="s">
        <v>54</v>
      </c>
      <c r="G3" s="33" t="s">
        <v>55</v>
      </c>
      <c r="H3" s="33" t="s">
        <v>56</v>
      </c>
      <c r="I3" s="687" t="s">
        <v>65</v>
      </c>
      <c r="J3" s="33" t="s">
        <v>57</v>
      </c>
      <c r="K3" s="33" t="s">
        <v>58</v>
      </c>
      <c r="L3" s="34" t="s">
        <v>66</v>
      </c>
      <c r="M3" s="34" t="s">
        <v>59</v>
      </c>
      <c r="N3" s="34" t="s">
        <v>60</v>
      </c>
      <c r="O3" s="34" t="s">
        <v>67</v>
      </c>
    </row>
    <row r="4" spans="1:78" s="38" customFormat="1">
      <c r="A4" s="750" t="s">
        <v>192</v>
      </c>
      <c r="B4" s="753" t="s">
        <v>193</v>
      </c>
      <c r="C4" s="274" t="s">
        <v>97</v>
      </c>
      <c r="D4" s="171" t="s">
        <v>194</v>
      </c>
      <c r="E4" s="172">
        <v>0.49</v>
      </c>
      <c r="F4" s="718" t="s">
        <v>746</v>
      </c>
      <c r="G4" s="718" t="s">
        <v>746</v>
      </c>
      <c r="H4" s="718" t="s">
        <v>559</v>
      </c>
      <c r="I4" s="729">
        <v>900</v>
      </c>
      <c r="J4" s="718">
        <v>100</v>
      </c>
      <c r="K4" s="718">
        <f>+I4+J4</f>
        <v>1000</v>
      </c>
      <c r="L4" s="718" t="s">
        <v>10</v>
      </c>
      <c r="M4" s="718"/>
      <c r="N4" s="718"/>
      <c r="O4" s="718" t="s">
        <v>10</v>
      </c>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row>
    <row r="5" spans="1:78" s="38" customFormat="1" ht="16.5" thickBot="1">
      <c r="A5" s="752"/>
      <c r="B5" s="755"/>
      <c r="C5" s="218" t="s">
        <v>98</v>
      </c>
      <c r="D5" s="677" t="s">
        <v>195</v>
      </c>
      <c r="E5" s="678">
        <v>0.51</v>
      </c>
      <c r="F5" s="717"/>
      <c r="G5" s="717"/>
      <c r="H5" s="717"/>
      <c r="I5" s="728"/>
      <c r="J5" s="717"/>
      <c r="K5" s="717"/>
      <c r="L5" s="717"/>
      <c r="M5" s="717"/>
      <c r="N5" s="717"/>
      <c r="O5" s="71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row>
    <row r="6" spans="1:78" s="38" customFormat="1">
      <c r="A6" s="750" t="s">
        <v>196</v>
      </c>
      <c r="B6" s="753" t="s">
        <v>197</v>
      </c>
      <c r="C6" s="274" t="s">
        <v>99</v>
      </c>
      <c r="D6" s="679" t="s">
        <v>198</v>
      </c>
      <c r="E6" s="680">
        <v>0.57499999999999996</v>
      </c>
      <c r="F6" s="718" t="s">
        <v>746</v>
      </c>
      <c r="G6" s="718" t="s">
        <v>746</v>
      </c>
      <c r="H6" s="718" t="s">
        <v>559</v>
      </c>
      <c r="I6" s="747">
        <v>900</v>
      </c>
      <c r="J6" s="718">
        <v>100</v>
      </c>
      <c r="K6" s="718">
        <f>+I6+J6</f>
        <v>1000</v>
      </c>
      <c r="L6" s="718" t="s">
        <v>10</v>
      </c>
      <c r="M6" s="718"/>
      <c r="N6" s="718"/>
      <c r="O6" s="718" t="s">
        <v>10</v>
      </c>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row>
    <row r="7" spans="1:78" s="38" customFormat="1" ht="16.5" thickBot="1">
      <c r="A7" s="752"/>
      <c r="B7" s="755"/>
      <c r="C7" s="218" t="s">
        <v>104</v>
      </c>
      <c r="D7" s="677" t="s">
        <v>199</v>
      </c>
      <c r="E7" s="681">
        <v>0.42499999999999999</v>
      </c>
      <c r="F7" s="717"/>
      <c r="G7" s="717"/>
      <c r="H7" s="717"/>
      <c r="I7" s="745"/>
      <c r="J7" s="717"/>
      <c r="K7" s="717"/>
      <c r="L7" s="717"/>
      <c r="M7" s="717"/>
      <c r="N7" s="717"/>
      <c r="O7" s="71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row>
    <row r="8" spans="1:78" s="38" customFormat="1">
      <c r="A8" s="750" t="s">
        <v>200</v>
      </c>
      <c r="B8" s="753" t="s">
        <v>193</v>
      </c>
      <c r="C8" s="274" t="s">
        <v>100</v>
      </c>
      <c r="D8" s="679" t="s">
        <v>7</v>
      </c>
      <c r="E8" s="682">
        <v>0.44</v>
      </c>
      <c r="F8" s="868" t="s">
        <v>760</v>
      </c>
      <c r="G8" s="718" t="s">
        <v>746</v>
      </c>
      <c r="H8" s="718" t="s">
        <v>559</v>
      </c>
      <c r="I8" s="727" t="s">
        <v>752</v>
      </c>
      <c r="J8" s="716" t="s">
        <v>753</v>
      </c>
      <c r="K8" s="716" t="s">
        <v>754</v>
      </c>
      <c r="L8" s="716" t="s">
        <v>757</v>
      </c>
      <c r="M8" s="718"/>
      <c r="N8" s="718"/>
      <c r="O8" s="716" t="s">
        <v>755</v>
      </c>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row>
    <row r="9" spans="1:78" s="38" customFormat="1">
      <c r="A9" s="751"/>
      <c r="B9" s="754"/>
      <c r="C9" s="276" t="s">
        <v>105</v>
      </c>
      <c r="D9" s="683" t="s">
        <v>201</v>
      </c>
      <c r="E9" s="684">
        <v>0.05</v>
      </c>
      <c r="F9" s="720"/>
      <c r="G9" s="720"/>
      <c r="H9" s="720"/>
      <c r="I9" s="730"/>
      <c r="J9" s="720"/>
      <c r="K9" s="720"/>
      <c r="L9" s="720"/>
      <c r="M9" s="720"/>
      <c r="N9" s="720"/>
      <c r="O9" s="720"/>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row>
    <row r="10" spans="1:78" s="38" customFormat="1" ht="16.5" thickBot="1">
      <c r="A10" s="752"/>
      <c r="B10" s="755"/>
      <c r="C10" s="218" t="s">
        <v>202</v>
      </c>
      <c r="D10" s="677" t="s">
        <v>203</v>
      </c>
      <c r="E10" s="678">
        <v>0.51</v>
      </c>
      <c r="F10" s="717"/>
      <c r="G10" s="717"/>
      <c r="H10" s="717"/>
      <c r="I10" s="728"/>
      <c r="J10" s="717"/>
      <c r="K10" s="717"/>
      <c r="L10" s="717"/>
      <c r="M10" s="717"/>
      <c r="N10" s="717"/>
      <c r="O10" s="71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row>
    <row r="11" spans="1:78" s="38" customFormat="1">
      <c r="A11" s="750" t="s">
        <v>204</v>
      </c>
      <c r="B11" s="753" t="s">
        <v>205</v>
      </c>
      <c r="C11" s="274" t="s">
        <v>101</v>
      </c>
      <c r="D11" s="679" t="s">
        <v>206</v>
      </c>
      <c r="E11" s="682">
        <v>0.51</v>
      </c>
      <c r="F11" s="718" t="s">
        <v>746</v>
      </c>
      <c r="G11" s="718" t="s">
        <v>746</v>
      </c>
      <c r="H11" s="718" t="s">
        <v>559</v>
      </c>
      <c r="I11" s="729">
        <v>900</v>
      </c>
      <c r="J11" s="718">
        <v>100</v>
      </c>
      <c r="K11" s="718">
        <f>+I11+J11</f>
        <v>1000</v>
      </c>
      <c r="L11" s="718" t="s">
        <v>10</v>
      </c>
      <c r="M11" s="718"/>
      <c r="N11" s="718"/>
      <c r="O11" s="718" t="s">
        <v>10</v>
      </c>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row>
    <row r="12" spans="1:78" s="38" customFormat="1" ht="16.5" thickBot="1">
      <c r="A12" s="752"/>
      <c r="B12" s="755"/>
      <c r="C12" s="218" t="s">
        <v>106</v>
      </c>
      <c r="D12" s="677" t="s">
        <v>207</v>
      </c>
      <c r="E12" s="678">
        <v>0.49</v>
      </c>
      <c r="F12" s="717"/>
      <c r="G12" s="717"/>
      <c r="H12" s="717"/>
      <c r="I12" s="728"/>
      <c r="J12" s="717"/>
      <c r="K12" s="717"/>
      <c r="L12" s="717"/>
      <c r="M12" s="717"/>
      <c r="N12" s="717"/>
      <c r="O12" s="71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row>
    <row r="13" spans="1:78" s="38" customFormat="1">
      <c r="A13" s="750" t="s">
        <v>208</v>
      </c>
      <c r="B13" s="753" t="s">
        <v>209</v>
      </c>
      <c r="C13" s="274" t="s">
        <v>102</v>
      </c>
      <c r="D13" s="679" t="s">
        <v>210</v>
      </c>
      <c r="E13" s="682">
        <v>0.6</v>
      </c>
      <c r="F13" s="718" t="s">
        <v>746</v>
      </c>
      <c r="G13" s="718" t="s">
        <v>746</v>
      </c>
      <c r="H13" s="718" t="s">
        <v>559</v>
      </c>
      <c r="I13" s="729">
        <v>900</v>
      </c>
      <c r="J13" s="718">
        <v>100</v>
      </c>
      <c r="K13" s="718">
        <f>+I13+J13</f>
        <v>1000</v>
      </c>
      <c r="L13" s="718" t="s">
        <v>10</v>
      </c>
      <c r="M13" s="718"/>
      <c r="N13" s="718"/>
      <c r="O13" s="718" t="s">
        <v>10</v>
      </c>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row>
    <row r="14" spans="1:78" s="38" customFormat="1" ht="16.5" thickBot="1">
      <c r="A14" s="752"/>
      <c r="B14" s="755"/>
      <c r="C14" s="218" t="s">
        <v>107</v>
      </c>
      <c r="D14" s="177" t="s">
        <v>211</v>
      </c>
      <c r="E14" s="178">
        <v>0.4</v>
      </c>
      <c r="F14" s="717"/>
      <c r="G14" s="717"/>
      <c r="H14" s="717"/>
      <c r="I14" s="728"/>
      <c r="J14" s="717"/>
      <c r="K14" s="717"/>
      <c r="L14" s="717"/>
      <c r="M14" s="717"/>
      <c r="N14" s="717"/>
      <c r="O14" s="71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row>
    <row r="15" spans="1:78" s="38" customFormat="1">
      <c r="A15" s="750" t="s">
        <v>212</v>
      </c>
      <c r="B15" s="753" t="s">
        <v>213</v>
      </c>
      <c r="C15" s="274" t="s">
        <v>103</v>
      </c>
      <c r="D15" s="171" t="s">
        <v>214</v>
      </c>
      <c r="E15" s="172">
        <v>0.51</v>
      </c>
      <c r="F15" s="733" t="s">
        <v>746</v>
      </c>
      <c r="G15" s="733" t="s">
        <v>746</v>
      </c>
      <c r="H15" s="733" t="s">
        <v>559</v>
      </c>
      <c r="I15" s="746">
        <v>900</v>
      </c>
      <c r="J15" s="722">
        <v>100</v>
      </c>
      <c r="K15" s="722">
        <f>+I15+J15</f>
        <v>1000</v>
      </c>
      <c r="L15" s="722" t="s">
        <v>10</v>
      </c>
      <c r="M15" s="722"/>
      <c r="N15" s="722"/>
      <c r="O15" s="722" t="s">
        <v>10</v>
      </c>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row>
    <row r="16" spans="1:78" s="38" customFormat="1" ht="21" customHeight="1">
      <c r="A16" s="751"/>
      <c r="B16" s="754"/>
      <c r="C16" s="276" t="s">
        <v>108</v>
      </c>
      <c r="D16" s="35" t="s">
        <v>91</v>
      </c>
      <c r="E16" s="53">
        <v>0.25</v>
      </c>
      <c r="F16" s="734"/>
      <c r="G16" s="734"/>
      <c r="H16" s="734"/>
      <c r="I16" s="730"/>
      <c r="J16" s="720"/>
      <c r="K16" s="720"/>
      <c r="L16" s="720"/>
      <c r="M16" s="720"/>
      <c r="N16" s="720"/>
      <c r="O16" s="720"/>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row>
    <row r="17" spans="1:78" s="38" customFormat="1" ht="21" customHeight="1" thickBot="1">
      <c r="A17" s="752"/>
      <c r="B17" s="755"/>
      <c r="C17" s="218" t="s">
        <v>215</v>
      </c>
      <c r="D17" s="177" t="s">
        <v>92</v>
      </c>
      <c r="E17" s="178">
        <v>0.24</v>
      </c>
      <c r="F17" s="735"/>
      <c r="G17" s="735"/>
      <c r="H17" s="735"/>
      <c r="I17" s="748"/>
      <c r="J17" s="723"/>
      <c r="K17" s="723"/>
      <c r="L17" s="723"/>
      <c r="M17" s="723"/>
      <c r="N17" s="723"/>
      <c r="O17" s="723"/>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row>
    <row r="18" spans="1:78" s="38" customFormat="1" ht="22.5" customHeight="1">
      <c r="A18" s="750" t="s">
        <v>216</v>
      </c>
      <c r="B18" s="753" t="s">
        <v>217</v>
      </c>
      <c r="C18" s="274" t="s">
        <v>109</v>
      </c>
      <c r="D18" s="171" t="s">
        <v>86</v>
      </c>
      <c r="E18" s="231">
        <v>0.51</v>
      </c>
      <c r="F18" s="722" t="s">
        <v>746</v>
      </c>
      <c r="G18" s="722" t="s">
        <v>746</v>
      </c>
      <c r="H18" s="722" t="s">
        <v>559</v>
      </c>
      <c r="I18" s="746">
        <v>900</v>
      </c>
      <c r="J18" s="722">
        <v>100</v>
      </c>
      <c r="K18" s="722">
        <f>+I18+J18</f>
        <v>1000</v>
      </c>
      <c r="L18" s="722" t="s">
        <v>10</v>
      </c>
      <c r="M18" s="722"/>
      <c r="N18" s="722"/>
      <c r="O18" s="722" t="s">
        <v>10</v>
      </c>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row>
    <row r="19" spans="1:78" s="38" customFormat="1" ht="36" customHeight="1" thickBot="1">
      <c r="A19" s="752"/>
      <c r="B19" s="755"/>
      <c r="C19" s="218" t="s">
        <v>110</v>
      </c>
      <c r="D19" s="177" t="s">
        <v>218</v>
      </c>
      <c r="E19" s="178">
        <v>0.49</v>
      </c>
      <c r="F19" s="723"/>
      <c r="G19" s="723"/>
      <c r="H19" s="723"/>
      <c r="I19" s="748"/>
      <c r="J19" s="723"/>
      <c r="K19" s="723"/>
      <c r="L19" s="723"/>
      <c r="M19" s="723"/>
      <c r="N19" s="723"/>
      <c r="O19" s="723"/>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row>
    <row r="20" spans="1:78" s="38" customFormat="1">
      <c r="A20" s="750" t="s">
        <v>219</v>
      </c>
      <c r="B20" s="753" t="s">
        <v>220</v>
      </c>
      <c r="C20" s="274" t="s">
        <v>111</v>
      </c>
      <c r="D20" s="171" t="s">
        <v>88</v>
      </c>
      <c r="E20" s="172">
        <v>0.49</v>
      </c>
      <c r="F20" s="869" t="s">
        <v>760</v>
      </c>
      <c r="G20" s="722" t="s">
        <v>746</v>
      </c>
      <c r="H20" s="722" t="s">
        <v>746</v>
      </c>
      <c r="I20" s="749" t="s">
        <v>752</v>
      </c>
      <c r="J20" s="721" t="s">
        <v>752</v>
      </c>
      <c r="K20" s="721" t="s">
        <v>753</v>
      </c>
      <c r="L20" s="721" t="s">
        <v>755</v>
      </c>
      <c r="M20" s="722"/>
      <c r="N20" s="722"/>
      <c r="O20" s="721" t="s">
        <v>758</v>
      </c>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row>
    <row r="21" spans="1:78" s="38" customFormat="1" ht="16.5" thickBot="1">
      <c r="A21" s="752"/>
      <c r="B21" s="755"/>
      <c r="C21" s="218" t="s">
        <v>112</v>
      </c>
      <c r="D21" s="177" t="s">
        <v>87</v>
      </c>
      <c r="E21" s="178">
        <v>0.51</v>
      </c>
      <c r="F21" s="870"/>
      <c r="G21" s="723"/>
      <c r="H21" s="723"/>
      <c r="I21" s="748"/>
      <c r="J21" s="723"/>
      <c r="K21" s="723"/>
      <c r="L21" s="723"/>
      <c r="M21" s="723"/>
      <c r="N21" s="723"/>
      <c r="O21" s="723"/>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row>
    <row r="22" spans="1:78" s="38" customFormat="1">
      <c r="A22" s="750" t="s">
        <v>221</v>
      </c>
      <c r="B22" s="753" t="s">
        <v>742</v>
      </c>
      <c r="C22" s="274" t="s">
        <v>113</v>
      </c>
      <c r="D22" s="171" t="s">
        <v>94</v>
      </c>
      <c r="E22" s="172">
        <v>0.49</v>
      </c>
      <c r="F22" s="722" t="s">
        <v>746</v>
      </c>
      <c r="G22" s="722" t="s">
        <v>746</v>
      </c>
      <c r="H22" s="722" t="s">
        <v>559</v>
      </c>
      <c r="I22" s="746">
        <v>900</v>
      </c>
      <c r="J22" s="722">
        <v>100</v>
      </c>
      <c r="K22" s="722">
        <f>+I22+J22</f>
        <v>1000</v>
      </c>
      <c r="L22" s="722" t="s">
        <v>10</v>
      </c>
      <c r="M22" s="722"/>
      <c r="N22" s="722"/>
      <c r="O22" s="722" t="s">
        <v>10</v>
      </c>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1:78" s="38" customFormat="1" ht="16.5" thickBot="1">
      <c r="A23" s="752"/>
      <c r="B23" s="755"/>
      <c r="C23" s="218" t="s">
        <v>114</v>
      </c>
      <c r="D23" s="177" t="s">
        <v>83</v>
      </c>
      <c r="E23" s="178">
        <v>0.51</v>
      </c>
      <c r="F23" s="723"/>
      <c r="G23" s="723"/>
      <c r="H23" s="723"/>
      <c r="I23" s="748"/>
      <c r="J23" s="723"/>
      <c r="K23" s="723"/>
      <c r="L23" s="723"/>
      <c r="M23" s="723"/>
      <c r="N23" s="723"/>
      <c r="O23" s="723"/>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1:78" ht="22.5" customHeight="1" thickBot="1">
      <c r="A24" s="203" t="s">
        <v>223</v>
      </c>
      <c r="B24" s="183" t="s">
        <v>96</v>
      </c>
      <c r="C24" s="183" t="s">
        <v>115</v>
      </c>
      <c r="D24" s="184" t="s">
        <v>95</v>
      </c>
      <c r="E24" s="185">
        <v>1</v>
      </c>
      <c r="F24" s="267" t="s">
        <v>746</v>
      </c>
      <c r="G24" s="267" t="s">
        <v>746</v>
      </c>
      <c r="H24" s="267" t="s">
        <v>559</v>
      </c>
      <c r="I24" s="688">
        <v>900</v>
      </c>
      <c r="J24" s="267">
        <v>100</v>
      </c>
      <c r="K24" s="267">
        <f>+I24+J24</f>
        <v>1000</v>
      </c>
      <c r="L24" s="267" t="s">
        <v>10</v>
      </c>
      <c r="M24" s="267"/>
      <c r="N24" s="267"/>
      <c r="O24" s="267" t="s">
        <v>10</v>
      </c>
    </row>
    <row r="25" spans="1:78">
      <c r="A25" s="750" t="s">
        <v>224</v>
      </c>
      <c r="B25" s="753" t="s">
        <v>73</v>
      </c>
      <c r="C25" s="274" t="s">
        <v>116</v>
      </c>
      <c r="D25" s="171" t="s">
        <v>76</v>
      </c>
      <c r="E25" s="172">
        <v>0.51</v>
      </c>
      <c r="F25" s="722" t="s">
        <v>746</v>
      </c>
      <c r="G25" s="722" t="s">
        <v>746</v>
      </c>
      <c r="H25" s="722" t="s">
        <v>559</v>
      </c>
      <c r="I25" s="746">
        <v>900</v>
      </c>
      <c r="J25" s="722">
        <v>100</v>
      </c>
      <c r="K25" s="722">
        <f>+I25+J25</f>
        <v>1000</v>
      </c>
      <c r="L25" s="722" t="s">
        <v>10</v>
      </c>
      <c r="M25" s="722"/>
      <c r="N25" s="722"/>
      <c r="O25" s="722" t="s">
        <v>10</v>
      </c>
    </row>
    <row r="26" spans="1:78" ht="22.5" customHeight="1" thickBot="1">
      <c r="A26" s="752"/>
      <c r="B26" s="755"/>
      <c r="C26" s="218" t="s">
        <v>117</v>
      </c>
      <c r="D26" s="177" t="s">
        <v>77</v>
      </c>
      <c r="E26" s="178">
        <v>0.49</v>
      </c>
      <c r="F26" s="723"/>
      <c r="G26" s="723"/>
      <c r="H26" s="723"/>
      <c r="I26" s="748"/>
      <c r="J26" s="723"/>
      <c r="K26" s="723"/>
      <c r="L26" s="723"/>
      <c r="M26" s="723"/>
      <c r="N26" s="723"/>
      <c r="O26" s="723"/>
    </row>
    <row r="27" spans="1:78" ht="22.5" customHeight="1">
      <c r="A27" s="750" t="s">
        <v>225</v>
      </c>
      <c r="B27" s="753" t="s">
        <v>226</v>
      </c>
      <c r="C27" s="274" t="s">
        <v>118</v>
      </c>
      <c r="D27" s="171" t="s">
        <v>71</v>
      </c>
      <c r="E27" s="172">
        <v>0.7</v>
      </c>
      <c r="F27" s="869" t="s">
        <v>760</v>
      </c>
      <c r="G27" s="722" t="s">
        <v>746</v>
      </c>
      <c r="H27" s="722" t="s">
        <v>559</v>
      </c>
      <c r="I27" s="749" t="s">
        <v>752</v>
      </c>
      <c r="J27" s="721" t="s">
        <v>754</v>
      </c>
      <c r="K27" s="721" t="s">
        <v>753</v>
      </c>
      <c r="L27" s="721" t="s">
        <v>758</v>
      </c>
      <c r="M27" s="722"/>
      <c r="N27" s="722"/>
      <c r="O27" s="721" t="s">
        <v>758</v>
      </c>
    </row>
    <row r="28" spans="1:78" ht="16.5" thickBot="1">
      <c r="A28" s="752"/>
      <c r="B28" s="755"/>
      <c r="C28" s="218" t="s">
        <v>119</v>
      </c>
      <c r="D28" s="177" t="s">
        <v>227</v>
      </c>
      <c r="E28" s="178">
        <v>0.3</v>
      </c>
      <c r="F28" s="870"/>
      <c r="G28" s="723"/>
      <c r="H28" s="723"/>
      <c r="I28" s="748"/>
      <c r="J28" s="723"/>
      <c r="K28" s="723"/>
      <c r="L28" s="723"/>
      <c r="M28" s="723"/>
      <c r="N28" s="723"/>
      <c r="O28" s="723"/>
    </row>
    <row r="29" spans="1:78" ht="22.5" customHeight="1">
      <c r="A29" s="750" t="s">
        <v>228</v>
      </c>
      <c r="B29" s="753" t="s">
        <v>229</v>
      </c>
      <c r="C29" s="227" t="s">
        <v>120</v>
      </c>
      <c r="D29" s="171" t="s">
        <v>230</v>
      </c>
      <c r="E29" s="172">
        <v>0.67</v>
      </c>
      <c r="F29" s="869" t="s">
        <v>760</v>
      </c>
      <c r="G29" s="722" t="s">
        <v>746</v>
      </c>
      <c r="H29" s="722" t="s">
        <v>559</v>
      </c>
      <c r="I29" s="749" t="s">
        <v>754</v>
      </c>
      <c r="J29" s="721" t="s">
        <v>753</v>
      </c>
      <c r="K29" s="721" t="s">
        <v>754</v>
      </c>
      <c r="L29" s="721" t="s">
        <v>758</v>
      </c>
      <c r="M29" s="722"/>
      <c r="N29" s="722"/>
      <c r="O29" s="721" t="s">
        <v>752</v>
      </c>
    </row>
    <row r="30" spans="1:78" ht="16.5" thickBot="1">
      <c r="A30" s="752"/>
      <c r="B30" s="755"/>
      <c r="C30" s="218" t="s">
        <v>121</v>
      </c>
      <c r="D30" s="177" t="s">
        <v>79</v>
      </c>
      <c r="E30" s="178">
        <v>0.33</v>
      </c>
      <c r="F30" s="870"/>
      <c r="G30" s="723"/>
      <c r="H30" s="723"/>
      <c r="I30" s="748"/>
      <c r="J30" s="723"/>
      <c r="K30" s="723"/>
      <c r="L30" s="723"/>
      <c r="M30" s="723"/>
      <c r="N30" s="723"/>
      <c r="O30" s="723"/>
    </row>
    <row r="31" spans="1:78">
      <c r="A31" s="750" t="s">
        <v>231</v>
      </c>
      <c r="B31" s="753" t="s">
        <v>232</v>
      </c>
      <c r="C31" s="227" t="s">
        <v>122</v>
      </c>
      <c r="D31" s="171" t="s">
        <v>233</v>
      </c>
      <c r="E31" s="172">
        <v>0.6</v>
      </c>
      <c r="F31" s="722" t="s">
        <v>746</v>
      </c>
      <c r="G31" s="722" t="s">
        <v>746</v>
      </c>
      <c r="H31" s="722" t="s">
        <v>559</v>
      </c>
      <c r="I31" s="746">
        <v>900</v>
      </c>
      <c r="J31" s="722">
        <v>100</v>
      </c>
      <c r="K31" s="722">
        <f t="shared" ref="K31" si="0">+I31+J31</f>
        <v>1000</v>
      </c>
      <c r="L31" s="722" t="s">
        <v>10</v>
      </c>
      <c r="M31" s="722"/>
      <c r="N31" s="722"/>
      <c r="O31" s="722" t="s">
        <v>10</v>
      </c>
    </row>
    <row r="32" spans="1:78" ht="16.5" thickBot="1">
      <c r="A32" s="752"/>
      <c r="B32" s="755"/>
      <c r="C32" s="218" t="s">
        <v>123</v>
      </c>
      <c r="D32" s="177" t="s">
        <v>234</v>
      </c>
      <c r="E32" s="178">
        <v>0.4</v>
      </c>
      <c r="F32" s="723"/>
      <c r="G32" s="723"/>
      <c r="H32" s="723"/>
      <c r="I32" s="748"/>
      <c r="J32" s="723"/>
      <c r="K32" s="723"/>
      <c r="L32" s="723"/>
      <c r="M32" s="723"/>
      <c r="N32" s="723"/>
      <c r="O32" s="723"/>
    </row>
    <row r="33" spans="1:15" ht="21" customHeight="1" thickBot="1">
      <c r="A33" s="266" t="s">
        <v>235</v>
      </c>
      <c r="B33" s="203" t="s">
        <v>241</v>
      </c>
      <c r="C33" s="183" t="s">
        <v>124</v>
      </c>
      <c r="D33" s="184" t="s">
        <v>241</v>
      </c>
      <c r="E33" s="185">
        <v>1</v>
      </c>
      <c r="F33" s="267" t="s">
        <v>746</v>
      </c>
      <c r="G33" s="267" t="s">
        <v>746</v>
      </c>
      <c r="H33" s="267" t="s">
        <v>559</v>
      </c>
      <c r="I33" s="688">
        <v>900</v>
      </c>
      <c r="J33" s="267">
        <v>100</v>
      </c>
      <c r="K33" s="267">
        <f>+I33+J33</f>
        <v>1000</v>
      </c>
      <c r="L33" s="267" t="s">
        <v>10</v>
      </c>
      <c r="M33" s="267"/>
      <c r="N33" s="267"/>
      <c r="O33" s="267" t="s">
        <v>10</v>
      </c>
    </row>
    <row r="34" spans="1:15" ht="15.75" customHeight="1">
      <c r="A34" s="750" t="s">
        <v>236</v>
      </c>
      <c r="B34" s="756" t="s">
        <v>242</v>
      </c>
      <c r="C34" s="227" t="s">
        <v>125</v>
      </c>
      <c r="D34" s="171" t="s">
        <v>89</v>
      </c>
      <c r="E34" s="172">
        <v>0.65</v>
      </c>
      <c r="F34" s="722" t="s">
        <v>746</v>
      </c>
      <c r="G34" s="722" t="s">
        <v>746</v>
      </c>
      <c r="H34" s="722" t="s">
        <v>559</v>
      </c>
      <c r="I34" s="746">
        <v>900</v>
      </c>
      <c r="J34" s="722">
        <v>100</v>
      </c>
      <c r="K34" s="722">
        <f>+I34+J34</f>
        <v>1000</v>
      </c>
      <c r="L34" s="722" t="s">
        <v>10</v>
      </c>
      <c r="M34" s="722"/>
      <c r="N34" s="722"/>
      <c r="O34" s="722" t="s">
        <v>10</v>
      </c>
    </row>
    <row r="35" spans="1:15" ht="16.5" thickBot="1">
      <c r="A35" s="752"/>
      <c r="B35" s="757"/>
      <c r="C35" s="218" t="s">
        <v>243</v>
      </c>
      <c r="D35" s="177" t="s">
        <v>90</v>
      </c>
      <c r="E35" s="178">
        <v>0.35</v>
      </c>
      <c r="F35" s="723"/>
      <c r="G35" s="723"/>
      <c r="H35" s="723"/>
      <c r="I35" s="748"/>
      <c r="J35" s="723"/>
      <c r="K35" s="723"/>
      <c r="L35" s="723"/>
      <c r="M35" s="723"/>
      <c r="N35" s="723"/>
      <c r="O35" s="723"/>
    </row>
    <row r="36" spans="1:15">
      <c r="A36" s="750" t="s">
        <v>237</v>
      </c>
      <c r="B36" s="753" t="s">
        <v>244</v>
      </c>
      <c r="C36" s="227" t="s">
        <v>126</v>
      </c>
      <c r="D36" s="171" t="s">
        <v>245</v>
      </c>
      <c r="E36" s="172">
        <v>0.7</v>
      </c>
      <c r="F36" s="722" t="s">
        <v>746</v>
      </c>
      <c r="G36" s="722" t="s">
        <v>746</v>
      </c>
      <c r="H36" s="722" t="s">
        <v>559</v>
      </c>
      <c r="I36" s="746">
        <v>900</v>
      </c>
      <c r="J36" s="722">
        <v>100</v>
      </c>
      <c r="K36" s="722">
        <f t="shared" ref="K36" si="1">+I36+J36</f>
        <v>1000</v>
      </c>
      <c r="L36" s="722" t="s">
        <v>10</v>
      </c>
      <c r="M36" s="722"/>
      <c r="N36" s="722"/>
      <c r="O36" s="722" t="s">
        <v>10</v>
      </c>
    </row>
    <row r="37" spans="1:15" ht="15.75" customHeight="1" thickBot="1">
      <c r="A37" s="752"/>
      <c r="B37" s="755"/>
      <c r="C37" s="218" t="s">
        <v>127</v>
      </c>
      <c r="D37" s="177" t="s">
        <v>381</v>
      </c>
      <c r="E37" s="178">
        <v>0.3</v>
      </c>
      <c r="F37" s="723"/>
      <c r="G37" s="723"/>
      <c r="H37" s="723"/>
      <c r="I37" s="748"/>
      <c r="J37" s="723"/>
      <c r="K37" s="723"/>
      <c r="L37" s="723"/>
      <c r="M37" s="723"/>
      <c r="N37" s="723"/>
      <c r="O37" s="723"/>
    </row>
    <row r="38" spans="1:15">
      <c r="A38" s="750" t="s">
        <v>238</v>
      </c>
      <c r="B38" s="753" t="s">
        <v>246</v>
      </c>
      <c r="C38" s="227" t="s">
        <v>128</v>
      </c>
      <c r="D38" s="171" t="s">
        <v>247</v>
      </c>
      <c r="E38" s="172">
        <v>0.51</v>
      </c>
      <c r="F38" s="722" t="s">
        <v>746</v>
      </c>
      <c r="G38" s="722" t="s">
        <v>746</v>
      </c>
      <c r="H38" s="722" t="s">
        <v>559</v>
      </c>
      <c r="I38" s="746">
        <v>900</v>
      </c>
      <c r="J38" s="722">
        <v>100</v>
      </c>
      <c r="K38" s="722">
        <f t="shared" ref="K38" si="2">+I38+J38</f>
        <v>1000</v>
      </c>
      <c r="L38" s="722" t="s">
        <v>10</v>
      </c>
      <c r="M38" s="722"/>
      <c r="N38" s="722"/>
      <c r="O38" s="722" t="s">
        <v>10</v>
      </c>
    </row>
    <row r="39" spans="1:15" ht="16.5" thickBot="1">
      <c r="A39" s="752"/>
      <c r="B39" s="755"/>
      <c r="C39" s="218" t="s">
        <v>129</v>
      </c>
      <c r="D39" s="177" t="s">
        <v>248</v>
      </c>
      <c r="E39" s="178">
        <v>0.49</v>
      </c>
      <c r="F39" s="723"/>
      <c r="G39" s="723"/>
      <c r="H39" s="723"/>
      <c r="I39" s="748"/>
      <c r="J39" s="723"/>
      <c r="K39" s="723"/>
      <c r="L39" s="723"/>
      <c r="M39" s="723"/>
      <c r="N39" s="723"/>
      <c r="O39" s="723"/>
    </row>
    <row r="40" spans="1:15">
      <c r="A40" s="750" t="s">
        <v>239</v>
      </c>
      <c r="B40" s="753" t="s">
        <v>249</v>
      </c>
      <c r="C40" s="237" t="s">
        <v>130</v>
      </c>
      <c r="D40" s="171" t="s">
        <v>93</v>
      </c>
      <c r="E40" s="172">
        <v>0.65</v>
      </c>
      <c r="F40" s="722" t="s">
        <v>746</v>
      </c>
      <c r="G40" s="722" t="s">
        <v>746</v>
      </c>
      <c r="H40" s="722" t="s">
        <v>559</v>
      </c>
      <c r="I40" s="746">
        <v>900</v>
      </c>
      <c r="J40" s="722">
        <v>100</v>
      </c>
      <c r="K40" s="722">
        <f t="shared" ref="K40" si="3">+I40+J40</f>
        <v>1000</v>
      </c>
      <c r="L40" s="722" t="s">
        <v>10</v>
      </c>
      <c r="M40" s="722"/>
      <c r="N40" s="722"/>
      <c r="O40" s="722" t="s">
        <v>10</v>
      </c>
    </row>
    <row r="41" spans="1:15" ht="16.5" thickBot="1">
      <c r="A41" s="752"/>
      <c r="B41" s="755"/>
      <c r="C41" s="218" t="s">
        <v>131</v>
      </c>
      <c r="D41" s="177" t="s">
        <v>250</v>
      </c>
      <c r="E41" s="178">
        <v>0.35</v>
      </c>
      <c r="F41" s="723"/>
      <c r="G41" s="723"/>
      <c r="H41" s="723"/>
      <c r="I41" s="748"/>
      <c r="J41" s="723"/>
      <c r="K41" s="723"/>
      <c r="L41" s="723"/>
      <c r="M41" s="723"/>
      <c r="N41" s="723"/>
      <c r="O41" s="723"/>
    </row>
    <row r="42" spans="1:15">
      <c r="A42" s="750" t="s">
        <v>240</v>
      </c>
      <c r="B42" s="753" t="s">
        <v>251</v>
      </c>
      <c r="C42" s="274" t="s">
        <v>132</v>
      </c>
      <c r="D42" s="171" t="s">
        <v>252</v>
      </c>
      <c r="E42" s="172">
        <v>0.51</v>
      </c>
      <c r="F42" s="722" t="s">
        <v>746</v>
      </c>
      <c r="G42" s="722" t="s">
        <v>746</v>
      </c>
      <c r="H42" s="722" t="s">
        <v>559</v>
      </c>
      <c r="I42" s="746">
        <v>900</v>
      </c>
      <c r="J42" s="722">
        <v>100</v>
      </c>
      <c r="K42" s="722">
        <f t="shared" ref="K42:K44" si="4">+I42+J42</f>
        <v>1000</v>
      </c>
      <c r="L42" s="722" t="s">
        <v>10</v>
      </c>
      <c r="M42" s="722"/>
      <c r="N42" s="722"/>
      <c r="O42" s="722" t="s">
        <v>10</v>
      </c>
    </row>
    <row r="43" spans="1:15" ht="16.5" thickBot="1">
      <c r="A43" s="752"/>
      <c r="B43" s="755"/>
      <c r="C43" s="218" t="s">
        <v>133</v>
      </c>
      <c r="D43" s="177" t="s">
        <v>253</v>
      </c>
      <c r="E43" s="178">
        <v>0.49</v>
      </c>
      <c r="F43" s="717"/>
      <c r="G43" s="717"/>
      <c r="H43" s="717"/>
      <c r="I43" s="728"/>
      <c r="J43" s="717"/>
      <c r="K43" s="723"/>
      <c r="L43" s="717"/>
      <c r="M43" s="717"/>
      <c r="N43" s="717"/>
      <c r="O43" s="717"/>
    </row>
    <row r="44" spans="1:15">
      <c r="A44" s="750" t="s">
        <v>254</v>
      </c>
      <c r="B44" s="753" t="s">
        <v>255</v>
      </c>
      <c r="C44" s="274" t="s">
        <v>134</v>
      </c>
      <c r="D44" s="171" t="s">
        <v>256</v>
      </c>
      <c r="E44" s="172">
        <v>0.4</v>
      </c>
      <c r="F44" s="718" t="s">
        <v>746</v>
      </c>
      <c r="G44" s="718" t="s">
        <v>746</v>
      </c>
      <c r="H44" s="718" t="s">
        <v>559</v>
      </c>
      <c r="I44" s="729">
        <v>900</v>
      </c>
      <c r="J44" s="722">
        <v>100</v>
      </c>
      <c r="K44" s="722">
        <f t="shared" si="4"/>
        <v>1000</v>
      </c>
      <c r="L44" s="722" t="s">
        <v>10</v>
      </c>
      <c r="M44" s="722"/>
      <c r="N44" s="722"/>
      <c r="O44" s="722" t="s">
        <v>10</v>
      </c>
    </row>
    <row r="45" spans="1:15" ht="16.5" thickBot="1">
      <c r="A45" s="752"/>
      <c r="B45" s="755"/>
      <c r="C45" s="218" t="s">
        <v>135</v>
      </c>
      <c r="D45" s="177" t="s">
        <v>257</v>
      </c>
      <c r="E45" s="178">
        <v>0.6</v>
      </c>
      <c r="F45" s="717"/>
      <c r="G45" s="717"/>
      <c r="H45" s="717"/>
      <c r="I45" s="728"/>
      <c r="J45" s="717"/>
      <c r="K45" s="723"/>
      <c r="L45" s="717"/>
      <c r="M45" s="717"/>
      <c r="N45" s="717"/>
      <c r="O45" s="717"/>
    </row>
    <row r="46" spans="1:15">
      <c r="A46" s="750" t="s">
        <v>258</v>
      </c>
      <c r="B46" s="753" t="s">
        <v>259</v>
      </c>
      <c r="C46" s="274" t="s">
        <v>136</v>
      </c>
      <c r="D46" s="171" t="s">
        <v>78</v>
      </c>
      <c r="E46" s="172">
        <v>0.6</v>
      </c>
      <c r="F46" s="868" t="s">
        <v>760</v>
      </c>
      <c r="G46" s="718" t="s">
        <v>746</v>
      </c>
      <c r="H46" s="868" t="s">
        <v>760</v>
      </c>
      <c r="I46" s="727" t="s">
        <v>753</v>
      </c>
      <c r="J46" s="721" t="s">
        <v>755</v>
      </c>
      <c r="K46" s="721" t="s">
        <v>753</v>
      </c>
      <c r="L46" s="721" t="s">
        <v>757</v>
      </c>
      <c r="M46" s="722"/>
      <c r="N46" s="722"/>
      <c r="O46" s="721" t="s">
        <v>758</v>
      </c>
    </row>
    <row r="47" spans="1:15" ht="16.5" thickBot="1">
      <c r="A47" s="752"/>
      <c r="B47" s="755"/>
      <c r="C47" s="218" t="s">
        <v>137</v>
      </c>
      <c r="D47" s="177" t="s">
        <v>260</v>
      </c>
      <c r="E47" s="178">
        <v>0.4</v>
      </c>
      <c r="F47" s="871"/>
      <c r="G47" s="717"/>
      <c r="H47" s="871"/>
      <c r="I47" s="728"/>
      <c r="J47" s="717"/>
      <c r="K47" s="723"/>
      <c r="L47" s="717"/>
      <c r="M47" s="717"/>
      <c r="N47" s="717"/>
      <c r="O47" s="717"/>
    </row>
    <row r="48" spans="1:15">
      <c r="A48" s="750" t="s">
        <v>261</v>
      </c>
      <c r="B48" s="753" t="s">
        <v>262</v>
      </c>
      <c r="C48" s="274" t="s">
        <v>138</v>
      </c>
      <c r="D48" s="171" t="s">
        <v>263</v>
      </c>
      <c r="E48" s="172">
        <v>0.51</v>
      </c>
      <c r="F48" s="868" t="s">
        <v>760</v>
      </c>
      <c r="G48" s="718" t="s">
        <v>746</v>
      </c>
      <c r="H48" s="718" t="s">
        <v>559</v>
      </c>
      <c r="I48" s="727" t="s">
        <v>753</v>
      </c>
      <c r="J48" s="721" t="s">
        <v>753</v>
      </c>
      <c r="K48" s="721" t="s">
        <v>753</v>
      </c>
      <c r="L48" s="721" t="s">
        <v>755</v>
      </c>
      <c r="M48" s="722"/>
      <c r="N48" s="722"/>
      <c r="O48" s="721" t="s">
        <v>755</v>
      </c>
    </row>
    <row r="49" spans="1:78" ht="16.5" thickBot="1">
      <c r="A49" s="751"/>
      <c r="B49" s="754"/>
      <c r="C49" s="276" t="s">
        <v>139</v>
      </c>
      <c r="D49" s="228" t="s">
        <v>264</v>
      </c>
      <c r="E49" s="229">
        <v>0.49</v>
      </c>
      <c r="F49" s="871"/>
      <c r="G49" s="717"/>
      <c r="H49" s="717"/>
      <c r="I49" s="728"/>
      <c r="J49" s="717"/>
      <c r="K49" s="723"/>
      <c r="L49" s="717"/>
      <c r="M49" s="717"/>
      <c r="N49" s="717"/>
      <c r="O49" s="717"/>
    </row>
    <row r="50" spans="1:78" ht="23.25" customHeight="1">
      <c r="A50" s="750" t="s">
        <v>265</v>
      </c>
      <c r="B50" s="753" t="s">
        <v>266</v>
      </c>
      <c r="C50" s="274" t="s">
        <v>140</v>
      </c>
      <c r="D50" s="171" t="s">
        <v>267</v>
      </c>
      <c r="E50" s="188">
        <v>0.51</v>
      </c>
      <c r="F50" s="718" t="s">
        <v>746</v>
      </c>
      <c r="G50" s="718" t="s">
        <v>746</v>
      </c>
      <c r="H50" s="718" t="s">
        <v>559</v>
      </c>
      <c r="I50" s="729">
        <v>900</v>
      </c>
      <c r="J50" s="718">
        <v>100</v>
      </c>
      <c r="K50" s="718">
        <f>+I50+J50</f>
        <v>1000</v>
      </c>
      <c r="L50" s="718" t="s">
        <v>10</v>
      </c>
      <c r="M50" s="718"/>
      <c r="N50" s="718"/>
      <c r="O50" s="718" t="s">
        <v>10</v>
      </c>
    </row>
    <row r="51" spans="1:78">
      <c r="A51" s="751"/>
      <c r="B51" s="754"/>
      <c r="C51" s="276" t="s">
        <v>142</v>
      </c>
      <c r="D51" s="35" t="s">
        <v>268</v>
      </c>
      <c r="E51" s="54">
        <v>0.24</v>
      </c>
      <c r="F51" s="720"/>
      <c r="G51" s="720"/>
      <c r="H51" s="720"/>
      <c r="I51" s="730"/>
      <c r="J51" s="720"/>
      <c r="K51" s="720"/>
      <c r="L51" s="720"/>
      <c r="M51" s="720"/>
      <c r="N51" s="720"/>
      <c r="O51" s="720"/>
    </row>
    <row r="52" spans="1:78" ht="16.5" thickBot="1">
      <c r="A52" s="752"/>
      <c r="B52" s="755"/>
      <c r="C52" s="218" t="s">
        <v>269</v>
      </c>
      <c r="D52" s="177" t="s">
        <v>74</v>
      </c>
      <c r="E52" s="189">
        <v>0.25</v>
      </c>
      <c r="F52" s="717"/>
      <c r="G52" s="717"/>
      <c r="H52" s="717"/>
      <c r="I52" s="728"/>
      <c r="J52" s="717"/>
      <c r="K52" s="717"/>
      <c r="L52" s="717"/>
      <c r="M52" s="717"/>
      <c r="N52" s="717"/>
      <c r="O52" s="717"/>
    </row>
    <row r="53" spans="1:78" ht="19.5" customHeight="1">
      <c r="A53" s="751" t="s">
        <v>270</v>
      </c>
      <c r="B53" s="772" t="s">
        <v>271</v>
      </c>
      <c r="C53" s="275" t="s">
        <v>141</v>
      </c>
      <c r="D53" s="230" t="s">
        <v>272</v>
      </c>
      <c r="E53" s="231">
        <v>0.51</v>
      </c>
      <c r="F53" s="736" t="s">
        <v>746</v>
      </c>
      <c r="G53" s="736" t="s">
        <v>746</v>
      </c>
      <c r="H53" s="736" t="s">
        <v>746</v>
      </c>
      <c r="I53" s="729">
        <v>900</v>
      </c>
      <c r="J53" s="718">
        <v>100</v>
      </c>
      <c r="K53" s="718">
        <f>+I53+J53</f>
        <v>1000</v>
      </c>
      <c r="L53" s="718" t="s">
        <v>10</v>
      </c>
      <c r="M53" s="718"/>
      <c r="N53" s="718"/>
      <c r="O53" s="718" t="s">
        <v>10</v>
      </c>
    </row>
    <row r="54" spans="1:78" ht="19.5" customHeight="1">
      <c r="A54" s="751"/>
      <c r="B54" s="772"/>
      <c r="C54" s="276" t="s">
        <v>273</v>
      </c>
      <c r="D54" s="35" t="s">
        <v>274</v>
      </c>
      <c r="E54" s="53">
        <v>0.25</v>
      </c>
      <c r="F54" s="737"/>
      <c r="G54" s="737"/>
      <c r="H54" s="737"/>
      <c r="I54" s="730"/>
      <c r="J54" s="720"/>
      <c r="K54" s="720"/>
      <c r="L54" s="720"/>
      <c r="M54" s="720"/>
      <c r="N54" s="720"/>
      <c r="O54" s="720"/>
    </row>
    <row r="55" spans="1:78" ht="19.5" customHeight="1" thickBot="1">
      <c r="A55" s="752"/>
      <c r="B55" s="757"/>
      <c r="C55" s="218" t="s">
        <v>275</v>
      </c>
      <c r="D55" s="177" t="s">
        <v>75</v>
      </c>
      <c r="E55" s="178">
        <v>0.24</v>
      </c>
      <c r="F55" s="738"/>
      <c r="G55" s="738"/>
      <c r="H55" s="738"/>
      <c r="I55" s="728"/>
      <c r="J55" s="717"/>
      <c r="K55" s="717"/>
      <c r="L55" s="717"/>
      <c r="M55" s="717"/>
      <c r="N55" s="717"/>
      <c r="O55" s="717"/>
    </row>
    <row r="56" spans="1:78" s="38" customFormat="1" ht="15.75" customHeight="1">
      <c r="A56" s="750" t="s">
        <v>276</v>
      </c>
      <c r="B56" s="753" t="s">
        <v>277</v>
      </c>
      <c r="C56" s="274" t="s">
        <v>143</v>
      </c>
      <c r="D56" s="171" t="s">
        <v>278</v>
      </c>
      <c r="E56" s="191">
        <v>0.51</v>
      </c>
      <c r="F56" s="736" t="s">
        <v>746</v>
      </c>
      <c r="G56" s="736" t="s">
        <v>746</v>
      </c>
      <c r="H56" s="736" t="s">
        <v>559</v>
      </c>
      <c r="I56" s="744" t="s">
        <v>756</v>
      </c>
      <c r="J56" s="716" t="s">
        <v>753</v>
      </c>
      <c r="K56" s="741" t="s">
        <v>754</v>
      </c>
      <c r="L56" s="716" t="s">
        <v>752</v>
      </c>
      <c r="M56" s="718"/>
      <c r="N56" s="718"/>
      <c r="O56" s="716" t="s">
        <v>755</v>
      </c>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row>
    <row r="57" spans="1:78" s="38" customFormat="1" ht="16.5" thickBot="1">
      <c r="A57" s="752"/>
      <c r="B57" s="755"/>
      <c r="C57" s="218" t="s">
        <v>144</v>
      </c>
      <c r="D57" s="177" t="s">
        <v>81</v>
      </c>
      <c r="E57" s="193">
        <v>0.49</v>
      </c>
      <c r="F57" s="738"/>
      <c r="G57" s="738"/>
      <c r="H57" s="738"/>
      <c r="I57" s="745"/>
      <c r="J57" s="717"/>
      <c r="K57" s="717"/>
      <c r="L57" s="717"/>
      <c r="M57" s="717"/>
      <c r="N57" s="717"/>
      <c r="O57" s="71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row>
    <row r="58" spans="1:78" s="38" customFormat="1" ht="15.75" customHeight="1">
      <c r="A58" s="750" t="s">
        <v>279</v>
      </c>
      <c r="B58" s="753" t="s">
        <v>280</v>
      </c>
      <c r="C58" s="274" t="s">
        <v>145</v>
      </c>
      <c r="D58" s="171" t="s">
        <v>281</v>
      </c>
      <c r="E58" s="191">
        <v>0.51</v>
      </c>
      <c r="F58" s="868" t="s">
        <v>760</v>
      </c>
      <c r="G58" s="718" t="s">
        <v>746</v>
      </c>
      <c r="H58" s="718" t="s">
        <v>559</v>
      </c>
      <c r="I58" s="744" t="s">
        <v>753</v>
      </c>
      <c r="J58" s="716" t="s">
        <v>754</v>
      </c>
      <c r="K58" s="741" t="s">
        <v>753</v>
      </c>
      <c r="L58" s="716" t="s">
        <v>752</v>
      </c>
      <c r="M58" s="718"/>
      <c r="N58" s="718"/>
      <c r="O58" s="716" t="s">
        <v>752</v>
      </c>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row>
    <row r="59" spans="1:78" s="38" customFormat="1" ht="16.5" thickBot="1">
      <c r="A59" s="752"/>
      <c r="B59" s="755"/>
      <c r="C59" s="218" t="s">
        <v>146</v>
      </c>
      <c r="D59" s="177" t="s">
        <v>416</v>
      </c>
      <c r="E59" s="193">
        <v>0.49</v>
      </c>
      <c r="F59" s="871"/>
      <c r="G59" s="717"/>
      <c r="H59" s="717"/>
      <c r="I59" s="745"/>
      <c r="J59" s="717"/>
      <c r="K59" s="717"/>
      <c r="L59" s="717"/>
      <c r="M59" s="717"/>
      <c r="N59" s="717"/>
      <c r="O59" s="71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row>
    <row r="60" spans="1:78" s="38" customFormat="1" ht="22.5" customHeight="1" thickBot="1">
      <c r="A60" s="203" t="s">
        <v>282</v>
      </c>
      <c r="B60" s="183" t="s">
        <v>283</v>
      </c>
      <c r="C60" s="183" t="s">
        <v>147</v>
      </c>
      <c r="D60" s="184" t="s">
        <v>284</v>
      </c>
      <c r="E60" s="232">
        <v>1</v>
      </c>
      <c r="F60" s="712" t="s">
        <v>746</v>
      </c>
      <c r="G60" s="36" t="s">
        <v>746</v>
      </c>
      <c r="H60" s="36" t="s">
        <v>559</v>
      </c>
      <c r="I60" s="689">
        <v>900</v>
      </c>
      <c r="J60" s="36">
        <v>100</v>
      </c>
      <c r="K60" s="36">
        <f>+I60+J60</f>
        <v>1000</v>
      </c>
      <c r="L60" s="36" t="s">
        <v>10</v>
      </c>
      <c r="M60" s="36"/>
      <c r="N60" s="36"/>
      <c r="O60" s="36" t="s">
        <v>10</v>
      </c>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row>
    <row r="61" spans="1:78" s="38" customFormat="1" ht="22.5" customHeight="1">
      <c r="A61" s="750" t="s">
        <v>285</v>
      </c>
      <c r="B61" s="753" t="s">
        <v>286</v>
      </c>
      <c r="C61" s="274" t="s">
        <v>148</v>
      </c>
      <c r="D61" s="171" t="s">
        <v>287</v>
      </c>
      <c r="E61" s="191">
        <v>0.3</v>
      </c>
      <c r="F61" s="868" t="s">
        <v>760</v>
      </c>
      <c r="G61" s="718" t="s">
        <v>746</v>
      </c>
      <c r="H61" s="718" t="s">
        <v>559</v>
      </c>
      <c r="I61" s="727" t="s">
        <v>754</v>
      </c>
      <c r="J61" s="716" t="s">
        <v>753</v>
      </c>
      <c r="K61" s="716" t="s">
        <v>752</v>
      </c>
      <c r="L61" s="716" t="s">
        <v>755</v>
      </c>
      <c r="M61" s="718"/>
      <c r="N61" s="718"/>
      <c r="O61" s="716" t="s">
        <v>758</v>
      </c>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row>
    <row r="62" spans="1:78" s="38" customFormat="1" ht="16.5" thickBot="1">
      <c r="A62" s="752"/>
      <c r="B62" s="755"/>
      <c r="C62" s="218" t="s">
        <v>149</v>
      </c>
      <c r="D62" s="177" t="s">
        <v>288</v>
      </c>
      <c r="E62" s="193">
        <v>0.7</v>
      </c>
      <c r="F62" s="871"/>
      <c r="G62" s="717"/>
      <c r="H62" s="717"/>
      <c r="I62" s="728"/>
      <c r="J62" s="717"/>
      <c r="K62" s="717"/>
      <c r="L62" s="717"/>
      <c r="M62" s="717"/>
      <c r="N62" s="717"/>
      <c r="O62" s="71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row>
    <row r="63" spans="1:78" s="38" customFormat="1" ht="23.25" thickBot="1">
      <c r="A63" s="203" t="s">
        <v>289</v>
      </c>
      <c r="B63" s="183" t="s">
        <v>290</v>
      </c>
      <c r="C63" s="183" t="s">
        <v>150</v>
      </c>
      <c r="D63" s="184" t="s">
        <v>290</v>
      </c>
      <c r="E63" s="232">
        <v>1</v>
      </c>
      <c r="F63" s="872" t="s">
        <v>760</v>
      </c>
      <c r="G63" s="36" t="s">
        <v>746</v>
      </c>
      <c r="H63" s="36" t="s">
        <v>559</v>
      </c>
      <c r="I63" s="703" t="s">
        <v>752</v>
      </c>
      <c r="J63" s="704" t="s">
        <v>752</v>
      </c>
      <c r="K63" s="704" t="s">
        <v>752</v>
      </c>
      <c r="L63" s="704" t="s">
        <v>753</v>
      </c>
      <c r="M63" s="36"/>
      <c r="N63" s="36"/>
      <c r="O63" s="704" t="s">
        <v>755</v>
      </c>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row>
    <row r="64" spans="1:78" s="38" customFormat="1" ht="15.75" customHeight="1">
      <c r="A64" s="750" t="s">
        <v>291</v>
      </c>
      <c r="B64" s="753" t="s">
        <v>292</v>
      </c>
      <c r="C64" s="274" t="s">
        <v>151</v>
      </c>
      <c r="D64" s="171" t="s">
        <v>80</v>
      </c>
      <c r="E64" s="191">
        <v>0.51</v>
      </c>
      <c r="F64" s="868" t="s">
        <v>760</v>
      </c>
      <c r="G64" s="718" t="s">
        <v>746</v>
      </c>
      <c r="H64" s="718" t="s">
        <v>559</v>
      </c>
      <c r="I64" s="727" t="s">
        <v>752</v>
      </c>
      <c r="J64" s="716" t="s">
        <v>755</v>
      </c>
      <c r="K64" s="716" t="s">
        <v>755</v>
      </c>
      <c r="L64" s="716" t="s">
        <v>753</v>
      </c>
      <c r="M64" s="718"/>
      <c r="N64" s="718"/>
      <c r="O64" s="716" t="s">
        <v>752</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row>
    <row r="65" spans="1:78" s="38" customFormat="1" ht="16.5" thickBot="1">
      <c r="A65" s="752"/>
      <c r="B65" s="755"/>
      <c r="C65" s="218" t="s">
        <v>152</v>
      </c>
      <c r="D65" s="177" t="s">
        <v>293</v>
      </c>
      <c r="E65" s="193">
        <v>0.49</v>
      </c>
      <c r="F65" s="871"/>
      <c r="G65" s="717"/>
      <c r="H65" s="717"/>
      <c r="I65" s="728"/>
      <c r="J65" s="717"/>
      <c r="K65" s="717"/>
      <c r="L65" s="717"/>
      <c r="M65" s="717"/>
      <c r="N65" s="717"/>
      <c r="O65" s="71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row>
    <row r="66" spans="1:78" s="38" customFormat="1" ht="15.75" customHeight="1">
      <c r="A66" s="750" t="s">
        <v>294</v>
      </c>
      <c r="B66" s="753" t="s">
        <v>295</v>
      </c>
      <c r="C66" s="274" t="s">
        <v>153</v>
      </c>
      <c r="D66" s="171" t="s">
        <v>296</v>
      </c>
      <c r="E66" s="191">
        <v>0.49</v>
      </c>
      <c r="F66" s="739" t="s">
        <v>746</v>
      </c>
      <c r="G66" s="718" t="s">
        <v>746</v>
      </c>
      <c r="H66" s="718" t="s">
        <v>559</v>
      </c>
      <c r="I66" s="729">
        <v>900</v>
      </c>
      <c r="J66" s="718">
        <v>100</v>
      </c>
      <c r="K66" s="718">
        <f>+I66+J66</f>
        <v>1000</v>
      </c>
      <c r="L66" s="718" t="s">
        <v>10</v>
      </c>
      <c r="M66" s="718"/>
      <c r="N66" s="718"/>
      <c r="O66" s="718" t="s">
        <v>10</v>
      </c>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row>
    <row r="67" spans="1:78" s="38" customFormat="1" ht="16.5" thickBot="1">
      <c r="A67" s="752"/>
      <c r="B67" s="755"/>
      <c r="C67" s="218" t="s">
        <v>154</v>
      </c>
      <c r="D67" s="177" t="s">
        <v>84</v>
      </c>
      <c r="E67" s="193">
        <v>0.51</v>
      </c>
      <c r="F67" s="740"/>
      <c r="G67" s="717"/>
      <c r="H67" s="717"/>
      <c r="I67" s="728"/>
      <c r="J67" s="717"/>
      <c r="K67" s="717"/>
      <c r="L67" s="717"/>
      <c r="M67" s="717"/>
      <c r="N67" s="717"/>
      <c r="O67" s="71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row>
    <row r="68" spans="1:78" s="38" customFormat="1" ht="15.75" customHeight="1">
      <c r="A68" s="750" t="s">
        <v>297</v>
      </c>
      <c r="B68" s="753" t="s">
        <v>298</v>
      </c>
      <c r="C68" s="274" t="s">
        <v>155</v>
      </c>
      <c r="D68" s="706" t="s">
        <v>299</v>
      </c>
      <c r="E68" s="707">
        <v>0.51</v>
      </c>
      <c r="F68" s="868" t="s">
        <v>760</v>
      </c>
      <c r="G68" s="739" t="s">
        <v>746</v>
      </c>
      <c r="H68" s="868" t="s">
        <v>760</v>
      </c>
      <c r="I68" s="727" t="s">
        <v>753</v>
      </c>
      <c r="J68" s="716" t="s">
        <v>753</v>
      </c>
      <c r="K68" s="716" t="s">
        <v>754</v>
      </c>
      <c r="L68" s="716" t="s">
        <v>752</v>
      </c>
      <c r="M68" s="718"/>
      <c r="N68" s="718"/>
      <c r="O68" s="716" t="s">
        <v>755</v>
      </c>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row>
    <row r="69" spans="1:78" s="38" customFormat="1">
      <c r="A69" s="751"/>
      <c r="B69" s="754"/>
      <c r="C69" s="276" t="s">
        <v>156</v>
      </c>
      <c r="D69" s="708" t="s">
        <v>8</v>
      </c>
      <c r="E69" s="709">
        <v>0.25</v>
      </c>
      <c r="F69" s="873"/>
      <c r="G69" s="734"/>
      <c r="H69" s="873"/>
      <c r="I69" s="730"/>
      <c r="J69" s="720"/>
      <c r="K69" s="720"/>
      <c r="L69" s="720"/>
      <c r="M69" s="720"/>
      <c r="N69" s="720"/>
      <c r="O69" s="720"/>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row>
    <row r="70" spans="1:78" s="38" customFormat="1" ht="16.5" thickBot="1">
      <c r="A70" s="752"/>
      <c r="B70" s="755"/>
      <c r="C70" s="218" t="s">
        <v>300</v>
      </c>
      <c r="D70" s="710" t="s">
        <v>301</v>
      </c>
      <c r="E70" s="711">
        <v>0.24</v>
      </c>
      <c r="F70" s="871"/>
      <c r="G70" s="740"/>
      <c r="H70" s="871"/>
      <c r="I70" s="728"/>
      <c r="J70" s="717"/>
      <c r="K70" s="717"/>
      <c r="L70" s="717"/>
      <c r="M70" s="717"/>
      <c r="N70" s="717"/>
      <c r="O70" s="71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row>
    <row r="71" spans="1:78" s="38" customFormat="1" ht="13.5" customHeight="1">
      <c r="A71" s="750" t="s">
        <v>302</v>
      </c>
      <c r="B71" s="753" t="s">
        <v>303</v>
      </c>
      <c r="C71" s="227" t="s">
        <v>157</v>
      </c>
      <c r="D71" s="171" t="s">
        <v>304</v>
      </c>
      <c r="E71" s="191">
        <v>0.51</v>
      </c>
      <c r="F71" s="739" t="s">
        <v>746</v>
      </c>
      <c r="G71" s="718" t="s">
        <v>746</v>
      </c>
      <c r="H71" s="718" t="s">
        <v>559</v>
      </c>
      <c r="I71" s="729">
        <v>900</v>
      </c>
      <c r="J71" s="718">
        <v>100</v>
      </c>
      <c r="K71" s="718">
        <f>+I71+J71</f>
        <v>1000</v>
      </c>
      <c r="L71" s="718" t="s">
        <v>10</v>
      </c>
      <c r="M71" s="718"/>
      <c r="N71" s="718"/>
      <c r="O71" s="718" t="s">
        <v>10</v>
      </c>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row>
    <row r="72" spans="1:78" s="38" customFormat="1" ht="16.5" thickBot="1">
      <c r="A72" s="752"/>
      <c r="B72" s="755"/>
      <c r="C72" s="218" t="s">
        <v>158</v>
      </c>
      <c r="D72" s="177" t="s">
        <v>305</v>
      </c>
      <c r="E72" s="193">
        <v>0.49</v>
      </c>
      <c r="F72" s="740"/>
      <c r="G72" s="717"/>
      <c r="H72" s="717"/>
      <c r="I72" s="728"/>
      <c r="J72" s="717"/>
      <c r="K72" s="717"/>
      <c r="L72" s="717"/>
      <c r="M72" s="717"/>
      <c r="N72" s="717"/>
      <c r="O72" s="71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row>
    <row r="73" spans="1:78" s="38" customFormat="1" ht="15.75" customHeight="1">
      <c r="A73" s="750" t="s">
        <v>306</v>
      </c>
      <c r="B73" s="753" t="s">
        <v>307</v>
      </c>
      <c r="C73" s="227" t="s">
        <v>159</v>
      </c>
      <c r="D73" s="171" t="s">
        <v>308</v>
      </c>
      <c r="E73" s="191">
        <v>0.49</v>
      </c>
      <c r="F73" s="868" t="s">
        <v>760</v>
      </c>
      <c r="G73" s="718" t="s">
        <v>746</v>
      </c>
      <c r="H73" s="718" t="s">
        <v>559</v>
      </c>
      <c r="I73" s="727" t="s">
        <v>752</v>
      </c>
      <c r="J73" s="716" t="s">
        <v>752</v>
      </c>
      <c r="K73" s="716" t="s">
        <v>752</v>
      </c>
      <c r="L73" s="716" t="s">
        <v>755</v>
      </c>
      <c r="M73" s="718"/>
      <c r="N73" s="718"/>
      <c r="O73" s="716" t="s">
        <v>752</v>
      </c>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row>
    <row r="74" spans="1:78" s="38" customFormat="1" ht="16.5" thickBot="1">
      <c r="A74" s="752"/>
      <c r="B74" s="755"/>
      <c r="C74" s="218" t="s">
        <v>160</v>
      </c>
      <c r="D74" s="177" t="s">
        <v>9</v>
      </c>
      <c r="E74" s="193">
        <v>0.51</v>
      </c>
      <c r="F74" s="871"/>
      <c r="G74" s="717"/>
      <c r="H74" s="717"/>
      <c r="I74" s="728"/>
      <c r="J74" s="717"/>
      <c r="K74" s="717"/>
      <c r="L74" s="717"/>
      <c r="M74" s="717"/>
      <c r="N74" s="717"/>
      <c r="O74" s="71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row>
    <row r="75" spans="1:78" ht="22.5" customHeight="1">
      <c r="A75" s="750" t="s">
        <v>309</v>
      </c>
      <c r="B75" s="753" t="s">
        <v>310</v>
      </c>
      <c r="C75" s="227" t="s">
        <v>161</v>
      </c>
      <c r="D75" s="198" t="s">
        <v>311</v>
      </c>
      <c r="E75" s="199">
        <v>0.51</v>
      </c>
      <c r="F75" s="724" t="s">
        <v>746</v>
      </c>
      <c r="G75" s="724" t="s">
        <v>746</v>
      </c>
      <c r="H75" s="724" t="s">
        <v>559</v>
      </c>
      <c r="I75" s="731">
        <v>900</v>
      </c>
      <c r="J75" s="718">
        <v>100</v>
      </c>
      <c r="K75" s="718">
        <f t="shared" ref="K75" si="5">+I75+J75</f>
        <v>1000</v>
      </c>
      <c r="L75" s="718" t="s">
        <v>10</v>
      </c>
      <c r="M75" s="718"/>
      <c r="N75" s="718"/>
      <c r="O75" s="718" t="s">
        <v>10</v>
      </c>
    </row>
    <row r="76" spans="1:78" ht="16.5" thickBot="1">
      <c r="A76" s="752"/>
      <c r="B76" s="755"/>
      <c r="C76" s="218" t="s">
        <v>162</v>
      </c>
      <c r="D76" s="200" t="s">
        <v>312</v>
      </c>
      <c r="E76" s="201">
        <v>0.49</v>
      </c>
      <c r="F76" s="725"/>
      <c r="G76" s="725"/>
      <c r="H76" s="725"/>
      <c r="I76" s="732"/>
      <c r="J76" s="717"/>
      <c r="K76" s="717"/>
      <c r="L76" s="717"/>
      <c r="M76" s="717"/>
      <c r="N76" s="717"/>
      <c r="O76" s="717"/>
    </row>
    <row r="77" spans="1:78" ht="22.5" customHeight="1">
      <c r="A77" s="750" t="s">
        <v>313</v>
      </c>
      <c r="B77" s="771" t="s">
        <v>314</v>
      </c>
      <c r="C77" s="227" t="s">
        <v>163</v>
      </c>
      <c r="D77" s="198" t="s">
        <v>82</v>
      </c>
      <c r="E77" s="199">
        <v>0.51</v>
      </c>
      <c r="F77" s="868" t="s">
        <v>760</v>
      </c>
      <c r="G77" s="724" t="s">
        <v>746</v>
      </c>
      <c r="H77" s="724" t="s">
        <v>559</v>
      </c>
      <c r="I77" s="742" t="s">
        <v>752</v>
      </c>
      <c r="J77" s="716" t="s">
        <v>753</v>
      </c>
      <c r="K77" s="716" t="s">
        <v>753</v>
      </c>
      <c r="L77" s="716" t="s">
        <v>758</v>
      </c>
      <c r="M77" s="718"/>
      <c r="N77" s="718"/>
      <c r="O77" s="716" t="s">
        <v>755</v>
      </c>
    </row>
    <row r="78" spans="1:78" ht="16.5" thickBot="1">
      <c r="A78" s="752"/>
      <c r="B78" s="773"/>
      <c r="C78" s="218" t="s">
        <v>164</v>
      </c>
      <c r="D78" s="200" t="s">
        <v>315</v>
      </c>
      <c r="E78" s="201">
        <v>0.49</v>
      </c>
      <c r="F78" s="871"/>
      <c r="G78" s="725"/>
      <c r="H78" s="725"/>
      <c r="I78" s="732"/>
      <c r="J78" s="717"/>
      <c r="K78" s="717"/>
      <c r="L78" s="717"/>
      <c r="M78" s="717"/>
      <c r="N78" s="717"/>
      <c r="O78" s="717"/>
    </row>
    <row r="79" spans="1:78" ht="15.75" customHeight="1">
      <c r="A79" s="750" t="s">
        <v>316</v>
      </c>
      <c r="B79" s="771" t="s">
        <v>751</v>
      </c>
      <c r="C79" s="227" t="s">
        <v>165</v>
      </c>
      <c r="D79" s="198" t="s">
        <v>318</v>
      </c>
      <c r="E79" s="199">
        <v>0.51</v>
      </c>
      <c r="F79" s="868" t="s">
        <v>760</v>
      </c>
      <c r="G79" s="724" t="s">
        <v>746</v>
      </c>
      <c r="H79" s="724" t="s">
        <v>746</v>
      </c>
      <c r="I79" s="742" t="s">
        <v>753</v>
      </c>
      <c r="J79" s="719" t="s">
        <v>753</v>
      </c>
      <c r="K79" s="719" t="s">
        <v>754</v>
      </c>
      <c r="L79" s="719" t="s">
        <v>753</v>
      </c>
      <c r="M79" s="713"/>
      <c r="N79" s="713"/>
      <c r="O79" s="719" t="s">
        <v>755</v>
      </c>
    </row>
    <row r="80" spans="1:78">
      <c r="A80" s="751"/>
      <c r="B80" s="726"/>
      <c r="C80" s="208" t="s">
        <v>167</v>
      </c>
      <c r="D80" s="47" t="s">
        <v>319</v>
      </c>
      <c r="E80" s="48">
        <v>0.25</v>
      </c>
      <c r="F80" s="873"/>
      <c r="G80" s="726"/>
      <c r="H80" s="726"/>
      <c r="I80" s="743"/>
      <c r="J80" s="715"/>
      <c r="K80" s="715"/>
      <c r="L80" s="715"/>
      <c r="M80" s="715"/>
      <c r="N80" s="715"/>
      <c r="O80" s="715"/>
    </row>
    <row r="81" spans="1:78" ht="16.5" thickBot="1">
      <c r="A81" s="752"/>
      <c r="B81" s="773"/>
      <c r="C81" s="218" t="s">
        <v>320</v>
      </c>
      <c r="D81" s="200" t="s">
        <v>321</v>
      </c>
      <c r="E81" s="201">
        <v>0.24</v>
      </c>
      <c r="F81" s="871"/>
      <c r="G81" s="725"/>
      <c r="H81" s="725"/>
      <c r="I81" s="732"/>
      <c r="J81" s="714"/>
      <c r="K81" s="714"/>
      <c r="L81" s="714"/>
      <c r="M81" s="714"/>
      <c r="N81" s="714"/>
      <c r="O81" s="714"/>
    </row>
    <row r="82" spans="1:78" ht="15.75" customHeight="1">
      <c r="A82" s="750" t="s">
        <v>322</v>
      </c>
      <c r="B82" s="771" t="s">
        <v>323</v>
      </c>
      <c r="C82" s="227" t="s">
        <v>166</v>
      </c>
      <c r="D82" s="198" t="s">
        <v>324</v>
      </c>
      <c r="E82" s="199">
        <v>0.51</v>
      </c>
      <c r="F82" s="868" t="s">
        <v>760</v>
      </c>
      <c r="G82" s="724" t="s">
        <v>746</v>
      </c>
      <c r="H82" s="868" t="s">
        <v>760</v>
      </c>
      <c r="I82" s="744" t="s">
        <v>754</v>
      </c>
      <c r="J82" s="719" t="s">
        <v>753</v>
      </c>
      <c r="K82" s="719" t="s">
        <v>753</v>
      </c>
      <c r="L82" s="719" t="s">
        <v>752</v>
      </c>
      <c r="M82" s="713"/>
      <c r="N82" s="713"/>
      <c r="O82" s="719" t="s">
        <v>752</v>
      </c>
    </row>
    <row r="83" spans="1:78" ht="16.5" thickBot="1">
      <c r="A83" s="752"/>
      <c r="B83" s="773"/>
      <c r="C83" s="218" t="s">
        <v>168</v>
      </c>
      <c r="D83" s="200" t="s">
        <v>325</v>
      </c>
      <c r="E83" s="201">
        <v>0.49</v>
      </c>
      <c r="F83" s="873"/>
      <c r="G83" s="725"/>
      <c r="H83" s="873"/>
      <c r="I83" s="745"/>
      <c r="J83" s="714"/>
      <c r="K83" s="714"/>
      <c r="L83" s="714"/>
      <c r="M83" s="714"/>
      <c r="N83" s="714"/>
      <c r="O83" s="714"/>
    </row>
    <row r="84" spans="1:78" ht="15.75" customHeight="1">
      <c r="A84" s="750" t="s">
        <v>326</v>
      </c>
      <c r="B84" s="771" t="s">
        <v>327</v>
      </c>
      <c r="C84" s="227" t="s">
        <v>169</v>
      </c>
      <c r="D84" s="198" t="s">
        <v>328</v>
      </c>
      <c r="E84" s="199">
        <v>0.51</v>
      </c>
      <c r="F84" s="724" t="s">
        <v>746</v>
      </c>
      <c r="G84" s="724" t="s">
        <v>746</v>
      </c>
      <c r="H84" s="724" t="s">
        <v>559</v>
      </c>
      <c r="I84" s="731">
        <v>900</v>
      </c>
      <c r="J84" s="713">
        <v>100</v>
      </c>
      <c r="K84" s="713">
        <f>+I84+J84</f>
        <v>1000</v>
      </c>
      <c r="L84" s="713" t="s">
        <v>10</v>
      </c>
      <c r="M84" s="713"/>
      <c r="N84" s="713"/>
      <c r="O84" s="713" t="s">
        <v>10</v>
      </c>
    </row>
    <row r="85" spans="1:78" ht="16.5" thickBot="1">
      <c r="A85" s="751"/>
      <c r="B85" s="726"/>
      <c r="C85" s="208" t="s">
        <v>171</v>
      </c>
      <c r="D85" s="233" t="s">
        <v>329</v>
      </c>
      <c r="E85" s="234">
        <v>0.49</v>
      </c>
      <c r="F85" s="725"/>
      <c r="G85" s="725"/>
      <c r="H85" s="725"/>
      <c r="I85" s="732"/>
      <c r="J85" s="714"/>
      <c r="K85" s="714"/>
      <c r="L85" s="714"/>
      <c r="M85" s="714"/>
      <c r="N85" s="714"/>
      <c r="O85" s="714"/>
    </row>
    <row r="86" spans="1:78" ht="15.75" customHeight="1">
      <c r="A86" s="765" t="s">
        <v>330</v>
      </c>
      <c r="B86" s="768" t="s">
        <v>331</v>
      </c>
      <c r="C86" s="217" t="s">
        <v>170</v>
      </c>
      <c r="D86" s="198" t="s">
        <v>332</v>
      </c>
      <c r="E86" s="199">
        <v>0.51</v>
      </c>
      <c r="F86" s="724" t="s">
        <v>746</v>
      </c>
      <c r="G86" s="724" t="s">
        <v>746</v>
      </c>
      <c r="H86" s="724" t="s">
        <v>559</v>
      </c>
      <c r="I86" s="731">
        <v>900</v>
      </c>
      <c r="J86" s="713">
        <v>100</v>
      </c>
      <c r="K86" s="713">
        <f>+I86+J86</f>
        <v>1000</v>
      </c>
      <c r="L86" s="713" t="s">
        <v>10</v>
      </c>
      <c r="M86" s="713"/>
      <c r="N86" s="713"/>
      <c r="O86" s="713" t="s">
        <v>10</v>
      </c>
    </row>
    <row r="87" spans="1:78">
      <c r="A87" s="766"/>
      <c r="B87" s="769"/>
      <c r="C87" s="209" t="s">
        <v>172</v>
      </c>
      <c r="D87" s="47" t="s">
        <v>333</v>
      </c>
      <c r="E87" s="48">
        <v>0.25</v>
      </c>
      <c r="F87" s="726"/>
      <c r="G87" s="726"/>
      <c r="H87" s="726"/>
      <c r="I87" s="743"/>
      <c r="J87" s="715"/>
      <c r="K87" s="715"/>
      <c r="L87" s="715"/>
      <c r="M87" s="715"/>
      <c r="N87" s="715"/>
      <c r="O87" s="715"/>
    </row>
    <row r="88" spans="1:78">
      <c r="A88" s="766"/>
      <c r="B88" s="769"/>
      <c r="C88" s="209" t="s">
        <v>334</v>
      </c>
      <c r="D88" s="47" t="s">
        <v>335</v>
      </c>
      <c r="E88" s="48">
        <v>0.12</v>
      </c>
      <c r="F88" s="726"/>
      <c r="G88" s="726"/>
      <c r="H88" s="726"/>
      <c r="I88" s="743"/>
      <c r="J88" s="715"/>
      <c r="K88" s="715"/>
      <c r="L88" s="715"/>
      <c r="M88" s="715"/>
      <c r="N88" s="715"/>
      <c r="O88" s="715"/>
    </row>
    <row r="89" spans="1:78" ht="16.5" thickBot="1">
      <c r="A89" s="767"/>
      <c r="B89" s="770"/>
      <c r="C89" s="218" t="s">
        <v>336</v>
      </c>
      <c r="D89" s="200" t="s">
        <v>337</v>
      </c>
      <c r="E89" s="201">
        <v>0.12</v>
      </c>
      <c r="F89" s="725"/>
      <c r="G89" s="725"/>
      <c r="H89" s="725"/>
      <c r="I89" s="732"/>
      <c r="J89" s="714"/>
      <c r="K89" s="714"/>
      <c r="L89" s="714"/>
      <c r="M89" s="714"/>
      <c r="N89" s="714"/>
      <c r="O89" s="714"/>
    </row>
    <row r="90" spans="1:78" ht="15.75" customHeight="1">
      <c r="A90" s="49"/>
      <c r="B90" s="50"/>
      <c r="C90" s="50"/>
      <c r="D90" s="50"/>
      <c r="E90" s="51"/>
      <c r="F90" s="51"/>
      <c r="G90" s="51"/>
      <c r="H90" s="685"/>
      <c r="I90" s="690"/>
      <c r="J90" s="52"/>
      <c r="K90" s="29"/>
      <c r="L90" s="29"/>
      <c r="M90" s="29"/>
      <c r="N90" s="29"/>
      <c r="O90" s="29"/>
      <c r="BV90"/>
      <c r="BW90"/>
      <c r="BX90"/>
      <c r="BY90"/>
      <c r="BZ90"/>
    </row>
    <row r="91" spans="1:78">
      <c r="A91" s="49"/>
      <c r="B91" s="50"/>
      <c r="C91" s="50"/>
      <c r="D91" s="50"/>
      <c r="E91" s="51"/>
      <c r="F91" s="51"/>
      <c r="G91" s="51"/>
      <c r="H91" s="685"/>
      <c r="I91" s="690"/>
      <c r="J91" s="52"/>
      <c r="K91" s="29"/>
      <c r="L91" s="29"/>
      <c r="M91" s="29"/>
      <c r="N91" s="29"/>
      <c r="O91" s="29"/>
      <c r="BV91"/>
      <c r="BW91"/>
      <c r="BX91"/>
      <c r="BY91"/>
      <c r="BZ91"/>
    </row>
    <row r="92" spans="1:78" ht="15.75" customHeight="1">
      <c r="A92" s="49"/>
      <c r="B92" s="50"/>
      <c r="C92" s="50"/>
      <c r="D92" s="50"/>
      <c r="E92" s="51"/>
      <c r="F92" s="51"/>
      <c r="G92" s="51"/>
      <c r="H92" s="685"/>
      <c r="I92" s="690"/>
      <c r="J92" s="52"/>
      <c r="K92" s="29"/>
      <c r="L92" s="29"/>
      <c r="M92" s="29"/>
      <c r="N92" s="29"/>
      <c r="O92" s="29"/>
      <c r="BV92"/>
      <c r="BW92"/>
      <c r="BX92"/>
      <c r="BY92"/>
      <c r="BZ92"/>
    </row>
    <row r="93" spans="1:78">
      <c r="A93" s="49"/>
      <c r="B93" s="50"/>
      <c r="C93" s="50"/>
      <c r="D93" s="50"/>
      <c r="E93" s="51"/>
      <c r="F93" s="51"/>
      <c r="G93" s="51"/>
      <c r="H93" s="685"/>
      <c r="I93" s="690"/>
      <c r="J93" s="52"/>
      <c r="K93" s="29"/>
      <c r="L93" s="29"/>
      <c r="M93" s="29"/>
      <c r="N93" s="29"/>
      <c r="O93" s="29"/>
      <c r="BV93"/>
      <c r="BW93"/>
      <c r="BX93"/>
      <c r="BY93"/>
      <c r="BZ93"/>
    </row>
    <row r="94" spans="1:78">
      <c r="A94" s="49"/>
      <c r="B94" s="50"/>
      <c r="C94" s="50"/>
      <c r="D94" s="50"/>
      <c r="E94" s="51"/>
      <c r="F94" s="51"/>
      <c r="G94" s="51"/>
      <c r="H94" s="685"/>
      <c r="I94" s="690"/>
      <c r="J94" s="52"/>
      <c r="K94" s="29"/>
      <c r="L94" s="29"/>
      <c r="M94" s="29"/>
      <c r="N94" s="29"/>
      <c r="O94" s="29"/>
      <c r="BV94"/>
      <c r="BW94"/>
      <c r="BX94"/>
      <c r="BY94"/>
      <c r="BZ94"/>
    </row>
    <row r="95" spans="1:78" ht="15.75" customHeight="1">
      <c r="A95" s="49"/>
      <c r="B95" s="50"/>
      <c r="C95" s="50"/>
      <c r="D95" s="50"/>
      <c r="E95" s="51"/>
      <c r="F95" s="51"/>
      <c r="G95" s="51"/>
      <c r="H95" s="685"/>
      <c r="I95" s="690"/>
      <c r="J95" s="52"/>
      <c r="K95" s="29"/>
      <c r="L95" s="29"/>
      <c r="M95" s="29"/>
      <c r="N95" s="29"/>
      <c r="O95" s="29"/>
      <c r="BV95"/>
      <c r="BW95"/>
      <c r="BX95"/>
      <c r="BY95"/>
      <c r="BZ95"/>
    </row>
    <row r="96" spans="1:78">
      <c r="A96" s="49"/>
      <c r="B96" s="50"/>
      <c r="C96" s="50"/>
      <c r="D96" s="50"/>
      <c r="E96" s="51"/>
      <c r="F96" s="51"/>
      <c r="G96" s="51"/>
      <c r="H96" s="685"/>
      <c r="I96" s="690"/>
      <c r="J96" s="52"/>
      <c r="K96" s="29"/>
      <c r="L96" s="29"/>
      <c r="M96" s="29"/>
      <c r="N96" s="29"/>
      <c r="O96" s="29"/>
      <c r="BV96"/>
      <c r="BW96"/>
      <c r="BX96"/>
      <c r="BY96"/>
      <c r="BZ96"/>
    </row>
    <row r="97" spans="1:78" ht="15.75" customHeight="1">
      <c r="A97" s="49"/>
      <c r="B97" s="50"/>
      <c r="C97" s="50"/>
      <c r="D97" s="50"/>
      <c r="E97" s="51"/>
      <c r="F97" s="51"/>
      <c r="G97" s="51"/>
      <c r="H97" s="685"/>
      <c r="I97" s="690"/>
      <c r="J97" s="52"/>
      <c r="K97" s="29"/>
      <c r="L97" s="29"/>
      <c r="M97" s="29"/>
      <c r="N97" s="29"/>
      <c r="O97" s="29"/>
      <c r="BV97"/>
      <c r="BW97"/>
      <c r="BX97"/>
      <c r="BY97"/>
      <c r="BZ97"/>
    </row>
    <row r="98" spans="1:78">
      <c r="A98" s="49"/>
      <c r="B98" s="50"/>
      <c r="C98" s="50"/>
      <c r="D98" s="50"/>
      <c r="E98" s="51"/>
      <c r="F98" s="51"/>
      <c r="G98" s="51"/>
      <c r="H98" s="685"/>
      <c r="I98" s="690"/>
      <c r="J98" s="52"/>
      <c r="K98" s="29"/>
      <c r="L98" s="29"/>
      <c r="M98" s="29"/>
      <c r="N98" s="29"/>
      <c r="O98" s="29"/>
      <c r="BV98"/>
      <c r="BW98"/>
      <c r="BX98"/>
      <c r="BY98"/>
      <c r="BZ98"/>
    </row>
    <row r="99" spans="1:78" ht="15.75" customHeight="1">
      <c r="A99" s="49"/>
      <c r="B99" s="50"/>
      <c r="C99" s="50"/>
      <c r="D99" s="50"/>
      <c r="E99" s="51"/>
      <c r="F99" s="51"/>
      <c r="G99" s="51"/>
      <c r="H99" s="685"/>
      <c r="I99" s="690"/>
      <c r="J99" s="52"/>
      <c r="K99" s="29"/>
      <c r="L99" s="29"/>
      <c r="M99" s="29"/>
      <c r="N99" s="29"/>
      <c r="O99" s="29"/>
      <c r="BV99"/>
      <c r="BW99"/>
      <c r="BX99"/>
      <c r="BY99"/>
      <c r="BZ99"/>
    </row>
    <row r="100" spans="1:78">
      <c r="A100" s="49"/>
      <c r="B100" s="50"/>
      <c r="C100" s="50"/>
      <c r="D100" s="50"/>
      <c r="E100" s="51"/>
      <c r="F100" s="51"/>
      <c r="G100" s="51"/>
      <c r="H100" s="685"/>
      <c r="I100" s="690"/>
      <c r="J100" s="52"/>
      <c r="K100" s="29"/>
      <c r="L100" s="29"/>
      <c r="M100" s="29"/>
      <c r="N100" s="29"/>
      <c r="O100" s="29"/>
      <c r="BV100"/>
      <c r="BW100"/>
      <c r="BX100"/>
      <c r="BY100"/>
      <c r="BZ100"/>
    </row>
    <row r="101" spans="1:78">
      <c r="A101" s="49"/>
      <c r="B101" s="50"/>
      <c r="C101" s="50"/>
      <c r="D101" s="50"/>
      <c r="E101" s="51"/>
      <c r="F101" s="51"/>
      <c r="G101" s="51"/>
      <c r="H101" s="685"/>
      <c r="I101" s="690"/>
      <c r="J101" s="52"/>
      <c r="K101" s="29"/>
      <c r="L101" s="29"/>
      <c r="M101" s="29"/>
      <c r="N101" s="29"/>
      <c r="O101" s="29"/>
      <c r="BV101"/>
      <c r="BW101"/>
      <c r="BX101"/>
      <c r="BY101"/>
      <c r="BZ101"/>
    </row>
    <row r="102" spans="1:78">
      <c r="A102" s="49"/>
      <c r="B102" s="50"/>
      <c r="C102" s="50"/>
      <c r="D102" s="50"/>
      <c r="E102" s="51"/>
      <c r="F102" s="51"/>
      <c r="G102" s="51"/>
      <c r="H102" s="685"/>
      <c r="I102" s="690"/>
      <c r="J102" s="52"/>
      <c r="K102" s="29"/>
      <c r="L102" s="29"/>
      <c r="M102" s="29"/>
      <c r="N102" s="29"/>
      <c r="O102" s="29"/>
      <c r="BV102"/>
      <c r="BW102"/>
      <c r="BX102"/>
      <c r="BY102"/>
      <c r="BZ102"/>
    </row>
    <row r="103" spans="1:78">
      <c r="A103" s="49"/>
      <c r="B103" s="50"/>
      <c r="C103" s="50"/>
      <c r="D103" s="50"/>
      <c r="E103" s="51"/>
      <c r="F103" s="51"/>
      <c r="G103" s="51"/>
      <c r="H103" s="685"/>
      <c r="I103" s="690"/>
      <c r="J103" s="52"/>
      <c r="K103" s="29"/>
      <c r="L103" s="29"/>
      <c r="M103" s="29"/>
      <c r="N103" s="29"/>
      <c r="O103" s="29"/>
      <c r="BV103"/>
      <c r="BW103"/>
      <c r="BX103"/>
      <c r="BY103"/>
      <c r="BZ103"/>
    </row>
    <row r="104" spans="1:78">
      <c r="A104" s="49"/>
      <c r="B104" s="50"/>
      <c r="C104" s="50"/>
      <c r="D104" s="50"/>
      <c r="E104" s="51"/>
      <c r="F104" s="51"/>
      <c r="G104" s="51"/>
      <c r="H104" s="685"/>
      <c r="I104" s="690"/>
      <c r="J104" s="52"/>
      <c r="K104" s="29"/>
      <c r="L104" s="29"/>
      <c r="M104" s="29"/>
      <c r="N104" s="29"/>
      <c r="O104" s="29"/>
      <c r="BV104"/>
      <c r="BW104"/>
      <c r="BX104"/>
      <c r="BY104"/>
      <c r="BZ104"/>
    </row>
    <row r="105" spans="1:78">
      <c r="A105" s="49"/>
      <c r="B105" s="50"/>
      <c r="C105" s="50"/>
      <c r="D105" s="50"/>
      <c r="E105" s="51"/>
      <c r="F105" s="51"/>
      <c r="G105" s="51"/>
      <c r="H105" s="685"/>
      <c r="I105" s="690"/>
      <c r="J105" s="52"/>
      <c r="K105" s="29"/>
      <c r="L105" s="29"/>
      <c r="M105" s="29"/>
      <c r="N105" s="29"/>
      <c r="O105" s="29"/>
      <c r="BV105"/>
      <c r="BW105"/>
      <c r="BX105"/>
      <c r="BY105"/>
      <c r="BZ105"/>
    </row>
  </sheetData>
  <mergeCells count="447">
    <mergeCell ref="H22:H23"/>
    <mergeCell ref="I22:I23"/>
    <mergeCell ref="J22:J23"/>
    <mergeCell ref="A25:A26"/>
    <mergeCell ref="B25:B26"/>
    <mergeCell ref="H25:H26"/>
    <mergeCell ref="I25:I26"/>
    <mergeCell ref="J25:J26"/>
    <mergeCell ref="H27:H28"/>
    <mergeCell ref="I27:I28"/>
    <mergeCell ref="J27:J28"/>
    <mergeCell ref="F25:F26"/>
    <mergeCell ref="F27:F28"/>
    <mergeCell ref="H15:H17"/>
    <mergeCell ref="I15:I17"/>
    <mergeCell ref="J15:J17"/>
    <mergeCell ref="H18:H19"/>
    <mergeCell ref="I18:I19"/>
    <mergeCell ref="J18:J19"/>
    <mergeCell ref="H20:H21"/>
    <mergeCell ref="I20:I21"/>
    <mergeCell ref="J20:J21"/>
    <mergeCell ref="L38:L39"/>
    <mergeCell ref="M38:M39"/>
    <mergeCell ref="N38:N39"/>
    <mergeCell ref="O38:O39"/>
    <mergeCell ref="B44:B45"/>
    <mergeCell ref="A46:A47"/>
    <mergeCell ref="B46:B47"/>
    <mergeCell ref="A48:A49"/>
    <mergeCell ref="B48:B49"/>
    <mergeCell ref="K40:K41"/>
    <mergeCell ref="L40:L41"/>
    <mergeCell ref="M40:M41"/>
    <mergeCell ref="N40:N41"/>
    <mergeCell ref="O40:O41"/>
    <mergeCell ref="F38:F39"/>
    <mergeCell ref="G38:G39"/>
    <mergeCell ref="F40:F41"/>
    <mergeCell ref="G40:G41"/>
    <mergeCell ref="I38:I39"/>
    <mergeCell ref="J38:J39"/>
    <mergeCell ref="I40:I41"/>
    <mergeCell ref="J40:J41"/>
    <mergeCell ref="H38:H39"/>
    <mergeCell ref="H42:H43"/>
    <mergeCell ref="A82:A83"/>
    <mergeCell ref="B82:B83"/>
    <mergeCell ref="A75:A76"/>
    <mergeCell ref="B75:B76"/>
    <mergeCell ref="A64:A65"/>
    <mergeCell ref="B64:B65"/>
    <mergeCell ref="B66:B67"/>
    <mergeCell ref="A66:A67"/>
    <mergeCell ref="A71:A72"/>
    <mergeCell ref="A73:A74"/>
    <mergeCell ref="A86:A89"/>
    <mergeCell ref="B86:B89"/>
    <mergeCell ref="A84:A85"/>
    <mergeCell ref="B84:B85"/>
    <mergeCell ref="A29:A30"/>
    <mergeCell ref="B29:B30"/>
    <mergeCell ref="A27:A28"/>
    <mergeCell ref="B27:B28"/>
    <mergeCell ref="A31:A32"/>
    <mergeCell ref="B31:B32"/>
    <mergeCell ref="A36:A37"/>
    <mergeCell ref="A38:A39"/>
    <mergeCell ref="B36:B37"/>
    <mergeCell ref="B38:B39"/>
    <mergeCell ref="A53:A55"/>
    <mergeCell ref="B53:B55"/>
    <mergeCell ref="A68:A70"/>
    <mergeCell ref="B68:B70"/>
    <mergeCell ref="A79:A81"/>
    <mergeCell ref="B79:B81"/>
    <mergeCell ref="B71:B72"/>
    <mergeCell ref="B73:B74"/>
    <mergeCell ref="A77:A78"/>
    <mergeCell ref="B77:B78"/>
    <mergeCell ref="A1:K1"/>
    <mergeCell ref="L1:O2"/>
    <mergeCell ref="A2:K2"/>
    <mergeCell ref="A56:A57"/>
    <mergeCell ref="B56:B57"/>
    <mergeCell ref="A4:A5"/>
    <mergeCell ref="B4:B5"/>
    <mergeCell ref="A6:A7"/>
    <mergeCell ref="B6:B7"/>
    <mergeCell ref="A11:A12"/>
    <mergeCell ref="B11:B12"/>
    <mergeCell ref="A13:A14"/>
    <mergeCell ref="B13:B14"/>
    <mergeCell ref="A18:A19"/>
    <mergeCell ref="B18:B19"/>
    <mergeCell ref="A20:A21"/>
    <mergeCell ref="B20:B21"/>
    <mergeCell ref="A22:A23"/>
    <mergeCell ref="B22:B23"/>
    <mergeCell ref="A40:A41"/>
    <mergeCell ref="B40:B41"/>
    <mergeCell ref="A42:A43"/>
    <mergeCell ref="B42:B43"/>
    <mergeCell ref="A44:A45"/>
    <mergeCell ref="A8:A10"/>
    <mergeCell ref="B8:B10"/>
    <mergeCell ref="A15:A17"/>
    <mergeCell ref="B15:B17"/>
    <mergeCell ref="A34:A35"/>
    <mergeCell ref="B34:B35"/>
    <mergeCell ref="B58:B59"/>
    <mergeCell ref="A58:A59"/>
    <mergeCell ref="A61:A62"/>
    <mergeCell ref="B61:B62"/>
    <mergeCell ref="A50:A52"/>
    <mergeCell ref="B50:B52"/>
    <mergeCell ref="G31:G32"/>
    <mergeCell ref="L31:L32"/>
    <mergeCell ref="O31:O32"/>
    <mergeCell ref="J29:J30"/>
    <mergeCell ref="J31:J32"/>
    <mergeCell ref="K31:K32"/>
    <mergeCell ref="F29:F30"/>
    <mergeCell ref="G29:G30"/>
    <mergeCell ref="H29:H30"/>
    <mergeCell ref="H31:H32"/>
    <mergeCell ref="I29:I30"/>
    <mergeCell ref="I31:I32"/>
    <mergeCell ref="M31:M32"/>
    <mergeCell ref="N31:N32"/>
    <mergeCell ref="L34:L35"/>
    <mergeCell ref="M34:M35"/>
    <mergeCell ref="N34:N35"/>
    <mergeCell ref="O34:O35"/>
    <mergeCell ref="F36:F37"/>
    <mergeCell ref="G36:G37"/>
    <mergeCell ref="H36:H37"/>
    <mergeCell ref="I36:I37"/>
    <mergeCell ref="J36:J37"/>
    <mergeCell ref="K36:K37"/>
    <mergeCell ref="L36:L37"/>
    <mergeCell ref="M36:M37"/>
    <mergeCell ref="N36:N37"/>
    <mergeCell ref="O36:O37"/>
    <mergeCell ref="F34:F35"/>
    <mergeCell ref="G34:G35"/>
    <mergeCell ref="I34:I35"/>
    <mergeCell ref="J34:J35"/>
    <mergeCell ref="K34:K35"/>
    <mergeCell ref="H34:H35"/>
    <mergeCell ref="H4:H5"/>
    <mergeCell ref="H6:H7"/>
    <mergeCell ref="H8:H10"/>
    <mergeCell ref="H11:H12"/>
    <mergeCell ref="H13:H14"/>
    <mergeCell ref="I4:I5"/>
    <mergeCell ref="I6:I7"/>
    <mergeCell ref="I8:I10"/>
    <mergeCell ref="I11:I12"/>
    <mergeCell ref="I13:I14"/>
    <mergeCell ref="H44:H45"/>
    <mergeCell ref="H46:H47"/>
    <mergeCell ref="H48:H49"/>
    <mergeCell ref="H50:H52"/>
    <mergeCell ref="H53:H55"/>
    <mergeCell ref="H56:H57"/>
    <mergeCell ref="H40:H41"/>
    <mergeCell ref="J50:J52"/>
    <mergeCell ref="J53:J55"/>
    <mergeCell ref="J56:J57"/>
    <mergeCell ref="I42:I43"/>
    <mergeCell ref="I44:I45"/>
    <mergeCell ref="I46:I47"/>
    <mergeCell ref="I48:I49"/>
    <mergeCell ref="I50:I52"/>
    <mergeCell ref="I53:I55"/>
    <mergeCell ref="I56:I57"/>
    <mergeCell ref="I77:I78"/>
    <mergeCell ref="I79:I81"/>
    <mergeCell ref="I82:I83"/>
    <mergeCell ref="I84:I85"/>
    <mergeCell ref="I86:I89"/>
    <mergeCell ref="H58:H59"/>
    <mergeCell ref="H61:H62"/>
    <mergeCell ref="H64:H65"/>
    <mergeCell ref="H66:H67"/>
    <mergeCell ref="H68:H70"/>
    <mergeCell ref="H71:H72"/>
    <mergeCell ref="H73:H74"/>
    <mergeCell ref="H75:H76"/>
    <mergeCell ref="H77:H78"/>
    <mergeCell ref="I58:I59"/>
    <mergeCell ref="I61:I62"/>
    <mergeCell ref="J4:J5"/>
    <mergeCell ref="J6:J7"/>
    <mergeCell ref="J8:J10"/>
    <mergeCell ref="J11:J12"/>
    <mergeCell ref="J13:J14"/>
    <mergeCell ref="J42:J43"/>
    <mergeCell ref="J44:J45"/>
    <mergeCell ref="J46:J47"/>
    <mergeCell ref="J48:J49"/>
    <mergeCell ref="K25:K26"/>
    <mergeCell ref="K27:K28"/>
    <mergeCell ref="K29:K30"/>
    <mergeCell ref="K42:K43"/>
    <mergeCell ref="K44:K45"/>
    <mergeCell ref="K46:K47"/>
    <mergeCell ref="K48:K49"/>
    <mergeCell ref="K56:K57"/>
    <mergeCell ref="K58:K59"/>
    <mergeCell ref="K38:K39"/>
    <mergeCell ref="K4:K5"/>
    <mergeCell ref="K6:K7"/>
    <mergeCell ref="K8:K10"/>
    <mergeCell ref="K11:K12"/>
    <mergeCell ref="K13:K14"/>
    <mergeCell ref="K15:K17"/>
    <mergeCell ref="K18:K19"/>
    <mergeCell ref="K20:K21"/>
    <mergeCell ref="K22:K23"/>
    <mergeCell ref="F58:F59"/>
    <mergeCell ref="F61:F62"/>
    <mergeCell ref="F64:F65"/>
    <mergeCell ref="K82:K83"/>
    <mergeCell ref="K84:K85"/>
    <mergeCell ref="K64:K65"/>
    <mergeCell ref="K66:K67"/>
    <mergeCell ref="K73:K74"/>
    <mergeCell ref="K75:K76"/>
    <mergeCell ref="K77:K78"/>
    <mergeCell ref="J79:J81"/>
    <mergeCell ref="J82:J83"/>
    <mergeCell ref="J84:J85"/>
    <mergeCell ref="J58:J59"/>
    <mergeCell ref="J61:J62"/>
    <mergeCell ref="J64:J65"/>
    <mergeCell ref="J66:J67"/>
    <mergeCell ref="J68:J70"/>
    <mergeCell ref="J71:J72"/>
    <mergeCell ref="J73:J74"/>
    <mergeCell ref="J75:J76"/>
    <mergeCell ref="J77:J78"/>
    <mergeCell ref="H79:H81"/>
    <mergeCell ref="H82:H83"/>
    <mergeCell ref="F42:F43"/>
    <mergeCell ref="F44:F45"/>
    <mergeCell ref="F46:F47"/>
    <mergeCell ref="F48:F49"/>
    <mergeCell ref="F50:F52"/>
    <mergeCell ref="F53:F55"/>
    <mergeCell ref="F56:F57"/>
    <mergeCell ref="F31:F32"/>
    <mergeCell ref="F4:F5"/>
    <mergeCell ref="F6:F7"/>
    <mergeCell ref="F8:F10"/>
    <mergeCell ref="F11:F12"/>
    <mergeCell ref="F13:F14"/>
    <mergeCell ref="F15:F17"/>
    <mergeCell ref="F18:F19"/>
    <mergeCell ref="F20:F21"/>
    <mergeCell ref="F22:F23"/>
    <mergeCell ref="F66:F67"/>
    <mergeCell ref="F68:F70"/>
    <mergeCell ref="F71:F72"/>
    <mergeCell ref="F73:F74"/>
    <mergeCell ref="F75:F76"/>
    <mergeCell ref="F77:F78"/>
    <mergeCell ref="F79:F81"/>
    <mergeCell ref="F82:F83"/>
    <mergeCell ref="F84:F85"/>
    <mergeCell ref="F86:F89"/>
    <mergeCell ref="G4:G5"/>
    <mergeCell ref="G6:G7"/>
    <mergeCell ref="G8:G10"/>
    <mergeCell ref="G11:G12"/>
    <mergeCell ref="G13:G14"/>
    <mergeCell ref="G15:G17"/>
    <mergeCell ref="G18:G19"/>
    <mergeCell ref="G20:G21"/>
    <mergeCell ref="G22:G23"/>
    <mergeCell ref="G25:G26"/>
    <mergeCell ref="G27:G28"/>
    <mergeCell ref="G42:G43"/>
    <mergeCell ref="G44:G45"/>
    <mergeCell ref="G46:G47"/>
    <mergeCell ref="G48:G49"/>
    <mergeCell ref="G50:G52"/>
    <mergeCell ref="G53:G55"/>
    <mergeCell ref="G56:G57"/>
    <mergeCell ref="G58:G59"/>
    <mergeCell ref="G61:G62"/>
    <mergeCell ref="G64:G65"/>
    <mergeCell ref="G66:G67"/>
    <mergeCell ref="G68:G70"/>
    <mergeCell ref="G71:G72"/>
    <mergeCell ref="G73:G74"/>
    <mergeCell ref="G75:G76"/>
    <mergeCell ref="G77:G78"/>
    <mergeCell ref="G79:G81"/>
    <mergeCell ref="G82:G83"/>
    <mergeCell ref="G84:G85"/>
    <mergeCell ref="G86:G89"/>
    <mergeCell ref="K50:K52"/>
    <mergeCell ref="K53:K55"/>
    <mergeCell ref="K61:K62"/>
    <mergeCell ref="K68:K70"/>
    <mergeCell ref="K71:K72"/>
    <mergeCell ref="K79:K81"/>
    <mergeCell ref="K86:K89"/>
    <mergeCell ref="J86:J89"/>
    <mergeCell ref="H84:H85"/>
    <mergeCell ref="H86:H89"/>
    <mergeCell ref="I64:I65"/>
    <mergeCell ref="I66:I67"/>
    <mergeCell ref="I68:I70"/>
    <mergeCell ref="I71:I72"/>
    <mergeCell ref="I73:I74"/>
    <mergeCell ref="I75:I76"/>
    <mergeCell ref="L4:L5"/>
    <mergeCell ref="M4:M5"/>
    <mergeCell ref="N4:N5"/>
    <mergeCell ref="O4:O5"/>
    <mergeCell ref="L6:L7"/>
    <mergeCell ref="M6:M7"/>
    <mergeCell ref="N6:N7"/>
    <mergeCell ref="O6:O7"/>
    <mergeCell ref="L8:L10"/>
    <mergeCell ref="M8:M10"/>
    <mergeCell ref="N8:N10"/>
    <mergeCell ref="O8:O10"/>
    <mergeCell ref="L11:L12"/>
    <mergeCell ref="M11:M12"/>
    <mergeCell ref="N11:N12"/>
    <mergeCell ref="O11:O12"/>
    <mergeCell ref="L13:L14"/>
    <mergeCell ref="M13:M14"/>
    <mergeCell ref="N13:N14"/>
    <mergeCell ref="O13:O14"/>
    <mergeCell ref="L15:L17"/>
    <mergeCell ref="M15:M17"/>
    <mergeCell ref="N15:N17"/>
    <mergeCell ref="O15:O17"/>
    <mergeCell ref="L18:L19"/>
    <mergeCell ref="M18:M19"/>
    <mergeCell ref="N18:N19"/>
    <mergeCell ref="O18:O19"/>
    <mergeCell ref="L20:L21"/>
    <mergeCell ref="M20:M21"/>
    <mergeCell ref="N20:N21"/>
    <mergeCell ref="O20:O21"/>
    <mergeCell ref="L22:L23"/>
    <mergeCell ref="M22:M23"/>
    <mergeCell ref="N22:N23"/>
    <mergeCell ref="O22:O23"/>
    <mergeCell ref="L25:L26"/>
    <mergeCell ref="M25:M26"/>
    <mergeCell ref="N25:N26"/>
    <mergeCell ref="O25:O26"/>
    <mergeCell ref="L27:L28"/>
    <mergeCell ref="M27:M28"/>
    <mergeCell ref="N27:N28"/>
    <mergeCell ref="O27:O28"/>
    <mergeCell ref="M29:M30"/>
    <mergeCell ref="N29:N30"/>
    <mergeCell ref="L29:L30"/>
    <mergeCell ref="O29:O30"/>
    <mergeCell ref="L42:L43"/>
    <mergeCell ref="M42:M43"/>
    <mergeCell ref="N42:N43"/>
    <mergeCell ref="O42:O43"/>
    <mergeCell ref="L44:L45"/>
    <mergeCell ref="M44:M45"/>
    <mergeCell ref="N44:N45"/>
    <mergeCell ref="O44:O45"/>
    <mergeCell ref="L46:L47"/>
    <mergeCell ref="M46:M47"/>
    <mergeCell ref="N46:N47"/>
    <mergeCell ref="O46:O47"/>
    <mergeCell ref="L48:L49"/>
    <mergeCell ref="M48:M49"/>
    <mergeCell ref="N48:N49"/>
    <mergeCell ref="O48:O49"/>
    <mergeCell ref="L50:L52"/>
    <mergeCell ref="M50:M52"/>
    <mergeCell ref="N50:N52"/>
    <mergeCell ref="O50:O52"/>
    <mergeCell ref="L53:L55"/>
    <mergeCell ref="M53:M55"/>
    <mergeCell ref="N53:N55"/>
    <mergeCell ref="O53:O55"/>
    <mergeCell ref="L56:L57"/>
    <mergeCell ref="M56:M57"/>
    <mergeCell ref="N56:N57"/>
    <mergeCell ref="O56:O57"/>
    <mergeCell ref="L58:L59"/>
    <mergeCell ref="M58:M59"/>
    <mergeCell ref="N58:N59"/>
    <mergeCell ref="O58:O59"/>
    <mergeCell ref="L61:L62"/>
    <mergeCell ref="M61:M62"/>
    <mergeCell ref="N61:N62"/>
    <mergeCell ref="O61:O62"/>
    <mergeCell ref="L64:L65"/>
    <mergeCell ref="M64:M65"/>
    <mergeCell ref="N64:N65"/>
    <mergeCell ref="O64:O65"/>
    <mergeCell ref="L66:L67"/>
    <mergeCell ref="M66:M67"/>
    <mergeCell ref="N66:N67"/>
    <mergeCell ref="O66:O67"/>
    <mergeCell ref="L68:L70"/>
    <mergeCell ref="M68:M70"/>
    <mergeCell ref="N68:N70"/>
    <mergeCell ref="O68:O70"/>
    <mergeCell ref="L71:L72"/>
    <mergeCell ref="M71:M72"/>
    <mergeCell ref="N71:N72"/>
    <mergeCell ref="O71:O72"/>
    <mergeCell ref="L73:L74"/>
    <mergeCell ref="M73:M74"/>
    <mergeCell ref="N73:N74"/>
    <mergeCell ref="O73:O74"/>
    <mergeCell ref="L75:L76"/>
    <mergeCell ref="M75:M76"/>
    <mergeCell ref="N75:N76"/>
    <mergeCell ref="O75:O76"/>
    <mergeCell ref="L84:L85"/>
    <mergeCell ref="M84:M85"/>
    <mergeCell ref="N84:N85"/>
    <mergeCell ref="O84:O85"/>
    <mergeCell ref="L86:L89"/>
    <mergeCell ref="M86:M89"/>
    <mergeCell ref="N86:N89"/>
    <mergeCell ref="O86:O89"/>
    <mergeCell ref="L77:L78"/>
    <mergeCell ref="M77:M78"/>
    <mergeCell ref="N77:N78"/>
    <mergeCell ref="O77:O78"/>
    <mergeCell ref="L79:L81"/>
    <mergeCell ref="M79:M81"/>
    <mergeCell ref="N79:N81"/>
    <mergeCell ref="O79:O81"/>
    <mergeCell ref="L82:L83"/>
    <mergeCell ref="M82:M83"/>
    <mergeCell ref="N82:N83"/>
    <mergeCell ref="O82:O83"/>
  </mergeCells>
  <conditionalFormatting sqref="J4 J31 J33 I38:J38 J42 I40:J40 J29 J8 J6 J11 J13 J50 J44 J46 J48 J56 J53 J60:J61 J58 J63:J64 J68 J66 J71 J73 J75 J77">
    <cfRule type="containsText" dxfId="164" priority="41" operator="containsText" text="N/A">
      <formula>NOT(ISERROR(SEARCH("N/A",I4)))</formula>
    </cfRule>
  </conditionalFormatting>
  <conditionalFormatting sqref="H4 H31 H38 H42 H40 H34:J34 H36:J36 H6 H8 H29 H44 H46 H48 H50 H53 H56 H58 H60:H61 H63:H64 H66 H68 H71 H73">
    <cfRule type="containsText" dxfId="163" priority="40" operator="containsText" text="NO SE PRESENTO">
      <formula>NOT(ISERROR(SEARCH("NO SE PRESENTO",H4)))</formula>
    </cfRule>
  </conditionalFormatting>
  <conditionalFormatting sqref="J15 J18 J20 J22 J24:J25 J27">
    <cfRule type="containsText" dxfId="162" priority="36" operator="containsText" text="N/A">
      <formula>NOT(ISERROR(SEARCH("N/A",J15)))</formula>
    </cfRule>
  </conditionalFormatting>
  <conditionalFormatting sqref="H18 H20 H22 H24:H25 H27">
    <cfRule type="containsText" dxfId="161" priority="35" operator="containsText" text="NO SE PRESENTO">
      <formula>NOT(ISERROR(SEARCH("NO SE PRESENTO",H18)))</formula>
    </cfRule>
  </conditionalFormatting>
  <conditionalFormatting sqref="H15">
    <cfRule type="containsText" dxfId="160" priority="34" operator="containsText" text="NO SE PRESENTO">
      <formula>NOT(ISERROR(SEARCH("NO SE PRESENTO",H15)))</formula>
    </cfRule>
  </conditionalFormatting>
  <conditionalFormatting sqref="I15 I18 I20 I22 I24:I25 I27">
    <cfRule type="containsText" dxfId="159" priority="33" operator="containsText" text="N/A">
      <formula>NOT(ISERROR(SEARCH("N/A",I15)))</formula>
    </cfRule>
  </conditionalFormatting>
  <conditionalFormatting sqref="H11">
    <cfRule type="containsText" dxfId="158" priority="32" operator="containsText" text="NO SE PRESENTO">
      <formula>NOT(ISERROR(SEARCH("NO SE PRESENTO",H11)))</formula>
    </cfRule>
  </conditionalFormatting>
  <conditionalFormatting sqref="H13">
    <cfRule type="containsText" dxfId="157" priority="31" operator="containsText" text="NO SE PRESENTO">
      <formula>NOT(ISERROR(SEARCH("NO SE PRESENTO",H13)))</formula>
    </cfRule>
  </conditionalFormatting>
  <conditionalFormatting sqref="I4 I6 I8">
    <cfRule type="containsText" dxfId="156" priority="30" operator="containsText" text="NO SE PRESENTO">
      <formula>NOT(ISERROR(SEARCH("NO SE PRESENTO",I4)))</formula>
    </cfRule>
  </conditionalFormatting>
  <conditionalFormatting sqref="I11">
    <cfRule type="containsText" dxfId="155" priority="29" operator="containsText" text="NO SE PRESENTO">
      <formula>NOT(ISERROR(SEARCH("NO SE PRESENTO",I11)))</formula>
    </cfRule>
  </conditionalFormatting>
  <conditionalFormatting sqref="I13">
    <cfRule type="containsText" dxfId="154" priority="28" operator="containsText" text="NO SE PRESENTO">
      <formula>NOT(ISERROR(SEARCH("NO SE PRESENTO",I13)))</formula>
    </cfRule>
  </conditionalFormatting>
  <conditionalFormatting sqref="I42 I44 I46 I48 I50 I53 I58 I60:I61 I63:I64 I66 I68 I71 I73">
    <cfRule type="containsText" dxfId="153" priority="27" operator="containsText" text="NO SE PRESENTO">
      <formula>NOT(ISERROR(SEARCH("NO SE PRESENTO",I42)))</formula>
    </cfRule>
  </conditionalFormatting>
  <conditionalFormatting sqref="I56">
    <cfRule type="containsText" dxfId="152" priority="26" operator="containsText" text="NO SE PRESENTO">
      <formula>NOT(ISERROR(SEARCH("NO SE PRESENTO",I56)))</formula>
    </cfRule>
  </conditionalFormatting>
  <conditionalFormatting sqref="F11">
    <cfRule type="containsText" dxfId="151" priority="18" operator="containsText" text="NO SE PRESENTO">
      <formula>NOT(ISERROR(SEARCH("NO SE PRESENTO",F11)))</formula>
    </cfRule>
  </conditionalFormatting>
  <conditionalFormatting sqref="F4 F31 F38 F42 F40 F34 F36 F6 F8 F29 F44 F46 F48 F50 F53 F56 F58 F60:F61 F63:F64 F66 F68 F71 F73">
    <cfRule type="containsText" dxfId="150" priority="21" operator="containsText" text="NO SE PRESENTO">
      <formula>NOT(ISERROR(SEARCH("NO SE PRESENTO",F4)))</formula>
    </cfRule>
  </conditionalFormatting>
  <conditionalFormatting sqref="F18 F20 F22 F24:F25 F27">
    <cfRule type="containsText" dxfId="149" priority="20" operator="containsText" text="NO SE PRESENTO">
      <formula>NOT(ISERROR(SEARCH("NO SE PRESENTO",F18)))</formula>
    </cfRule>
  </conditionalFormatting>
  <conditionalFormatting sqref="F15">
    <cfRule type="containsText" dxfId="148" priority="19" operator="containsText" text="NO SE PRESENTO">
      <formula>NOT(ISERROR(SEARCH("NO SE PRESENTO",F15)))</formula>
    </cfRule>
  </conditionalFormatting>
  <conditionalFormatting sqref="F13">
    <cfRule type="containsText" dxfId="147" priority="17" operator="containsText" text="NO SE PRESENTO">
      <formula>NOT(ISERROR(SEARCH("NO SE PRESENTO",F13)))</formula>
    </cfRule>
  </conditionalFormatting>
  <conditionalFormatting sqref="G11">
    <cfRule type="containsText" dxfId="146" priority="13" operator="containsText" text="NO SE PRESENTO">
      <formula>NOT(ISERROR(SEARCH("NO SE PRESENTO",G11)))</formula>
    </cfRule>
  </conditionalFormatting>
  <conditionalFormatting sqref="G4 G31 G38 G42 G40 G34 G36 G6 G8 G29 G44 G46 G48 G50 G53 G56 G58 G60:G61 G63:G64 G66 G68 G71 G73">
    <cfRule type="containsText" dxfId="145" priority="16" operator="containsText" text="NO SE PRESENTO">
      <formula>NOT(ISERROR(SEARCH("NO SE PRESENTO",G4)))</formula>
    </cfRule>
  </conditionalFormatting>
  <conditionalFormatting sqref="G18 G20 G22 G24:G25 G27">
    <cfRule type="containsText" dxfId="144" priority="15" operator="containsText" text="NO SE PRESENTO">
      <formula>NOT(ISERROR(SEARCH("NO SE PRESENTO",G18)))</formula>
    </cfRule>
  </conditionalFormatting>
  <conditionalFormatting sqref="G15">
    <cfRule type="containsText" dxfId="143" priority="14" operator="containsText" text="NO SE PRESENTO">
      <formula>NOT(ISERROR(SEARCH("NO SE PRESENTO",G15)))</formula>
    </cfRule>
  </conditionalFormatting>
  <conditionalFormatting sqref="G13">
    <cfRule type="containsText" dxfId="142" priority="12" operator="containsText" text="NO SE PRESENTO">
      <formula>NOT(ISERROR(SEARCH("NO SE PRESENTO",G13)))</formula>
    </cfRule>
  </conditionalFormatting>
  <conditionalFormatting sqref="L15:O15 L18:O18 L20:O20 L22:O22 L24:O25 L27:O27">
    <cfRule type="containsText" dxfId="141" priority="5" operator="containsText" text="N/A">
      <formula>NOT(ISERROR(SEARCH("N/A",L15)))</formula>
    </cfRule>
  </conditionalFormatting>
  <conditionalFormatting sqref="K4 K33 K8 K6 K11 K13 K50 K56 K60:K61 K63:K64 K68 K66 K71 K53 K58 K73 K75 K77">
    <cfRule type="containsText" dxfId="140" priority="10" operator="containsText" text="N/A">
      <formula>NOT(ISERROR(SEARCH("N/A",K4)))</formula>
    </cfRule>
  </conditionalFormatting>
  <conditionalFormatting sqref="K34 K36 K38 K40 K42 K44 K46 K48">
    <cfRule type="containsText" dxfId="139" priority="9" operator="containsText" text="NO SE PRESENTO">
      <formula>NOT(ISERROR(SEARCH("NO SE PRESENTO",K34)))</formula>
    </cfRule>
  </conditionalFormatting>
  <conditionalFormatting sqref="K15 K18 K20 K22 K24:K25 K27 K29 K31">
    <cfRule type="containsText" dxfId="138" priority="8" operator="containsText" text="N/A">
      <formula>NOT(ISERROR(SEARCH("N/A",K15)))</formula>
    </cfRule>
  </conditionalFormatting>
  <conditionalFormatting sqref="L4:O4 L31:O31 L33:O33 L38:O38 L42:O42 L40:O40 L29:O29 L8:O8 L6:O6 L11:O11 L13:O13 L50:O50 L44:O44 L46:O46 L48:O48 L56:O56 L53:O53 L60:O61 L58:O58 L63:O64 L68:O68 L66:O66 L71:O71 L73:O73 L75:O75 L77:O77">
    <cfRule type="containsText" dxfId="137" priority="7" operator="containsText" text="N/A">
      <formula>NOT(ISERROR(SEARCH("N/A",L4)))</formula>
    </cfRule>
  </conditionalFormatting>
  <conditionalFormatting sqref="L34:O34 L36:O36">
    <cfRule type="containsText" dxfId="136" priority="6" operator="containsText" text="NO SE PRESENTO">
      <formula>NOT(ISERROR(SEARCH("NO SE PRESENTO",L34)))</formula>
    </cfRule>
  </conditionalFormatting>
  <conditionalFormatting sqref="F77">
    <cfRule type="containsText" dxfId="7" priority="4" operator="containsText" text="NO SE PRESENTO">
      <formula>NOT(ISERROR(SEARCH("NO SE PRESENTO",F77)))</formula>
    </cfRule>
  </conditionalFormatting>
  <conditionalFormatting sqref="F79">
    <cfRule type="containsText" dxfId="5" priority="3" operator="containsText" text="NO SE PRESENTO">
      <formula>NOT(ISERROR(SEARCH("NO SE PRESENTO",F79)))</formula>
    </cfRule>
  </conditionalFormatting>
  <conditionalFormatting sqref="F82">
    <cfRule type="containsText" dxfId="3" priority="2" operator="containsText" text="NO SE PRESENTO">
      <formula>NOT(ISERROR(SEARCH("NO SE PRESENTO",F82)))</formula>
    </cfRule>
  </conditionalFormatting>
  <conditionalFormatting sqref="H82">
    <cfRule type="containsText" dxfId="1" priority="1" operator="containsText" text="NO SE PRESENTO">
      <formula>NOT(ISERROR(SEARCH("NO SE PRESENTO",H82)))</formula>
    </cfRule>
  </conditionalFormatting>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B198"/>
  <sheetViews>
    <sheetView topLeftCell="A11" zoomScaleNormal="100" workbookViewId="0">
      <selection activeCell="A11" sqref="A11:A14"/>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23.875" style="101" customWidth="1"/>
    <col min="9" max="10" width="18.875" style="101" customWidth="1"/>
    <col min="11" max="11" width="13.625" style="102" customWidth="1"/>
    <col min="12" max="12" width="10.625" style="103" customWidth="1"/>
    <col min="13" max="13" width="11" style="104" customWidth="1"/>
    <col min="14" max="14" width="11" style="105" customWidth="1"/>
    <col min="15" max="15" width="11" style="68" customWidth="1"/>
    <col min="16" max="16" width="21.75" style="106" customWidth="1"/>
    <col min="17" max="17" width="8.75" style="106" customWidth="1"/>
    <col min="18" max="18" width="9.5" style="68" bestFit="1" customWidth="1"/>
    <col min="19" max="19" width="26.25" style="68" bestFit="1" customWidth="1"/>
    <col min="20" max="20" width="9.625" style="68" customWidth="1"/>
    <col min="21" max="21" width="19.375" style="68" customWidth="1"/>
    <col min="22" max="22" width="15.5" style="68" customWidth="1"/>
    <col min="23" max="23" width="18.375" style="81" customWidth="1"/>
    <col min="24" max="24" width="19.5" style="58" customWidth="1"/>
    <col min="25" max="25" width="59.125" style="92" customWidth="1"/>
    <col min="26" max="27" width="14.625" style="108" bestFit="1" customWidth="1"/>
    <col min="28" max="28" width="10.875" style="108"/>
    <col min="29" max="30" width="15.125" style="108" bestFit="1" customWidth="1"/>
    <col min="31" max="16384" width="10.875" style="108"/>
  </cols>
  <sheetData>
    <row r="1" spans="1:28" s="56" customFormat="1" ht="15" customHeight="1">
      <c r="A1" s="776" t="s">
        <v>6</v>
      </c>
      <c r="B1" s="776" t="s">
        <v>5</v>
      </c>
      <c r="C1" s="776" t="s">
        <v>174</v>
      </c>
      <c r="D1" s="776" t="s">
        <v>12</v>
      </c>
      <c r="E1" s="776" t="s">
        <v>13</v>
      </c>
      <c r="F1" s="776" t="s">
        <v>14</v>
      </c>
      <c r="G1" s="780" t="s">
        <v>186</v>
      </c>
      <c r="H1" s="780" t="s">
        <v>483</v>
      </c>
      <c r="I1" s="781" t="s">
        <v>187</v>
      </c>
      <c r="J1" s="781" t="s">
        <v>484</v>
      </c>
      <c r="K1" s="782" t="s">
        <v>63</v>
      </c>
      <c r="L1" s="784" t="s">
        <v>15</v>
      </c>
      <c r="M1" s="784" t="s">
        <v>16</v>
      </c>
      <c r="N1" s="831" t="s">
        <v>69</v>
      </c>
      <c r="O1" s="776" t="s">
        <v>68</v>
      </c>
      <c r="P1" s="776" t="s">
        <v>17</v>
      </c>
      <c r="Q1" s="776" t="s">
        <v>18</v>
      </c>
      <c r="R1" s="780" t="s">
        <v>19</v>
      </c>
      <c r="S1" s="780" t="s">
        <v>20</v>
      </c>
      <c r="T1" s="780" t="s">
        <v>21</v>
      </c>
      <c r="U1" s="780" t="s">
        <v>22</v>
      </c>
      <c r="V1" s="776" t="s">
        <v>23</v>
      </c>
      <c r="W1" s="780" t="s">
        <v>485</v>
      </c>
      <c r="X1" s="780" t="s">
        <v>486</v>
      </c>
      <c r="Y1" s="791" t="s">
        <v>3</v>
      </c>
      <c r="AA1" s="57" t="s">
        <v>10</v>
      </c>
      <c r="AB1" s="57" t="s">
        <v>11</v>
      </c>
    </row>
    <row r="2" spans="1:28" s="56" customFormat="1" ht="122.25" customHeight="1" thickBot="1">
      <c r="A2" s="777"/>
      <c r="B2" s="777"/>
      <c r="C2" s="777"/>
      <c r="D2" s="777"/>
      <c r="E2" s="777"/>
      <c r="F2" s="777"/>
      <c r="G2" s="781"/>
      <c r="H2" s="781"/>
      <c r="I2" s="833"/>
      <c r="J2" s="833"/>
      <c r="K2" s="783"/>
      <c r="L2" s="785"/>
      <c r="M2" s="785"/>
      <c r="N2" s="832"/>
      <c r="O2" s="777"/>
      <c r="P2" s="777"/>
      <c r="Q2" s="777"/>
      <c r="R2" s="781"/>
      <c r="S2" s="781"/>
      <c r="T2" s="781"/>
      <c r="U2" s="781"/>
      <c r="V2" s="777"/>
      <c r="W2" s="781"/>
      <c r="X2" s="781"/>
      <c r="Y2" s="792"/>
    </row>
    <row r="3" spans="1:28" s="72" customFormat="1" ht="156" customHeight="1">
      <c r="A3" s="795" t="s">
        <v>240</v>
      </c>
      <c r="B3" s="123" t="s">
        <v>133</v>
      </c>
      <c r="C3" s="124">
        <v>5</v>
      </c>
      <c r="D3" s="125" t="str">
        <f>+IFERROR(INDEX([5]CONSOLIDADO!$D$4:$D$91,MATCH('EXP ESPEC. 20-26'!B3,[5]CONSOLIDADO!$C$4:$C$91,0)),"")</f>
        <v>EUROESTUDIOS INGENIEROS DE CONSULTA SA</v>
      </c>
      <c r="E3" s="61" t="s">
        <v>508</v>
      </c>
      <c r="F3" s="62" t="s">
        <v>509</v>
      </c>
      <c r="G3" s="279" t="s">
        <v>10</v>
      </c>
      <c r="H3" s="279" t="s">
        <v>10</v>
      </c>
      <c r="I3" s="279" t="s">
        <v>10</v>
      </c>
      <c r="J3" s="279" t="s">
        <v>11</v>
      </c>
      <c r="K3" s="63">
        <v>0.75</v>
      </c>
      <c r="L3" s="64">
        <v>39521</v>
      </c>
      <c r="M3" s="64">
        <v>40999</v>
      </c>
      <c r="N3" s="130">
        <f>IF(M3="","",YEAR(M3))</f>
        <v>2012</v>
      </c>
      <c r="O3" s="131">
        <f>+IFERROR(INDEX([5]PARÁMETROS!$B$11:$B$37,MATCH(N3,[5]PARÁMETROS!$A$11:$A$37,0)),"")</f>
        <v>566700</v>
      </c>
      <c r="P3" s="67">
        <v>7072964150</v>
      </c>
      <c r="Q3" s="133" t="s">
        <v>25</v>
      </c>
      <c r="R3" s="123" t="s">
        <v>61</v>
      </c>
      <c r="S3" s="134" t="s">
        <v>61</v>
      </c>
      <c r="T3" s="135">
        <v>1</v>
      </c>
      <c r="U3" s="131">
        <f>IF(T3&lt;&gt;"",P3*T3,"")</f>
        <v>7072964150</v>
      </c>
      <c r="V3" s="136">
        <f>+IFERROR(U3/O3,"")</f>
        <v>12480.967266631375</v>
      </c>
      <c r="W3" s="136">
        <f>IFERROR(V3*K3,"")</f>
        <v>9360.7254499735318</v>
      </c>
      <c r="X3" s="168" t="str">
        <f>+IF(W3="","",IF(W3&gt;=[5]PARÁMETROS!$J$5,"CUMPLE","NO CUMPLE"))</f>
        <v>CUMPLE</v>
      </c>
      <c r="Y3" s="138"/>
      <c r="Z3" s="109"/>
    </row>
    <row r="4" spans="1:28" s="72" customFormat="1" ht="72.75" customHeight="1">
      <c r="A4" s="796"/>
      <c r="B4" s="58" t="s">
        <v>133</v>
      </c>
      <c r="C4" s="59">
        <v>22</v>
      </c>
      <c r="D4" s="60" t="str">
        <f>+IFERROR(INDEX([5]CONSOLIDADO!$D$4:$D$91,MATCH('EXP ESPEC. 20-26'!B4,[5]CONSOLIDADO!$C$4:$C$91,0)),"")</f>
        <v>EUROESTUDIOS INGENIEROS DE CONSULTA SA</v>
      </c>
      <c r="E4" s="61" t="s">
        <v>505</v>
      </c>
      <c r="F4" s="61" t="s">
        <v>550</v>
      </c>
      <c r="G4" s="277" t="s">
        <v>10</v>
      </c>
      <c r="H4" s="277" t="s">
        <v>11</v>
      </c>
      <c r="I4" s="277" t="s">
        <v>10</v>
      </c>
      <c r="J4" s="277" t="s">
        <v>11</v>
      </c>
      <c r="K4" s="73">
        <v>1</v>
      </c>
      <c r="L4" s="64">
        <v>38834</v>
      </c>
      <c r="M4" s="64">
        <v>39805</v>
      </c>
      <c r="N4" s="65">
        <f t="shared" ref="N4:N54" si="0">IF(M4="","",YEAR(M4))</f>
        <v>2008</v>
      </c>
      <c r="O4" s="66">
        <f>+IFERROR(INDEX([5]PARÁMETROS!$B$11:$B$37,MATCH(N4,[5]PARÁMETROS!$A$11:$A$37,0)),"")</f>
        <v>461500</v>
      </c>
      <c r="P4" s="428">
        <v>1240314.52</v>
      </c>
      <c r="Q4" s="66" t="s">
        <v>419</v>
      </c>
      <c r="R4" s="58">
        <v>1.39802</v>
      </c>
      <c r="S4" s="70">
        <f>P4*R4</f>
        <v>1733984.5052504002</v>
      </c>
      <c r="T4" s="58">
        <v>2169.83</v>
      </c>
      <c r="U4" s="66">
        <f>+T4*S4</f>
        <v>3762451599.0274758</v>
      </c>
      <c r="V4" s="55">
        <f t="shared" ref="V4:V54" si="1">+IFERROR(U4/O4,"")</f>
        <v>8152.6578527139236</v>
      </c>
      <c r="W4" s="55">
        <f t="shared" ref="W4:W54" si="2">IFERROR(V4*K4,"")</f>
        <v>8152.6578527139236</v>
      </c>
      <c r="X4" s="277" t="str">
        <f>+IF(W4="","",IF(W4&gt;=[5]PARÁMETROS!$J$5,"CUMPLE","NO CUMPLE"))</f>
        <v>CUMPLE</v>
      </c>
      <c r="Y4" s="139"/>
      <c r="Z4" s="109"/>
    </row>
    <row r="5" spans="1:28" s="72" customFormat="1" ht="65.099999999999994" customHeight="1">
      <c r="A5" s="796"/>
      <c r="B5" s="58" t="s">
        <v>132</v>
      </c>
      <c r="C5" s="59">
        <v>26</v>
      </c>
      <c r="D5" s="60" t="str">
        <f>+IFERROR(INDEX([5]CONSOLIDADO!$D$4:$D$91,MATCH('EXP ESPEC. 20-26'!B5,[5]CONSOLIDADO!$C$4:$C$91,0)),"")</f>
        <v>GETINSA INGENIERIA SL SUCURSAL COLOMBIA</v>
      </c>
      <c r="E5" s="61" t="s">
        <v>505</v>
      </c>
      <c r="F5" s="61" t="s">
        <v>507</v>
      </c>
      <c r="G5" s="277" t="s">
        <v>10</v>
      </c>
      <c r="H5" s="277" t="s">
        <v>11</v>
      </c>
      <c r="I5" s="277" t="s">
        <v>10</v>
      </c>
      <c r="J5" s="277" t="s">
        <v>11</v>
      </c>
      <c r="K5" s="73">
        <v>1</v>
      </c>
      <c r="L5" s="64">
        <v>38681</v>
      </c>
      <c r="M5" s="64">
        <v>39777</v>
      </c>
      <c r="N5" s="65">
        <f t="shared" si="0"/>
        <v>2008</v>
      </c>
      <c r="O5" s="66">
        <f>+IFERROR(INDEX([5]PARÁMETROS!$B$11:$B$37,MATCH(N5,[5]PARÁMETROS!$A$11:$A$37,0)),"")</f>
        <v>461500</v>
      </c>
      <c r="P5" s="428">
        <v>763582.06</v>
      </c>
      <c r="Q5" s="66" t="s">
        <v>419</v>
      </c>
      <c r="R5" s="58">
        <v>1.2687600000000001</v>
      </c>
      <c r="S5" s="70">
        <f>+R5*P5</f>
        <v>968802.3744456002</v>
      </c>
      <c r="T5" s="58">
        <v>2314.7199999999998</v>
      </c>
      <c r="U5" s="66">
        <f t="shared" ref="U5:U6" si="3">+T5*S5</f>
        <v>2242506232.1767197</v>
      </c>
      <c r="V5" s="55">
        <f t="shared" si="1"/>
        <v>4859.168433752372</v>
      </c>
      <c r="W5" s="55">
        <f t="shared" si="2"/>
        <v>4859.168433752372</v>
      </c>
      <c r="X5" s="277" t="str">
        <f>+IF(W5="","",IF(W5&gt;=[5]PARÁMETROS!$J$5,"CUMPLE","NO CUMPLE"))</f>
        <v>CUMPLE</v>
      </c>
      <c r="Y5" s="139"/>
      <c r="Z5" s="109"/>
    </row>
    <row r="6" spans="1:28" s="72" customFormat="1" ht="65.099999999999994" customHeight="1" thickBot="1">
      <c r="A6" s="806"/>
      <c r="B6" s="141" t="s">
        <v>132</v>
      </c>
      <c r="C6" s="169">
        <v>33</v>
      </c>
      <c r="D6" s="143" t="str">
        <f>+IFERROR(INDEX([5]CONSOLIDADO!$D$4:$D$91,MATCH('EXP ESPEC. 20-26'!B6,[5]CONSOLIDADO!$C$4:$C$91,0)),"")</f>
        <v>GETINSA INGENIERIA SL SUCURSAL COLOMBIA</v>
      </c>
      <c r="E6" s="144" t="s">
        <v>505</v>
      </c>
      <c r="F6" s="145" t="s">
        <v>506</v>
      </c>
      <c r="G6" s="278" t="s">
        <v>10</v>
      </c>
      <c r="H6" s="278" t="s">
        <v>11</v>
      </c>
      <c r="I6" s="278" t="s">
        <v>10</v>
      </c>
      <c r="J6" s="278" t="s">
        <v>11</v>
      </c>
      <c r="K6" s="146">
        <v>1</v>
      </c>
      <c r="L6" s="147">
        <v>39087</v>
      </c>
      <c r="M6" s="147">
        <v>40334</v>
      </c>
      <c r="N6" s="148">
        <f t="shared" si="0"/>
        <v>2010</v>
      </c>
      <c r="O6" s="149">
        <f>+IFERROR(INDEX([5]PARÁMETROS!$B$11:$B$37,MATCH(N6,[5]PARÁMETROS!$A$11:$A$37,0)),"")</f>
        <v>515000</v>
      </c>
      <c r="P6" s="438">
        <v>1306037.8500000001</v>
      </c>
      <c r="Q6" s="151" t="s">
        <v>419</v>
      </c>
      <c r="R6" s="141">
        <v>1.2085600000000001</v>
      </c>
      <c r="S6" s="153">
        <f>+R6*P6</f>
        <v>1578425.1039960003</v>
      </c>
      <c r="T6" s="141">
        <v>1965.83</v>
      </c>
      <c r="U6" s="439">
        <f t="shared" si="3"/>
        <v>3102915422.188457</v>
      </c>
      <c r="V6" s="154">
        <f t="shared" si="1"/>
        <v>6025.0784896863242</v>
      </c>
      <c r="W6" s="154">
        <f t="shared" si="2"/>
        <v>6025.0784896863242</v>
      </c>
      <c r="X6" s="278" t="str">
        <f>+IF(W6="","",IF(W6&gt;=[5]PARÁMETROS!$J$5,"CUMPLE","NO CUMPLE"))</f>
        <v>CUMPLE</v>
      </c>
      <c r="Y6" s="170"/>
      <c r="Z6" s="109"/>
    </row>
    <row r="7" spans="1:28" s="72" customFormat="1" ht="57">
      <c r="A7" s="808" t="s">
        <v>254</v>
      </c>
      <c r="B7" s="110" t="s">
        <v>135</v>
      </c>
      <c r="C7" s="124">
        <v>6</v>
      </c>
      <c r="D7" s="112" t="str">
        <f>+IFERROR(INDEX([5]CONSOLIDADO!$D$4:$D$91,MATCH('EXP ESPEC. 20-26'!B7,[5]CONSOLIDADO!$C$4:$C$91,0)),"")</f>
        <v>CANO JIMENEZ ESTUDIOS SA</v>
      </c>
      <c r="E7" s="113" t="s">
        <v>397</v>
      </c>
      <c r="F7" s="114" t="s">
        <v>512</v>
      </c>
      <c r="G7" s="280" t="s">
        <v>10</v>
      </c>
      <c r="H7" s="280" t="s">
        <v>10</v>
      </c>
      <c r="I7" s="280" t="s">
        <v>10</v>
      </c>
      <c r="J7" s="280" t="s">
        <v>11</v>
      </c>
      <c r="K7" s="115">
        <v>1</v>
      </c>
      <c r="L7" s="116">
        <v>38622</v>
      </c>
      <c r="M7" s="116">
        <v>39930</v>
      </c>
      <c r="N7" s="160">
        <f t="shared" si="0"/>
        <v>2009</v>
      </c>
      <c r="O7" s="117">
        <f>+IFERROR(INDEX([5]PARÁMETROS!$B$11:$B$37,MATCH(N7,[5]PARÁMETROS!$A$11:$A$37,0)),"")</f>
        <v>496900</v>
      </c>
      <c r="P7" s="118">
        <v>7034470356</v>
      </c>
      <c r="Q7" s="119" t="s">
        <v>25</v>
      </c>
      <c r="R7" s="110" t="s">
        <v>346</v>
      </c>
      <c r="S7" s="120" t="s">
        <v>346</v>
      </c>
      <c r="T7" s="121">
        <v>1</v>
      </c>
      <c r="U7" s="117">
        <f t="shared" ref="U7:U54" si="4">IF(T7&lt;&gt;"",P7*T7,"")</f>
        <v>7034470356</v>
      </c>
      <c r="V7" s="122">
        <f t="shared" si="1"/>
        <v>14156.712328436304</v>
      </c>
      <c r="W7" s="122">
        <f t="shared" si="2"/>
        <v>14156.712328436304</v>
      </c>
      <c r="X7" s="168" t="str">
        <f>+IF(W7="","",IF(W7&gt;=[5]PARÁMETROS!$J$5,"CUMPLE","NO CUMPLE"))</f>
        <v>CUMPLE</v>
      </c>
      <c r="Y7" s="167"/>
      <c r="Z7" s="109"/>
    </row>
    <row r="8" spans="1:28" s="72" customFormat="1" ht="57">
      <c r="A8" s="796"/>
      <c r="B8" s="58" t="s">
        <v>135</v>
      </c>
      <c r="C8" s="59">
        <v>14</v>
      </c>
      <c r="D8" s="60" t="str">
        <f>+IFERROR(INDEX([5]CONSOLIDADO!$D$4:$D$91,MATCH('EXP ESPEC. 20-26'!B8,[5]CONSOLIDADO!$C$4:$C$91,0)),"")</f>
        <v>CANO JIMENEZ ESTUDIOS SA</v>
      </c>
      <c r="E8" s="61" t="s">
        <v>397</v>
      </c>
      <c r="F8" s="62" t="s">
        <v>513</v>
      </c>
      <c r="G8" s="277" t="s">
        <v>10</v>
      </c>
      <c r="H8" s="277" t="s">
        <v>10</v>
      </c>
      <c r="I8" s="277" t="s">
        <v>10</v>
      </c>
      <c r="J8" s="277" t="s">
        <v>11</v>
      </c>
      <c r="K8" s="63">
        <v>1</v>
      </c>
      <c r="L8" s="64">
        <v>39909</v>
      </c>
      <c r="M8" s="64">
        <v>41186</v>
      </c>
      <c r="N8" s="65">
        <f t="shared" si="0"/>
        <v>2012</v>
      </c>
      <c r="O8" s="66">
        <f>+IFERROR(INDEX([5]PARÁMETROS!$B$11:$B$37,MATCH(N8,[5]PARÁMETROS!$A$11:$A$37,0)),"")</f>
        <v>566700</v>
      </c>
      <c r="P8" s="67">
        <v>10196799946</v>
      </c>
      <c r="Q8" s="68" t="s">
        <v>25</v>
      </c>
      <c r="R8" s="58" t="s">
        <v>346</v>
      </c>
      <c r="S8" s="69" t="s">
        <v>346</v>
      </c>
      <c r="T8" s="70">
        <v>1</v>
      </c>
      <c r="U8" s="66">
        <f t="shared" si="4"/>
        <v>10196799946</v>
      </c>
      <c r="V8" s="55">
        <f t="shared" si="1"/>
        <v>17993.294416799014</v>
      </c>
      <c r="W8" s="55">
        <f t="shared" si="2"/>
        <v>17993.294416799014</v>
      </c>
      <c r="X8" s="277" t="str">
        <f>+IF(W8="","",IF(W8&gt;=[5]PARÁMETROS!$J$5,"CUMPLE","NO CUMPLE"))</f>
        <v>CUMPLE</v>
      </c>
      <c r="Y8" s="139"/>
      <c r="Z8" s="109"/>
    </row>
    <row r="9" spans="1:28" s="72" customFormat="1" ht="57">
      <c r="A9" s="796"/>
      <c r="B9" s="58" t="s">
        <v>135</v>
      </c>
      <c r="C9" s="59">
        <v>21</v>
      </c>
      <c r="D9" s="60" t="str">
        <f>+IFERROR(INDEX([5]CONSOLIDADO!$D$4:$D$91,MATCH('EXP ESPEC. 20-26'!B9,[5]CONSOLIDADO!$C$4:$C$91,0)),"")</f>
        <v>CANO JIMENEZ ESTUDIOS SA</v>
      </c>
      <c r="E9" s="61" t="s">
        <v>551</v>
      </c>
      <c r="F9" s="62" t="s">
        <v>514</v>
      </c>
      <c r="G9" s="277" t="s">
        <v>10</v>
      </c>
      <c r="H9" s="277" t="s">
        <v>10</v>
      </c>
      <c r="I9" s="277" t="s">
        <v>10</v>
      </c>
      <c r="J9" s="277" t="s">
        <v>11</v>
      </c>
      <c r="K9" s="63">
        <v>1</v>
      </c>
      <c r="L9" s="64">
        <v>39542</v>
      </c>
      <c r="M9" s="64">
        <v>40669</v>
      </c>
      <c r="N9" s="65">
        <f t="shared" si="0"/>
        <v>2011</v>
      </c>
      <c r="O9" s="66">
        <f>+IFERROR(INDEX([5]PARÁMETROS!$B$11:$B$37,MATCH(N9,[5]PARÁMETROS!$A$11:$A$37,0)),"")</f>
        <v>535600</v>
      </c>
      <c r="P9" s="67">
        <v>4384894733</v>
      </c>
      <c r="Q9" s="68" t="s">
        <v>25</v>
      </c>
      <c r="R9" s="58" t="s">
        <v>346</v>
      </c>
      <c r="S9" s="69" t="s">
        <v>346</v>
      </c>
      <c r="T9" s="70">
        <v>1</v>
      </c>
      <c r="U9" s="66">
        <f t="shared" si="4"/>
        <v>4384894733</v>
      </c>
      <c r="V9" s="55">
        <f t="shared" si="1"/>
        <v>8186.8833700522782</v>
      </c>
      <c r="W9" s="55">
        <f t="shared" si="2"/>
        <v>8186.8833700522782</v>
      </c>
      <c r="X9" s="277" t="str">
        <f>+IF(W9="","",IF(W9&gt;=[5]PARÁMETROS!$J$5,"CUMPLE","NO CUMPLE"))</f>
        <v>CUMPLE</v>
      </c>
      <c r="Y9" s="139"/>
      <c r="Z9" s="109"/>
    </row>
    <row r="10" spans="1:28" s="72" customFormat="1" ht="72" thickBot="1">
      <c r="A10" s="796"/>
      <c r="B10" s="58" t="s">
        <v>135</v>
      </c>
      <c r="C10" s="169">
        <v>23</v>
      </c>
      <c r="D10" s="60" t="str">
        <f>+IFERROR(INDEX([5]CONSOLIDADO!$D$4:$D$91,MATCH('EXP ESPEC. 20-26'!B10,[5]CONSOLIDADO!$C$4:$C$91,0)),"")</f>
        <v>CANO JIMENEZ ESTUDIOS SA</v>
      </c>
      <c r="E10" s="61" t="s">
        <v>551</v>
      </c>
      <c r="F10" s="62" t="s">
        <v>552</v>
      </c>
      <c r="G10" s="277" t="s">
        <v>10</v>
      </c>
      <c r="H10" s="277" t="s">
        <v>10</v>
      </c>
      <c r="I10" s="277" t="s">
        <v>10</v>
      </c>
      <c r="J10" s="277" t="s">
        <v>11</v>
      </c>
      <c r="K10" s="63">
        <v>1</v>
      </c>
      <c r="L10" s="64">
        <v>39906</v>
      </c>
      <c r="M10" s="64">
        <v>41482</v>
      </c>
      <c r="N10" s="65">
        <f t="shared" si="0"/>
        <v>2013</v>
      </c>
      <c r="O10" s="66">
        <f>+IFERROR(INDEX([5]PARÁMETROS!$B$11:$B$37,MATCH(N10,[5]PARÁMETROS!$A$11:$A$37,0)),"")</f>
        <v>589500</v>
      </c>
      <c r="P10" s="67">
        <v>3610468316</v>
      </c>
      <c r="Q10" s="68" t="s">
        <v>25</v>
      </c>
      <c r="R10" s="58" t="s">
        <v>346</v>
      </c>
      <c r="S10" s="69" t="s">
        <v>346</v>
      </c>
      <c r="T10" s="70">
        <v>1</v>
      </c>
      <c r="U10" s="66">
        <f t="shared" si="4"/>
        <v>3610468316</v>
      </c>
      <c r="V10" s="55">
        <f t="shared" si="1"/>
        <v>6124.6281865988121</v>
      </c>
      <c r="W10" s="55">
        <f t="shared" si="2"/>
        <v>6124.6281865988121</v>
      </c>
      <c r="X10" s="278" t="str">
        <f>+IF(W10="","",IF(W10&gt;=[5]PARÁMETROS!$J$5,"CUMPLE","NO CUMPLE"))</f>
        <v>CUMPLE</v>
      </c>
      <c r="Y10" s="139"/>
      <c r="Z10" s="109"/>
    </row>
    <row r="11" spans="1:28" s="72" customFormat="1" ht="71.25">
      <c r="A11" s="795" t="s">
        <v>258</v>
      </c>
      <c r="B11" s="123" t="s">
        <v>136</v>
      </c>
      <c r="C11" s="124">
        <v>5</v>
      </c>
      <c r="D11" s="125" t="str">
        <f>+IFERROR(INDEX([5]CONSOLIDADO!$D$4:$D$91,MATCH('EXP ESPEC. 20-26'!B11,[5]CONSOLIDADO!$C$4:$C$91,0)),"")</f>
        <v>MAB INGENIERIA DE VALOR S.A.</v>
      </c>
      <c r="E11" s="126" t="s">
        <v>27</v>
      </c>
      <c r="F11" s="127" t="s">
        <v>516</v>
      </c>
      <c r="G11" s="279" t="s">
        <v>10</v>
      </c>
      <c r="H11" s="279" t="s">
        <v>11</v>
      </c>
      <c r="I11" s="279" t="s">
        <v>10</v>
      </c>
      <c r="J11" s="279" t="s">
        <v>11</v>
      </c>
      <c r="K11" s="128">
        <v>0.7</v>
      </c>
      <c r="L11" s="129">
        <v>39615</v>
      </c>
      <c r="M11" s="129">
        <v>41502</v>
      </c>
      <c r="N11" s="130">
        <f t="shared" si="0"/>
        <v>2013</v>
      </c>
      <c r="O11" s="131">
        <f>+IFERROR(INDEX([5]PARÁMETROS!$B$11:$B$37,MATCH(N11,[5]PARÁMETROS!$A$11:$A$37,0)),"")</f>
        <v>589500</v>
      </c>
      <c r="P11" s="132">
        <v>28736581560</v>
      </c>
      <c r="Q11" s="133" t="s">
        <v>25</v>
      </c>
      <c r="R11" s="123" t="s">
        <v>346</v>
      </c>
      <c r="S11" s="134" t="s">
        <v>346</v>
      </c>
      <c r="T11" s="135">
        <v>1</v>
      </c>
      <c r="U11" s="131">
        <f t="shared" si="4"/>
        <v>28736581560</v>
      </c>
      <c r="V11" s="136">
        <f t="shared" si="1"/>
        <v>48747.381781170487</v>
      </c>
      <c r="W11" s="136">
        <f t="shared" si="2"/>
        <v>34123.167246819336</v>
      </c>
      <c r="X11" s="168" t="str">
        <f>+IF(W11="","",IF(W11&gt;=[5]PARÁMETROS!$J$5,"CUMPLE","NO CUMPLE"))</f>
        <v>CUMPLE</v>
      </c>
      <c r="Y11" s="138"/>
      <c r="Z11" s="109"/>
    </row>
    <row r="12" spans="1:28" s="72" customFormat="1" ht="99.75">
      <c r="A12" s="796"/>
      <c r="B12" s="58" t="s">
        <v>136</v>
      </c>
      <c r="C12" s="59">
        <v>15</v>
      </c>
      <c r="D12" s="60" t="str">
        <f>+IFERROR(INDEX([5]CONSOLIDADO!$D$4:$D$91,MATCH('EXP ESPEC. 20-26'!B12,[5]CONSOLIDADO!$C$4:$C$91,0)),"")</f>
        <v>MAB INGENIERIA DE VALOR S.A.</v>
      </c>
      <c r="E12" s="61" t="s">
        <v>508</v>
      </c>
      <c r="F12" s="61" t="s">
        <v>553</v>
      </c>
      <c r="G12" s="277" t="s">
        <v>10</v>
      </c>
      <c r="H12" s="277" t="s">
        <v>10</v>
      </c>
      <c r="I12" s="277" t="s">
        <v>10</v>
      </c>
      <c r="J12" s="277" t="s">
        <v>11</v>
      </c>
      <c r="K12" s="73">
        <v>0.4</v>
      </c>
      <c r="L12" s="64">
        <v>40567</v>
      </c>
      <c r="M12" s="64" t="s">
        <v>422</v>
      </c>
      <c r="N12" s="65">
        <v>2015</v>
      </c>
      <c r="O12" s="66">
        <f>+IFERROR(INDEX([5]PARÁMETROS!$B$11:$B$37,MATCH(N12,[5]PARÁMETROS!$A$11:$A$37,0)),"")</f>
        <v>644350</v>
      </c>
      <c r="P12" s="74">
        <v>39896268072</v>
      </c>
      <c r="Q12" s="66" t="s">
        <v>25</v>
      </c>
      <c r="R12" s="58" t="s">
        <v>346</v>
      </c>
      <c r="S12" s="69" t="s">
        <v>346</v>
      </c>
      <c r="T12" s="70">
        <v>1</v>
      </c>
      <c r="U12" s="66">
        <f t="shared" si="4"/>
        <v>39896268072</v>
      </c>
      <c r="V12" s="55">
        <f t="shared" si="1"/>
        <v>61917.076234965469</v>
      </c>
      <c r="W12" s="55">
        <f t="shared" si="2"/>
        <v>24766.830493986188</v>
      </c>
      <c r="X12" s="277" t="str">
        <f>+IF(W12="","",IF(W12&gt;=[5]PARÁMETROS!$J$5,"CUMPLE","NO CUMPLE"))</f>
        <v>CUMPLE</v>
      </c>
      <c r="Y12" s="139"/>
      <c r="Z12" s="109"/>
    </row>
    <row r="13" spans="1:28" s="72" customFormat="1" ht="57">
      <c r="A13" s="796"/>
      <c r="B13" s="58" t="s">
        <v>136</v>
      </c>
      <c r="C13" s="59">
        <v>27</v>
      </c>
      <c r="D13" s="60" t="str">
        <f>+IFERROR(INDEX([5]CONSOLIDADO!$D$4:$D$91,MATCH('EXP ESPEC. 20-26'!B13,[5]CONSOLIDADO!$C$4:$C$91,0)),"")</f>
        <v>MAB INGENIERIA DE VALOR S.A.</v>
      </c>
      <c r="E13" s="61" t="s">
        <v>371</v>
      </c>
      <c r="F13" s="61" t="s">
        <v>517</v>
      </c>
      <c r="G13" s="277" t="s">
        <v>10</v>
      </c>
      <c r="H13" s="277" t="s">
        <v>11</v>
      </c>
      <c r="I13" s="277" t="s">
        <v>10</v>
      </c>
      <c r="J13" s="277" t="s">
        <v>11</v>
      </c>
      <c r="K13" s="73">
        <v>0.55000000000000004</v>
      </c>
      <c r="L13" s="64">
        <v>39856</v>
      </c>
      <c r="M13" s="64">
        <v>40979</v>
      </c>
      <c r="N13" s="65">
        <f t="shared" si="0"/>
        <v>2012</v>
      </c>
      <c r="O13" s="66">
        <f>+IFERROR(INDEX([5]PARÁMETROS!$B$11:$B$37,MATCH(N13,[5]PARÁMETROS!$A$11:$A$37,0)),"")</f>
        <v>566700</v>
      </c>
      <c r="P13" s="74">
        <v>3720919329.1999998</v>
      </c>
      <c r="Q13" s="68" t="s">
        <v>25</v>
      </c>
      <c r="R13" s="58" t="s">
        <v>346</v>
      </c>
      <c r="S13" s="69" t="s">
        <v>346</v>
      </c>
      <c r="T13" s="70">
        <v>1</v>
      </c>
      <c r="U13" s="66">
        <f t="shared" si="4"/>
        <v>3720919329.1999998</v>
      </c>
      <c r="V13" s="55">
        <f t="shared" si="1"/>
        <v>6565.9419961178755</v>
      </c>
      <c r="W13" s="55">
        <f t="shared" si="2"/>
        <v>3611.2680978648318</v>
      </c>
      <c r="X13" s="277" t="str">
        <f>+IF(W13="","",IF(W13&gt;=[5]PARÁMETROS!$J$5,"CUMPLE","NO CUMPLE"))</f>
        <v>CUMPLE</v>
      </c>
      <c r="Y13" s="139"/>
      <c r="Z13" s="109"/>
    </row>
    <row r="14" spans="1:28" s="72" customFormat="1" ht="57.75" thickBot="1">
      <c r="A14" s="796"/>
      <c r="B14" s="58" t="s">
        <v>137</v>
      </c>
      <c r="C14" s="169">
        <v>37</v>
      </c>
      <c r="D14" s="60" t="str">
        <f>+IFERROR(INDEX([5]CONSOLIDADO!$D$4:$D$91,MATCH('EXP ESPEC. 20-26'!B14,[5]CONSOLIDADO!$C$4:$C$91,0)),"")</f>
        <v>PROYECTOS Y ESTRUCTURAS ESPECIALES S.A</v>
      </c>
      <c r="E14" s="61" t="s">
        <v>518</v>
      </c>
      <c r="F14" s="76" t="s">
        <v>519</v>
      </c>
      <c r="G14" s="277" t="s">
        <v>11</v>
      </c>
      <c r="H14" s="277" t="s">
        <v>11</v>
      </c>
      <c r="I14" s="277" t="s">
        <v>10</v>
      </c>
      <c r="J14" s="277" t="s">
        <v>11</v>
      </c>
      <c r="K14" s="63">
        <v>1</v>
      </c>
      <c r="L14" s="64">
        <v>39673</v>
      </c>
      <c r="M14" s="64">
        <v>40678</v>
      </c>
      <c r="N14" s="65">
        <f t="shared" si="0"/>
        <v>2011</v>
      </c>
      <c r="O14" s="66">
        <f>+IFERROR(INDEX([5]PARÁMETROS!$B$11:$B$37,MATCH(N14,[5]PARÁMETROS!$A$11:$A$37,0)),"")</f>
        <v>535600</v>
      </c>
      <c r="P14" s="67">
        <v>3323000000</v>
      </c>
      <c r="Q14" s="68" t="s">
        <v>520</v>
      </c>
      <c r="R14" s="433">
        <v>1</v>
      </c>
      <c r="S14" s="69">
        <v>3323000000</v>
      </c>
      <c r="T14" s="433">
        <v>1805.37</v>
      </c>
      <c r="U14" s="66">
        <f>IF(T14&lt;&gt;"",S14*T14,"")</f>
        <v>5999244510000</v>
      </c>
      <c r="V14" s="55">
        <f t="shared" si="1"/>
        <v>11200979.29424944</v>
      </c>
      <c r="W14" s="55">
        <f t="shared" si="2"/>
        <v>11200979.29424944</v>
      </c>
      <c r="X14" s="278" t="s">
        <v>747</v>
      </c>
      <c r="Y14" s="139"/>
      <c r="Z14" s="109"/>
    </row>
    <row r="15" spans="1:28" s="72" customFormat="1" ht="78.75">
      <c r="A15" s="795" t="s">
        <v>261</v>
      </c>
      <c r="B15" s="123" t="s">
        <v>138</v>
      </c>
      <c r="C15" s="124">
        <v>3</v>
      </c>
      <c r="D15" s="125" t="str">
        <f>+IFERROR(INDEX([5]CONSOLIDADO!$D$4:$D$91,MATCH('EXP ESPEC. 20-26'!B15,[5]CONSOLIDADO!$C$4:$C$91,0)),"")</f>
        <v>AYESA COLOMBIA INGENIERIA Y ARQUITECTURA SAS</v>
      </c>
      <c r="E15" s="126" t="s">
        <v>505</v>
      </c>
      <c r="F15" s="127" t="s">
        <v>554</v>
      </c>
      <c r="G15" s="279" t="s">
        <v>10</v>
      </c>
      <c r="H15" s="279" t="s">
        <v>11</v>
      </c>
      <c r="I15" s="279" t="s">
        <v>10</v>
      </c>
      <c r="J15" s="279" t="s">
        <v>11</v>
      </c>
      <c r="K15" s="128">
        <v>1</v>
      </c>
      <c r="L15" s="129">
        <v>38240</v>
      </c>
      <c r="M15" s="129">
        <v>39000</v>
      </c>
      <c r="N15" s="130">
        <f t="shared" si="0"/>
        <v>2006</v>
      </c>
      <c r="O15" s="131">
        <f>+IFERROR(INDEX([5]PARÁMETROS!$B$11:$B$37,MATCH(N15,[5]PARÁMETROS!$A$11:$A$37,0)),"")</f>
        <v>408000</v>
      </c>
      <c r="P15" s="440">
        <v>853279.99</v>
      </c>
      <c r="Q15" s="133" t="s">
        <v>419</v>
      </c>
      <c r="R15" s="123">
        <v>1.25972</v>
      </c>
      <c r="S15" s="134">
        <f>+R15*P15</f>
        <v>1074893.8690028</v>
      </c>
      <c r="T15" s="123">
        <v>2395.23</v>
      </c>
      <c r="U15" s="131">
        <f>+T15*S15</f>
        <v>2574618041.8515768</v>
      </c>
      <c r="V15" s="136">
        <f t="shared" si="1"/>
        <v>6310.3383378715116</v>
      </c>
      <c r="W15" s="136">
        <f t="shared" si="2"/>
        <v>6310.3383378715116</v>
      </c>
      <c r="X15" s="168" t="str">
        <f>+IF(W15="","",IF(W15&gt;=[5]PARÁMETROS!$J$5,"CUMPLE","NO CUMPLE"))</f>
        <v>CUMPLE</v>
      </c>
      <c r="Y15" s="138"/>
      <c r="Z15" s="427"/>
      <c r="AA15" s="67"/>
    </row>
    <row r="16" spans="1:28" s="72" customFormat="1" ht="78.75">
      <c r="A16" s="796"/>
      <c r="B16" s="58" t="s">
        <v>138</v>
      </c>
      <c r="C16" s="59">
        <v>8</v>
      </c>
      <c r="D16" s="60" t="str">
        <f>+IFERROR(INDEX([5]CONSOLIDADO!$D$4:$D$91,MATCH('EXP ESPEC. 20-26'!B16,[5]CONSOLIDADO!$C$4:$C$91,0)),"")</f>
        <v>AYESA COLOMBIA INGENIERIA Y ARQUITECTURA SAS</v>
      </c>
      <c r="E16" s="61" t="s">
        <v>505</v>
      </c>
      <c r="F16" s="62" t="s">
        <v>555</v>
      </c>
      <c r="G16" s="277" t="s">
        <v>10</v>
      </c>
      <c r="H16" s="277" t="s">
        <v>11</v>
      </c>
      <c r="I16" s="277" t="s">
        <v>10</v>
      </c>
      <c r="J16" s="277" t="s">
        <v>11</v>
      </c>
      <c r="K16" s="63">
        <v>1</v>
      </c>
      <c r="L16" s="64">
        <v>38250</v>
      </c>
      <c r="M16" s="64">
        <v>39112</v>
      </c>
      <c r="N16" s="65">
        <f t="shared" si="0"/>
        <v>2007</v>
      </c>
      <c r="O16" s="66">
        <f>+IFERROR(INDEX([5]PARÁMETROS!$B$11:$B$37,MATCH(N16,[5]PARÁMETROS!$A$11:$A$37,0)),"")</f>
        <v>433700</v>
      </c>
      <c r="P16" s="441">
        <v>845866.1</v>
      </c>
      <c r="Q16" s="68" t="s">
        <v>419</v>
      </c>
      <c r="R16" s="58">
        <v>1.2919400000000001</v>
      </c>
      <c r="S16" s="69">
        <f>+R16*P16</f>
        <v>1092808.249234</v>
      </c>
      <c r="T16" s="58">
        <v>2261.2199999999998</v>
      </c>
      <c r="U16" s="66">
        <f>+T16*S16</f>
        <v>2471079869.3329053</v>
      </c>
      <c r="V16" s="55">
        <f t="shared" si="1"/>
        <v>5697.6709000066985</v>
      </c>
      <c r="W16" s="55">
        <f t="shared" si="2"/>
        <v>5697.6709000066985</v>
      </c>
      <c r="X16" s="277" t="str">
        <f>+IF(W16="","",IF(W16&gt;=[5]PARÁMETROS!$J$5,"CUMPLE","NO CUMPLE"))</f>
        <v>CUMPLE</v>
      </c>
      <c r="Y16" s="139"/>
      <c r="Z16" s="427"/>
      <c r="AA16" s="67"/>
    </row>
    <row r="17" spans="1:27" s="72" customFormat="1" ht="78.75">
      <c r="A17" s="796"/>
      <c r="B17" s="58" t="s">
        <v>138</v>
      </c>
      <c r="C17" s="59">
        <v>13</v>
      </c>
      <c r="D17" s="60" t="str">
        <f>+IFERROR(INDEX([5]CONSOLIDADO!$D$4:$D$91,MATCH('EXP ESPEC. 20-26'!B17,[5]CONSOLIDADO!$C$4:$C$91,0)),"")</f>
        <v>AYESA COLOMBIA INGENIERIA Y ARQUITECTURA SAS</v>
      </c>
      <c r="E17" s="61" t="s">
        <v>556</v>
      </c>
      <c r="F17" s="62" t="s">
        <v>557</v>
      </c>
      <c r="G17" s="277" t="s">
        <v>11</v>
      </c>
      <c r="H17" s="277" t="s">
        <v>11</v>
      </c>
      <c r="I17" s="277" t="s">
        <v>10</v>
      </c>
      <c r="J17" s="277" t="s">
        <v>11</v>
      </c>
      <c r="K17" s="63">
        <v>1</v>
      </c>
      <c r="L17" s="64">
        <v>38632</v>
      </c>
      <c r="M17" s="64">
        <v>39423</v>
      </c>
      <c r="N17" s="65">
        <f t="shared" si="0"/>
        <v>2007</v>
      </c>
      <c r="O17" s="66">
        <f>+IFERROR(INDEX([5]PARÁMETROS!$B$11:$B$37,MATCH(N17,[5]PARÁMETROS!$A$11:$A$37,0)),"")</f>
        <v>433700</v>
      </c>
      <c r="P17" s="441">
        <v>685995.58</v>
      </c>
      <c r="Q17" s="68" t="s">
        <v>419</v>
      </c>
      <c r="R17" s="58">
        <v>1.4601200000000001</v>
      </c>
      <c r="S17" s="69">
        <f>+R17*P17</f>
        <v>1001635.8662696</v>
      </c>
      <c r="T17" s="58">
        <v>2023.18</v>
      </c>
      <c r="U17" s="66">
        <f>+T17*S17</f>
        <v>2026489651.9193294</v>
      </c>
      <c r="V17" s="55">
        <f t="shared" si="1"/>
        <v>4672.5608759956867</v>
      </c>
      <c r="W17" s="55">
        <f t="shared" si="2"/>
        <v>4672.5608759956867</v>
      </c>
      <c r="X17" s="277" t="str">
        <f>+IF(W17="","",IF(W17&gt;=[5]PARÁMETROS!$J$5,"CUMPLE","NO CUMPLE"))</f>
        <v>CUMPLE</v>
      </c>
      <c r="Y17" s="139"/>
      <c r="Z17" s="427"/>
      <c r="AA17" s="67"/>
    </row>
    <row r="18" spans="1:27" s="72" customFormat="1" ht="57.75" thickBot="1">
      <c r="A18" s="796"/>
      <c r="B18" s="58" t="s">
        <v>139</v>
      </c>
      <c r="C18" s="169">
        <v>23</v>
      </c>
      <c r="D18" s="60" t="str">
        <f>+IFERROR(INDEX([5]CONSOLIDADO!$D$4:$D$91,MATCH('EXP ESPEC. 20-26'!B18,[5]CONSOLIDADO!$C$4:$C$91,0)),"")</f>
        <v>INTERSA SA</v>
      </c>
      <c r="E18" s="61" t="s">
        <v>508</v>
      </c>
      <c r="F18" s="62" t="s">
        <v>523</v>
      </c>
      <c r="G18" s="277" t="s">
        <v>10</v>
      </c>
      <c r="H18" s="277" t="s">
        <v>10</v>
      </c>
      <c r="I18" s="277" t="s">
        <v>10</v>
      </c>
      <c r="J18" s="277" t="s">
        <v>11</v>
      </c>
      <c r="K18" s="63">
        <v>0.5</v>
      </c>
      <c r="L18" s="64">
        <v>38772</v>
      </c>
      <c r="M18" s="64">
        <v>40656</v>
      </c>
      <c r="N18" s="65">
        <f t="shared" si="0"/>
        <v>2011</v>
      </c>
      <c r="O18" s="66">
        <f>+IFERROR(INDEX([5]PARÁMETROS!$B$11:$B$37,MATCH(N18,[5]PARÁMETROS!$A$11:$A$37,0)),"")</f>
        <v>535600</v>
      </c>
      <c r="P18" s="67">
        <f>2886785280+115909520+305080445+1344546519+141503092</f>
        <v>4793824856</v>
      </c>
      <c r="Q18" s="68" t="s">
        <v>25</v>
      </c>
      <c r="R18" s="58" t="s">
        <v>346</v>
      </c>
      <c r="S18" s="69" t="s">
        <v>346</v>
      </c>
      <c r="T18" s="70">
        <v>1</v>
      </c>
      <c r="U18" s="66">
        <f t="shared" si="4"/>
        <v>4793824856</v>
      </c>
      <c r="V18" s="55">
        <f t="shared" si="1"/>
        <v>8950.3824794622851</v>
      </c>
      <c r="W18" s="55">
        <f t="shared" si="2"/>
        <v>4475.1912397311426</v>
      </c>
      <c r="X18" s="278" t="str">
        <f>+IF(W18="","",IF(W18&gt;=[5]PARÁMETROS!$J$5,"CUMPLE","NO CUMPLE"))</f>
        <v>CUMPLE</v>
      </c>
      <c r="Y18" s="139"/>
      <c r="Z18" s="109"/>
    </row>
    <row r="19" spans="1:27" s="72" customFormat="1" ht="57">
      <c r="A19" s="795" t="s">
        <v>265</v>
      </c>
      <c r="B19" s="123" t="s">
        <v>269</v>
      </c>
      <c r="C19" s="124">
        <v>7</v>
      </c>
      <c r="D19" s="125" t="str">
        <f>+IFERROR(INDEX([5]CONSOLIDADO!$D$4:$D$91,MATCH('EXP ESPEC. 20-26'!B19,[5]CONSOLIDADO!$C$4:$C$91,0)),"")</f>
        <v>TOP SUELOS INGENIERIA S.A.S.</v>
      </c>
      <c r="E19" s="126" t="s">
        <v>371</v>
      </c>
      <c r="F19" s="127" t="s">
        <v>530</v>
      </c>
      <c r="G19" s="279" t="s">
        <v>10</v>
      </c>
      <c r="H19" s="279" t="s">
        <v>11</v>
      </c>
      <c r="I19" s="279" t="s">
        <v>10</v>
      </c>
      <c r="J19" s="279" t="s">
        <v>11</v>
      </c>
      <c r="K19" s="128">
        <v>0.6</v>
      </c>
      <c r="L19" s="129">
        <v>40064</v>
      </c>
      <c r="M19" s="129">
        <v>41999</v>
      </c>
      <c r="N19" s="130">
        <f t="shared" si="0"/>
        <v>2014</v>
      </c>
      <c r="O19" s="131">
        <f>+IFERROR(INDEX([5]PARÁMETROS!$B$11:$B$37,MATCH(N19,[5]PARÁMETROS!$A$11:$A$37,0)),"")</f>
        <v>616000</v>
      </c>
      <c r="P19" s="132">
        <v>8501000000</v>
      </c>
      <c r="Q19" s="133" t="s">
        <v>25</v>
      </c>
      <c r="R19" s="123" t="s">
        <v>346</v>
      </c>
      <c r="S19" s="134" t="s">
        <v>346</v>
      </c>
      <c r="T19" s="135">
        <v>1</v>
      </c>
      <c r="U19" s="131">
        <f t="shared" si="4"/>
        <v>8501000000</v>
      </c>
      <c r="V19" s="136">
        <f t="shared" si="1"/>
        <v>13800.324675324675</v>
      </c>
      <c r="W19" s="136">
        <f t="shared" si="2"/>
        <v>8280.1948051948038</v>
      </c>
      <c r="X19" s="168" t="str">
        <f>+IF(W19="","",IF(W19&gt;=[5]PARÁMETROS!$J$5,"CUMPLE","NO CUMPLE"))</f>
        <v>CUMPLE</v>
      </c>
      <c r="Y19" s="138"/>
      <c r="Z19" s="109"/>
    </row>
    <row r="20" spans="1:27" s="72" customFormat="1" ht="71.25">
      <c r="A20" s="796"/>
      <c r="B20" s="58" t="s">
        <v>142</v>
      </c>
      <c r="C20" s="59">
        <v>15</v>
      </c>
      <c r="D20" s="60" t="str">
        <f>+IFERROR(INDEX([5]CONSOLIDADO!$D$4:$D$91,MATCH('EXP ESPEC. 20-26'!B20,[5]CONSOLIDADO!$C$4:$C$91,0)),"")</f>
        <v>PROYECTOS CONTRUCCIONES CIVILES Y VIALES LTDA</v>
      </c>
      <c r="E20" s="61" t="s">
        <v>371</v>
      </c>
      <c r="F20" s="62" t="s">
        <v>528</v>
      </c>
      <c r="G20" s="277" t="s">
        <v>10</v>
      </c>
      <c r="H20" s="277" t="s">
        <v>10</v>
      </c>
      <c r="I20" s="277" t="s">
        <v>10</v>
      </c>
      <c r="J20" s="277" t="s">
        <v>11</v>
      </c>
      <c r="K20" s="63">
        <v>0.5</v>
      </c>
      <c r="L20" s="64">
        <v>35076</v>
      </c>
      <c r="M20" s="64">
        <v>35881</v>
      </c>
      <c r="N20" s="65">
        <f t="shared" si="0"/>
        <v>1998</v>
      </c>
      <c r="O20" s="66">
        <f>+IFERROR(INDEX([5]PARÁMETROS!$B$11:$B$37,MATCH(N20,[5]PARÁMETROS!$A$11:$A$37,0)),"")</f>
        <v>203826</v>
      </c>
      <c r="P20" s="67">
        <v>1603996630</v>
      </c>
      <c r="Q20" s="68" t="s">
        <v>25</v>
      </c>
      <c r="R20" s="58" t="s">
        <v>346</v>
      </c>
      <c r="S20" s="69" t="s">
        <v>346</v>
      </c>
      <c r="T20" s="70">
        <v>1</v>
      </c>
      <c r="U20" s="66">
        <f t="shared" si="4"/>
        <v>1603996630</v>
      </c>
      <c r="V20" s="55">
        <f t="shared" si="1"/>
        <v>7869.4407484815483</v>
      </c>
      <c r="W20" s="55">
        <f t="shared" si="2"/>
        <v>3934.7203742407742</v>
      </c>
      <c r="X20" s="277" t="str">
        <f>+IF(W20="","",IF(W20&gt;=[5]PARÁMETROS!$J$5,"CUMPLE","NO CUMPLE"))</f>
        <v>CUMPLE</v>
      </c>
      <c r="Y20" s="139"/>
      <c r="Z20" s="109"/>
    </row>
    <row r="21" spans="1:27" s="72" customFormat="1" ht="63">
      <c r="A21" s="796"/>
      <c r="B21" s="58" t="s">
        <v>142</v>
      </c>
      <c r="C21" s="59">
        <v>46</v>
      </c>
      <c r="D21" s="60" t="str">
        <f>+IFERROR(INDEX([5]CONSOLIDADO!$D$4:$D$91,MATCH('EXP ESPEC. 20-26'!B21,[5]CONSOLIDADO!$C$4:$C$91,0)),"")</f>
        <v>PROYECTOS CONTRUCCIONES CIVILES Y VIALES LTDA</v>
      </c>
      <c r="E21" s="76" t="s">
        <v>371</v>
      </c>
      <c r="F21" s="76" t="s">
        <v>529</v>
      </c>
      <c r="G21" s="277" t="s">
        <v>10</v>
      </c>
      <c r="H21" s="277" t="s">
        <v>11</v>
      </c>
      <c r="I21" s="277" t="s">
        <v>10</v>
      </c>
      <c r="J21" s="277" t="s">
        <v>11</v>
      </c>
      <c r="K21" s="77">
        <v>0.75</v>
      </c>
      <c r="L21" s="79">
        <v>37411</v>
      </c>
      <c r="M21" s="64">
        <v>38518</v>
      </c>
      <c r="N21" s="65">
        <f t="shared" si="0"/>
        <v>2005</v>
      </c>
      <c r="O21" s="66">
        <f>+IFERROR(INDEX([5]PARÁMETROS!$B$11:$B$37,MATCH(N21,[5]PARÁMETROS!$A$11:$A$37,0)),"")</f>
        <v>381500</v>
      </c>
      <c r="P21" s="67">
        <v>2982660825</v>
      </c>
      <c r="Q21" s="68" t="s">
        <v>25</v>
      </c>
      <c r="R21" s="58" t="s">
        <v>346</v>
      </c>
      <c r="S21" s="69" t="s">
        <v>346</v>
      </c>
      <c r="T21" s="70">
        <v>1</v>
      </c>
      <c r="U21" s="66">
        <f t="shared" si="4"/>
        <v>2982660825</v>
      </c>
      <c r="V21" s="55">
        <f t="shared" si="1"/>
        <v>7818.2459370904326</v>
      </c>
      <c r="W21" s="55">
        <f t="shared" si="2"/>
        <v>5863.6844528178244</v>
      </c>
      <c r="X21" s="277" t="str">
        <f>+IF(W21="","",IF(W21&gt;=[5]PARÁMETROS!$J$5,"CUMPLE","NO CUMPLE"))</f>
        <v>CUMPLE</v>
      </c>
      <c r="Y21" s="166"/>
      <c r="Z21" s="109"/>
    </row>
    <row r="22" spans="1:27" s="82" customFormat="1" ht="86.25" thickBot="1">
      <c r="A22" s="796"/>
      <c r="B22" s="58" t="s">
        <v>142</v>
      </c>
      <c r="C22" s="169">
        <v>87</v>
      </c>
      <c r="D22" s="60" t="str">
        <f>+IFERROR(INDEX([5]CONSOLIDADO!$D$4:$D$91,MATCH('EXP ESPEC. 20-26'!B22,[5]CONSOLIDADO!$C$4:$C$91,0)),"")</f>
        <v>PROYECTOS CONTRUCCIONES CIVILES Y VIALES LTDA</v>
      </c>
      <c r="E22" s="61" t="s">
        <v>371</v>
      </c>
      <c r="F22" s="62" t="s">
        <v>558</v>
      </c>
      <c r="G22" s="277" t="s">
        <v>10</v>
      </c>
      <c r="H22" s="277" t="s">
        <v>11</v>
      </c>
      <c r="I22" s="277" t="s">
        <v>10</v>
      </c>
      <c r="J22" s="277" t="s">
        <v>11</v>
      </c>
      <c r="K22" s="78">
        <v>1</v>
      </c>
      <c r="L22" s="79">
        <v>32965</v>
      </c>
      <c r="M22" s="80">
        <v>35054</v>
      </c>
      <c r="N22" s="65">
        <f t="shared" si="0"/>
        <v>1995</v>
      </c>
      <c r="O22" s="66">
        <f>+IFERROR(INDEX([5]PARÁMETROS!$B$11:$B$37,MATCH(N22,[5]PARÁMETROS!$A$11:$A$37,0)),"")</f>
        <v>118933.5</v>
      </c>
      <c r="P22" s="442">
        <v>824463304</v>
      </c>
      <c r="Q22" s="68" t="s">
        <v>25</v>
      </c>
      <c r="R22" s="68" t="s">
        <v>346</v>
      </c>
      <c r="S22" s="68" t="s">
        <v>346</v>
      </c>
      <c r="T22" s="68">
        <v>1</v>
      </c>
      <c r="U22" s="66">
        <f t="shared" si="4"/>
        <v>824463304</v>
      </c>
      <c r="V22" s="55">
        <f t="shared" si="1"/>
        <v>6932.1369000323712</v>
      </c>
      <c r="W22" s="55">
        <f t="shared" si="2"/>
        <v>6932.1369000323712</v>
      </c>
      <c r="X22" s="278" t="str">
        <f>+IF(W22="","",IF(W22&gt;=[5]PARÁMETROS!$J$5,"CUMPLE","NO CUMPLE"))</f>
        <v>CUMPLE</v>
      </c>
      <c r="Y22" s="139"/>
      <c r="Z22" s="158"/>
    </row>
    <row r="23" spans="1:27" s="72" customFormat="1" ht="57">
      <c r="A23" s="795" t="s">
        <v>270</v>
      </c>
      <c r="B23" s="123" t="s">
        <v>275</v>
      </c>
      <c r="C23" s="124">
        <v>3</v>
      </c>
      <c r="D23" s="125" t="str">
        <f>+IFERROR(INDEX([5]CONSOLIDADO!$D$4:$D$91,MATCH('EXP ESPEC. 20-26'!B23,[5]CONSOLIDADO!$C$4:$C$91,0)),"")</f>
        <v>GARPER INGENIERÍA CIA S.A.S.</v>
      </c>
      <c r="E23" s="126" t="s">
        <v>537</v>
      </c>
      <c r="F23" s="127" t="s">
        <v>538</v>
      </c>
      <c r="G23" s="279" t="s">
        <v>10</v>
      </c>
      <c r="H23" s="279" t="s">
        <v>10</v>
      </c>
      <c r="I23" s="279" t="s">
        <v>10</v>
      </c>
      <c r="J23" s="279" t="s">
        <v>11</v>
      </c>
      <c r="K23" s="128">
        <v>0.55000000000000004</v>
      </c>
      <c r="L23" s="129">
        <v>34338</v>
      </c>
      <c r="M23" s="129">
        <v>36305</v>
      </c>
      <c r="N23" s="130">
        <f t="shared" si="0"/>
        <v>1999</v>
      </c>
      <c r="O23" s="131">
        <f>+IFERROR(INDEX([5]PARÁMETROS!$B$11:$B$37,MATCH(N23,[5]PARÁMETROS!$A$11:$A$37,0)),"")</f>
        <v>236460</v>
      </c>
      <c r="P23" s="132">
        <v>4644921688</v>
      </c>
      <c r="Q23" s="133" t="s">
        <v>25</v>
      </c>
      <c r="R23" s="123" t="s">
        <v>346</v>
      </c>
      <c r="S23" s="134" t="s">
        <v>346</v>
      </c>
      <c r="T23" s="135">
        <v>1</v>
      </c>
      <c r="U23" s="131">
        <f t="shared" si="4"/>
        <v>4644921688</v>
      </c>
      <c r="V23" s="136">
        <f t="shared" si="1"/>
        <v>19643.583219149117</v>
      </c>
      <c r="W23" s="136">
        <f t="shared" si="2"/>
        <v>10803.970770532016</v>
      </c>
      <c r="X23" s="168" t="str">
        <f>+IF(W23="","",IF(W23&gt;=[5]PARÁMETROS!$J$5,"CUMPLE","NO CUMPLE"))</f>
        <v>CUMPLE</v>
      </c>
      <c r="Y23" s="138"/>
      <c r="Z23" s="109"/>
    </row>
    <row r="24" spans="1:27" s="72" customFormat="1" ht="42.75">
      <c r="A24" s="796"/>
      <c r="B24" s="58" t="s">
        <v>141</v>
      </c>
      <c r="C24" s="59">
        <v>22</v>
      </c>
      <c r="D24" s="60" t="str">
        <f>+IFERROR(INDEX([5]CONSOLIDADO!$D$4:$D$91,MATCH('EXP ESPEC. 20-26'!B24,[5]CONSOLIDADO!$C$4:$C$91,0)),"")</f>
        <v>EUROCONTROL SA</v>
      </c>
      <c r="E24" s="61" t="s">
        <v>505</v>
      </c>
      <c r="F24" s="62" t="s">
        <v>536</v>
      </c>
      <c r="G24" s="277" t="s">
        <v>10</v>
      </c>
      <c r="H24" s="277" t="s">
        <v>11</v>
      </c>
      <c r="I24" s="277" t="s">
        <v>10</v>
      </c>
      <c r="J24" s="277" t="s">
        <v>11</v>
      </c>
      <c r="K24" s="63">
        <v>1</v>
      </c>
      <c r="L24" s="64">
        <v>38296</v>
      </c>
      <c r="M24" s="64">
        <v>39360</v>
      </c>
      <c r="N24" s="65">
        <f t="shared" si="0"/>
        <v>2007</v>
      </c>
      <c r="O24" s="66">
        <f>+IFERROR(INDEX([5]PARÁMETROS!$B$11:$B$37,MATCH(N24,[5]PARÁMETROS!$A$11:$A$37,0)),"")</f>
        <v>433700</v>
      </c>
      <c r="P24" s="69">
        <v>1248500.53</v>
      </c>
      <c r="Q24" s="68" t="s">
        <v>419</v>
      </c>
      <c r="R24" s="58">
        <v>1.4105700000000001</v>
      </c>
      <c r="S24" s="69">
        <f>+R24*P24</f>
        <v>1761097.3926021003</v>
      </c>
      <c r="T24" s="58">
        <v>2018.45</v>
      </c>
      <c r="U24" s="66">
        <f>+T24*S24</f>
        <v>3554687032.0977092</v>
      </c>
      <c r="V24" s="55">
        <f t="shared" si="1"/>
        <v>8196.188683647013</v>
      </c>
      <c r="W24" s="55">
        <f t="shared" si="2"/>
        <v>8196.188683647013</v>
      </c>
      <c r="X24" s="277" t="str">
        <f>+IF(W24="","",IF(W24&gt;=[5]PARÁMETROS!$J$5,"CUMPLE","NO CUMPLE"))</f>
        <v>CUMPLE</v>
      </c>
      <c r="Y24" s="139"/>
      <c r="Z24" s="109"/>
    </row>
    <row r="25" spans="1:27" s="72" customFormat="1" ht="42.75">
      <c r="A25" s="796"/>
      <c r="B25" s="58" t="s">
        <v>141</v>
      </c>
      <c r="C25" s="59">
        <v>33</v>
      </c>
      <c r="D25" s="60" t="str">
        <f>+IFERROR(INDEX([5]CONSOLIDADO!$D$4:$D$91,MATCH('EXP ESPEC. 20-26'!B25,[5]CONSOLIDADO!$C$4:$C$91,0)),"")</f>
        <v>EUROCONTROL SA</v>
      </c>
      <c r="E25" s="61" t="s">
        <v>505</v>
      </c>
      <c r="F25" s="62" t="s">
        <v>535</v>
      </c>
      <c r="G25" s="277" t="s">
        <v>10</v>
      </c>
      <c r="H25" s="277" t="s">
        <v>11</v>
      </c>
      <c r="I25" s="277" t="s">
        <v>10</v>
      </c>
      <c r="J25" s="277" t="s">
        <v>11</v>
      </c>
      <c r="K25" s="63">
        <v>1</v>
      </c>
      <c r="L25" s="64">
        <v>38660</v>
      </c>
      <c r="M25" s="64">
        <v>40122</v>
      </c>
      <c r="N25" s="65">
        <f t="shared" si="0"/>
        <v>2009</v>
      </c>
      <c r="O25" s="66">
        <f>+IFERROR(INDEX([5]PARÁMETROS!$B$11:$B$37,MATCH(N25,[5]PARÁMETROS!$A$11:$A$37,0)),"")</f>
        <v>496900</v>
      </c>
      <c r="P25" s="69">
        <v>949157.05</v>
      </c>
      <c r="Q25" s="68" t="s">
        <v>419</v>
      </c>
      <c r="R25" s="58">
        <v>1.47681</v>
      </c>
      <c r="S25" s="69">
        <f>+R25*P25</f>
        <v>1401724.6230105001</v>
      </c>
      <c r="T25" s="58">
        <v>1963.7</v>
      </c>
      <c r="U25" s="66">
        <f>+T25*S25</f>
        <v>2752566642.205719</v>
      </c>
      <c r="V25" s="55">
        <f t="shared" si="1"/>
        <v>5539.4780483109662</v>
      </c>
      <c r="W25" s="55">
        <f t="shared" si="2"/>
        <v>5539.4780483109662</v>
      </c>
      <c r="X25" s="277" t="str">
        <f>+IF(W25="","",IF(W25&gt;=[5]PARÁMETROS!$J$5,"CUMPLE","NO CUMPLE"))</f>
        <v>CUMPLE</v>
      </c>
      <c r="Y25" s="139"/>
      <c r="Z25" s="109"/>
    </row>
    <row r="26" spans="1:27" s="72" customFormat="1" ht="129" thickBot="1">
      <c r="A26" s="796"/>
      <c r="B26" s="58" t="s">
        <v>273</v>
      </c>
      <c r="C26" s="169">
        <v>42</v>
      </c>
      <c r="D26" s="60" t="str">
        <f>+IFERROR(INDEX([5]CONSOLIDADO!$D$4:$D$91,MATCH('EXP ESPEC. 20-26'!B26,[5]CONSOLIDADO!$C$4:$C$91,0)),"")</f>
        <v>CAYCO SAS</v>
      </c>
      <c r="E26" s="61" t="s">
        <v>27</v>
      </c>
      <c r="F26" s="62" t="s">
        <v>539</v>
      </c>
      <c r="G26" s="277" t="s">
        <v>10</v>
      </c>
      <c r="H26" s="277" t="s">
        <v>11</v>
      </c>
      <c r="I26" s="277" t="s">
        <v>10</v>
      </c>
      <c r="J26" s="277" t="s">
        <v>11</v>
      </c>
      <c r="K26" s="63">
        <v>0.1</v>
      </c>
      <c r="L26" s="64">
        <v>39615</v>
      </c>
      <c r="M26" s="64">
        <v>41152</v>
      </c>
      <c r="N26" s="65">
        <f t="shared" si="0"/>
        <v>2012</v>
      </c>
      <c r="O26" s="66">
        <f>+IFERROR(INDEX([5]PARÁMETROS!$B$11:$B$37,MATCH(N26,[5]PARÁMETROS!$A$11:$A$37,0)),"")</f>
        <v>566700</v>
      </c>
      <c r="P26" s="67">
        <v>19146251489</v>
      </c>
      <c r="Q26" s="68" t="s">
        <v>25</v>
      </c>
      <c r="R26" s="58" t="s">
        <v>346</v>
      </c>
      <c r="S26" s="69" t="s">
        <v>346</v>
      </c>
      <c r="T26" s="70">
        <v>1</v>
      </c>
      <c r="U26" s="66">
        <f t="shared" si="4"/>
        <v>19146251489</v>
      </c>
      <c r="V26" s="55">
        <f t="shared" si="1"/>
        <v>33785.515244397386</v>
      </c>
      <c r="W26" s="55">
        <f t="shared" si="2"/>
        <v>3378.5515244397388</v>
      </c>
      <c r="X26" s="278" t="str">
        <f>+IF(W26="","",IF(W26&gt;=[5]PARÁMETROS!$J$5,"CUMPLE","NO CUMPLE"))</f>
        <v>CUMPLE</v>
      </c>
      <c r="Y26" s="139"/>
      <c r="Z26" s="109"/>
    </row>
    <row r="27" spans="1:27" s="72" customFormat="1" ht="56.25" customHeight="1">
      <c r="A27" s="795" t="s">
        <v>276</v>
      </c>
      <c r="B27" s="123" t="s">
        <v>143</v>
      </c>
      <c r="C27" s="157">
        <v>3</v>
      </c>
      <c r="D27" s="125" t="str">
        <f>+IFERROR(INDEX([5]CONSOLIDADO!$D$4:$D$91,MATCH('EXP ESPEC. 20-26'!B27,[5]CONSOLIDADO!$C$4:$C$91,0)),"")</f>
        <v>PROGIN SA</v>
      </c>
      <c r="E27" s="126" t="s">
        <v>542</v>
      </c>
      <c r="F27" s="127" t="s">
        <v>543</v>
      </c>
      <c r="G27" s="279" t="s">
        <v>11</v>
      </c>
      <c r="H27" s="279" t="s">
        <v>11</v>
      </c>
      <c r="I27" s="279" t="s">
        <v>10</v>
      </c>
      <c r="J27" s="279" t="s">
        <v>11</v>
      </c>
      <c r="K27" s="128">
        <v>0.23</v>
      </c>
      <c r="L27" s="129">
        <v>33527</v>
      </c>
      <c r="M27" s="129">
        <v>36734</v>
      </c>
      <c r="N27" s="130">
        <f t="shared" si="0"/>
        <v>2000</v>
      </c>
      <c r="O27" s="131">
        <f>+IFERROR(INDEX([5]PARÁMETROS!$B$11:$B$37,MATCH(N27,[5]PARÁMETROS!$A$11:$A$37,0)),"")</f>
        <v>260100</v>
      </c>
      <c r="P27" s="443"/>
      <c r="Q27" s="133" t="s">
        <v>419</v>
      </c>
      <c r="R27" s="444">
        <v>0.94181999999999999</v>
      </c>
      <c r="S27" s="445">
        <f>+R27*P27</f>
        <v>0</v>
      </c>
      <c r="T27" s="446">
        <v>2165.37</v>
      </c>
      <c r="U27" s="426">
        <f>+T27*S27</f>
        <v>0</v>
      </c>
      <c r="V27" s="136">
        <f t="shared" si="1"/>
        <v>0</v>
      </c>
      <c r="W27" s="136">
        <f t="shared" si="2"/>
        <v>0</v>
      </c>
      <c r="X27" s="168" t="str">
        <f>+IF(W27="","",IF(W27&gt;=[5]PARÁMETROS!$J$5,"CUMPLE","NO CUMPLE"))</f>
        <v>NO CUMPLE</v>
      </c>
      <c r="Y27" s="324" t="s">
        <v>741</v>
      </c>
      <c r="Z27" s="109"/>
    </row>
    <row r="28" spans="1:27" s="72" customFormat="1" ht="71.25">
      <c r="A28" s="796"/>
      <c r="B28" s="58" t="s">
        <v>144</v>
      </c>
      <c r="C28" s="75">
        <v>34</v>
      </c>
      <c r="D28" s="60" t="str">
        <f>+IFERROR(INDEX([5]CONSOLIDADO!$D$4:$D$91,MATCH('EXP ESPEC. 20-26'!B28,[5]CONSOLIDADO!$C$4:$C$91,0)),"")</f>
        <v>PLANES S.A.</v>
      </c>
      <c r="E28" s="61" t="s">
        <v>544</v>
      </c>
      <c r="F28" s="62" t="s">
        <v>545</v>
      </c>
      <c r="G28" s="277" t="s">
        <v>10</v>
      </c>
      <c r="H28" s="277" t="s">
        <v>11</v>
      </c>
      <c r="I28" s="277" t="s">
        <v>10</v>
      </c>
      <c r="J28" s="277" t="s">
        <v>11</v>
      </c>
      <c r="K28" s="63">
        <v>0.245</v>
      </c>
      <c r="L28" s="64">
        <v>40186</v>
      </c>
      <c r="M28" s="64" t="s">
        <v>422</v>
      </c>
      <c r="N28" s="65">
        <v>2014</v>
      </c>
      <c r="O28" s="66">
        <f>+IFERROR(INDEX([5]PARÁMETROS!$B$11:$B$37,MATCH(N28,[5]PARÁMETROS!$A$11:$A$37,0)),"")</f>
        <v>616000</v>
      </c>
      <c r="P28" s="67">
        <v>10922423850.5</v>
      </c>
      <c r="Q28" s="68" t="s">
        <v>25</v>
      </c>
      <c r="R28" s="58" t="s">
        <v>346</v>
      </c>
      <c r="S28" s="69" t="s">
        <v>346</v>
      </c>
      <c r="T28" s="70">
        <v>1</v>
      </c>
      <c r="U28" s="66">
        <f t="shared" si="4"/>
        <v>10922423850.5</v>
      </c>
      <c r="V28" s="55">
        <f t="shared" si="1"/>
        <v>17731.207549512987</v>
      </c>
      <c r="W28" s="55">
        <f t="shared" si="2"/>
        <v>4344.1458496306814</v>
      </c>
      <c r="X28" s="277" t="str">
        <f>+IF(W28="","",IF(W28&gt;=[5]PARÁMETROS!$J$5,"CUMPLE","NO CUMPLE"))</f>
        <v>CUMPLE</v>
      </c>
      <c r="Y28" s="139"/>
      <c r="Z28" s="109"/>
    </row>
    <row r="29" spans="1:27" s="72" customFormat="1" ht="57">
      <c r="A29" s="796"/>
      <c r="B29" s="58" t="s">
        <v>144</v>
      </c>
      <c r="C29" s="75">
        <v>36</v>
      </c>
      <c r="D29" s="60" t="str">
        <f>+IFERROR(INDEX([5]CONSOLIDADO!$D$4:$D$91,MATCH('EXP ESPEC. 20-26'!B29,[5]CONSOLIDADO!$C$4:$C$91,0)),"")</f>
        <v>PLANES S.A.</v>
      </c>
      <c r="E29" s="61" t="s">
        <v>548</v>
      </c>
      <c r="F29" s="62" t="s">
        <v>549</v>
      </c>
      <c r="G29" s="277" t="s">
        <v>10</v>
      </c>
      <c r="H29" s="277" t="s">
        <v>10</v>
      </c>
      <c r="I29" s="277" t="s">
        <v>10</v>
      </c>
      <c r="J29" s="277" t="s">
        <v>11</v>
      </c>
      <c r="K29" s="63">
        <v>0.5</v>
      </c>
      <c r="L29" s="64">
        <v>37288</v>
      </c>
      <c r="M29" s="64" t="s">
        <v>422</v>
      </c>
      <c r="N29" s="65">
        <v>2014</v>
      </c>
      <c r="O29" s="66">
        <f>+IFERROR(INDEX([5]PARÁMETROS!$B$11:$B$37,MATCH(N29,[5]PARÁMETROS!$A$11:$A$37,0)),"")</f>
        <v>616000</v>
      </c>
      <c r="P29" s="67">
        <f>15268.52*O29</f>
        <v>9405408320</v>
      </c>
      <c r="Q29" s="68" t="s">
        <v>25</v>
      </c>
      <c r="R29" s="58" t="s">
        <v>346</v>
      </c>
      <c r="S29" s="69" t="s">
        <v>346</v>
      </c>
      <c r="T29" s="70">
        <v>1</v>
      </c>
      <c r="U29" s="66">
        <f t="shared" si="4"/>
        <v>9405408320</v>
      </c>
      <c r="V29" s="55">
        <f t="shared" si="1"/>
        <v>15268.52</v>
      </c>
      <c r="W29" s="55">
        <f t="shared" si="2"/>
        <v>7634.26</v>
      </c>
      <c r="X29" s="277" t="str">
        <f>+IF(W29="","",IF(W29&gt;=[5]PARÁMETROS!$J$5,"CUMPLE","NO CUMPLE"))</f>
        <v>CUMPLE</v>
      </c>
      <c r="Y29" s="139"/>
      <c r="Z29" s="109"/>
    </row>
    <row r="30" spans="1:27" s="72" customFormat="1" ht="72" thickBot="1">
      <c r="A30" s="796"/>
      <c r="B30" s="58" t="s">
        <v>144</v>
      </c>
      <c r="C30" s="75">
        <v>54</v>
      </c>
      <c r="D30" s="60" t="str">
        <f>+IFERROR(INDEX([5]CONSOLIDADO!$D$4:$D$91,MATCH('EXP ESPEC. 20-26'!B30,[5]CONSOLIDADO!$C$4:$C$91,0)),"")</f>
        <v>PLANES S.A.</v>
      </c>
      <c r="E30" s="83" t="s">
        <v>546</v>
      </c>
      <c r="F30" s="84" t="s">
        <v>547</v>
      </c>
      <c r="G30" s="277" t="s">
        <v>10</v>
      </c>
      <c r="H30" s="277" t="s">
        <v>10</v>
      </c>
      <c r="I30" s="277" t="s">
        <v>10</v>
      </c>
      <c r="J30" s="277" t="s">
        <v>11</v>
      </c>
      <c r="K30" s="85">
        <v>0.25</v>
      </c>
      <c r="L30" s="86">
        <v>38718</v>
      </c>
      <c r="M30" s="86" t="s">
        <v>422</v>
      </c>
      <c r="N30" s="65">
        <v>2016</v>
      </c>
      <c r="O30" s="66">
        <f>+IFERROR(INDEX([5]PARÁMETROS!$B$11:$B$37,MATCH(N30,[5]PARÁMETROS!$A$11:$A$37,0)),"")</f>
        <v>689554</v>
      </c>
      <c r="P30" s="87">
        <v>9471953326</v>
      </c>
      <c r="Q30" s="88" t="s">
        <v>25</v>
      </c>
      <c r="R30" s="58" t="s">
        <v>346</v>
      </c>
      <c r="S30" s="69" t="s">
        <v>346</v>
      </c>
      <c r="T30" s="70">
        <v>1</v>
      </c>
      <c r="U30" s="66">
        <f t="shared" si="4"/>
        <v>9471953326</v>
      </c>
      <c r="V30" s="55">
        <f t="shared" si="1"/>
        <v>13736.347444870162</v>
      </c>
      <c r="W30" s="55">
        <f t="shared" si="2"/>
        <v>3434.0868612175404</v>
      </c>
      <c r="X30" s="278" t="str">
        <f>+IF(W30="","",IF(W30&gt;=[5]PARÁMETROS!$J$5,"CUMPLE","NO CUMPLE"))</f>
        <v>CUMPLE</v>
      </c>
      <c r="Y30" s="140"/>
      <c r="Z30" s="109"/>
    </row>
    <row r="31" spans="1:27" s="72" customFormat="1" ht="30" customHeight="1">
      <c r="A31" s="795"/>
      <c r="B31" s="123"/>
      <c r="C31" s="157"/>
      <c r="D31" s="125" t="str">
        <f>+IFERROR(INDEX([5]CONSOLIDADO!$D$4:$D$91,MATCH('EXP ESPEC. 20-26'!B31,[5]CONSOLIDADO!$C$4:$C$91,0)),"")</f>
        <v/>
      </c>
      <c r="E31" s="126"/>
      <c r="F31" s="127"/>
      <c r="G31" s="279"/>
      <c r="H31" s="279"/>
      <c r="I31" s="279"/>
      <c r="J31" s="279"/>
      <c r="K31" s="128"/>
      <c r="L31" s="129"/>
      <c r="M31" s="129"/>
      <c r="N31" s="130" t="str">
        <f t="shared" si="0"/>
        <v/>
      </c>
      <c r="O31" s="131" t="str">
        <f>+IFERROR(INDEX([5]PARÁMETROS!$B$11:$B$37,MATCH(N31,[5]PARÁMETROS!$A$11:$A$37,0)),"")</f>
        <v/>
      </c>
      <c r="P31" s="132"/>
      <c r="Q31" s="133"/>
      <c r="R31" s="123"/>
      <c r="S31" s="134"/>
      <c r="T31" s="135"/>
      <c r="U31" s="131" t="str">
        <f t="shared" si="4"/>
        <v/>
      </c>
      <c r="V31" s="136" t="str">
        <f t="shared" si="1"/>
        <v/>
      </c>
      <c r="W31" s="136" t="str">
        <f t="shared" si="2"/>
        <v/>
      </c>
      <c r="X31" s="168" t="str">
        <f>+IF(W31="","",IF(W31&gt;=[5]PARÁMETROS!$J$5,"CUMPLE","NO CUMPLE"))</f>
        <v/>
      </c>
      <c r="Y31" s="138"/>
      <c r="Z31" s="109"/>
    </row>
    <row r="32" spans="1:27" s="72" customFormat="1" ht="30" customHeight="1">
      <c r="A32" s="796"/>
      <c r="B32" s="58"/>
      <c r="C32" s="75"/>
      <c r="D32" s="60" t="str">
        <f>+IFERROR(INDEX([5]CONSOLIDADO!$D$4:$D$91,MATCH('EXP ESPEC. 20-26'!B32,[5]CONSOLIDADO!$C$4:$C$91,0)),"")</f>
        <v/>
      </c>
      <c r="E32" s="61"/>
      <c r="F32" s="62"/>
      <c r="G32" s="277"/>
      <c r="H32" s="277"/>
      <c r="I32" s="277"/>
      <c r="J32" s="277"/>
      <c r="K32" s="63"/>
      <c r="L32" s="64"/>
      <c r="M32" s="64"/>
      <c r="N32" s="65" t="str">
        <f t="shared" si="0"/>
        <v/>
      </c>
      <c r="O32" s="66" t="str">
        <f>+IFERROR(INDEX([5]PARÁMETROS!$B$11:$B$37,MATCH(N32,[5]PARÁMETROS!$A$11:$A$37,0)),"")</f>
        <v/>
      </c>
      <c r="P32" s="67"/>
      <c r="Q32" s="68"/>
      <c r="R32" s="58"/>
      <c r="S32" s="69"/>
      <c r="T32" s="70"/>
      <c r="U32" s="66" t="str">
        <f t="shared" si="4"/>
        <v/>
      </c>
      <c r="V32" s="55" t="str">
        <f t="shared" si="1"/>
        <v/>
      </c>
      <c r="W32" s="55" t="str">
        <f t="shared" si="2"/>
        <v/>
      </c>
      <c r="X32" s="277" t="str">
        <f>+IF(W32="","",IF(W32&gt;=[5]PARÁMETROS!$J$5,"CUMPLE","NO CUMPLE"))</f>
        <v/>
      </c>
      <c r="Y32" s="139"/>
      <c r="Z32" s="109"/>
    </row>
    <row r="33" spans="1:26" s="72" customFormat="1" ht="30" customHeight="1">
      <c r="A33" s="796"/>
      <c r="B33" s="58"/>
      <c r="C33" s="75"/>
      <c r="D33" s="60" t="str">
        <f>+IFERROR(INDEX([5]CONSOLIDADO!$D$4:$D$91,MATCH('EXP ESPEC. 20-26'!B33,[5]CONSOLIDADO!$C$4:$C$91,0)),"")</f>
        <v/>
      </c>
      <c r="E33" s="61"/>
      <c r="F33" s="62"/>
      <c r="G33" s="277"/>
      <c r="H33" s="277"/>
      <c r="I33" s="277"/>
      <c r="J33" s="277"/>
      <c r="K33" s="63"/>
      <c r="L33" s="64"/>
      <c r="M33" s="64"/>
      <c r="N33" s="65" t="str">
        <f t="shared" si="0"/>
        <v/>
      </c>
      <c r="O33" s="66" t="str">
        <f>+IFERROR(INDEX([5]PARÁMETROS!$B$11:$B$37,MATCH(N33,[5]PARÁMETROS!$A$11:$A$37,0)),"")</f>
        <v/>
      </c>
      <c r="P33" s="67"/>
      <c r="Q33" s="68"/>
      <c r="R33" s="58"/>
      <c r="S33" s="69"/>
      <c r="T33" s="70"/>
      <c r="U33" s="66" t="str">
        <f t="shared" si="4"/>
        <v/>
      </c>
      <c r="V33" s="55" t="str">
        <f t="shared" si="1"/>
        <v/>
      </c>
      <c r="W33" s="55" t="str">
        <f t="shared" si="2"/>
        <v/>
      </c>
      <c r="X33" s="277" t="str">
        <f>+IF(W33="","",IF(W33&gt;=[5]PARÁMETROS!$J$5,"CUMPLE","NO CUMPLE"))</f>
        <v/>
      </c>
      <c r="Y33" s="139"/>
      <c r="Z33" s="109"/>
    </row>
    <row r="34" spans="1:26" s="72" customFormat="1" ht="30" customHeight="1" thickBot="1">
      <c r="A34" s="796"/>
      <c r="B34" s="58"/>
      <c r="C34" s="75"/>
      <c r="D34" s="60" t="str">
        <f>+IFERROR(INDEX([5]CONSOLIDADO!$D$4:$D$91,MATCH('EXP ESPEC. 20-26'!B34,[5]CONSOLIDADO!$C$4:$C$91,0)),"")</f>
        <v/>
      </c>
      <c r="E34" s="61"/>
      <c r="F34" s="62"/>
      <c r="G34" s="277"/>
      <c r="H34" s="277"/>
      <c r="I34" s="277"/>
      <c r="J34" s="277"/>
      <c r="K34" s="63"/>
      <c r="L34" s="64"/>
      <c r="M34" s="64"/>
      <c r="N34" s="65" t="str">
        <f t="shared" si="0"/>
        <v/>
      </c>
      <c r="O34" s="66" t="str">
        <f>+IFERROR(INDEX([5]PARÁMETROS!$B$11:$B$37,MATCH(N34,[5]PARÁMETROS!$A$11:$A$37,0)),"")</f>
        <v/>
      </c>
      <c r="P34" s="67"/>
      <c r="Q34" s="68"/>
      <c r="R34" s="58"/>
      <c r="S34" s="69"/>
      <c r="T34" s="70"/>
      <c r="U34" s="66" t="str">
        <f t="shared" si="4"/>
        <v/>
      </c>
      <c r="V34" s="55" t="str">
        <f t="shared" si="1"/>
        <v/>
      </c>
      <c r="W34" s="55" t="str">
        <f t="shared" si="2"/>
        <v/>
      </c>
      <c r="X34" s="278" t="str">
        <f>+IF(W34="","",IF(W34&gt;=[5]PARÁMETROS!$J$5,"CUMPLE","NO CUMPLE"))</f>
        <v/>
      </c>
      <c r="Y34" s="139"/>
      <c r="Z34" s="109"/>
    </row>
    <row r="35" spans="1:26" s="72" customFormat="1" ht="30" customHeight="1">
      <c r="A35" s="795"/>
      <c r="B35" s="123"/>
      <c r="C35" s="157"/>
      <c r="D35" s="125" t="str">
        <f>+IFERROR(INDEX([5]CONSOLIDADO!$D$4:$D$91,MATCH('EXP ESPEC. 20-26'!B35,[5]CONSOLIDADO!$C$4:$C$91,0)),"")</f>
        <v/>
      </c>
      <c r="E35" s="126"/>
      <c r="F35" s="126"/>
      <c r="G35" s="279"/>
      <c r="H35" s="279"/>
      <c r="I35" s="279"/>
      <c r="J35" s="279"/>
      <c r="K35" s="162"/>
      <c r="L35" s="129"/>
      <c r="M35" s="129"/>
      <c r="N35" s="130" t="str">
        <f t="shared" si="0"/>
        <v/>
      </c>
      <c r="O35" s="131" t="str">
        <f>+IFERROR(INDEX([5]PARÁMETROS!$B$11:$B$37,MATCH(N35,[5]PARÁMETROS!$A$11:$A$37,0)),"")</f>
        <v/>
      </c>
      <c r="P35" s="163"/>
      <c r="Q35" s="131"/>
      <c r="R35" s="123"/>
      <c r="S35" s="134"/>
      <c r="T35" s="135"/>
      <c r="U35" s="131" t="str">
        <f t="shared" si="4"/>
        <v/>
      </c>
      <c r="V35" s="136" t="str">
        <f t="shared" si="1"/>
        <v/>
      </c>
      <c r="W35" s="136" t="str">
        <f t="shared" si="2"/>
        <v/>
      </c>
      <c r="X35" s="168" t="str">
        <f>+IF(W35="","",IF(W35&gt;=[5]PARÁMETROS!$D$5,"CUMPLE","NO CUMPLE"))</f>
        <v/>
      </c>
      <c r="Y35" s="138"/>
      <c r="Z35" s="109"/>
    </row>
    <row r="36" spans="1:26" s="72" customFormat="1" ht="30" customHeight="1">
      <c r="A36" s="796"/>
      <c r="B36" s="58"/>
      <c r="C36" s="75"/>
      <c r="D36" s="60" t="str">
        <f>+IFERROR(INDEX([5]CONSOLIDADO!$D$4:$D$91,MATCH('EXP ESPEC. 20-26'!B36,[5]CONSOLIDADO!$C$4:$C$91,0)),"")</f>
        <v/>
      </c>
      <c r="E36" s="61"/>
      <c r="F36" s="61"/>
      <c r="G36" s="277"/>
      <c r="H36" s="277"/>
      <c r="I36" s="277"/>
      <c r="J36" s="277"/>
      <c r="K36" s="73"/>
      <c r="L36" s="64"/>
      <c r="M36" s="64"/>
      <c r="N36" s="65" t="str">
        <f t="shared" si="0"/>
        <v/>
      </c>
      <c r="O36" s="66" t="str">
        <f>+IFERROR(INDEX([5]PARÁMETROS!$B$11:$B$37,MATCH(N36,[5]PARÁMETROS!$A$11:$A$37,0)),"")</f>
        <v/>
      </c>
      <c r="P36" s="74"/>
      <c r="Q36" s="66"/>
      <c r="R36" s="58"/>
      <c r="S36" s="69"/>
      <c r="T36" s="70"/>
      <c r="U36" s="66" t="str">
        <f t="shared" si="4"/>
        <v/>
      </c>
      <c r="V36" s="55" t="str">
        <f t="shared" si="1"/>
        <v/>
      </c>
      <c r="W36" s="55" t="str">
        <f t="shared" si="2"/>
        <v/>
      </c>
      <c r="X36" s="277" t="str">
        <f>+IF(W36="","",IF(W36&gt;=[5]PARÁMETROS!$D$5,"CUMPLE","NO CUMPLE"))</f>
        <v/>
      </c>
      <c r="Y36" s="139"/>
      <c r="Z36" s="109"/>
    </row>
    <row r="37" spans="1:26" s="72" customFormat="1" ht="30" customHeight="1">
      <c r="A37" s="796"/>
      <c r="B37" s="58"/>
      <c r="C37" s="75"/>
      <c r="D37" s="60" t="str">
        <f>+IFERROR(INDEX([5]CONSOLIDADO!$D$4:$D$91,MATCH('EXP ESPEC. 20-26'!B37,[5]CONSOLIDADO!$C$4:$C$91,0)),"")</f>
        <v/>
      </c>
      <c r="E37" s="61"/>
      <c r="F37" s="61"/>
      <c r="G37" s="277"/>
      <c r="H37" s="277"/>
      <c r="I37" s="277"/>
      <c r="J37" s="277"/>
      <c r="K37" s="73"/>
      <c r="L37" s="64"/>
      <c r="M37" s="64"/>
      <c r="N37" s="65" t="str">
        <f t="shared" si="0"/>
        <v/>
      </c>
      <c r="O37" s="66" t="str">
        <f>+IFERROR(INDEX([5]PARÁMETROS!$B$11:$B$37,MATCH(N37,[5]PARÁMETROS!$A$11:$A$37,0)),"")</f>
        <v/>
      </c>
      <c r="P37" s="74"/>
      <c r="Q37" s="66"/>
      <c r="R37" s="58"/>
      <c r="S37" s="69"/>
      <c r="T37" s="70"/>
      <c r="U37" s="66" t="str">
        <f t="shared" si="4"/>
        <v/>
      </c>
      <c r="V37" s="55" t="str">
        <f t="shared" si="1"/>
        <v/>
      </c>
      <c r="W37" s="55" t="str">
        <f t="shared" si="2"/>
        <v/>
      </c>
      <c r="X37" s="277" t="str">
        <f>+IF(W37="","",IF(W37&gt;=[5]PARÁMETROS!$D$5,"CUMPLE","NO CUMPLE"))</f>
        <v/>
      </c>
      <c r="Y37" s="139"/>
      <c r="Z37" s="109"/>
    </row>
    <row r="38" spans="1:26" s="72" customFormat="1" ht="30" customHeight="1" thickBot="1">
      <c r="A38" s="796"/>
      <c r="B38" s="58"/>
      <c r="C38" s="75"/>
      <c r="D38" s="60" t="str">
        <f>+IFERROR(INDEX([5]CONSOLIDADO!$D$4:$D$91,MATCH('EXP ESPEC. 20-26'!B38,[5]CONSOLIDADO!$C$4:$C$91,0)),"")</f>
        <v/>
      </c>
      <c r="E38" s="61"/>
      <c r="F38" s="61"/>
      <c r="G38" s="277"/>
      <c r="H38" s="277"/>
      <c r="I38" s="277"/>
      <c r="J38" s="277"/>
      <c r="K38" s="73"/>
      <c r="L38" s="64"/>
      <c r="M38" s="64"/>
      <c r="N38" s="65" t="str">
        <f t="shared" si="0"/>
        <v/>
      </c>
      <c r="O38" s="66" t="str">
        <f>+IFERROR(INDEX([5]PARÁMETROS!$B$11:$B$37,MATCH(N38,[5]PARÁMETROS!$A$11:$A$37,0)),"")</f>
        <v/>
      </c>
      <c r="P38" s="74"/>
      <c r="Q38" s="66"/>
      <c r="R38" s="58"/>
      <c r="S38" s="69"/>
      <c r="T38" s="70"/>
      <c r="U38" s="66" t="str">
        <f t="shared" si="4"/>
        <v/>
      </c>
      <c r="V38" s="55" t="str">
        <f t="shared" si="1"/>
        <v/>
      </c>
      <c r="W38" s="55" t="str">
        <f t="shared" si="2"/>
        <v/>
      </c>
      <c r="X38" s="278" t="str">
        <f>+IF(W38="","",IF(W38&gt;=[5]PARÁMETROS!$D$5,"CUMPLE","NO CUMPLE"))</f>
        <v/>
      </c>
      <c r="Y38" s="139"/>
      <c r="Z38" s="109"/>
    </row>
    <row r="39" spans="1:26" s="72" customFormat="1" ht="30" customHeight="1">
      <c r="A39" s="795"/>
      <c r="B39" s="123"/>
      <c r="C39" s="157"/>
      <c r="D39" s="125" t="str">
        <f>+IFERROR(INDEX([5]CONSOLIDADO!$D$4:$D$91,MATCH('EXP ESPEC. 20-26'!B39,[5]CONSOLIDADO!$C$4:$C$91,0)),"")</f>
        <v/>
      </c>
      <c r="E39" s="126"/>
      <c r="F39" s="126"/>
      <c r="G39" s="279"/>
      <c r="H39" s="279"/>
      <c r="I39" s="279"/>
      <c r="J39" s="279"/>
      <c r="K39" s="162"/>
      <c r="L39" s="129"/>
      <c r="M39" s="129"/>
      <c r="N39" s="130" t="str">
        <f t="shared" si="0"/>
        <v/>
      </c>
      <c r="O39" s="131" t="str">
        <f>+IFERROR(INDEX([5]PARÁMETROS!$B$11:$B$37,MATCH(N39,[5]PARÁMETROS!$A$11:$A$37,0)),"")</f>
        <v/>
      </c>
      <c r="P39" s="163"/>
      <c r="Q39" s="131"/>
      <c r="R39" s="123"/>
      <c r="S39" s="134"/>
      <c r="T39" s="135"/>
      <c r="U39" s="131" t="str">
        <f t="shared" si="4"/>
        <v/>
      </c>
      <c r="V39" s="136" t="str">
        <f t="shared" si="1"/>
        <v/>
      </c>
      <c r="W39" s="136" t="str">
        <f t="shared" si="2"/>
        <v/>
      </c>
      <c r="X39" s="168" t="str">
        <f>+IF(W39="","",IF(W39&gt;=[5]PARÁMETROS!$D$5,"CUMPLE","NO CUMPLE"))</f>
        <v/>
      </c>
      <c r="Y39" s="138"/>
      <c r="Z39" s="109"/>
    </row>
    <row r="40" spans="1:26" s="72" customFormat="1" ht="30" customHeight="1">
      <c r="A40" s="796"/>
      <c r="B40" s="58"/>
      <c r="C40" s="75"/>
      <c r="D40" s="60" t="str">
        <f>+IFERROR(INDEX([5]CONSOLIDADO!$D$4:$D$91,MATCH('EXP ESPEC. 20-26'!B40,[5]CONSOLIDADO!$C$4:$C$91,0)),"")</f>
        <v/>
      </c>
      <c r="E40" s="61"/>
      <c r="F40" s="61"/>
      <c r="G40" s="277"/>
      <c r="H40" s="277"/>
      <c r="I40" s="277"/>
      <c r="J40" s="277"/>
      <c r="K40" s="73"/>
      <c r="L40" s="64"/>
      <c r="M40" s="64"/>
      <c r="N40" s="65" t="str">
        <f t="shared" si="0"/>
        <v/>
      </c>
      <c r="O40" s="66" t="str">
        <f>+IFERROR(INDEX([5]PARÁMETROS!$B$11:$B$37,MATCH(N40,[5]PARÁMETROS!$A$11:$A$37,0)),"")</f>
        <v/>
      </c>
      <c r="P40" s="74"/>
      <c r="Q40" s="66"/>
      <c r="R40" s="58"/>
      <c r="S40" s="69"/>
      <c r="T40" s="70"/>
      <c r="U40" s="66" t="str">
        <f t="shared" si="4"/>
        <v/>
      </c>
      <c r="V40" s="55" t="str">
        <f t="shared" si="1"/>
        <v/>
      </c>
      <c r="W40" s="55" t="str">
        <f t="shared" si="2"/>
        <v/>
      </c>
      <c r="X40" s="277" t="str">
        <f>+IF(W40="","",IF(W40&gt;=[5]PARÁMETROS!$D$5,"CUMPLE","NO CUMPLE"))</f>
        <v/>
      </c>
      <c r="Y40" s="139"/>
      <c r="Z40" s="109"/>
    </row>
    <row r="41" spans="1:26" s="72" customFormat="1" ht="30" customHeight="1">
      <c r="A41" s="796"/>
      <c r="B41" s="58"/>
      <c r="C41" s="75"/>
      <c r="D41" s="60" t="str">
        <f>+IFERROR(INDEX([5]CONSOLIDADO!$D$4:$D$91,MATCH('EXP ESPEC. 20-26'!B41,[5]CONSOLIDADO!$C$4:$C$91,0)),"")</f>
        <v/>
      </c>
      <c r="E41" s="61"/>
      <c r="F41" s="61"/>
      <c r="G41" s="277"/>
      <c r="H41" s="277"/>
      <c r="I41" s="277"/>
      <c r="J41" s="277"/>
      <c r="K41" s="73"/>
      <c r="L41" s="64"/>
      <c r="M41" s="64"/>
      <c r="N41" s="65" t="str">
        <f t="shared" si="0"/>
        <v/>
      </c>
      <c r="O41" s="66" t="str">
        <f>+IFERROR(INDEX([5]PARÁMETROS!$B$11:$B$37,MATCH(N41,[5]PARÁMETROS!$A$11:$A$37,0)),"")</f>
        <v/>
      </c>
      <c r="P41" s="74"/>
      <c r="Q41" s="66"/>
      <c r="R41" s="58"/>
      <c r="S41" s="69"/>
      <c r="T41" s="70"/>
      <c r="U41" s="66" t="str">
        <f t="shared" si="4"/>
        <v/>
      </c>
      <c r="V41" s="55" t="str">
        <f t="shared" si="1"/>
        <v/>
      </c>
      <c r="W41" s="55" t="str">
        <f t="shared" si="2"/>
        <v/>
      </c>
      <c r="X41" s="277" t="str">
        <f>+IF(W41="","",IF(W41&gt;=[5]PARÁMETROS!$D$5,"CUMPLE","NO CUMPLE"))</f>
        <v/>
      </c>
      <c r="Y41" s="139"/>
      <c r="Z41" s="109"/>
    </row>
    <row r="42" spans="1:26" s="72" customFormat="1" ht="30" customHeight="1" thickBot="1">
      <c r="A42" s="796"/>
      <c r="B42" s="58"/>
      <c r="C42" s="75"/>
      <c r="D42" s="60" t="str">
        <f>+IFERROR(INDEX([5]CONSOLIDADO!$D$4:$D$91,MATCH('EXP ESPEC. 20-26'!B42,[5]CONSOLIDADO!$C$4:$C$91,0)),"")</f>
        <v/>
      </c>
      <c r="E42" s="61"/>
      <c r="F42" s="61"/>
      <c r="G42" s="277"/>
      <c r="H42" s="277"/>
      <c r="I42" s="277"/>
      <c r="J42" s="277"/>
      <c r="K42" s="73"/>
      <c r="L42" s="64"/>
      <c r="M42" s="64"/>
      <c r="N42" s="65" t="str">
        <f t="shared" si="0"/>
        <v/>
      </c>
      <c r="O42" s="66" t="str">
        <f>+IFERROR(INDEX([5]PARÁMETROS!$B$11:$B$37,MATCH(N42,[5]PARÁMETROS!$A$11:$A$37,0)),"")</f>
        <v/>
      </c>
      <c r="P42" s="74"/>
      <c r="Q42" s="66"/>
      <c r="R42" s="58"/>
      <c r="S42" s="69"/>
      <c r="T42" s="70"/>
      <c r="U42" s="66" t="str">
        <f t="shared" si="4"/>
        <v/>
      </c>
      <c r="V42" s="55" t="str">
        <f t="shared" si="1"/>
        <v/>
      </c>
      <c r="W42" s="55" t="str">
        <f t="shared" si="2"/>
        <v/>
      </c>
      <c r="X42" s="278" t="str">
        <f>+IF(W42="","",IF(W42&gt;=[5]PARÁMETROS!$D$5,"CUMPLE","NO CUMPLE"))</f>
        <v/>
      </c>
      <c r="Y42" s="139"/>
      <c r="Z42" s="109"/>
    </row>
    <row r="43" spans="1:26" s="72" customFormat="1" ht="30" customHeight="1">
      <c r="A43" s="795"/>
      <c r="B43" s="123"/>
      <c r="C43" s="157"/>
      <c r="D43" s="125" t="str">
        <f>+IFERROR(INDEX([5]CONSOLIDADO!$D$4:$D$91,MATCH('EXP ESPEC. 20-26'!B43,[5]CONSOLIDADO!$C$4:$C$91,0)),"")</f>
        <v/>
      </c>
      <c r="E43" s="126"/>
      <c r="F43" s="126"/>
      <c r="G43" s="279"/>
      <c r="H43" s="279"/>
      <c r="I43" s="279"/>
      <c r="J43" s="279"/>
      <c r="K43" s="162"/>
      <c r="L43" s="129"/>
      <c r="M43" s="129"/>
      <c r="N43" s="130" t="str">
        <f t="shared" si="0"/>
        <v/>
      </c>
      <c r="O43" s="131" t="str">
        <f>+IFERROR(INDEX([5]PARÁMETROS!$B$11:$B$37,MATCH(N43,[5]PARÁMETROS!$A$11:$A$37,0)),"")</f>
        <v/>
      </c>
      <c r="P43" s="163"/>
      <c r="Q43" s="131"/>
      <c r="R43" s="123"/>
      <c r="S43" s="134"/>
      <c r="T43" s="135"/>
      <c r="U43" s="131" t="str">
        <f t="shared" si="4"/>
        <v/>
      </c>
      <c r="V43" s="136" t="str">
        <f t="shared" si="1"/>
        <v/>
      </c>
      <c r="W43" s="136" t="str">
        <f t="shared" si="2"/>
        <v/>
      </c>
      <c r="X43" s="168" t="str">
        <f>+IF(W43="","",IF(W43&gt;=[5]PARÁMETROS!$D$5,"CUMPLE","NO CUMPLE"))</f>
        <v/>
      </c>
      <c r="Y43" s="138"/>
      <c r="Z43" s="109"/>
    </row>
    <row r="44" spans="1:26" s="72" customFormat="1" ht="30" customHeight="1">
      <c r="A44" s="796"/>
      <c r="B44" s="58"/>
      <c r="C44" s="75"/>
      <c r="D44" s="60" t="str">
        <f>+IFERROR(INDEX([5]CONSOLIDADO!$D$4:$D$91,MATCH('EXP ESPEC. 20-26'!B44,[5]CONSOLIDADO!$C$4:$C$91,0)),"")</f>
        <v/>
      </c>
      <c r="E44" s="61"/>
      <c r="F44" s="61"/>
      <c r="G44" s="277"/>
      <c r="H44" s="277"/>
      <c r="I44" s="277"/>
      <c r="J44" s="277"/>
      <c r="K44" s="73"/>
      <c r="L44" s="64"/>
      <c r="M44" s="64"/>
      <c r="N44" s="65" t="str">
        <f t="shared" si="0"/>
        <v/>
      </c>
      <c r="O44" s="66" t="str">
        <f>+IFERROR(INDEX([5]PARÁMETROS!$B$11:$B$37,MATCH(N44,[5]PARÁMETROS!$A$11:$A$37,0)),"")</f>
        <v/>
      </c>
      <c r="P44" s="74"/>
      <c r="Q44" s="66"/>
      <c r="R44" s="58"/>
      <c r="S44" s="69"/>
      <c r="T44" s="70"/>
      <c r="U44" s="66" t="str">
        <f t="shared" si="4"/>
        <v/>
      </c>
      <c r="V44" s="55" t="str">
        <f t="shared" si="1"/>
        <v/>
      </c>
      <c r="W44" s="55" t="str">
        <f t="shared" si="2"/>
        <v/>
      </c>
      <c r="X44" s="277" t="str">
        <f>+IF(W44="","",IF(W44&gt;=[5]PARÁMETROS!$D$5,"CUMPLE","NO CUMPLE"))</f>
        <v/>
      </c>
      <c r="Y44" s="139"/>
      <c r="Z44" s="109"/>
    </row>
    <row r="45" spans="1:26" s="72" customFormat="1" ht="30" customHeight="1">
      <c r="A45" s="796"/>
      <c r="B45" s="58"/>
      <c r="C45" s="75"/>
      <c r="D45" s="60" t="str">
        <f>+IFERROR(INDEX([5]CONSOLIDADO!$D$4:$D$91,MATCH('EXP ESPEC. 20-26'!B45,[5]CONSOLIDADO!$C$4:$C$91,0)),"")</f>
        <v/>
      </c>
      <c r="E45" s="61"/>
      <c r="F45" s="61"/>
      <c r="G45" s="277"/>
      <c r="H45" s="277"/>
      <c r="I45" s="277"/>
      <c r="J45" s="277"/>
      <c r="K45" s="73"/>
      <c r="L45" s="64"/>
      <c r="M45" s="64"/>
      <c r="N45" s="65" t="str">
        <f t="shared" si="0"/>
        <v/>
      </c>
      <c r="O45" s="66" t="str">
        <f>+IFERROR(INDEX([5]PARÁMETROS!$B$11:$B$37,MATCH(N45,[5]PARÁMETROS!$A$11:$A$37,0)),"")</f>
        <v/>
      </c>
      <c r="P45" s="74"/>
      <c r="Q45" s="66"/>
      <c r="R45" s="58"/>
      <c r="S45" s="69"/>
      <c r="T45" s="70"/>
      <c r="U45" s="66" t="str">
        <f t="shared" si="4"/>
        <v/>
      </c>
      <c r="V45" s="55" t="str">
        <f t="shared" si="1"/>
        <v/>
      </c>
      <c r="W45" s="55" t="str">
        <f t="shared" si="2"/>
        <v/>
      </c>
      <c r="X45" s="277" t="str">
        <f>+IF(W45="","",IF(W45&gt;=[5]PARÁMETROS!$D$5,"CUMPLE","NO CUMPLE"))</f>
        <v/>
      </c>
      <c r="Y45" s="139"/>
      <c r="Z45" s="109"/>
    </row>
    <row r="46" spans="1:26" s="72" customFormat="1" ht="30" customHeight="1" thickBot="1">
      <c r="A46" s="796"/>
      <c r="B46" s="58"/>
      <c r="C46" s="75"/>
      <c r="D46" s="60" t="str">
        <f>+IFERROR(INDEX([5]CONSOLIDADO!$D$4:$D$91,MATCH('EXP ESPEC. 20-26'!B46,[5]CONSOLIDADO!$C$4:$C$91,0)),"")</f>
        <v/>
      </c>
      <c r="E46" s="61"/>
      <c r="F46" s="61"/>
      <c r="G46" s="277"/>
      <c r="H46" s="277"/>
      <c r="I46" s="277"/>
      <c r="J46" s="277"/>
      <c r="K46" s="73"/>
      <c r="L46" s="64"/>
      <c r="M46" s="64"/>
      <c r="N46" s="65" t="str">
        <f t="shared" si="0"/>
        <v/>
      </c>
      <c r="O46" s="66" t="str">
        <f>+IFERROR(INDEX([5]PARÁMETROS!$B$11:$B$37,MATCH(N46,[5]PARÁMETROS!$A$11:$A$37,0)),"")</f>
        <v/>
      </c>
      <c r="P46" s="74"/>
      <c r="Q46" s="66"/>
      <c r="R46" s="58"/>
      <c r="S46" s="69"/>
      <c r="T46" s="70"/>
      <c r="U46" s="66" t="str">
        <f t="shared" si="4"/>
        <v/>
      </c>
      <c r="V46" s="55" t="str">
        <f t="shared" si="1"/>
        <v/>
      </c>
      <c r="W46" s="55" t="str">
        <f t="shared" si="2"/>
        <v/>
      </c>
      <c r="X46" s="278" t="str">
        <f>+IF(W46="","",IF(W46&gt;=[5]PARÁMETROS!$D$5,"CUMPLE","NO CUMPLE"))</f>
        <v/>
      </c>
      <c r="Y46" s="139"/>
      <c r="Z46" s="109"/>
    </row>
    <row r="47" spans="1:26" s="72" customFormat="1" ht="30" customHeight="1">
      <c r="A47" s="795"/>
      <c r="B47" s="123"/>
      <c r="C47" s="157"/>
      <c r="D47" s="125" t="str">
        <f>+IFERROR(INDEX([5]CONSOLIDADO!$D$4:$D$91,MATCH('EXP ESPEC. 20-26'!B47,[5]CONSOLIDADO!$C$4:$C$91,0)),"")</f>
        <v/>
      </c>
      <c r="E47" s="126"/>
      <c r="F47" s="126"/>
      <c r="G47" s="279"/>
      <c r="H47" s="279"/>
      <c r="I47" s="279"/>
      <c r="J47" s="279"/>
      <c r="K47" s="162"/>
      <c r="L47" s="129"/>
      <c r="M47" s="129"/>
      <c r="N47" s="130" t="str">
        <f t="shared" si="0"/>
        <v/>
      </c>
      <c r="O47" s="131" t="str">
        <f>+IFERROR(INDEX([5]PARÁMETROS!$B$11:$B$37,MATCH(N47,[5]PARÁMETROS!$A$11:$A$37,0)),"")</f>
        <v/>
      </c>
      <c r="P47" s="163"/>
      <c r="Q47" s="131"/>
      <c r="R47" s="123"/>
      <c r="S47" s="134"/>
      <c r="T47" s="135"/>
      <c r="U47" s="131" t="str">
        <f t="shared" si="4"/>
        <v/>
      </c>
      <c r="V47" s="136" t="str">
        <f t="shared" si="1"/>
        <v/>
      </c>
      <c r="W47" s="136" t="str">
        <f t="shared" si="2"/>
        <v/>
      </c>
      <c r="X47" s="168" t="str">
        <f>+IF(W47="","",IF(W47&gt;=[5]PARÁMETROS!$D$5,"CUMPLE","NO CUMPLE"))</f>
        <v/>
      </c>
      <c r="Y47" s="138"/>
      <c r="Z47" s="109"/>
    </row>
    <row r="48" spans="1:26" s="72" customFormat="1" ht="30" customHeight="1">
      <c r="A48" s="796"/>
      <c r="B48" s="58"/>
      <c r="C48" s="75"/>
      <c r="D48" s="60" t="str">
        <f>+IFERROR(INDEX([5]CONSOLIDADO!$D$4:$D$91,MATCH('EXP ESPEC. 20-26'!B48,[5]CONSOLIDADO!$C$4:$C$91,0)),"")</f>
        <v/>
      </c>
      <c r="E48" s="61"/>
      <c r="F48" s="61"/>
      <c r="G48" s="277"/>
      <c r="H48" s="277"/>
      <c r="I48" s="277"/>
      <c r="J48" s="277"/>
      <c r="K48" s="73"/>
      <c r="L48" s="64"/>
      <c r="M48" s="64"/>
      <c r="N48" s="65" t="str">
        <f t="shared" si="0"/>
        <v/>
      </c>
      <c r="O48" s="66" t="str">
        <f>+IFERROR(INDEX([5]PARÁMETROS!$B$11:$B$37,MATCH(N48,[5]PARÁMETROS!$A$11:$A$37,0)),"")</f>
        <v/>
      </c>
      <c r="P48" s="74"/>
      <c r="Q48" s="66"/>
      <c r="R48" s="58"/>
      <c r="S48" s="69"/>
      <c r="T48" s="70"/>
      <c r="U48" s="66" t="str">
        <f t="shared" si="4"/>
        <v/>
      </c>
      <c r="V48" s="55" t="str">
        <f t="shared" si="1"/>
        <v/>
      </c>
      <c r="W48" s="55" t="str">
        <f t="shared" si="2"/>
        <v/>
      </c>
      <c r="X48" s="277" t="str">
        <f>+IF(W48="","",IF(W48&gt;=[5]PARÁMETROS!$D$5,"CUMPLE","NO CUMPLE"))</f>
        <v/>
      </c>
      <c r="Y48" s="139"/>
      <c r="Z48" s="109"/>
    </row>
    <row r="49" spans="1:26" s="72" customFormat="1" ht="30" customHeight="1">
      <c r="A49" s="796"/>
      <c r="B49" s="58"/>
      <c r="C49" s="75"/>
      <c r="D49" s="60" t="str">
        <f>+IFERROR(INDEX([5]CONSOLIDADO!$D$4:$D$91,MATCH('EXP ESPEC. 20-26'!B49,[5]CONSOLIDADO!$C$4:$C$91,0)),"")</f>
        <v/>
      </c>
      <c r="E49" s="61"/>
      <c r="F49" s="61"/>
      <c r="G49" s="277"/>
      <c r="H49" s="277"/>
      <c r="I49" s="277"/>
      <c r="J49" s="277"/>
      <c r="K49" s="73"/>
      <c r="L49" s="64"/>
      <c r="M49" s="64"/>
      <c r="N49" s="65" t="str">
        <f t="shared" si="0"/>
        <v/>
      </c>
      <c r="O49" s="66" t="str">
        <f>+IFERROR(INDEX([5]PARÁMETROS!$B$11:$B$37,MATCH(N49,[5]PARÁMETROS!$A$11:$A$37,0)),"")</f>
        <v/>
      </c>
      <c r="P49" s="74"/>
      <c r="Q49" s="66"/>
      <c r="R49" s="58"/>
      <c r="S49" s="69"/>
      <c r="T49" s="70"/>
      <c r="U49" s="66" t="str">
        <f t="shared" si="4"/>
        <v/>
      </c>
      <c r="V49" s="55" t="str">
        <f t="shared" si="1"/>
        <v/>
      </c>
      <c r="W49" s="55" t="str">
        <f t="shared" si="2"/>
        <v/>
      </c>
      <c r="X49" s="277" t="str">
        <f>+IF(W49="","",IF(W49&gt;=[5]PARÁMETROS!$D$5,"CUMPLE","NO CUMPLE"))</f>
        <v/>
      </c>
      <c r="Y49" s="139"/>
      <c r="Z49" s="109"/>
    </row>
    <row r="50" spans="1:26" s="72" customFormat="1" ht="30" customHeight="1" thickBot="1">
      <c r="A50" s="796"/>
      <c r="B50" s="58"/>
      <c r="C50" s="75"/>
      <c r="D50" s="60" t="str">
        <f>+IFERROR(INDEX([5]CONSOLIDADO!$D$4:$D$91,MATCH('EXP ESPEC. 20-26'!B50,[5]CONSOLIDADO!$C$4:$C$91,0)),"")</f>
        <v/>
      </c>
      <c r="E50" s="61"/>
      <c r="F50" s="61"/>
      <c r="G50" s="277"/>
      <c r="H50" s="277"/>
      <c r="I50" s="277"/>
      <c r="J50" s="277"/>
      <c r="K50" s="73"/>
      <c r="L50" s="64"/>
      <c r="M50" s="64"/>
      <c r="N50" s="65" t="str">
        <f t="shared" si="0"/>
        <v/>
      </c>
      <c r="O50" s="66" t="str">
        <f>+IFERROR(INDEX([5]PARÁMETROS!$B$11:$B$37,MATCH(N50,[5]PARÁMETROS!$A$11:$A$37,0)),"")</f>
        <v/>
      </c>
      <c r="P50" s="74"/>
      <c r="Q50" s="66"/>
      <c r="R50" s="58"/>
      <c r="S50" s="69"/>
      <c r="T50" s="70"/>
      <c r="U50" s="66" t="str">
        <f t="shared" si="4"/>
        <v/>
      </c>
      <c r="V50" s="55" t="str">
        <f t="shared" si="1"/>
        <v/>
      </c>
      <c r="W50" s="55" t="str">
        <f t="shared" si="2"/>
        <v/>
      </c>
      <c r="X50" s="278" t="str">
        <f>+IF(W50="","",IF(W50&gt;=[5]PARÁMETROS!$D$5,"CUMPLE","NO CUMPLE"))</f>
        <v/>
      </c>
      <c r="Y50" s="139"/>
      <c r="Z50" s="109"/>
    </row>
    <row r="51" spans="1:26" s="72" customFormat="1" ht="30" customHeight="1">
      <c r="A51" s="795"/>
      <c r="B51" s="123"/>
      <c r="C51" s="157"/>
      <c r="D51" s="125" t="str">
        <f>+IFERROR(INDEX([5]CONSOLIDADO!$D$4:$D$91,MATCH('EXP ESPEC. 20-26'!B51,[5]CONSOLIDADO!$C$4:$C$91,0)),"")</f>
        <v/>
      </c>
      <c r="E51" s="126"/>
      <c r="F51" s="126"/>
      <c r="G51" s="279"/>
      <c r="H51" s="279"/>
      <c r="I51" s="279"/>
      <c r="J51" s="279"/>
      <c r="K51" s="162"/>
      <c r="L51" s="129"/>
      <c r="M51" s="129"/>
      <c r="N51" s="130" t="str">
        <f t="shared" si="0"/>
        <v/>
      </c>
      <c r="O51" s="131" t="str">
        <f>+IFERROR(INDEX([5]PARÁMETROS!$B$11:$B$37,MATCH(N51,[5]PARÁMETROS!$A$11:$A$37,0)),"")</f>
        <v/>
      </c>
      <c r="P51" s="163"/>
      <c r="Q51" s="131"/>
      <c r="R51" s="123"/>
      <c r="S51" s="134"/>
      <c r="T51" s="135"/>
      <c r="U51" s="131" t="str">
        <f t="shared" si="4"/>
        <v/>
      </c>
      <c r="V51" s="136" t="str">
        <f t="shared" si="1"/>
        <v/>
      </c>
      <c r="W51" s="136" t="str">
        <f t="shared" si="2"/>
        <v/>
      </c>
      <c r="X51" s="168" t="str">
        <f>+IF(W51="","",IF(W51&gt;=[5]PARÁMETROS!$D$5,"CUMPLE","NO CUMPLE"))</f>
        <v/>
      </c>
      <c r="Y51" s="138"/>
      <c r="Z51" s="109"/>
    </row>
    <row r="52" spans="1:26" s="72" customFormat="1" ht="30" customHeight="1">
      <c r="A52" s="796"/>
      <c r="B52" s="58"/>
      <c r="C52" s="75"/>
      <c r="D52" s="60" t="str">
        <f>+IFERROR(INDEX([5]CONSOLIDADO!$D$4:$D$91,MATCH('EXP ESPEC. 20-26'!B52,[5]CONSOLIDADO!$C$4:$C$91,0)),"")</f>
        <v/>
      </c>
      <c r="E52" s="61"/>
      <c r="F52" s="61"/>
      <c r="G52" s="277"/>
      <c r="H52" s="277"/>
      <c r="I52" s="277"/>
      <c r="J52" s="277"/>
      <c r="K52" s="73"/>
      <c r="L52" s="64"/>
      <c r="M52" s="64"/>
      <c r="N52" s="65" t="str">
        <f t="shared" si="0"/>
        <v/>
      </c>
      <c r="O52" s="66" t="str">
        <f>+IFERROR(INDEX([5]PARÁMETROS!$B$11:$B$37,MATCH(N52,[5]PARÁMETROS!$A$11:$A$37,0)),"")</f>
        <v/>
      </c>
      <c r="P52" s="74"/>
      <c r="Q52" s="66"/>
      <c r="R52" s="58"/>
      <c r="S52" s="69"/>
      <c r="T52" s="70"/>
      <c r="U52" s="66" t="str">
        <f t="shared" si="4"/>
        <v/>
      </c>
      <c r="V52" s="55" t="str">
        <f t="shared" si="1"/>
        <v/>
      </c>
      <c r="W52" s="55" t="str">
        <f t="shared" si="2"/>
        <v/>
      </c>
      <c r="X52" s="277" t="str">
        <f>+IF(W52="","",IF(W52&gt;=[5]PARÁMETROS!$D$5,"CUMPLE","NO CUMPLE"))</f>
        <v/>
      </c>
      <c r="Y52" s="139"/>
      <c r="Z52" s="109"/>
    </row>
    <row r="53" spans="1:26" s="72" customFormat="1" ht="30" customHeight="1">
      <c r="A53" s="796"/>
      <c r="B53" s="58"/>
      <c r="C53" s="75"/>
      <c r="D53" s="60" t="str">
        <f>+IFERROR(INDEX([5]CONSOLIDADO!$D$4:$D$91,MATCH('EXP ESPEC. 20-26'!B53,[5]CONSOLIDADO!$C$4:$C$91,0)),"")</f>
        <v/>
      </c>
      <c r="E53" s="61"/>
      <c r="F53" s="61"/>
      <c r="G53" s="277"/>
      <c r="H53" s="277"/>
      <c r="I53" s="277"/>
      <c r="J53" s="277"/>
      <c r="K53" s="73"/>
      <c r="L53" s="64"/>
      <c r="M53" s="64"/>
      <c r="N53" s="65" t="str">
        <f t="shared" si="0"/>
        <v/>
      </c>
      <c r="O53" s="66" t="str">
        <f>+IFERROR(INDEX([5]PARÁMETROS!$B$11:$B$37,MATCH(N53,[5]PARÁMETROS!$A$11:$A$37,0)),"")</f>
        <v/>
      </c>
      <c r="P53" s="74"/>
      <c r="Q53" s="66"/>
      <c r="R53" s="58"/>
      <c r="S53" s="69"/>
      <c r="T53" s="70"/>
      <c r="U53" s="66" t="str">
        <f t="shared" si="4"/>
        <v/>
      </c>
      <c r="V53" s="55" t="str">
        <f t="shared" si="1"/>
        <v/>
      </c>
      <c r="W53" s="55" t="str">
        <f t="shared" si="2"/>
        <v/>
      </c>
      <c r="X53" s="277" t="str">
        <f>+IF(W53="","",IF(W53&gt;=[5]PARÁMETROS!$D$5,"CUMPLE","NO CUMPLE"))</f>
        <v/>
      </c>
      <c r="Y53" s="139"/>
      <c r="Z53" s="109"/>
    </row>
    <row r="54" spans="1:26" s="72" customFormat="1" ht="30" customHeight="1" thickBot="1">
      <c r="A54" s="806"/>
      <c r="B54" s="141"/>
      <c r="C54" s="142"/>
      <c r="D54" s="143" t="str">
        <f>+IFERROR(INDEX([5]CONSOLIDADO!$D$4:$D$91,MATCH('EXP ESPEC. 20-26'!B54,[5]CONSOLIDADO!$C$4:$C$91,0)),"")</f>
        <v/>
      </c>
      <c r="E54" s="144"/>
      <c r="F54" s="144"/>
      <c r="G54" s="278"/>
      <c r="H54" s="278"/>
      <c r="I54" s="278"/>
      <c r="J54" s="278"/>
      <c r="K54" s="164"/>
      <c r="L54" s="147"/>
      <c r="M54" s="147"/>
      <c r="N54" s="148" t="str">
        <f t="shared" si="0"/>
        <v/>
      </c>
      <c r="O54" s="149" t="str">
        <f>+IFERROR(INDEX([5]PARÁMETROS!$B$11:$B$37,MATCH(N54,[5]PARÁMETROS!$A$11:$A$37,0)),"")</f>
        <v/>
      </c>
      <c r="P54" s="165"/>
      <c r="Q54" s="149"/>
      <c r="R54" s="141"/>
      <c r="S54" s="152"/>
      <c r="T54" s="153"/>
      <c r="U54" s="149" t="str">
        <f t="shared" si="4"/>
        <v/>
      </c>
      <c r="V54" s="154" t="str">
        <f t="shared" si="1"/>
        <v/>
      </c>
      <c r="W54" s="154" t="str">
        <f t="shared" si="2"/>
        <v/>
      </c>
      <c r="X54" s="278" t="str">
        <f>+IF(W54="","",IF(W54&gt;=[5]PARÁMETROS!$D$5,"CUMPLE","NO CUMPLE"))</f>
        <v/>
      </c>
      <c r="Y54" s="155"/>
      <c r="Z54" s="109"/>
    </row>
    <row r="55" spans="1:26" s="72" customFormat="1" ht="30" customHeight="1">
      <c r="A55" s="110"/>
      <c r="B55" s="110"/>
      <c r="C55" s="111"/>
      <c r="D55" s="112"/>
      <c r="E55" s="113"/>
      <c r="F55" s="113"/>
      <c r="G55" s="113"/>
      <c r="H55" s="113"/>
      <c r="I55" s="113"/>
      <c r="J55" s="113"/>
      <c r="K55" s="159"/>
      <c r="L55" s="116"/>
      <c r="M55" s="116"/>
      <c r="N55" s="160"/>
      <c r="O55" s="117"/>
      <c r="P55" s="161"/>
      <c r="Q55" s="117"/>
      <c r="R55" s="110"/>
      <c r="S55" s="120"/>
      <c r="T55" s="121"/>
      <c r="U55" s="117"/>
      <c r="V55" s="122"/>
      <c r="W55" s="122"/>
      <c r="X55" s="280"/>
      <c r="Y55" s="113"/>
    </row>
    <row r="56" spans="1:26" s="72" customFormat="1" ht="30" customHeight="1">
      <c r="A56" s="58"/>
      <c r="B56" s="58"/>
      <c r="C56" s="75"/>
      <c r="D56" s="60"/>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75"/>
      <c r="D57" s="60"/>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75"/>
      <c r="D58" s="60"/>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75"/>
      <c r="D59" s="60"/>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75"/>
      <c r="D60" s="60"/>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75"/>
      <c r="D61" s="60"/>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75"/>
      <c r="D62" s="60"/>
      <c r="E62" s="61"/>
      <c r="F62" s="61"/>
      <c r="G62" s="61"/>
      <c r="H62" s="61"/>
      <c r="I62" s="61"/>
      <c r="J62" s="61"/>
      <c r="K62" s="73"/>
      <c r="L62" s="64"/>
      <c r="M62" s="64"/>
      <c r="N62" s="65"/>
      <c r="O62" s="66"/>
      <c r="P62" s="74"/>
      <c r="Q62" s="66"/>
      <c r="R62" s="58"/>
      <c r="S62" s="69"/>
      <c r="T62" s="70"/>
      <c r="U62" s="66"/>
      <c r="V62" s="55"/>
      <c r="W62" s="55"/>
      <c r="X62" s="277"/>
      <c r="Y62" s="61"/>
    </row>
    <row r="63" spans="1:26" s="72" customFormat="1" ht="30" customHeight="1">
      <c r="A63" s="58"/>
      <c r="B63" s="58"/>
      <c r="C63" s="75"/>
      <c r="D63" s="60"/>
      <c r="E63" s="61"/>
      <c r="F63" s="61"/>
      <c r="G63" s="61"/>
      <c r="H63" s="61"/>
      <c r="I63" s="61"/>
      <c r="J63" s="61"/>
      <c r="K63" s="73"/>
      <c r="L63" s="64"/>
      <c r="M63" s="64"/>
      <c r="N63" s="65"/>
      <c r="O63" s="66"/>
      <c r="P63" s="74"/>
      <c r="Q63" s="66"/>
      <c r="R63" s="58"/>
      <c r="S63" s="69"/>
      <c r="T63" s="70"/>
      <c r="U63" s="66"/>
      <c r="V63" s="55"/>
      <c r="W63" s="55"/>
      <c r="X63" s="277"/>
      <c r="Y63" s="61"/>
    </row>
    <row r="64" spans="1:26" s="72" customFormat="1" ht="30" customHeight="1">
      <c r="A64" s="58"/>
      <c r="B64" s="58"/>
      <c r="C64" s="75"/>
      <c r="D64" s="60"/>
      <c r="E64" s="61"/>
      <c r="F64" s="61"/>
      <c r="G64" s="61"/>
      <c r="H64" s="61"/>
      <c r="I64" s="61"/>
      <c r="J64" s="61"/>
      <c r="K64" s="73"/>
      <c r="L64" s="64"/>
      <c r="M64" s="64"/>
      <c r="N64" s="65"/>
      <c r="O64" s="66"/>
      <c r="P64" s="74"/>
      <c r="Q64" s="66"/>
      <c r="R64" s="58"/>
      <c r="S64" s="69"/>
      <c r="T64" s="70"/>
      <c r="U64" s="66"/>
      <c r="V64" s="55"/>
      <c r="W64" s="55"/>
      <c r="X64" s="277"/>
      <c r="Y64" s="61"/>
    </row>
    <row r="65" spans="1:25" s="72" customFormat="1" ht="30" customHeight="1">
      <c r="A65" s="58"/>
      <c r="B65" s="58"/>
      <c r="C65" s="75"/>
      <c r="D65" s="60"/>
      <c r="E65" s="61"/>
      <c r="F65" s="61"/>
      <c r="G65" s="61"/>
      <c r="H65" s="61"/>
      <c r="I65" s="61"/>
      <c r="J65" s="61"/>
      <c r="K65" s="73"/>
      <c r="L65" s="64"/>
      <c r="M65" s="64"/>
      <c r="N65" s="65"/>
      <c r="O65" s="66"/>
      <c r="P65" s="74"/>
      <c r="Q65" s="66"/>
      <c r="R65" s="58"/>
      <c r="S65" s="69"/>
      <c r="T65" s="70"/>
      <c r="U65" s="66"/>
      <c r="V65" s="55"/>
      <c r="W65" s="55"/>
      <c r="X65" s="277"/>
      <c r="Y65" s="61"/>
    </row>
    <row r="66" spans="1:25" s="72" customFormat="1" ht="30" customHeight="1">
      <c r="A66" s="58"/>
      <c r="B66" s="58"/>
      <c r="C66" s="75"/>
      <c r="D66" s="60"/>
      <c r="E66" s="61"/>
      <c r="F66" s="61"/>
      <c r="G66" s="61"/>
      <c r="H66" s="61"/>
      <c r="I66" s="61"/>
      <c r="J66" s="61"/>
      <c r="K66" s="73"/>
      <c r="L66" s="64"/>
      <c r="M66" s="64"/>
      <c r="N66" s="65"/>
      <c r="O66" s="66"/>
      <c r="P66" s="74"/>
      <c r="Q66" s="66"/>
      <c r="R66" s="58"/>
      <c r="S66" s="69"/>
      <c r="T66" s="70"/>
      <c r="U66" s="66"/>
      <c r="V66" s="55"/>
      <c r="W66" s="55"/>
      <c r="X66" s="277"/>
      <c r="Y66" s="61"/>
    </row>
    <row r="67" spans="1:25" s="99" customFormat="1" ht="30" customHeight="1">
      <c r="A67" s="89"/>
      <c r="B67" s="89"/>
      <c r="C67" s="90"/>
      <c r="D67" s="91"/>
      <c r="E67" s="92"/>
      <c r="F67" s="92"/>
      <c r="G67" s="92"/>
      <c r="H67" s="92"/>
      <c r="I67" s="92"/>
      <c r="J67" s="92"/>
      <c r="K67" s="93"/>
      <c r="L67" s="94"/>
      <c r="M67" s="94"/>
      <c r="N67" s="95"/>
      <c r="O67" s="66"/>
      <c r="P67" s="96"/>
      <c r="Q67" s="97"/>
      <c r="R67" s="58"/>
      <c r="S67" s="69"/>
      <c r="T67" s="70"/>
      <c r="U67" s="66"/>
      <c r="V67" s="55"/>
      <c r="W67" s="55"/>
      <c r="X67" s="277"/>
      <c r="Y67" s="92"/>
    </row>
    <row r="68" spans="1:25" s="99" customFormat="1" ht="30" customHeight="1">
      <c r="A68" s="89"/>
      <c r="B68" s="89"/>
      <c r="C68" s="90"/>
      <c r="D68" s="91"/>
      <c r="E68" s="92"/>
      <c r="F68" s="92"/>
      <c r="G68" s="92"/>
      <c r="H68" s="92"/>
      <c r="I68" s="92"/>
      <c r="J68" s="92"/>
      <c r="K68" s="93"/>
      <c r="L68" s="94"/>
      <c r="M68" s="94"/>
      <c r="N68" s="95"/>
      <c r="O68" s="66"/>
      <c r="P68" s="96"/>
      <c r="Q68" s="97"/>
      <c r="R68" s="58"/>
      <c r="S68" s="69"/>
      <c r="T68" s="70"/>
      <c r="U68" s="66"/>
      <c r="V68" s="55"/>
      <c r="W68" s="55"/>
      <c r="X68" s="277"/>
      <c r="Y68" s="92"/>
    </row>
    <row r="69" spans="1:25" s="99" customFormat="1" ht="30" customHeight="1">
      <c r="A69" s="89"/>
      <c r="B69" s="89"/>
      <c r="C69" s="90"/>
      <c r="D69" s="91"/>
      <c r="E69" s="92"/>
      <c r="F69" s="92"/>
      <c r="G69" s="92"/>
      <c r="H69" s="92"/>
      <c r="I69" s="92"/>
      <c r="J69" s="92"/>
      <c r="K69" s="93"/>
      <c r="L69" s="94"/>
      <c r="M69" s="94"/>
      <c r="N69" s="95"/>
      <c r="O69" s="66"/>
      <c r="P69" s="96"/>
      <c r="Q69" s="97"/>
      <c r="R69" s="58"/>
      <c r="S69" s="69"/>
      <c r="T69" s="70"/>
      <c r="U69" s="66"/>
      <c r="V69" s="55"/>
      <c r="W69" s="55"/>
      <c r="X69" s="277"/>
      <c r="Y69" s="92"/>
    </row>
    <row r="70" spans="1:25" s="99" customFormat="1" ht="30" customHeight="1">
      <c r="A70" s="89"/>
      <c r="B70" s="89"/>
      <c r="C70" s="90"/>
      <c r="D70" s="91"/>
      <c r="E70" s="92"/>
      <c r="F70" s="92"/>
      <c r="G70" s="92"/>
      <c r="H70" s="92"/>
      <c r="I70" s="92"/>
      <c r="J70" s="92"/>
      <c r="K70" s="93"/>
      <c r="L70" s="94"/>
      <c r="M70" s="94"/>
      <c r="N70" s="95"/>
      <c r="O70" s="66"/>
      <c r="P70" s="96"/>
      <c r="Q70" s="97"/>
      <c r="R70" s="58"/>
      <c r="S70" s="69"/>
      <c r="T70" s="70"/>
      <c r="U70" s="66"/>
      <c r="V70" s="55"/>
      <c r="W70" s="55"/>
      <c r="X70" s="277"/>
      <c r="Y70" s="92"/>
    </row>
    <row r="71" spans="1:25" s="99" customFormat="1" ht="30" customHeight="1">
      <c r="A71" s="89"/>
      <c r="B71" s="89"/>
      <c r="C71" s="90"/>
      <c r="D71" s="91"/>
      <c r="E71" s="92"/>
      <c r="F71" s="92"/>
      <c r="G71" s="92"/>
      <c r="H71" s="92"/>
      <c r="I71" s="92"/>
      <c r="J71" s="92"/>
      <c r="K71" s="93"/>
      <c r="L71" s="94"/>
      <c r="M71" s="94"/>
      <c r="N71" s="95"/>
      <c r="O71" s="66"/>
      <c r="P71" s="96"/>
      <c r="Q71" s="97"/>
      <c r="R71" s="58"/>
      <c r="S71" s="69"/>
      <c r="T71" s="70"/>
      <c r="U71" s="66"/>
      <c r="V71" s="55"/>
      <c r="W71" s="55"/>
      <c r="X71" s="277"/>
      <c r="Y71" s="92"/>
    </row>
    <row r="72" spans="1:25" s="99" customFormat="1" ht="30" customHeight="1">
      <c r="A72" s="89"/>
      <c r="B72" s="89"/>
      <c r="C72" s="90"/>
      <c r="D72" s="91"/>
      <c r="E72" s="92"/>
      <c r="F72" s="92"/>
      <c r="G72" s="92"/>
      <c r="H72" s="92"/>
      <c r="I72" s="92"/>
      <c r="J72" s="92"/>
      <c r="K72" s="93"/>
      <c r="L72" s="94"/>
      <c r="M72" s="94"/>
      <c r="N72" s="95"/>
      <c r="O72" s="66"/>
      <c r="P72" s="96"/>
      <c r="Q72" s="97"/>
      <c r="R72" s="58"/>
      <c r="S72" s="69"/>
      <c r="T72" s="70"/>
      <c r="U72" s="66"/>
      <c r="V72" s="55"/>
      <c r="W72" s="55"/>
      <c r="X72" s="277"/>
      <c r="Y72" s="92"/>
    </row>
    <row r="73" spans="1:25" s="99" customFormat="1" ht="30" customHeight="1">
      <c r="A73" s="89"/>
      <c r="B73" s="89"/>
      <c r="C73" s="90"/>
      <c r="D73" s="91"/>
      <c r="E73" s="92"/>
      <c r="F73" s="92"/>
      <c r="G73" s="92"/>
      <c r="H73" s="92"/>
      <c r="I73" s="92"/>
      <c r="J73" s="92"/>
      <c r="K73" s="93"/>
      <c r="L73" s="94"/>
      <c r="M73" s="94"/>
      <c r="N73" s="95"/>
      <c r="O73" s="66"/>
      <c r="P73" s="96"/>
      <c r="Q73" s="97"/>
      <c r="R73" s="58"/>
      <c r="S73" s="69"/>
      <c r="T73" s="70"/>
      <c r="U73" s="66"/>
      <c r="V73" s="55"/>
      <c r="W73" s="55"/>
      <c r="X73" s="277"/>
      <c r="Y73" s="92"/>
    </row>
    <row r="74" spans="1:25" s="99" customFormat="1" ht="30" customHeight="1">
      <c r="A74" s="89"/>
      <c r="B74" s="89"/>
      <c r="C74" s="90"/>
      <c r="D74" s="91"/>
      <c r="E74" s="92"/>
      <c r="F74" s="92"/>
      <c r="G74" s="92"/>
      <c r="H74" s="92"/>
      <c r="I74" s="92"/>
      <c r="J74" s="92"/>
      <c r="K74" s="93"/>
      <c r="L74" s="94"/>
      <c r="M74" s="94"/>
      <c r="N74" s="95"/>
      <c r="O74" s="66"/>
      <c r="P74" s="96"/>
      <c r="Q74" s="97"/>
      <c r="R74" s="58"/>
      <c r="S74" s="69"/>
      <c r="T74" s="70"/>
      <c r="U74" s="66"/>
      <c r="V74" s="55"/>
      <c r="W74" s="55"/>
      <c r="X74" s="277"/>
      <c r="Y74" s="92"/>
    </row>
    <row r="75" spans="1:25" s="99" customFormat="1" ht="30" customHeight="1">
      <c r="A75" s="89"/>
      <c r="B75" s="89"/>
      <c r="C75" s="90"/>
      <c r="D75" s="91"/>
      <c r="E75" s="92"/>
      <c r="F75" s="92"/>
      <c r="G75" s="92"/>
      <c r="H75" s="92"/>
      <c r="I75" s="92"/>
      <c r="J75" s="92"/>
      <c r="K75" s="93"/>
      <c r="L75" s="94"/>
      <c r="M75" s="94"/>
      <c r="N75" s="95"/>
      <c r="O75" s="66"/>
      <c r="P75" s="96"/>
      <c r="Q75" s="97"/>
      <c r="R75" s="58"/>
      <c r="S75" s="69"/>
      <c r="T75" s="70"/>
      <c r="U75" s="66"/>
      <c r="V75" s="55"/>
      <c r="W75" s="55"/>
      <c r="X75" s="277"/>
      <c r="Y75" s="92"/>
    </row>
    <row r="76" spans="1:25" s="99" customFormat="1" ht="30" customHeight="1">
      <c r="A76" s="89"/>
      <c r="B76" s="89"/>
      <c r="C76" s="90"/>
      <c r="D76" s="91"/>
      <c r="E76" s="92"/>
      <c r="F76" s="92"/>
      <c r="G76" s="92"/>
      <c r="H76" s="92"/>
      <c r="I76" s="92"/>
      <c r="J76" s="92"/>
      <c r="K76" s="93"/>
      <c r="L76" s="94"/>
      <c r="M76" s="94"/>
      <c r="N76" s="95"/>
      <c r="O76" s="66"/>
      <c r="P76" s="96"/>
      <c r="Q76" s="97"/>
      <c r="R76" s="58"/>
      <c r="S76" s="69"/>
      <c r="T76" s="70"/>
      <c r="U76" s="66"/>
      <c r="V76" s="55"/>
      <c r="W76" s="55"/>
      <c r="X76" s="277"/>
      <c r="Y76" s="92"/>
    </row>
    <row r="77" spans="1:25" s="99" customFormat="1" ht="30" customHeight="1">
      <c r="A77" s="89"/>
      <c r="B77" s="89"/>
      <c r="C77" s="90"/>
      <c r="D77" s="91"/>
      <c r="E77" s="92"/>
      <c r="F77" s="92"/>
      <c r="G77" s="92"/>
      <c r="H77" s="92"/>
      <c r="I77" s="92"/>
      <c r="J77" s="92"/>
      <c r="K77" s="93"/>
      <c r="L77" s="94"/>
      <c r="M77" s="94"/>
      <c r="N77" s="95"/>
      <c r="O77" s="66"/>
      <c r="P77" s="96"/>
      <c r="Q77" s="97"/>
      <c r="R77" s="58"/>
      <c r="S77" s="69"/>
      <c r="T77" s="70"/>
      <c r="U77" s="66"/>
      <c r="V77" s="55"/>
      <c r="W77" s="55"/>
      <c r="X77" s="277"/>
      <c r="Y77" s="92"/>
    </row>
    <row r="78" spans="1:25" s="99" customFormat="1" ht="30" customHeight="1">
      <c r="A78" s="89"/>
      <c r="B78" s="89"/>
      <c r="C78" s="90"/>
      <c r="D78" s="91"/>
      <c r="E78" s="92"/>
      <c r="F78" s="92"/>
      <c r="G78" s="92"/>
      <c r="H78" s="92"/>
      <c r="I78" s="92"/>
      <c r="J78" s="92"/>
      <c r="K78" s="93"/>
      <c r="L78" s="94"/>
      <c r="M78" s="94"/>
      <c r="N78" s="95"/>
      <c r="O78" s="66"/>
      <c r="P78" s="96"/>
      <c r="Q78" s="97"/>
      <c r="R78" s="58"/>
      <c r="S78" s="69"/>
      <c r="T78" s="70"/>
      <c r="U78" s="66"/>
      <c r="V78" s="55"/>
      <c r="W78" s="55"/>
      <c r="X78" s="277"/>
      <c r="Y78" s="92"/>
    </row>
    <row r="79" spans="1:25" s="99" customFormat="1" ht="30" customHeight="1">
      <c r="A79" s="89"/>
      <c r="B79" s="89"/>
      <c r="C79" s="90"/>
      <c r="D79" s="91"/>
      <c r="E79" s="92"/>
      <c r="F79" s="92"/>
      <c r="G79" s="92"/>
      <c r="H79" s="92"/>
      <c r="I79" s="92"/>
      <c r="J79" s="92"/>
      <c r="K79" s="93"/>
      <c r="L79" s="94"/>
      <c r="M79" s="94"/>
      <c r="N79" s="95"/>
      <c r="O79" s="66"/>
      <c r="P79" s="96"/>
      <c r="Q79" s="97"/>
      <c r="R79" s="58"/>
      <c r="S79" s="69"/>
      <c r="T79" s="70"/>
      <c r="U79" s="66"/>
      <c r="V79" s="55"/>
      <c r="W79" s="55"/>
      <c r="X79" s="277"/>
      <c r="Y79" s="92"/>
    </row>
    <row r="80" spans="1:25" s="99" customFormat="1" ht="30" customHeight="1">
      <c r="A80" s="89"/>
      <c r="B80" s="89"/>
      <c r="C80" s="90"/>
      <c r="D80" s="91"/>
      <c r="E80" s="92"/>
      <c r="F80" s="92"/>
      <c r="G80" s="92"/>
      <c r="H80" s="92"/>
      <c r="I80" s="92"/>
      <c r="J80" s="92"/>
      <c r="K80" s="93"/>
      <c r="L80" s="94"/>
      <c r="M80" s="94"/>
      <c r="N80" s="95"/>
      <c r="O80" s="66"/>
      <c r="P80" s="96"/>
      <c r="Q80" s="97"/>
      <c r="R80" s="58"/>
      <c r="S80" s="69"/>
      <c r="T80" s="70"/>
      <c r="U80" s="66"/>
      <c r="V80" s="55"/>
      <c r="W80" s="55"/>
      <c r="X80" s="277"/>
      <c r="Y80" s="92"/>
    </row>
    <row r="81" spans="1:25" s="99" customFormat="1" ht="30" customHeight="1">
      <c r="A81" s="89"/>
      <c r="B81" s="89"/>
      <c r="C81" s="90"/>
      <c r="D81" s="91"/>
      <c r="E81" s="92"/>
      <c r="F81" s="92"/>
      <c r="G81" s="92"/>
      <c r="H81" s="92"/>
      <c r="I81" s="92"/>
      <c r="J81" s="92"/>
      <c r="K81" s="93"/>
      <c r="L81" s="94"/>
      <c r="M81" s="94"/>
      <c r="N81" s="95"/>
      <c r="O81" s="66"/>
      <c r="P81" s="96"/>
      <c r="Q81" s="97"/>
      <c r="R81" s="58"/>
      <c r="S81" s="69"/>
      <c r="T81" s="70"/>
      <c r="U81" s="66"/>
      <c r="V81" s="55"/>
      <c r="W81" s="55"/>
      <c r="X81" s="277"/>
      <c r="Y81" s="92"/>
    </row>
    <row r="82" spans="1:25" s="99" customFormat="1" ht="30" customHeight="1">
      <c r="A82" s="89"/>
      <c r="B82" s="89"/>
      <c r="C82" s="90"/>
      <c r="D82" s="91"/>
      <c r="E82" s="92"/>
      <c r="F82" s="92"/>
      <c r="G82" s="92"/>
      <c r="H82" s="92"/>
      <c r="I82" s="92"/>
      <c r="J82" s="92"/>
      <c r="K82" s="93"/>
      <c r="L82" s="94"/>
      <c r="M82" s="94"/>
      <c r="N82" s="95"/>
      <c r="O82" s="66"/>
      <c r="P82" s="96"/>
      <c r="Q82" s="97"/>
      <c r="R82" s="58"/>
      <c r="S82" s="69"/>
      <c r="T82" s="70"/>
      <c r="U82" s="66"/>
      <c r="V82" s="55"/>
      <c r="W82" s="55"/>
      <c r="X82" s="277"/>
      <c r="Y82" s="92"/>
    </row>
    <row r="83" spans="1:25" s="99" customFormat="1" ht="30" customHeight="1">
      <c r="A83" s="89"/>
      <c r="B83" s="89"/>
      <c r="C83" s="90"/>
      <c r="D83" s="91"/>
      <c r="E83" s="92"/>
      <c r="F83" s="92"/>
      <c r="G83" s="92"/>
      <c r="H83" s="92"/>
      <c r="I83" s="92"/>
      <c r="J83" s="92"/>
      <c r="K83" s="93"/>
      <c r="L83" s="94"/>
      <c r="M83" s="94"/>
      <c r="N83" s="95"/>
      <c r="O83" s="66"/>
      <c r="P83" s="96"/>
      <c r="Q83" s="97"/>
      <c r="R83" s="58"/>
      <c r="S83" s="69"/>
      <c r="T83" s="70"/>
      <c r="U83" s="66"/>
      <c r="V83" s="55"/>
      <c r="W83" s="55"/>
      <c r="X83" s="277"/>
      <c r="Y83" s="92"/>
    </row>
    <row r="84" spans="1:25" s="99" customFormat="1" ht="30" customHeight="1">
      <c r="A84" s="89"/>
      <c r="B84" s="89"/>
      <c r="C84" s="90"/>
      <c r="D84" s="91"/>
      <c r="E84" s="92"/>
      <c r="F84" s="92"/>
      <c r="G84" s="92"/>
      <c r="H84" s="92"/>
      <c r="I84" s="92"/>
      <c r="J84" s="92"/>
      <c r="K84" s="93"/>
      <c r="L84" s="94"/>
      <c r="M84" s="94"/>
      <c r="N84" s="95"/>
      <c r="O84" s="66"/>
      <c r="P84" s="96"/>
      <c r="Q84" s="97"/>
      <c r="R84" s="58"/>
      <c r="S84" s="69"/>
      <c r="T84" s="70"/>
      <c r="U84" s="66"/>
      <c r="V84" s="55"/>
      <c r="W84" s="55"/>
      <c r="X84" s="277"/>
      <c r="Y84" s="92"/>
    </row>
    <row r="85" spans="1:25" s="99" customFormat="1" ht="30" customHeight="1">
      <c r="A85" s="89"/>
      <c r="B85" s="89"/>
      <c r="C85" s="90"/>
      <c r="D85" s="91"/>
      <c r="E85" s="92"/>
      <c r="F85" s="92"/>
      <c r="G85" s="92"/>
      <c r="H85" s="92"/>
      <c r="I85" s="92"/>
      <c r="J85" s="92"/>
      <c r="K85" s="93"/>
      <c r="L85" s="94"/>
      <c r="M85" s="94"/>
      <c r="N85" s="95"/>
      <c r="O85" s="66"/>
      <c r="P85" s="96"/>
      <c r="Q85" s="97"/>
      <c r="R85" s="58"/>
      <c r="S85" s="69"/>
      <c r="T85" s="70"/>
      <c r="U85" s="66"/>
      <c r="V85" s="55"/>
      <c r="W85" s="55"/>
      <c r="X85" s="277"/>
      <c r="Y85" s="92"/>
    </row>
    <row r="86" spans="1:25" s="99" customFormat="1" ht="30" customHeight="1">
      <c r="A86" s="89"/>
      <c r="B86" s="89"/>
      <c r="C86" s="90"/>
      <c r="D86" s="91"/>
      <c r="E86" s="92"/>
      <c r="F86" s="92"/>
      <c r="G86" s="92"/>
      <c r="H86" s="92"/>
      <c r="I86" s="92"/>
      <c r="J86" s="92"/>
      <c r="K86" s="93"/>
      <c r="L86" s="94"/>
      <c r="M86" s="94"/>
      <c r="N86" s="95"/>
      <c r="O86" s="66"/>
      <c r="P86" s="96"/>
      <c r="Q86" s="97"/>
      <c r="R86" s="58"/>
      <c r="S86" s="69"/>
      <c r="T86" s="70"/>
      <c r="U86" s="66"/>
      <c r="V86" s="55"/>
      <c r="W86" s="55"/>
      <c r="X86" s="277"/>
      <c r="Y86" s="92"/>
    </row>
    <row r="87" spans="1:25" s="99" customFormat="1" ht="30" customHeight="1">
      <c r="A87" s="89"/>
      <c r="B87" s="89"/>
      <c r="C87" s="90"/>
      <c r="D87" s="91"/>
      <c r="E87" s="92"/>
      <c r="F87" s="92"/>
      <c r="G87" s="92"/>
      <c r="H87" s="92"/>
      <c r="I87" s="92"/>
      <c r="J87" s="92"/>
      <c r="K87" s="93"/>
      <c r="L87" s="94"/>
      <c r="M87" s="94"/>
      <c r="N87" s="95"/>
      <c r="O87" s="66"/>
      <c r="P87" s="96"/>
      <c r="Q87" s="97"/>
      <c r="R87" s="58"/>
      <c r="S87" s="69"/>
      <c r="T87" s="70"/>
      <c r="U87" s="66"/>
      <c r="V87" s="55"/>
      <c r="W87" s="55"/>
      <c r="X87" s="277"/>
      <c r="Y87" s="92"/>
    </row>
    <row r="88" spans="1:25" s="99" customFormat="1" ht="30" customHeight="1">
      <c r="A88" s="89"/>
      <c r="B88" s="89"/>
      <c r="C88" s="90"/>
      <c r="D88" s="91"/>
      <c r="E88" s="92"/>
      <c r="F88" s="92"/>
      <c r="G88" s="92"/>
      <c r="H88" s="92"/>
      <c r="I88" s="92"/>
      <c r="J88" s="92"/>
      <c r="K88" s="93"/>
      <c r="L88" s="94"/>
      <c r="M88" s="94"/>
      <c r="N88" s="95"/>
      <c r="O88" s="66"/>
      <c r="P88" s="96"/>
      <c r="Q88" s="97"/>
      <c r="R88" s="58"/>
      <c r="S88" s="69"/>
      <c r="T88" s="70"/>
      <c r="U88" s="66"/>
      <c r="V88" s="55"/>
      <c r="W88" s="55"/>
      <c r="X88" s="277"/>
      <c r="Y88" s="92"/>
    </row>
    <row r="89" spans="1:25" s="99" customFormat="1" ht="30" customHeight="1">
      <c r="A89" s="89"/>
      <c r="B89" s="89"/>
      <c r="C89" s="90"/>
      <c r="D89" s="91"/>
      <c r="E89" s="92"/>
      <c r="F89" s="92"/>
      <c r="G89" s="92"/>
      <c r="H89" s="92"/>
      <c r="I89" s="92"/>
      <c r="J89" s="92"/>
      <c r="K89" s="93"/>
      <c r="L89" s="94"/>
      <c r="M89" s="94"/>
      <c r="N89" s="95"/>
      <c r="O89" s="66"/>
      <c r="P89" s="96"/>
      <c r="Q89" s="97"/>
      <c r="R89" s="58"/>
      <c r="S89" s="69"/>
      <c r="T89" s="70"/>
      <c r="U89" s="66"/>
      <c r="V89" s="55"/>
      <c r="W89" s="55"/>
      <c r="X89" s="277"/>
      <c r="Y89" s="92"/>
    </row>
    <row r="90" spans="1:25" s="99" customFormat="1" ht="30" customHeight="1">
      <c r="A90" s="89"/>
      <c r="B90" s="89"/>
      <c r="C90" s="90"/>
      <c r="D90" s="91"/>
      <c r="E90" s="92"/>
      <c r="F90" s="92"/>
      <c r="G90" s="92"/>
      <c r="H90" s="92"/>
      <c r="I90" s="92"/>
      <c r="J90" s="92"/>
      <c r="K90" s="93"/>
      <c r="L90" s="94"/>
      <c r="M90" s="94"/>
      <c r="N90" s="95"/>
      <c r="O90" s="66"/>
      <c r="P90" s="96"/>
      <c r="Q90" s="97"/>
      <c r="R90" s="58"/>
      <c r="S90" s="69"/>
      <c r="T90" s="70"/>
      <c r="U90" s="66"/>
      <c r="V90" s="55"/>
      <c r="W90" s="55"/>
      <c r="X90" s="277"/>
      <c r="Y90" s="92"/>
    </row>
    <row r="91" spans="1:25" s="99" customFormat="1" ht="30" customHeight="1">
      <c r="A91" s="89"/>
      <c r="B91" s="89"/>
      <c r="C91" s="90"/>
      <c r="D91" s="91"/>
      <c r="E91" s="92"/>
      <c r="F91" s="92"/>
      <c r="G91" s="92"/>
      <c r="H91" s="92"/>
      <c r="I91" s="92"/>
      <c r="J91" s="92"/>
      <c r="K91" s="93"/>
      <c r="L91" s="94"/>
      <c r="M91" s="94"/>
      <c r="N91" s="95"/>
      <c r="O91" s="66"/>
      <c r="P91" s="96"/>
      <c r="Q91" s="97"/>
      <c r="R91" s="58"/>
      <c r="S91" s="69"/>
      <c r="T91" s="70"/>
      <c r="U91" s="66"/>
      <c r="V91" s="55"/>
      <c r="W91" s="55"/>
      <c r="X91" s="277"/>
      <c r="Y91" s="92"/>
    </row>
    <row r="92" spans="1:25" s="99" customFormat="1" ht="30" customHeight="1">
      <c r="A92" s="89"/>
      <c r="B92" s="89"/>
      <c r="C92" s="90"/>
      <c r="D92" s="91"/>
      <c r="E92" s="92"/>
      <c r="F92" s="92"/>
      <c r="G92" s="92"/>
      <c r="H92" s="92"/>
      <c r="I92" s="92"/>
      <c r="J92" s="92"/>
      <c r="K92" s="93"/>
      <c r="L92" s="94"/>
      <c r="M92" s="94"/>
      <c r="N92" s="95"/>
      <c r="O92" s="66"/>
      <c r="P92" s="96"/>
      <c r="Q92" s="97"/>
      <c r="R92" s="58"/>
      <c r="S92" s="69"/>
      <c r="T92" s="70"/>
      <c r="U92" s="66"/>
      <c r="V92" s="55"/>
      <c r="W92" s="55"/>
      <c r="X92" s="277"/>
      <c r="Y92" s="92"/>
    </row>
    <row r="93" spans="1:25" s="99" customFormat="1" ht="30" customHeight="1">
      <c r="A93" s="89"/>
      <c r="B93" s="89"/>
      <c r="C93" s="90"/>
      <c r="D93" s="91"/>
      <c r="E93" s="92"/>
      <c r="F93" s="92"/>
      <c r="G93" s="92"/>
      <c r="H93" s="92"/>
      <c r="I93" s="92"/>
      <c r="J93" s="92"/>
      <c r="K93" s="93"/>
      <c r="L93" s="94"/>
      <c r="M93" s="94"/>
      <c r="N93" s="95"/>
      <c r="O93" s="66"/>
      <c r="P93" s="96"/>
      <c r="Q93" s="97"/>
      <c r="R93" s="58"/>
      <c r="S93" s="69"/>
      <c r="T93" s="70"/>
      <c r="U93" s="66"/>
      <c r="V93" s="55"/>
      <c r="W93" s="55"/>
      <c r="X93" s="277"/>
      <c r="Y93" s="92"/>
    </row>
    <row r="94" spans="1:25" s="99" customFormat="1" ht="30" customHeight="1">
      <c r="A94" s="89"/>
      <c r="B94" s="89"/>
      <c r="C94" s="90"/>
      <c r="D94" s="91"/>
      <c r="E94" s="92"/>
      <c r="F94" s="92"/>
      <c r="G94" s="92"/>
      <c r="H94" s="92"/>
      <c r="I94" s="92"/>
      <c r="J94" s="92"/>
      <c r="K94" s="93"/>
      <c r="L94" s="94"/>
      <c r="M94" s="94"/>
      <c r="N94" s="95"/>
      <c r="O94" s="66"/>
      <c r="P94" s="96"/>
      <c r="Q94" s="97"/>
      <c r="R94" s="58"/>
      <c r="S94" s="69"/>
      <c r="T94" s="70"/>
      <c r="U94" s="66"/>
      <c r="V94" s="55"/>
      <c r="W94" s="55"/>
      <c r="X94" s="277"/>
      <c r="Y94" s="92"/>
    </row>
    <row r="95" spans="1:25" s="99" customFormat="1" ht="30" customHeight="1">
      <c r="A95" s="89"/>
      <c r="B95" s="89"/>
      <c r="C95" s="90"/>
      <c r="D95" s="91"/>
      <c r="E95" s="92"/>
      <c r="F95" s="92"/>
      <c r="G95" s="92"/>
      <c r="H95" s="92"/>
      <c r="I95" s="92"/>
      <c r="J95" s="92"/>
      <c r="K95" s="93"/>
      <c r="L95" s="94"/>
      <c r="M95" s="94"/>
      <c r="N95" s="95"/>
      <c r="O95" s="66"/>
      <c r="P95" s="96"/>
      <c r="Q95" s="97"/>
      <c r="R95" s="58"/>
      <c r="S95" s="69"/>
      <c r="T95" s="70"/>
      <c r="U95" s="66"/>
      <c r="V95" s="55"/>
      <c r="W95" s="55"/>
      <c r="X95" s="277"/>
      <c r="Y95" s="92"/>
    </row>
    <row r="96" spans="1:25" s="99" customFormat="1" ht="30" customHeight="1">
      <c r="A96" s="89"/>
      <c r="B96" s="89"/>
      <c r="C96" s="90"/>
      <c r="D96" s="91"/>
      <c r="E96" s="92"/>
      <c r="F96" s="92"/>
      <c r="G96" s="92"/>
      <c r="H96" s="92"/>
      <c r="I96" s="92"/>
      <c r="J96" s="92"/>
      <c r="K96" s="93"/>
      <c r="L96" s="94"/>
      <c r="M96" s="94"/>
      <c r="N96" s="95"/>
      <c r="O96" s="66"/>
      <c r="P96" s="96"/>
      <c r="Q96" s="97"/>
      <c r="R96" s="58"/>
      <c r="S96" s="69"/>
      <c r="T96" s="70"/>
      <c r="U96" s="66"/>
      <c r="V96" s="55"/>
      <c r="W96" s="55"/>
      <c r="X96" s="277"/>
      <c r="Y96" s="92"/>
    </row>
    <row r="97" spans="1:25" s="99" customFormat="1" ht="30" customHeight="1">
      <c r="A97" s="89"/>
      <c r="B97" s="89"/>
      <c r="C97" s="90"/>
      <c r="D97" s="91"/>
      <c r="E97" s="92"/>
      <c r="F97" s="92"/>
      <c r="G97" s="92"/>
      <c r="H97" s="92"/>
      <c r="I97" s="92"/>
      <c r="J97" s="92"/>
      <c r="K97" s="93"/>
      <c r="L97" s="94"/>
      <c r="M97" s="94"/>
      <c r="N97" s="95"/>
      <c r="O97" s="66"/>
      <c r="P97" s="96"/>
      <c r="Q97" s="97"/>
      <c r="R97" s="58"/>
      <c r="S97" s="69"/>
      <c r="T97" s="70"/>
      <c r="U97" s="66"/>
      <c r="V97" s="55"/>
      <c r="W97" s="55"/>
      <c r="X97" s="277"/>
      <c r="Y97" s="92"/>
    </row>
    <row r="98" spans="1:25" s="99" customFormat="1" ht="30" customHeight="1">
      <c r="A98" s="89"/>
      <c r="B98" s="89"/>
      <c r="C98" s="90"/>
      <c r="D98" s="91"/>
      <c r="E98" s="92"/>
      <c r="F98" s="92"/>
      <c r="G98" s="92"/>
      <c r="H98" s="92"/>
      <c r="I98" s="92"/>
      <c r="J98" s="92"/>
      <c r="K98" s="93"/>
      <c r="L98" s="94"/>
      <c r="M98" s="94"/>
      <c r="N98" s="95"/>
      <c r="O98" s="66"/>
      <c r="P98" s="96"/>
      <c r="Q98" s="97"/>
      <c r="R98" s="58"/>
      <c r="S98" s="69"/>
      <c r="T98" s="70"/>
      <c r="U98" s="66"/>
      <c r="V98" s="55"/>
      <c r="W98" s="55"/>
      <c r="X98" s="277"/>
      <c r="Y98" s="92"/>
    </row>
    <row r="99" spans="1:25" s="99" customFormat="1" ht="30" customHeight="1">
      <c r="A99" s="89"/>
      <c r="B99" s="89"/>
      <c r="C99" s="90"/>
      <c r="D99" s="91"/>
      <c r="E99" s="92"/>
      <c r="F99" s="92"/>
      <c r="G99" s="92"/>
      <c r="H99" s="92"/>
      <c r="I99" s="92"/>
      <c r="J99" s="92"/>
      <c r="K99" s="93"/>
      <c r="L99" s="94"/>
      <c r="M99" s="94"/>
      <c r="N99" s="95"/>
      <c r="O99" s="66"/>
      <c r="P99" s="96"/>
      <c r="Q99" s="97"/>
      <c r="R99" s="58"/>
      <c r="S99" s="69"/>
      <c r="T99" s="70"/>
      <c r="U99" s="66"/>
      <c r="V99" s="55"/>
      <c r="W99" s="55"/>
      <c r="X99" s="277"/>
      <c r="Y99" s="92"/>
    </row>
    <row r="100" spans="1:25" s="99" customFormat="1" ht="30" customHeight="1">
      <c r="A100" s="89"/>
      <c r="B100" s="89"/>
      <c r="C100" s="90"/>
      <c r="D100" s="91"/>
      <c r="E100" s="92"/>
      <c r="F100" s="92"/>
      <c r="G100" s="92"/>
      <c r="H100" s="92"/>
      <c r="I100" s="92"/>
      <c r="J100" s="92"/>
      <c r="K100" s="93"/>
      <c r="L100" s="94"/>
      <c r="M100" s="94"/>
      <c r="N100" s="95"/>
      <c r="O100" s="66"/>
      <c r="P100" s="96"/>
      <c r="Q100" s="97"/>
      <c r="R100" s="58"/>
      <c r="S100" s="69"/>
      <c r="T100" s="70"/>
      <c r="U100" s="66"/>
      <c r="V100" s="55"/>
      <c r="W100" s="55"/>
      <c r="X100" s="277"/>
      <c r="Y100" s="92"/>
    </row>
    <row r="101" spans="1:25" s="99" customFormat="1" ht="30" customHeight="1">
      <c r="A101" s="89"/>
      <c r="B101" s="89"/>
      <c r="C101" s="90"/>
      <c r="D101" s="91"/>
      <c r="E101" s="92"/>
      <c r="F101" s="92"/>
      <c r="G101" s="92"/>
      <c r="H101" s="92"/>
      <c r="I101" s="92"/>
      <c r="J101" s="92"/>
      <c r="K101" s="93"/>
      <c r="L101" s="94"/>
      <c r="M101" s="94"/>
      <c r="N101" s="95"/>
      <c r="O101" s="66"/>
      <c r="P101" s="96"/>
      <c r="Q101" s="97"/>
      <c r="R101" s="58"/>
      <c r="S101" s="69"/>
      <c r="T101" s="70"/>
      <c r="U101" s="66"/>
      <c r="V101" s="55"/>
      <c r="W101" s="55"/>
      <c r="X101" s="277"/>
      <c r="Y101" s="92"/>
    </row>
    <row r="102" spans="1:25" s="99" customFormat="1" ht="30" customHeight="1">
      <c r="A102" s="89"/>
      <c r="B102" s="89"/>
      <c r="C102" s="90"/>
      <c r="D102" s="91"/>
      <c r="E102" s="92"/>
      <c r="F102" s="92"/>
      <c r="G102" s="92"/>
      <c r="H102" s="92"/>
      <c r="I102" s="92"/>
      <c r="J102" s="92"/>
      <c r="K102" s="93"/>
      <c r="L102" s="94"/>
      <c r="M102" s="94"/>
      <c r="N102" s="95"/>
      <c r="O102" s="66"/>
      <c r="P102" s="96"/>
      <c r="Q102" s="97"/>
      <c r="R102" s="58"/>
      <c r="S102" s="69"/>
      <c r="T102" s="70"/>
      <c r="U102" s="66"/>
      <c r="V102" s="55"/>
      <c r="W102" s="55"/>
      <c r="X102" s="277"/>
      <c r="Y102" s="92"/>
    </row>
    <row r="103" spans="1:25" s="99" customFormat="1" ht="30" customHeight="1">
      <c r="A103" s="89"/>
      <c r="B103" s="89"/>
      <c r="C103" s="90"/>
      <c r="D103" s="91"/>
      <c r="E103" s="92"/>
      <c r="F103" s="92"/>
      <c r="G103" s="92"/>
      <c r="H103" s="92"/>
      <c r="I103" s="92"/>
      <c r="J103" s="92"/>
      <c r="K103" s="93"/>
      <c r="L103" s="94"/>
      <c r="M103" s="94"/>
      <c r="N103" s="95"/>
      <c r="O103" s="66"/>
      <c r="P103" s="96"/>
      <c r="Q103" s="97"/>
      <c r="R103" s="58"/>
      <c r="S103" s="69"/>
      <c r="T103" s="70"/>
      <c r="U103" s="66"/>
      <c r="V103" s="55"/>
      <c r="W103" s="55"/>
      <c r="X103" s="277"/>
      <c r="Y103" s="92"/>
    </row>
    <row r="104" spans="1:25" s="99" customFormat="1" ht="30" customHeight="1">
      <c r="A104" s="89"/>
      <c r="B104" s="89"/>
      <c r="C104" s="90"/>
      <c r="D104" s="91"/>
      <c r="E104" s="92"/>
      <c r="F104" s="92"/>
      <c r="G104" s="92"/>
      <c r="H104" s="92"/>
      <c r="I104" s="92"/>
      <c r="J104" s="92"/>
      <c r="K104" s="93"/>
      <c r="L104" s="94"/>
      <c r="M104" s="94"/>
      <c r="N104" s="95"/>
      <c r="O104" s="66"/>
      <c r="P104" s="96"/>
      <c r="Q104" s="97"/>
      <c r="R104" s="58"/>
      <c r="S104" s="69"/>
      <c r="T104" s="70"/>
      <c r="U104" s="66"/>
      <c r="V104" s="55"/>
      <c r="W104" s="55"/>
      <c r="X104" s="277"/>
      <c r="Y104" s="92"/>
    </row>
    <row r="105" spans="1:25" s="99" customFormat="1" ht="30" customHeight="1">
      <c r="A105" s="89"/>
      <c r="B105" s="89"/>
      <c r="C105" s="90"/>
      <c r="D105" s="91"/>
      <c r="E105" s="92"/>
      <c r="F105" s="92"/>
      <c r="G105" s="92"/>
      <c r="H105" s="92"/>
      <c r="I105" s="92"/>
      <c r="J105" s="92"/>
      <c r="K105" s="93"/>
      <c r="L105" s="94"/>
      <c r="M105" s="94"/>
      <c r="N105" s="95"/>
      <c r="O105" s="66"/>
      <c r="P105" s="96"/>
      <c r="Q105" s="97"/>
      <c r="R105" s="58"/>
      <c r="S105" s="69"/>
      <c r="T105" s="70"/>
      <c r="U105" s="66"/>
      <c r="V105" s="55"/>
      <c r="W105" s="55"/>
      <c r="X105" s="277"/>
      <c r="Y105" s="92"/>
    </row>
    <row r="106" spans="1:25" s="99" customFormat="1" ht="30" customHeight="1">
      <c r="A106" s="89"/>
      <c r="B106" s="89"/>
      <c r="C106" s="90"/>
      <c r="D106" s="91"/>
      <c r="E106" s="92"/>
      <c r="F106" s="92"/>
      <c r="G106" s="92"/>
      <c r="H106" s="92"/>
      <c r="I106" s="92"/>
      <c r="J106" s="92"/>
      <c r="K106" s="93"/>
      <c r="L106" s="94"/>
      <c r="M106" s="94"/>
      <c r="N106" s="95"/>
      <c r="O106" s="66"/>
      <c r="P106" s="96"/>
      <c r="Q106" s="97"/>
      <c r="R106" s="58"/>
      <c r="S106" s="69"/>
      <c r="T106" s="70"/>
      <c r="U106" s="66"/>
      <c r="V106" s="55"/>
      <c r="W106" s="55"/>
      <c r="X106" s="277"/>
      <c r="Y106" s="92"/>
    </row>
    <row r="107" spans="1:25" s="99" customFormat="1" ht="30" customHeight="1">
      <c r="A107" s="89"/>
      <c r="B107" s="89"/>
      <c r="C107" s="90"/>
      <c r="D107" s="91"/>
      <c r="E107" s="92"/>
      <c r="F107" s="92"/>
      <c r="G107" s="92"/>
      <c r="H107" s="92"/>
      <c r="I107" s="92"/>
      <c r="J107" s="92"/>
      <c r="K107" s="93"/>
      <c r="L107" s="94"/>
      <c r="M107" s="94"/>
      <c r="N107" s="95"/>
      <c r="O107" s="66"/>
      <c r="P107" s="96"/>
      <c r="Q107" s="97"/>
      <c r="R107" s="58"/>
      <c r="S107" s="69"/>
      <c r="T107" s="70"/>
      <c r="U107" s="66"/>
      <c r="V107" s="55"/>
      <c r="W107" s="55"/>
      <c r="X107" s="277"/>
      <c r="Y107" s="92"/>
    </row>
    <row r="108" spans="1:25" s="99" customFormat="1" ht="30" customHeight="1">
      <c r="A108" s="89"/>
      <c r="B108" s="89"/>
      <c r="C108" s="90"/>
      <c r="D108" s="91"/>
      <c r="E108" s="92"/>
      <c r="F108" s="92"/>
      <c r="G108" s="92"/>
      <c r="H108" s="92"/>
      <c r="I108" s="92"/>
      <c r="J108" s="92"/>
      <c r="K108" s="93"/>
      <c r="L108" s="94"/>
      <c r="M108" s="94"/>
      <c r="N108" s="95"/>
      <c r="O108" s="66"/>
      <c r="P108" s="96"/>
      <c r="Q108" s="97"/>
      <c r="R108" s="58"/>
      <c r="S108" s="69"/>
      <c r="T108" s="70"/>
      <c r="U108" s="66"/>
      <c r="V108" s="55"/>
      <c r="W108" s="55"/>
      <c r="X108" s="277"/>
      <c r="Y108" s="92"/>
    </row>
    <row r="109" spans="1:25" s="99" customFormat="1" ht="30" customHeight="1">
      <c r="A109" s="89"/>
      <c r="B109" s="89"/>
      <c r="C109" s="90"/>
      <c r="D109" s="91"/>
      <c r="E109" s="92"/>
      <c r="F109" s="92"/>
      <c r="G109" s="92"/>
      <c r="H109" s="92"/>
      <c r="I109" s="92"/>
      <c r="J109" s="92"/>
      <c r="K109" s="93"/>
      <c r="L109" s="94"/>
      <c r="M109" s="94"/>
      <c r="N109" s="95"/>
      <c r="O109" s="66"/>
      <c r="P109" s="96"/>
      <c r="Q109" s="97"/>
      <c r="R109" s="58"/>
      <c r="S109" s="69"/>
      <c r="T109" s="70"/>
      <c r="U109" s="66"/>
      <c r="V109" s="55"/>
      <c r="W109" s="55"/>
      <c r="X109" s="277"/>
      <c r="Y109" s="92"/>
    </row>
    <row r="110" spans="1:25" s="99" customFormat="1" ht="65.099999999999994" customHeight="1">
      <c r="A110" s="89"/>
      <c r="B110" s="89"/>
      <c r="C110" s="90"/>
      <c r="D110" s="91"/>
      <c r="E110" s="92"/>
      <c r="F110" s="92"/>
      <c r="G110" s="92"/>
      <c r="H110" s="92"/>
      <c r="I110" s="92"/>
      <c r="J110" s="92"/>
      <c r="K110" s="93"/>
      <c r="L110" s="94"/>
      <c r="M110" s="94"/>
      <c r="N110" s="95"/>
      <c r="O110" s="66"/>
      <c r="P110" s="96"/>
      <c r="Q110" s="97"/>
      <c r="R110" s="58"/>
      <c r="S110" s="69"/>
      <c r="T110" s="70"/>
      <c r="U110" s="66"/>
      <c r="V110" s="55"/>
      <c r="W110" s="55"/>
      <c r="X110" s="277"/>
      <c r="Y110" s="92"/>
    </row>
    <row r="111" spans="1:25" s="99" customFormat="1" ht="65.099999999999994" customHeight="1">
      <c r="A111" s="89"/>
      <c r="B111" s="89"/>
      <c r="C111" s="90"/>
      <c r="D111" s="91"/>
      <c r="E111" s="92"/>
      <c r="F111" s="92"/>
      <c r="G111" s="92"/>
      <c r="H111" s="92"/>
      <c r="I111" s="92"/>
      <c r="J111" s="92"/>
      <c r="K111" s="93"/>
      <c r="L111" s="94"/>
      <c r="M111" s="94"/>
      <c r="N111" s="95"/>
      <c r="O111" s="66"/>
      <c r="P111" s="96"/>
      <c r="Q111" s="97"/>
      <c r="R111" s="58"/>
      <c r="S111" s="69"/>
      <c r="T111" s="70"/>
      <c r="U111" s="66"/>
      <c r="V111" s="55"/>
      <c r="W111" s="55"/>
      <c r="X111" s="277"/>
      <c r="Y111" s="92"/>
    </row>
    <row r="112" spans="1:25" s="99" customFormat="1" ht="65.099999999999994" customHeight="1">
      <c r="A112" s="89"/>
      <c r="B112" s="89"/>
      <c r="C112" s="90"/>
      <c r="D112" s="91"/>
      <c r="E112" s="92"/>
      <c r="F112" s="92"/>
      <c r="G112" s="92"/>
      <c r="H112" s="92"/>
      <c r="I112" s="92"/>
      <c r="J112" s="92"/>
      <c r="K112" s="93"/>
      <c r="L112" s="94"/>
      <c r="M112" s="94"/>
      <c r="N112" s="95"/>
      <c r="O112" s="66"/>
      <c r="P112" s="96"/>
      <c r="Q112" s="97"/>
      <c r="R112" s="58"/>
      <c r="S112" s="69"/>
      <c r="T112" s="70"/>
      <c r="U112" s="66"/>
      <c r="V112" s="55"/>
      <c r="W112" s="55"/>
      <c r="X112" s="277"/>
      <c r="Y112" s="92"/>
    </row>
    <row r="113" spans="1:25" s="99" customFormat="1" ht="65.099999999999994" customHeight="1">
      <c r="A113" s="89"/>
      <c r="B113" s="89"/>
      <c r="C113" s="90"/>
      <c r="D113" s="91"/>
      <c r="E113" s="92"/>
      <c r="F113" s="92"/>
      <c r="G113" s="92"/>
      <c r="H113" s="92"/>
      <c r="I113" s="92"/>
      <c r="J113" s="92"/>
      <c r="K113" s="93"/>
      <c r="L113" s="94"/>
      <c r="M113" s="94"/>
      <c r="N113" s="95"/>
      <c r="O113" s="66"/>
      <c r="P113" s="96"/>
      <c r="Q113" s="97"/>
      <c r="R113" s="58"/>
      <c r="S113" s="69"/>
      <c r="T113" s="70"/>
      <c r="U113" s="66"/>
      <c r="V113" s="55"/>
      <c r="W113" s="55"/>
      <c r="X113" s="277"/>
      <c r="Y113" s="92"/>
    </row>
    <row r="114" spans="1:25" s="99" customFormat="1" ht="65.099999999999994" customHeight="1">
      <c r="A114" s="89"/>
      <c r="B114" s="89"/>
      <c r="C114" s="90"/>
      <c r="D114" s="91"/>
      <c r="E114" s="92"/>
      <c r="F114" s="92"/>
      <c r="G114" s="92"/>
      <c r="H114" s="92"/>
      <c r="I114" s="92"/>
      <c r="J114" s="92"/>
      <c r="K114" s="93"/>
      <c r="L114" s="94"/>
      <c r="M114" s="94"/>
      <c r="N114" s="95"/>
      <c r="O114" s="66"/>
      <c r="P114" s="96"/>
      <c r="Q114" s="97"/>
      <c r="R114" s="58"/>
      <c r="S114" s="69"/>
      <c r="T114" s="70"/>
      <c r="U114" s="66"/>
      <c r="V114" s="55"/>
      <c r="W114" s="55"/>
      <c r="X114" s="277"/>
      <c r="Y114" s="92"/>
    </row>
    <row r="115" spans="1:25" s="99" customFormat="1" ht="65.099999999999994" customHeight="1">
      <c r="A115" s="89"/>
      <c r="B115" s="89"/>
      <c r="C115" s="90"/>
      <c r="D115" s="91"/>
      <c r="E115" s="92"/>
      <c r="F115" s="92"/>
      <c r="G115" s="92"/>
      <c r="H115" s="92"/>
      <c r="I115" s="92"/>
      <c r="J115" s="92"/>
      <c r="K115" s="93"/>
      <c r="L115" s="94"/>
      <c r="M115" s="94"/>
      <c r="N115" s="95"/>
      <c r="O115" s="66"/>
      <c r="P115" s="96"/>
      <c r="Q115" s="97"/>
      <c r="R115" s="58"/>
      <c r="S115" s="69"/>
      <c r="T115" s="70"/>
      <c r="U115" s="66"/>
      <c r="V115" s="55"/>
      <c r="W115" s="55"/>
      <c r="X115" s="277"/>
      <c r="Y115" s="92"/>
    </row>
    <row r="116" spans="1:25" s="99" customFormat="1" ht="65.099999999999994" customHeight="1">
      <c r="A116" s="89"/>
      <c r="B116" s="89"/>
      <c r="C116" s="90"/>
      <c r="D116" s="91"/>
      <c r="E116" s="92"/>
      <c r="F116" s="92"/>
      <c r="G116" s="92"/>
      <c r="H116" s="92"/>
      <c r="I116" s="92"/>
      <c r="J116" s="92"/>
      <c r="K116" s="93"/>
      <c r="L116" s="94"/>
      <c r="M116" s="94"/>
      <c r="N116" s="95"/>
      <c r="O116" s="66"/>
      <c r="P116" s="96"/>
      <c r="Q116" s="97"/>
      <c r="R116" s="58"/>
      <c r="S116" s="69"/>
      <c r="T116" s="70"/>
      <c r="U116" s="66"/>
      <c r="V116" s="55"/>
      <c r="W116" s="55"/>
      <c r="X116" s="277"/>
      <c r="Y116" s="92"/>
    </row>
    <row r="117" spans="1:25" s="99" customFormat="1" ht="65.099999999999994" customHeight="1">
      <c r="A117" s="89"/>
      <c r="B117" s="89"/>
      <c r="C117" s="90"/>
      <c r="D117" s="91"/>
      <c r="E117" s="92"/>
      <c r="F117" s="92"/>
      <c r="G117" s="92"/>
      <c r="H117" s="92"/>
      <c r="I117" s="92"/>
      <c r="J117" s="92"/>
      <c r="K117" s="93"/>
      <c r="L117" s="94"/>
      <c r="M117" s="94"/>
      <c r="N117" s="95"/>
      <c r="O117" s="66"/>
      <c r="P117" s="96"/>
      <c r="Q117" s="97"/>
      <c r="R117" s="58"/>
      <c r="S117" s="69"/>
      <c r="T117" s="70"/>
      <c r="U117" s="66"/>
      <c r="V117" s="55"/>
      <c r="W117" s="55"/>
      <c r="X117" s="277"/>
      <c r="Y117" s="92"/>
    </row>
    <row r="118" spans="1:25" s="99" customFormat="1" ht="65.099999999999994" customHeight="1">
      <c r="A118" s="89"/>
      <c r="B118" s="89"/>
      <c r="C118" s="90"/>
      <c r="D118" s="91"/>
      <c r="E118" s="92"/>
      <c r="F118" s="92"/>
      <c r="G118" s="92"/>
      <c r="H118" s="92"/>
      <c r="I118" s="92"/>
      <c r="J118" s="92"/>
      <c r="K118" s="93"/>
      <c r="L118" s="94"/>
      <c r="M118" s="94"/>
      <c r="N118" s="95"/>
      <c r="O118" s="66"/>
      <c r="P118" s="96"/>
      <c r="Q118" s="97"/>
      <c r="R118" s="58"/>
      <c r="S118" s="69"/>
      <c r="T118" s="70"/>
      <c r="U118" s="66"/>
      <c r="V118" s="55"/>
      <c r="W118" s="55"/>
      <c r="X118" s="277"/>
      <c r="Y118" s="92"/>
    </row>
    <row r="119" spans="1:25" s="99" customFormat="1" ht="65.099999999999994" customHeight="1">
      <c r="A119" s="89"/>
      <c r="B119" s="89"/>
      <c r="C119" s="90"/>
      <c r="D119" s="91"/>
      <c r="E119" s="92"/>
      <c r="F119" s="92"/>
      <c r="G119" s="92"/>
      <c r="H119" s="92"/>
      <c r="I119" s="92"/>
      <c r="J119" s="92"/>
      <c r="K119" s="93"/>
      <c r="L119" s="94"/>
      <c r="M119" s="94"/>
      <c r="N119" s="95"/>
      <c r="O119" s="66"/>
      <c r="P119" s="96"/>
      <c r="Q119" s="97"/>
      <c r="R119" s="58"/>
      <c r="S119" s="69"/>
      <c r="T119" s="70"/>
      <c r="U119" s="66"/>
      <c r="V119" s="55"/>
      <c r="W119" s="55"/>
      <c r="X119" s="277"/>
      <c r="Y119" s="92"/>
    </row>
    <row r="120" spans="1:25" s="99" customFormat="1" ht="65.099999999999994" customHeight="1">
      <c r="A120" s="89"/>
      <c r="B120" s="89"/>
      <c r="C120" s="90"/>
      <c r="D120" s="91"/>
      <c r="E120" s="92"/>
      <c r="F120" s="92"/>
      <c r="G120" s="92"/>
      <c r="H120" s="92"/>
      <c r="I120" s="92"/>
      <c r="J120" s="92"/>
      <c r="K120" s="93"/>
      <c r="L120" s="94"/>
      <c r="M120" s="94"/>
      <c r="N120" s="95"/>
      <c r="O120" s="66"/>
      <c r="P120" s="96"/>
      <c r="Q120" s="97"/>
      <c r="R120" s="58"/>
      <c r="S120" s="69"/>
      <c r="T120" s="70"/>
      <c r="U120" s="66"/>
      <c r="V120" s="55"/>
      <c r="W120" s="55"/>
      <c r="X120" s="277"/>
      <c r="Y120" s="92"/>
    </row>
    <row r="121" spans="1:25" s="99" customFormat="1" ht="65.099999999999994" customHeight="1">
      <c r="A121" s="89"/>
      <c r="B121" s="89"/>
      <c r="C121" s="90"/>
      <c r="D121" s="91"/>
      <c r="E121" s="92"/>
      <c r="F121" s="92"/>
      <c r="G121" s="92"/>
      <c r="H121" s="92"/>
      <c r="I121" s="92"/>
      <c r="J121" s="92"/>
      <c r="K121" s="93"/>
      <c r="L121" s="94"/>
      <c r="M121" s="94"/>
      <c r="N121" s="95"/>
      <c r="O121" s="66"/>
      <c r="P121" s="96"/>
      <c r="Q121" s="97"/>
      <c r="R121" s="58"/>
      <c r="S121" s="69"/>
      <c r="T121" s="70"/>
      <c r="U121" s="66"/>
      <c r="V121" s="55"/>
      <c r="W121" s="55"/>
      <c r="X121" s="277"/>
      <c r="Y121" s="92"/>
    </row>
    <row r="122" spans="1:25" s="99" customFormat="1" ht="65.099999999999994" customHeight="1">
      <c r="A122" s="89"/>
      <c r="B122" s="89"/>
      <c r="C122" s="90"/>
      <c r="D122" s="91"/>
      <c r="E122" s="92"/>
      <c r="F122" s="92"/>
      <c r="G122" s="92"/>
      <c r="H122" s="92"/>
      <c r="I122" s="92"/>
      <c r="J122" s="92"/>
      <c r="K122" s="93"/>
      <c r="L122" s="94"/>
      <c r="M122" s="94"/>
      <c r="N122" s="95"/>
      <c r="O122" s="66"/>
      <c r="P122" s="96"/>
      <c r="Q122" s="97"/>
      <c r="R122" s="58"/>
      <c r="S122" s="69"/>
      <c r="T122" s="70"/>
      <c r="U122" s="66"/>
      <c r="V122" s="55"/>
      <c r="W122" s="55"/>
      <c r="X122" s="277"/>
      <c r="Y122" s="92"/>
    </row>
    <row r="123" spans="1:25" s="99" customFormat="1" ht="65.099999999999994" customHeight="1">
      <c r="A123" s="89"/>
      <c r="B123" s="89"/>
      <c r="C123" s="90"/>
      <c r="D123" s="91"/>
      <c r="E123" s="92"/>
      <c r="F123" s="92"/>
      <c r="G123" s="92"/>
      <c r="H123" s="92"/>
      <c r="I123" s="92"/>
      <c r="J123" s="92"/>
      <c r="K123" s="93"/>
      <c r="L123" s="94"/>
      <c r="M123" s="94"/>
      <c r="N123" s="95"/>
      <c r="O123" s="66"/>
      <c r="P123" s="96"/>
      <c r="Q123" s="97"/>
      <c r="R123" s="58"/>
      <c r="S123" s="69"/>
      <c r="T123" s="70"/>
      <c r="U123" s="66"/>
      <c r="V123" s="55"/>
      <c r="W123" s="55"/>
      <c r="X123" s="277"/>
      <c r="Y123" s="92"/>
    </row>
    <row r="124" spans="1:25" s="99" customFormat="1" ht="65.099999999999994" customHeight="1">
      <c r="A124" s="89"/>
      <c r="B124" s="89"/>
      <c r="C124" s="90"/>
      <c r="D124" s="91"/>
      <c r="E124" s="92"/>
      <c r="F124" s="92"/>
      <c r="G124" s="92"/>
      <c r="H124" s="92"/>
      <c r="I124" s="92"/>
      <c r="J124" s="92"/>
      <c r="K124" s="93"/>
      <c r="L124" s="94"/>
      <c r="M124" s="94"/>
      <c r="N124" s="95"/>
      <c r="O124" s="66"/>
      <c r="P124" s="96"/>
      <c r="Q124" s="97"/>
      <c r="R124" s="58"/>
      <c r="S124" s="69"/>
      <c r="T124" s="70"/>
      <c r="U124" s="66"/>
      <c r="V124" s="55"/>
      <c r="W124" s="55"/>
      <c r="X124" s="277"/>
      <c r="Y124" s="92"/>
    </row>
    <row r="125" spans="1:25" s="99" customFormat="1" ht="65.099999999999994" customHeight="1">
      <c r="A125" s="89"/>
      <c r="B125" s="89"/>
      <c r="C125" s="90"/>
      <c r="D125" s="91"/>
      <c r="E125" s="92"/>
      <c r="F125" s="92"/>
      <c r="G125" s="92"/>
      <c r="H125" s="92"/>
      <c r="I125" s="92"/>
      <c r="J125" s="92"/>
      <c r="K125" s="93"/>
      <c r="L125" s="94"/>
      <c r="M125" s="94"/>
      <c r="N125" s="95"/>
      <c r="O125" s="66"/>
      <c r="P125" s="96"/>
      <c r="Q125" s="97"/>
      <c r="R125" s="58"/>
      <c r="S125" s="69"/>
      <c r="T125" s="70"/>
      <c r="U125" s="66"/>
      <c r="V125" s="55"/>
      <c r="W125" s="55"/>
      <c r="X125" s="277"/>
      <c r="Y125" s="92"/>
    </row>
    <row r="126" spans="1:25" s="99" customFormat="1" ht="65.099999999999994" customHeight="1">
      <c r="A126" s="89"/>
      <c r="B126" s="89"/>
      <c r="C126" s="90"/>
      <c r="D126" s="91"/>
      <c r="E126" s="92"/>
      <c r="F126" s="92"/>
      <c r="G126" s="92"/>
      <c r="H126" s="92"/>
      <c r="I126" s="92"/>
      <c r="J126" s="92"/>
      <c r="K126" s="93"/>
      <c r="L126" s="94"/>
      <c r="M126" s="94"/>
      <c r="N126" s="95"/>
      <c r="O126" s="66"/>
      <c r="P126" s="96"/>
      <c r="Q126" s="97"/>
      <c r="R126" s="58"/>
      <c r="S126" s="69"/>
      <c r="T126" s="70"/>
      <c r="U126" s="66"/>
      <c r="V126" s="55"/>
      <c r="W126" s="55"/>
      <c r="X126" s="277"/>
      <c r="Y126" s="92"/>
    </row>
    <row r="127" spans="1:25" s="99" customFormat="1" ht="65.099999999999994" customHeight="1">
      <c r="A127" s="89"/>
      <c r="B127" s="89"/>
      <c r="C127" s="90"/>
      <c r="D127" s="91"/>
      <c r="E127" s="92"/>
      <c r="F127" s="92"/>
      <c r="G127" s="92"/>
      <c r="H127" s="92"/>
      <c r="I127" s="92"/>
      <c r="J127" s="92"/>
      <c r="K127" s="93"/>
      <c r="L127" s="94"/>
      <c r="M127" s="94"/>
      <c r="N127" s="95"/>
      <c r="O127" s="66"/>
      <c r="P127" s="96"/>
      <c r="Q127" s="97"/>
      <c r="R127" s="58"/>
      <c r="S127" s="69"/>
      <c r="T127" s="70"/>
      <c r="U127" s="66"/>
      <c r="V127" s="55"/>
      <c r="W127" s="55"/>
      <c r="X127" s="277"/>
      <c r="Y127" s="92"/>
    </row>
    <row r="128" spans="1:25" s="99" customFormat="1" ht="65.099999999999994" customHeight="1">
      <c r="A128" s="89"/>
      <c r="B128" s="89"/>
      <c r="C128" s="90"/>
      <c r="D128" s="91"/>
      <c r="E128" s="92"/>
      <c r="F128" s="92"/>
      <c r="G128" s="92"/>
      <c r="H128" s="92"/>
      <c r="I128" s="92"/>
      <c r="J128" s="92"/>
      <c r="K128" s="93"/>
      <c r="L128" s="94"/>
      <c r="M128" s="94"/>
      <c r="N128" s="95"/>
      <c r="O128" s="66"/>
      <c r="P128" s="96"/>
      <c r="Q128" s="97"/>
      <c r="R128" s="58"/>
      <c r="S128" s="69"/>
      <c r="T128" s="70"/>
      <c r="U128" s="66"/>
      <c r="V128" s="55"/>
      <c r="W128" s="55"/>
      <c r="X128" s="277"/>
      <c r="Y128" s="92"/>
    </row>
    <row r="129" spans="1:25" s="99" customFormat="1" ht="65.099999999999994" customHeight="1">
      <c r="A129" s="89"/>
      <c r="B129" s="89"/>
      <c r="C129" s="90"/>
      <c r="D129" s="91"/>
      <c r="E129" s="92"/>
      <c r="F129" s="92"/>
      <c r="G129" s="92"/>
      <c r="H129" s="92"/>
      <c r="I129" s="92"/>
      <c r="J129" s="92"/>
      <c r="K129" s="93"/>
      <c r="L129" s="94"/>
      <c r="M129" s="94"/>
      <c r="N129" s="95"/>
      <c r="O129" s="66"/>
      <c r="P129" s="96"/>
      <c r="Q129" s="97"/>
      <c r="R129" s="58"/>
      <c r="S129" s="69"/>
      <c r="T129" s="70"/>
      <c r="U129" s="66"/>
      <c r="V129" s="55"/>
      <c r="W129" s="55"/>
      <c r="X129" s="277"/>
      <c r="Y129" s="92"/>
    </row>
    <row r="130" spans="1:25" s="99" customFormat="1" ht="65.099999999999994" customHeight="1">
      <c r="A130" s="89"/>
      <c r="B130" s="89"/>
      <c r="C130" s="90"/>
      <c r="D130" s="91"/>
      <c r="E130" s="92"/>
      <c r="F130" s="92"/>
      <c r="G130" s="92"/>
      <c r="H130" s="92"/>
      <c r="I130" s="92"/>
      <c r="J130" s="92"/>
      <c r="K130" s="93"/>
      <c r="L130" s="94"/>
      <c r="M130" s="94"/>
      <c r="N130" s="95"/>
      <c r="O130" s="66"/>
      <c r="P130" s="96"/>
      <c r="Q130" s="97"/>
      <c r="R130" s="58"/>
      <c r="S130" s="69"/>
      <c r="T130" s="70"/>
      <c r="U130" s="66"/>
      <c r="V130" s="55"/>
      <c r="W130" s="55"/>
      <c r="X130" s="277"/>
      <c r="Y130" s="92"/>
    </row>
    <row r="131" spans="1:25" s="99" customFormat="1" ht="65.099999999999994" customHeight="1">
      <c r="A131" s="89"/>
      <c r="B131" s="89"/>
      <c r="C131" s="90"/>
      <c r="D131" s="91"/>
      <c r="E131" s="92"/>
      <c r="F131" s="92"/>
      <c r="G131" s="92"/>
      <c r="H131" s="92"/>
      <c r="I131" s="92"/>
      <c r="J131" s="92"/>
      <c r="K131" s="93"/>
      <c r="L131" s="94"/>
      <c r="M131" s="94"/>
      <c r="N131" s="95"/>
      <c r="O131" s="66"/>
      <c r="P131" s="96"/>
      <c r="Q131" s="97"/>
      <c r="R131" s="58"/>
      <c r="S131" s="69"/>
      <c r="T131" s="70"/>
      <c r="U131" s="66"/>
      <c r="V131" s="55"/>
      <c r="W131" s="55"/>
      <c r="X131" s="277"/>
      <c r="Y131" s="92"/>
    </row>
    <row r="132" spans="1:25" s="99" customFormat="1" ht="65.099999999999994" customHeight="1">
      <c r="A132" s="89"/>
      <c r="B132" s="89"/>
      <c r="C132" s="90"/>
      <c r="D132" s="91"/>
      <c r="E132" s="92"/>
      <c r="F132" s="92"/>
      <c r="G132" s="92"/>
      <c r="H132" s="92"/>
      <c r="I132" s="92"/>
      <c r="J132" s="92"/>
      <c r="K132" s="93"/>
      <c r="L132" s="94"/>
      <c r="M132" s="94"/>
      <c r="N132" s="95"/>
      <c r="O132" s="66"/>
      <c r="P132" s="96"/>
      <c r="Q132" s="97"/>
      <c r="R132" s="58"/>
      <c r="S132" s="69"/>
      <c r="T132" s="70"/>
      <c r="U132" s="66"/>
      <c r="V132" s="55"/>
      <c r="W132" s="55"/>
      <c r="X132" s="277"/>
      <c r="Y132" s="92"/>
    </row>
    <row r="133" spans="1:25" s="99" customFormat="1" ht="65.099999999999994" customHeight="1">
      <c r="A133" s="89"/>
      <c r="B133" s="89"/>
      <c r="C133" s="90"/>
      <c r="D133" s="91"/>
      <c r="E133" s="92"/>
      <c r="F133" s="92"/>
      <c r="G133" s="92"/>
      <c r="H133" s="92"/>
      <c r="I133" s="92"/>
      <c r="J133" s="92"/>
      <c r="K133" s="93"/>
      <c r="L133" s="94"/>
      <c r="M133" s="94"/>
      <c r="N133" s="95"/>
      <c r="O133" s="66"/>
      <c r="P133" s="96"/>
      <c r="Q133" s="97"/>
      <c r="R133" s="58"/>
      <c r="S133" s="69"/>
      <c r="T133" s="70"/>
      <c r="U133" s="66"/>
      <c r="V133" s="55"/>
      <c r="W133" s="55"/>
      <c r="X133" s="277"/>
      <c r="Y133" s="92"/>
    </row>
    <row r="134" spans="1:25" s="99" customFormat="1" ht="65.099999999999994" customHeight="1">
      <c r="A134" s="89"/>
      <c r="B134" s="89"/>
      <c r="C134" s="90"/>
      <c r="D134" s="91"/>
      <c r="E134" s="92"/>
      <c r="F134" s="92"/>
      <c r="G134" s="92"/>
      <c r="H134" s="92"/>
      <c r="I134" s="92"/>
      <c r="J134" s="92"/>
      <c r="K134" s="93"/>
      <c r="L134" s="94"/>
      <c r="M134" s="94"/>
      <c r="N134" s="95"/>
      <c r="O134" s="66"/>
      <c r="P134" s="96"/>
      <c r="Q134" s="97"/>
      <c r="R134" s="58"/>
      <c r="S134" s="69"/>
      <c r="T134" s="70"/>
      <c r="U134" s="66"/>
      <c r="V134" s="55"/>
      <c r="W134" s="55"/>
      <c r="X134" s="277"/>
      <c r="Y134" s="92"/>
    </row>
    <row r="135" spans="1:25" s="99" customFormat="1" ht="65.099999999999994" customHeight="1">
      <c r="A135" s="89"/>
      <c r="B135" s="89"/>
      <c r="C135" s="90"/>
      <c r="D135" s="91"/>
      <c r="E135" s="92"/>
      <c r="F135" s="92"/>
      <c r="G135" s="92"/>
      <c r="H135" s="92"/>
      <c r="I135" s="92"/>
      <c r="J135" s="92"/>
      <c r="K135" s="93"/>
      <c r="L135" s="94"/>
      <c r="M135" s="94"/>
      <c r="N135" s="95"/>
      <c r="O135" s="66"/>
      <c r="P135" s="96"/>
      <c r="Q135" s="97"/>
      <c r="R135" s="58"/>
      <c r="S135" s="69"/>
      <c r="T135" s="70"/>
      <c r="U135" s="66"/>
      <c r="V135" s="55"/>
      <c r="W135" s="55"/>
      <c r="X135" s="277"/>
      <c r="Y135" s="92"/>
    </row>
    <row r="136" spans="1:25" s="99" customFormat="1" ht="65.099999999999994" customHeight="1">
      <c r="A136" s="89"/>
      <c r="B136" s="89"/>
      <c r="C136" s="90"/>
      <c r="D136" s="91"/>
      <c r="E136" s="92"/>
      <c r="F136" s="92"/>
      <c r="G136" s="92"/>
      <c r="H136" s="92"/>
      <c r="I136" s="92"/>
      <c r="J136" s="92"/>
      <c r="K136" s="93"/>
      <c r="L136" s="94"/>
      <c r="M136" s="94"/>
      <c r="N136" s="95"/>
      <c r="O136" s="66"/>
      <c r="P136" s="96"/>
      <c r="Q136" s="97"/>
      <c r="R136" s="58"/>
      <c r="S136" s="69"/>
      <c r="T136" s="70"/>
      <c r="U136" s="66"/>
      <c r="V136" s="55"/>
      <c r="W136" s="55"/>
      <c r="X136" s="277"/>
      <c r="Y136" s="92"/>
    </row>
    <row r="137" spans="1:25" s="99" customFormat="1" ht="65.099999999999994" customHeight="1">
      <c r="A137" s="89"/>
      <c r="B137" s="89"/>
      <c r="C137" s="90"/>
      <c r="D137" s="91"/>
      <c r="E137" s="92"/>
      <c r="F137" s="92"/>
      <c r="G137" s="92"/>
      <c r="H137" s="92"/>
      <c r="I137" s="92"/>
      <c r="J137" s="92"/>
      <c r="K137" s="93"/>
      <c r="L137" s="94"/>
      <c r="M137" s="94"/>
      <c r="N137" s="95"/>
      <c r="O137" s="66"/>
      <c r="P137" s="96"/>
      <c r="Q137" s="97"/>
      <c r="R137" s="58"/>
      <c r="S137" s="69"/>
      <c r="T137" s="70"/>
      <c r="U137" s="66"/>
      <c r="V137" s="55"/>
      <c r="W137" s="55"/>
      <c r="X137" s="277"/>
      <c r="Y137" s="92"/>
    </row>
    <row r="138" spans="1:25" s="99" customFormat="1" ht="65.099999999999994" customHeight="1">
      <c r="A138" s="89"/>
      <c r="B138" s="89"/>
      <c r="C138" s="90"/>
      <c r="D138" s="91"/>
      <c r="E138" s="92"/>
      <c r="F138" s="92"/>
      <c r="G138" s="92"/>
      <c r="H138" s="92"/>
      <c r="I138" s="92"/>
      <c r="J138" s="92"/>
      <c r="K138" s="93"/>
      <c r="L138" s="94"/>
      <c r="M138" s="94"/>
      <c r="N138" s="95"/>
      <c r="O138" s="66"/>
      <c r="P138" s="96"/>
      <c r="Q138" s="97"/>
      <c r="R138" s="58"/>
      <c r="S138" s="69"/>
      <c r="T138" s="70"/>
      <c r="U138" s="66"/>
      <c r="V138" s="55"/>
      <c r="W138" s="55"/>
      <c r="X138" s="277"/>
      <c r="Y138" s="92"/>
    </row>
    <row r="139" spans="1:25" s="99" customFormat="1" ht="65.099999999999994" customHeight="1">
      <c r="A139" s="89"/>
      <c r="B139" s="89"/>
      <c r="C139" s="90"/>
      <c r="D139" s="91"/>
      <c r="E139" s="92"/>
      <c r="F139" s="92"/>
      <c r="G139" s="92"/>
      <c r="H139" s="92"/>
      <c r="I139" s="92"/>
      <c r="J139" s="92"/>
      <c r="K139" s="93"/>
      <c r="L139" s="94"/>
      <c r="M139" s="94"/>
      <c r="N139" s="95"/>
      <c r="O139" s="66"/>
      <c r="P139" s="96"/>
      <c r="Q139" s="97"/>
      <c r="R139" s="58"/>
      <c r="S139" s="69"/>
      <c r="T139" s="70"/>
      <c r="U139" s="66"/>
      <c r="V139" s="55"/>
      <c r="W139" s="55"/>
      <c r="X139" s="277"/>
      <c r="Y139" s="92"/>
    </row>
    <row r="140" spans="1:25" s="99" customFormat="1" ht="65.099999999999994" customHeight="1">
      <c r="A140" s="89"/>
      <c r="B140" s="89"/>
      <c r="C140" s="90"/>
      <c r="D140" s="91"/>
      <c r="E140" s="92"/>
      <c r="F140" s="92"/>
      <c r="G140" s="92"/>
      <c r="H140" s="92"/>
      <c r="I140" s="92"/>
      <c r="J140" s="92"/>
      <c r="K140" s="93"/>
      <c r="L140" s="94"/>
      <c r="M140" s="94"/>
      <c r="N140" s="95"/>
      <c r="O140" s="66"/>
      <c r="P140" s="96"/>
      <c r="Q140" s="97"/>
      <c r="R140" s="58"/>
      <c r="S140" s="69"/>
      <c r="T140" s="70"/>
      <c r="U140" s="66"/>
      <c r="V140" s="55"/>
      <c r="W140" s="55"/>
      <c r="X140" s="277"/>
      <c r="Y140" s="92"/>
    </row>
    <row r="141" spans="1:25" s="99" customFormat="1" ht="65.099999999999994" customHeight="1">
      <c r="A141" s="89"/>
      <c r="B141" s="89"/>
      <c r="C141" s="90"/>
      <c r="D141" s="91"/>
      <c r="E141" s="92"/>
      <c r="F141" s="92"/>
      <c r="G141" s="92"/>
      <c r="H141" s="92"/>
      <c r="I141" s="92"/>
      <c r="J141" s="92"/>
      <c r="K141" s="93"/>
      <c r="L141" s="94"/>
      <c r="M141" s="94"/>
      <c r="N141" s="95"/>
      <c r="O141" s="66"/>
      <c r="P141" s="96"/>
      <c r="Q141" s="97"/>
      <c r="R141" s="58"/>
      <c r="S141" s="69"/>
      <c r="T141" s="70"/>
      <c r="U141" s="66"/>
      <c r="V141" s="55"/>
      <c r="W141" s="55"/>
      <c r="X141" s="277"/>
      <c r="Y141" s="92"/>
    </row>
    <row r="142" spans="1:25" s="99" customFormat="1" ht="65.099999999999994" customHeight="1">
      <c r="A142" s="89"/>
      <c r="B142" s="89"/>
      <c r="C142" s="90"/>
      <c r="D142" s="91"/>
      <c r="E142" s="92"/>
      <c r="F142" s="92"/>
      <c r="G142" s="92"/>
      <c r="H142" s="92"/>
      <c r="I142" s="92"/>
      <c r="J142" s="92"/>
      <c r="K142" s="93"/>
      <c r="L142" s="94"/>
      <c r="M142" s="94"/>
      <c r="N142" s="95"/>
      <c r="O142" s="66"/>
      <c r="P142" s="96"/>
      <c r="Q142" s="97"/>
      <c r="R142" s="58"/>
      <c r="S142" s="69"/>
      <c r="T142" s="70"/>
      <c r="U142" s="66"/>
      <c r="V142" s="55"/>
      <c r="W142" s="55"/>
      <c r="X142" s="277"/>
      <c r="Y142" s="92"/>
    </row>
    <row r="143" spans="1:25" s="99" customFormat="1" ht="65.099999999999994" customHeight="1">
      <c r="A143" s="89"/>
      <c r="B143" s="89"/>
      <c r="C143" s="90"/>
      <c r="D143" s="91"/>
      <c r="E143" s="92"/>
      <c r="F143" s="92"/>
      <c r="G143" s="92"/>
      <c r="H143" s="92"/>
      <c r="I143" s="92"/>
      <c r="J143" s="92"/>
      <c r="K143" s="93"/>
      <c r="L143" s="94"/>
      <c r="M143" s="94"/>
      <c r="N143" s="95"/>
      <c r="O143" s="66"/>
      <c r="P143" s="96"/>
      <c r="Q143" s="97"/>
      <c r="R143" s="58"/>
      <c r="S143" s="69"/>
      <c r="T143" s="70"/>
      <c r="U143" s="66"/>
      <c r="V143" s="55"/>
      <c r="W143" s="55"/>
      <c r="X143" s="277"/>
      <c r="Y143" s="92"/>
    </row>
    <row r="144" spans="1:25" s="99" customFormat="1" ht="65.099999999999994" customHeight="1">
      <c r="A144" s="89"/>
      <c r="B144" s="89"/>
      <c r="C144" s="90"/>
      <c r="D144" s="91"/>
      <c r="E144" s="92"/>
      <c r="F144" s="92"/>
      <c r="G144" s="92"/>
      <c r="H144" s="92"/>
      <c r="I144" s="92"/>
      <c r="J144" s="92"/>
      <c r="K144" s="93"/>
      <c r="L144" s="94"/>
      <c r="M144" s="94"/>
      <c r="N144" s="95"/>
      <c r="O144" s="66"/>
      <c r="P144" s="96"/>
      <c r="Q144" s="97"/>
      <c r="R144" s="58"/>
      <c r="S144" s="69"/>
      <c r="T144" s="70"/>
      <c r="U144" s="66"/>
      <c r="V144" s="55"/>
      <c r="W144" s="55"/>
      <c r="X144" s="277"/>
      <c r="Y144" s="92"/>
    </row>
    <row r="145" spans="1:25" s="99" customFormat="1" ht="65.099999999999994" customHeight="1">
      <c r="A145" s="89"/>
      <c r="B145" s="89"/>
      <c r="C145" s="90"/>
      <c r="D145" s="91"/>
      <c r="E145" s="92"/>
      <c r="F145" s="92"/>
      <c r="G145" s="92"/>
      <c r="H145" s="92"/>
      <c r="I145" s="92"/>
      <c r="J145" s="92"/>
      <c r="K145" s="93"/>
      <c r="L145" s="94"/>
      <c r="M145" s="94"/>
      <c r="N145" s="95"/>
      <c r="O145" s="66"/>
      <c r="P145" s="96"/>
      <c r="Q145" s="97"/>
      <c r="R145" s="58"/>
      <c r="S145" s="69"/>
      <c r="T145" s="70"/>
      <c r="U145" s="66"/>
      <c r="V145" s="55"/>
      <c r="W145" s="55"/>
      <c r="X145" s="277"/>
      <c r="Y145" s="92"/>
    </row>
    <row r="146" spans="1:25" s="99" customFormat="1" ht="65.099999999999994" customHeight="1">
      <c r="A146" s="89"/>
      <c r="B146" s="89"/>
      <c r="C146" s="90"/>
      <c r="D146" s="91"/>
      <c r="E146" s="92"/>
      <c r="F146" s="92"/>
      <c r="G146" s="92"/>
      <c r="H146" s="92"/>
      <c r="I146" s="92"/>
      <c r="J146" s="92"/>
      <c r="K146" s="93"/>
      <c r="L146" s="94"/>
      <c r="M146" s="94"/>
      <c r="N146" s="95"/>
      <c r="O146" s="66"/>
      <c r="P146" s="96"/>
      <c r="Q146" s="97"/>
      <c r="R146" s="58"/>
      <c r="S146" s="69"/>
      <c r="T146" s="70"/>
      <c r="U146" s="66"/>
      <c r="V146" s="55"/>
      <c r="W146" s="55"/>
      <c r="X146" s="277"/>
      <c r="Y146" s="92"/>
    </row>
    <row r="147" spans="1:25" s="99" customFormat="1" ht="65.099999999999994" customHeight="1">
      <c r="A147" s="89"/>
      <c r="B147" s="89"/>
      <c r="C147" s="90"/>
      <c r="D147" s="91"/>
      <c r="E147" s="92"/>
      <c r="F147" s="92"/>
      <c r="G147" s="92"/>
      <c r="H147" s="92"/>
      <c r="I147" s="92"/>
      <c r="J147" s="92"/>
      <c r="K147" s="93"/>
      <c r="L147" s="94"/>
      <c r="M147" s="94"/>
      <c r="N147" s="95"/>
      <c r="O147" s="66"/>
      <c r="P147" s="96"/>
      <c r="Q147" s="97"/>
      <c r="R147" s="58"/>
      <c r="S147" s="69"/>
      <c r="T147" s="70"/>
      <c r="U147" s="66"/>
      <c r="V147" s="55"/>
      <c r="W147" s="55"/>
      <c r="X147" s="277"/>
      <c r="Y147" s="92"/>
    </row>
    <row r="148" spans="1:25" s="99" customFormat="1" ht="65.099999999999994" customHeight="1">
      <c r="A148" s="89"/>
      <c r="B148" s="89"/>
      <c r="C148" s="90"/>
      <c r="D148" s="91"/>
      <c r="E148" s="92"/>
      <c r="F148" s="92"/>
      <c r="G148" s="92"/>
      <c r="H148" s="92"/>
      <c r="I148" s="92"/>
      <c r="J148" s="92"/>
      <c r="K148" s="93"/>
      <c r="L148" s="94"/>
      <c r="M148" s="94"/>
      <c r="N148" s="95"/>
      <c r="O148" s="66"/>
      <c r="P148" s="96"/>
      <c r="Q148" s="97"/>
      <c r="R148" s="58"/>
      <c r="S148" s="69"/>
      <c r="T148" s="70"/>
      <c r="U148" s="66"/>
      <c r="V148" s="55"/>
      <c r="W148" s="55"/>
      <c r="X148" s="277"/>
      <c r="Y148" s="92"/>
    </row>
    <row r="149" spans="1:25" s="99" customFormat="1" ht="65.099999999999994" customHeight="1">
      <c r="A149" s="89"/>
      <c r="B149" s="89"/>
      <c r="C149" s="90"/>
      <c r="D149" s="91"/>
      <c r="E149" s="92"/>
      <c r="F149" s="92"/>
      <c r="G149" s="92"/>
      <c r="H149" s="92"/>
      <c r="I149" s="92"/>
      <c r="J149" s="92"/>
      <c r="K149" s="93"/>
      <c r="L149" s="94"/>
      <c r="M149" s="94"/>
      <c r="N149" s="95"/>
      <c r="O149" s="66"/>
      <c r="P149" s="96"/>
      <c r="Q149" s="97"/>
      <c r="R149" s="58"/>
      <c r="S149" s="69"/>
      <c r="T149" s="70"/>
      <c r="U149" s="66"/>
      <c r="V149" s="55"/>
      <c r="W149" s="55"/>
      <c r="X149" s="277"/>
      <c r="Y149" s="92"/>
    </row>
    <row r="150" spans="1:25" s="99" customFormat="1" ht="65.099999999999994" customHeight="1">
      <c r="A150" s="89"/>
      <c r="B150" s="89"/>
      <c r="C150" s="90"/>
      <c r="D150" s="91"/>
      <c r="E150" s="92"/>
      <c r="F150" s="92"/>
      <c r="G150" s="92"/>
      <c r="H150" s="92"/>
      <c r="I150" s="92"/>
      <c r="J150" s="92"/>
      <c r="K150" s="93"/>
      <c r="L150" s="94"/>
      <c r="M150" s="94"/>
      <c r="N150" s="95"/>
      <c r="O150" s="66"/>
      <c r="P150" s="96"/>
      <c r="Q150" s="97"/>
      <c r="R150" s="58"/>
      <c r="S150" s="69"/>
      <c r="T150" s="70"/>
      <c r="U150" s="66"/>
      <c r="V150" s="55"/>
      <c r="W150" s="55"/>
      <c r="X150" s="277"/>
      <c r="Y150" s="92"/>
    </row>
    <row r="151" spans="1:25" s="99" customFormat="1" ht="65.099999999999994" customHeight="1">
      <c r="A151" s="89"/>
      <c r="B151" s="89"/>
      <c r="C151" s="90"/>
      <c r="D151" s="91"/>
      <c r="E151" s="92"/>
      <c r="F151" s="92"/>
      <c r="G151" s="92"/>
      <c r="H151" s="92"/>
      <c r="I151" s="92"/>
      <c r="J151" s="92"/>
      <c r="K151" s="93"/>
      <c r="L151" s="94"/>
      <c r="M151" s="94"/>
      <c r="N151" s="95"/>
      <c r="O151" s="66"/>
      <c r="P151" s="96"/>
      <c r="Q151" s="97"/>
      <c r="R151" s="58"/>
      <c r="S151" s="69"/>
      <c r="T151" s="70"/>
      <c r="U151" s="66"/>
      <c r="V151" s="55"/>
      <c r="W151" s="55"/>
      <c r="X151" s="277"/>
      <c r="Y151" s="92"/>
    </row>
    <row r="152" spans="1:25" s="99" customFormat="1" ht="65.099999999999994" customHeight="1">
      <c r="A152" s="89"/>
      <c r="B152" s="89"/>
      <c r="C152" s="90"/>
      <c r="D152" s="91"/>
      <c r="E152" s="92"/>
      <c r="F152" s="92"/>
      <c r="G152" s="92"/>
      <c r="H152" s="92"/>
      <c r="I152" s="92"/>
      <c r="J152" s="92"/>
      <c r="K152" s="93"/>
      <c r="L152" s="94"/>
      <c r="M152" s="94"/>
      <c r="N152" s="95"/>
      <c r="O152" s="66"/>
      <c r="P152" s="96"/>
      <c r="Q152" s="97"/>
      <c r="R152" s="58"/>
      <c r="S152" s="69"/>
      <c r="T152" s="70"/>
      <c r="U152" s="66"/>
      <c r="V152" s="55"/>
      <c r="W152" s="55"/>
      <c r="X152" s="277"/>
      <c r="Y152" s="92"/>
    </row>
    <row r="153" spans="1:25" s="99" customFormat="1" ht="65.099999999999994" customHeight="1">
      <c r="A153" s="89"/>
      <c r="B153" s="89"/>
      <c r="C153" s="90"/>
      <c r="D153" s="91"/>
      <c r="E153" s="92"/>
      <c r="F153" s="92"/>
      <c r="G153" s="92"/>
      <c r="H153" s="92"/>
      <c r="I153" s="92"/>
      <c r="J153" s="92"/>
      <c r="K153" s="93"/>
      <c r="L153" s="94"/>
      <c r="M153" s="94"/>
      <c r="N153" s="95"/>
      <c r="O153" s="66"/>
      <c r="P153" s="96"/>
      <c r="Q153" s="97"/>
      <c r="R153" s="58"/>
      <c r="S153" s="69"/>
      <c r="T153" s="70"/>
      <c r="U153" s="66"/>
      <c r="V153" s="55"/>
      <c r="W153" s="55"/>
      <c r="X153" s="277"/>
      <c r="Y153" s="92"/>
    </row>
    <row r="154" spans="1:25" s="99" customFormat="1" ht="65.099999999999994" customHeight="1">
      <c r="A154" s="89"/>
      <c r="B154" s="89"/>
      <c r="C154" s="90"/>
      <c r="D154" s="91"/>
      <c r="E154" s="92"/>
      <c r="F154" s="92"/>
      <c r="G154" s="92"/>
      <c r="H154" s="92"/>
      <c r="I154" s="92"/>
      <c r="J154" s="92"/>
      <c r="K154" s="93"/>
      <c r="L154" s="94"/>
      <c r="M154" s="94"/>
      <c r="N154" s="95"/>
      <c r="O154" s="66"/>
      <c r="P154" s="96"/>
      <c r="Q154" s="97"/>
      <c r="R154" s="58"/>
      <c r="S154" s="69"/>
      <c r="T154" s="70"/>
      <c r="U154" s="66"/>
      <c r="V154" s="55"/>
      <c r="W154" s="55"/>
      <c r="X154" s="277"/>
      <c r="Y154" s="92"/>
    </row>
    <row r="155" spans="1:25" s="99" customFormat="1" ht="65.099999999999994" customHeight="1">
      <c r="A155" s="89"/>
      <c r="B155" s="89"/>
      <c r="C155" s="90"/>
      <c r="D155" s="91"/>
      <c r="E155" s="92"/>
      <c r="F155" s="92"/>
      <c r="G155" s="92"/>
      <c r="H155" s="92"/>
      <c r="I155" s="92"/>
      <c r="J155" s="92"/>
      <c r="K155" s="93"/>
      <c r="L155" s="94"/>
      <c r="M155" s="94"/>
      <c r="N155" s="95"/>
      <c r="O155" s="66"/>
      <c r="P155" s="96"/>
      <c r="Q155" s="97"/>
      <c r="R155" s="58"/>
      <c r="S155" s="69"/>
      <c r="T155" s="70"/>
      <c r="U155" s="66"/>
      <c r="V155" s="55"/>
      <c r="W155" s="55"/>
      <c r="X155" s="277"/>
      <c r="Y155" s="92"/>
    </row>
    <row r="156" spans="1:25" s="99" customFormat="1" ht="65.099999999999994" customHeight="1">
      <c r="A156" s="89"/>
      <c r="B156" s="89"/>
      <c r="C156" s="90"/>
      <c r="D156" s="91"/>
      <c r="E156" s="92"/>
      <c r="F156" s="92"/>
      <c r="G156" s="92"/>
      <c r="H156" s="92"/>
      <c r="I156" s="92"/>
      <c r="J156" s="92"/>
      <c r="K156" s="93"/>
      <c r="L156" s="94"/>
      <c r="M156" s="94"/>
      <c r="N156" s="95"/>
      <c r="O156" s="66"/>
      <c r="P156" s="96"/>
      <c r="Q156" s="97"/>
      <c r="R156" s="58"/>
      <c r="S156" s="69"/>
      <c r="T156" s="70"/>
      <c r="U156" s="66"/>
      <c r="V156" s="55"/>
      <c r="W156" s="55"/>
      <c r="X156" s="277"/>
      <c r="Y156" s="92"/>
    </row>
    <row r="157" spans="1:25" s="99" customFormat="1" ht="65.099999999999994" customHeight="1">
      <c r="A157" s="89"/>
      <c r="B157" s="89"/>
      <c r="C157" s="90"/>
      <c r="D157" s="91"/>
      <c r="E157" s="92"/>
      <c r="F157" s="92"/>
      <c r="G157" s="92"/>
      <c r="H157" s="92"/>
      <c r="I157" s="92"/>
      <c r="J157" s="92"/>
      <c r="K157" s="93"/>
      <c r="L157" s="94"/>
      <c r="M157" s="94"/>
      <c r="N157" s="95"/>
      <c r="O157" s="66"/>
      <c r="P157" s="96"/>
      <c r="Q157" s="97"/>
      <c r="R157" s="58"/>
      <c r="S157" s="69"/>
      <c r="T157" s="70"/>
      <c r="U157" s="66"/>
      <c r="V157" s="55"/>
      <c r="W157" s="55"/>
      <c r="X157" s="277"/>
      <c r="Y157" s="92"/>
    </row>
    <row r="158" spans="1:25" s="99" customFormat="1" ht="65.099999999999994" customHeight="1">
      <c r="A158" s="89"/>
      <c r="B158" s="89"/>
      <c r="C158" s="90"/>
      <c r="D158" s="91"/>
      <c r="E158" s="92"/>
      <c r="F158" s="92"/>
      <c r="G158" s="92"/>
      <c r="H158" s="92"/>
      <c r="I158" s="92"/>
      <c r="J158" s="92"/>
      <c r="K158" s="93"/>
      <c r="L158" s="94"/>
      <c r="M158" s="94"/>
      <c r="N158" s="95"/>
      <c r="O158" s="66"/>
      <c r="P158" s="96"/>
      <c r="Q158" s="97"/>
      <c r="R158" s="58"/>
      <c r="S158" s="69"/>
      <c r="T158" s="70"/>
      <c r="U158" s="66"/>
      <c r="V158" s="55"/>
      <c r="W158" s="55"/>
      <c r="X158" s="277"/>
      <c r="Y158" s="92"/>
    </row>
    <row r="159" spans="1:25" s="99" customFormat="1" ht="65.099999999999994" customHeight="1">
      <c r="A159" s="89"/>
      <c r="B159" s="89"/>
      <c r="C159" s="90"/>
      <c r="D159" s="91"/>
      <c r="E159" s="92"/>
      <c r="F159" s="92"/>
      <c r="G159" s="92"/>
      <c r="H159" s="92"/>
      <c r="I159" s="92"/>
      <c r="J159" s="92"/>
      <c r="K159" s="93"/>
      <c r="L159" s="94"/>
      <c r="M159" s="94"/>
      <c r="N159" s="95"/>
      <c r="O159" s="66"/>
      <c r="P159" s="96"/>
      <c r="Q159" s="97"/>
      <c r="R159" s="58"/>
      <c r="S159" s="69"/>
      <c r="T159" s="70"/>
      <c r="U159" s="66"/>
      <c r="V159" s="55"/>
      <c r="W159" s="55"/>
      <c r="X159" s="277"/>
      <c r="Y159" s="92"/>
    </row>
    <row r="160" spans="1:25" s="99" customFormat="1" ht="65.099999999999994" customHeight="1">
      <c r="A160" s="89"/>
      <c r="B160" s="89"/>
      <c r="C160" s="90"/>
      <c r="D160" s="91"/>
      <c r="E160" s="92"/>
      <c r="F160" s="92"/>
      <c r="G160" s="92"/>
      <c r="H160" s="92"/>
      <c r="I160" s="92"/>
      <c r="J160" s="92"/>
      <c r="K160" s="93"/>
      <c r="L160" s="94"/>
      <c r="M160" s="94"/>
      <c r="N160" s="95"/>
      <c r="O160" s="66"/>
      <c r="P160" s="96"/>
      <c r="Q160" s="97"/>
      <c r="R160" s="58"/>
      <c r="S160" s="69"/>
      <c r="T160" s="70"/>
      <c r="U160" s="66"/>
      <c r="V160" s="55"/>
      <c r="W160" s="55"/>
      <c r="X160" s="277"/>
      <c r="Y160" s="92"/>
    </row>
    <row r="161" spans="1:25" s="99" customFormat="1" ht="65.099999999999994" customHeight="1">
      <c r="A161" s="89"/>
      <c r="B161" s="89"/>
      <c r="C161" s="90"/>
      <c r="D161" s="91"/>
      <c r="E161" s="92"/>
      <c r="F161" s="92"/>
      <c r="G161" s="92"/>
      <c r="H161" s="92"/>
      <c r="I161" s="92"/>
      <c r="J161" s="92"/>
      <c r="K161" s="93"/>
      <c r="L161" s="94"/>
      <c r="M161" s="94"/>
      <c r="N161" s="95"/>
      <c r="O161" s="66"/>
      <c r="P161" s="96"/>
      <c r="Q161" s="97"/>
      <c r="R161" s="58"/>
      <c r="S161" s="69"/>
      <c r="T161" s="70"/>
      <c r="U161" s="66"/>
      <c r="V161" s="55"/>
      <c r="W161" s="55"/>
      <c r="X161" s="277"/>
      <c r="Y161" s="92"/>
    </row>
    <row r="162" spans="1:25" s="99" customFormat="1" ht="65.099999999999994" customHeight="1">
      <c r="A162" s="89"/>
      <c r="B162" s="89"/>
      <c r="C162" s="90"/>
      <c r="D162" s="91"/>
      <c r="E162" s="92"/>
      <c r="F162" s="92"/>
      <c r="G162" s="92"/>
      <c r="H162" s="92"/>
      <c r="I162" s="92"/>
      <c r="J162" s="92"/>
      <c r="K162" s="93"/>
      <c r="L162" s="94"/>
      <c r="M162" s="94"/>
      <c r="N162" s="95"/>
      <c r="O162" s="66"/>
      <c r="P162" s="96"/>
      <c r="Q162" s="97"/>
      <c r="R162" s="58"/>
      <c r="S162" s="69"/>
      <c r="T162" s="70"/>
      <c r="U162" s="66"/>
      <c r="V162" s="55"/>
      <c r="W162" s="55"/>
      <c r="X162" s="277"/>
      <c r="Y162" s="92"/>
    </row>
    <row r="163" spans="1:25" s="99" customFormat="1" ht="65.099999999999994" customHeight="1">
      <c r="A163" s="89"/>
      <c r="B163" s="89"/>
      <c r="C163" s="90"/>
      <c r="D163" s="91"/>
      <c r="E163" s="92"/>
      <c r="F163" s="92"/>
      <c r="G163" s="92"/>
      <c r="H163" s="92"/>
      <c r="I163" s="92"/>
      <c r="J163" s="92"/>
      <c r="K163" s="93"/>
      <c r="L163" s="94"/>
      <c r="M163" s="94"/>
      <c r="N163" s="95"/>
      <c r="O163" s="66"/>
      <c r="P163" s="96"/>
      <c r="Q163" s="97"/>
      <c r="R163" s="58"/>
      <c r="S163" s="69"/>
      <c r="T163" s="70"/>
      <c r="U163" s="66"/>
      <c r="V163" s="55"/>
      <c r="W163" s="55"/>
      <c r="X163" s="277"/>
      <c r="Y163" s="92"/>
    </row>
    <row r="164" spans="1:25" s="99" customFormat="1" ht="65.099999999999994" customHeight="1">
      <c r="A164" s="89"/>
      <c r="B164" s="89"/>
      <c r="C164" s="90"/>
      <c r="D164" s="91"/>
      <c r="E164" s="92"/>
      <c r="F164" s="92"/>
      <c r="G164" s="92"/>
      <c r="H164" s="92"/>
      <c r="I164" s="92"/>
      <c r="J164" s="92"/>
      <c r="K164" s="93"/>
      <c r="L164" s="94"/>
      <c r="M164" s="94"/>
      <c r="N164" s="95"/>
      <c r="O164" s="66"/>
      <c r="P164" s="96"/>
      <c r="Q164" s="97"/>
      <c r="R164" s="58"/>
      <c r="S164" s="69"/>
      <c r="T164" s="70"/>
      <c r="U164" s="66"/>
      <c r="V164" s="55"/>
      <c r="W164" s="55"/>
      <c r="X164" s="277"/>
      <c r="Y164" s="92"/>
    </row>
    <row r="165" spans="1:25" s="99" customFormat="1" ht="65.099999999999994" customHeight="1">
      <c r="A165" s="89"/>
      <c r="B165" s="89"/>
      <c r="C165" s="90"/>
      <c r="D165" s="91"/>
      <c r="E165" s="92"/>
      <c r="F165" s="92"/>
      <c r="G165" s="92"/>
      <c r="H165" s="92"/>
      <c r="I165" s="92"/>
      <c r="J165" s="92"/>
      <c r="K165" s="93"/>
      <c r="L165" s="94"/>
      <c r="M165" s="94"/>
      <c r="N165" s="95"/>
      <c r="O165" s="66"/>
      <c r="P165" s="96"/>
      <c r="Q165" s="97"/>
      <c r="R165" s="58"/>
      <c r="S165" s="69"/>
      <c r="T165" s="70"/>
      <c r="U165" s="66"/>
      <c r="V165" s="55"/>
      <c r="W165" s="55"/>
      <c r="X165" s="277"/>
      <c r="Y165" s="92"/>
    </row>
    <row r="166" spans="1:25" s="99" customFormat="1" ht="65.099999999999994" customHeight="1">
      <c r="A166" s="89"/>
      <c r="B166" s="89"/>
      <c r="C166" s="90"/>
      <c r="D166" s="91"/>
      <c r="E166" s="92"/>
      <c r="F166" s="92"/>
      <c r="G166" s="92"/>
      <c r="H166" s="92"/>
      <c r="I166" s="92"/>
      <c r="J166" s="92"/>
      <c r="K166" s="93"/>
      <c r="L166" s="94"/>
      <c r="M166" s="94"/>
      <c r="N166" s="95"/>
      <c r="O166" s="66"/>
      <c r="P166" s="96"/>
      <c r="Q166" s="97"/>
      <c r="R166" s="58"/>
      <c r="S166" s="69"/>
      <c r="T166" s="70"/>
      <c r="U166" s="66"/>
      <c r="V166" s="55"/>
      <c r="W166" s="55"/>
      <c r="X166" s="277"/>
      <c r="Y166" s="92"/>
    </row>
    <row r="167" spans="1:25" s="99" customFormat="1" ht="65.099999999999994" customHeight="1">
      <c r="A167" s="89"/>
      <c r="B167" s="89"/>
      <c r="C167" s="90"/>
      <c r="D167" s="91"/>
      <c r="E167" s="92"/>
      <c r="F167" s="92"/>
      <c r="G167" s="92"/>
      <c r="H167" s="92"/>
      <c r="I167" s="92"/>
      <c r="J167" s="92"/>
      <c r="K167" s="93"/>
      <c r="L167" s="94"/>
      <c r="M167" s="94"/>
      <c r="N167" s="95"/>
      <c r="O167" s="66"/>
      <c r="P167" s="96"/>
      <c r="Q167" s="97"/>
      <c r="R167" s="58"/>
      <c r="S167" s="69"/>
      <c r="T167" s="70"/>
      <c r="U167" s="66"/>
      <c r="V167" s="55"/>
      <c r="W167" s="55"/>
      <c r="X167" s="277"/>
      <c r="Y167" s="92"/>
    </row>
    <row r="168" spans="1:25" s="99" customFormat="1" ht="65.099999999999994" customHeight="1">
      <c r="A168" s="89"/>
      <c r="B168" s="89"/>
      <c r="C168" s="90"/>
      <c r="D168" s="91"/>
      <c r="E168" s="92"/>
      <c r="F168" s="92"/>
      <c r="G168" s="92"/>
      <c r="H168" s="92"/>
      <c r="I168" s="92"/>
      <c r="J168" s="92"/>
      <c r="K168" s="93"/>
      <c r="L168" s="94"/>
      <c r="M168" s="94"/>
      <c r="N168" s="95"/>
      <c r="O168" s="66"/>
      <c r="P168" s="96"/>
      <c r="Q168" s="97"/>
      <c r="R168" s="58"/>
      <c r="S168" s="69"/>
      <c r="T168" s="70"/>
      <c r="U168" s="66"/>
      <c r="V168" s="55"/>
      <c r="W168" s="55"/>
      <c r="X168" s="277"/>
      <c r="Y168" s="92"/>
    </row>
    <row r="169" spans="1:25" s="99" customFormat="1" ht="65.099999999999994" customHeight="1">
      <c r="A169" s="89"/>
      <c r="B169" s="89"/>
      <c r="C169" s="90"/>
      <c r="D169" s="91"/>
      <c r="E169" s="92"/>
      <c r="F169" s="92"/>
      <c r="G169" s="92"/>
      <c r="H169" s="92"/>
      <c r="I169" s="92"/>
      <c r="J169" s="92"/>
      <c r="K169" s="93"/>
      <c r="L169" s="94"/>
      <c r="M169" s="94"/>
      <c r="N169" s="95"/>
      <c r="O169" s="66"/>
      <c r="P169" s="96"/>
      <c r="Q169" s="97"/>
      <c r="R169" s="58"/>
      <c r="S169" s="69"/>
      <c r="T169" s="70"/>
      <c r="U169" s="66"/>
      <c r="V169" s="55"/>
      <c r="W169" s="55"/>
      <c r="X169" s="277"/>
      <c r="Y169" s="92"/>
    </row>
    <row r="170" spans="1:25" s="99" customFormat="1" ht="65.099999999999994" customHeight="1">
      <c r="A170" s="89"/>
      <c r="B170" s="89"/>
      <c r="C170" s="90"/>
      <c r="D170" s="91"/>
      <c r="E170" s="92"/>
      <c r="F170" s="92"/>
      <c r="G170" s="92"/>
      <c r="H170" s="92"/>
      <c r="I170" s="92"/>
      <c r="J170" s="92"/>
      <c r="K170" s="93"/>
      <c r="L170" s="94"/>
      <c r="M170" s="94"/>
      <c r="N170" s="95"/>
      <c r="O170" s="66"/>
      <c r="P170" s="96"/>
      <c r="Q170" s="97"/>
      <c r="R170" s="58"/>
      <c r="S170" s="69"/>
      <c r="T170" s="70"/>
      <c r="U170" s="66"/>
      <c r="V170" s="55"/>
      <c r="W170" s="55"/>
      <c r="X170" s="277"/>
      <c r="Y170" s="92"/>
    </row>
    <row r="171" spans="1:25" s="99" customFormat="1" ht="65.099999999999994" customHeight="1">
      <c r="A171" s="89"/>
      <c r="B171" s="89"/>
      <c r="C171" s="90"/>
      <c r="D171" s="91"/>
      <c r="E171" s="92"/>
      <c r="F171" s="92"/>
      <c r="G171" s="92"/>
      <c r="H171" s="92"/>
      <c r="I171" s="92"/>
      <c r="J171" s="92"/>
      <c r="K171" s="93"/>
      <c r="L171" s="94"/>
      <c r="M171" s="94"/>
      <c r="N171" s="95"/>
      <c r="O171" s="66"/>
      <c r="P171" s="96"/>
      <c r="Q171" s="97"/>
      <c r="R171" s="58"/>
      <c r="S171" s="69"/>
      <c r="T171" s="70"/>
      <c r="U171" s="66"/>
      <c r="V171" s="55"/>
      <c r="W171" s="55"/>
      <c r="X171" s="277"/>
      <c r="Y171" s="92"/>
    </row>
    <row r="172" spans="1:25" s="99" customFormat="1" ht="65.099999999999994" customHeight="1">
      <c r="A172" s="89"/>
      <c r="B172" s="89"/>
      <c r="C172" s="90"/>
      <c r="D172" s="91"/>
      <c r="E172" s="92"/>
      <c r="F172" s="92"/>
      <c r="G172" s="92"/>
      <c r="H172" s="92"/>
      <c r="I172" s="92"/>
      <c r="J172" s="92"/>
      <c r="K172" s="93"/>
      <c r="L172" s="94"/>
      <c r="M172" s="94"/>
      <c r="N172" s="95"/>
      <c r="O172" s="66"/>
      <c r="P172" s="96"/>
      <c r="Q172" s="97"/>
      <c r="R172" s="58"/>
      <c r="S172" s="69"/>
      <c r="T172" s="70"/>
      <c r="U172" s="66"/>
      <c r="V172" s="55"/>
      <c r="W172" s="55"/>
      <c r="X172" s="277"/>
      <c r="Y172" s="92"/>
    </row>
    <row r="173" spans="1:25" s="99" customFormat="1" ht="65.099999999999994" customHeight="1">
      <c r="A173" s="89"/>
      <c r="B173" s="89"/>
      <c r="C173" s="90"/>
      <c r="D173" s="91"/>
      <c r="E173" s="92"/>
      <c r="F173" s="92"/>
      <c r="G173" s="92"/>
      <c r="H173" s="92"/>
      <c r="I173" s="92"/>
      <c r="J173" s="92"/>
      <c r="K173" s="93"/>
      <c r="L173" s="94"/>
      <c r="M173" s="94"/>
      <c r="N173" s="95"/>
      <c r="O173" s="66"/>
      <c r="P173" s="96"/>
      <c r="Q173" s="97"/>
      <c r="R173" s="58"/>
      <c r="S173" s="69"/>
      <c r="T173" s="70"/>
      <c r="U173" s="66"/>
      <c r="V173" s="55"/>
      <c r="W173" s="55"/>
      <c r="X173" s="277"/>
      <c r="Y173" s="92"/>
    </row>
    <row r="174" spans="1:25" s="99" customFormat="1" ht="65.099999999999994" customHeight="1">
      <c r="A174" s="89"/>
      <c r="B174" s="89"/>
      <c r="C174" s="90"/>
      <c r="D174" s="91"/>
      <c r="E174" s="92"/>
      <c r="F174" s="92"/>
      <c r="G174" s="92"/>
      <c r="H174" s="92"/>
      <c r="I174" s="92"/>
      <c r="J174" s="92"/>
      <c r="K174" s="93"/>
      <c r="L174" s="94"/>
      <c r="M174" s="94"/>
      <c r="N174" s="95"/>
      <c r="O174" s="66"/>
      <c r="P174" s="96"/>
      <c r="Q174" s="97"/>
      <c r="R174" s="58"/>
      <c r="S174" s="69"/>
      <c r="T174" s="70"/>
      <c r="U174" s="66"/>
      <c r="V174" s="55"/>
      <c r="W174" s="55"/>
      <c r="X174" s="277"/>
      <c r="Y174" s="92"/>
    </row>
    <row r="175" spans="1:25" s="99" customFormat="1" ht="65.099999999999994" customHeight="1">
      <c r="A175" s="89"/>
      <c r="B175" s="89"/>
      <c r="C175" s="90"/>
      <c r="D175" s="91"/>
      <c r="E175" s="92"/>
      <c r="F175" s="92"/>
      <c r="G175" s="92"/>
      <c r="H175" s="92"/>
      <c r="I175" s="92"/>
      <c r="J175" s="92"/>
      <c r="K175" s="93"/>
      <c r="L175" s="94"/>
      <c r="M175" s="94"/>
      <c r="N175" s="95"/>
      <c r="O175" s="66"/>
      <c r="P175" s="96"/>
      <c r="Q175" s="97"/>
      <c r="R175" s="58"/>
      <c r="S175" s="69"/>
      <c r="T175" s="70"/>
      <c r="U175" s="66"/>
      <c r="V175" s="55"/>
      <c r="W175" s="55"/>
      <c r="X175" s="277"/>
      <c r="Y175" s="92"/>
    </row>
    <row r="176" spans="1:25" s="99" customFormat="1" ht="65.099999999999994" customHeight="1">
      <c r="A176" s="89"/>
      <c r="B176" s="89"/>
      <c r="C176" s="90"/>
      <c r="D176" s="91"/>
      <c r="E176" s="92"/>
      <c r="F176" s="92"/>
      <c r="G176" s="92"/>
      <c r="H176" s="92"/>
      <c r="I176" s="92"/>
      <c r="J176" s="92"/>
      <c r="K176" s="93"/>
      <c r="L176" s="94"/>
      <c r="M176" s="94"/>
      <c r="N176" s="95"/>
      <c r="O176" s="66"/>
      <c r="P176" s="96"/>
      <c r="Q176" s="97"/>
      <c r="R176" s="58"/>
      <c r="S176" s="69"/>
      <c r="T176" s="70"/>
      <c r="U176" s="66"/>
      <c r="V176" s="55"/>
      <c r="W176" s="55"/>
      <c r="X176" s="277"/>
      <c r="Y176" s="92"/>
    </row>
    <row r="177" spans="1:25" s="99" customFormat="1" ht="65.099999999999994" customHeight="1">
      <c r="A177" s="89"/>
      <c r="B177" s="89"/>
      <c r="C177" s="90"/>
      <c r="D177" s="91"/>
      <c r="E177" s="92"/>
      <c r="F177" s="92"/>
      <c r="G177" s="92"/>
      <c r="H177" s="92"/>
      <c r="I177" s="92"/>
      <c r="J177" s="92"/>
      <c r="K177" s="93"/>
      <c r="L177" s="94"/>
      <c r="M177" s="94"/>
      <c r="N177" s="95"/>
      <c r="O177" s="66"/>
      <c r="P177" s="96"/>
      <c r="Q177" s="97"/>
      <c r="R177" s="58"/>
      <c r="S177" s="69"/>
      <c r="T177" s="70"/>
      <c r="U177" s="66"/>
      <c r="V177" s="55"/>
      <c r="W177" s="55"/>
      <c r="X177" s="277"/>
      <c r="Y177" s="92"/>
    </row>
    <row r="178" spans="1:25" s="99" customFormat="1" ht="65.099999999999994" customHeight="1">
      <c r="A178" s="89"/>
      <c r="B178" s="89"/>
      <c r="C178" s="90"/>
      <c r="D178" s="91"/>
      <c r="E178" s="92"/>
      <c r="F178" s="92"/>
      <c r="G178" s="92"/>
      <c r="H178" s="92"/>
      <c r="I178" s="92"/>
      <c r="J178" s="92"/>
      <c r="K178" s="93"/>
      <c r="L178" s="94"/>
      <c r="M178" s="94"/>
      <c r="N178" s="95"/>
      <c r="O178" s="66"/>
      <c r="P178" s="96"/>
      <c r="Q178" s="97"/>
      <c r="R178" s="58"/>
      <c r="S178" s="69"/>
      <c r="T178" s="70"/>
      <c r="U178" s="66"/>
      <c r="V178" s="55"/>
      <c r="W178" s="55"/>
      <c r="X178" s="277"/>
      <c r="Y178" s="92"/>
    </row>
    <row r="179" spans="1:25" s="99" customFormat="1" ht="65.099999999999994" customHeight="1">
      <c r="A179" s="89"/>
      <c r="B179" s="89"/>
      <c r="C179" s="90"/>
      <c r="D179" s="91"/>
      <c r="E179" s="92"/>
      <c r="F179" s="92"/>
      <c r="G179" s="92"/>
      <c r="H179" s="92"/>
      <c r="I179" s="92"/>
      <c r="J179" s="92"/>
      <c r="K179" s="93"/>
      <c r="L179" s="94"/>
      <c r="M179" s="94"/>
      <c r="N179" s="95"/>
      <c r="O179" s="66"/>
      <c r="P179" s="96"/>
      <c r="Q179" s="97"/>
      <c r="R179" s="58"/>
      <c r="S179" s="69"/>
      <c r="T179" s="70"/>
      <c r="U179" s="66"/>
      <c r="V179" s="55"/>
      <c r="W179" s="55"/>
      <c r="X179" s="277"/>
      <c r="Y179" s="92"/>
    </row>
    <row r="180" spans="1:25" s="99" customFormat="1" ht="65.099999999999994" customHeight="1">
      <c r="A180" s="89"/>
      <c r="B180" s="89"/>
      <c r="C180" s="90"/>
      <c r="D180" s="91"/>
      <c r="E180" s="92"/>
      <c r="F180" s="92"/>
      <c r="G180" s="92"/>
      <c r="H180" s="92"/>
      <c r="I180" s="92"/>
      <c r="J180" s="92"/>
      <c r="K180" s="93"/>
      <c r="L180" s="94"/>
      <c r="M180" s="94"/>
      <c r="N180" s="95"/>
      <c r="O180" s="66"/>
      <c r="P180" s="96"/>
      <c r="Q180" s="97"/>
      <c r="R180" s="58"/>
      <c r="S180" s="69"/>
      <c r="T180" s="70"/>
      <c r="U180" s="66"/>
      <c r="V180" s="55"/>
      <c r="W180" s="55"/>
      <c r="X180" s="277"/>
      <c r="Y180" s="92"/>
    </row>
    <row r="181" spans="1:25" s="99" customFormat="1" ht="65.099999999999994" customHeight="1">
      <c r="A181" s="89"/>
      <c r="B181" s="89"/>
      <c r="C181" s="90"/>
      <c r="D181" s="91"/>
      <c r="E181" s="92"/>
      <c r="F181" s="92"/>
      <c r="G181" s="92"/>
      <c r="H181" s="92"/>
      <c r="I181" s="92"/>
      <c r="J181" s="92"/>
      <c r="K181" s="93"/>
      <c r="L181" s="94"/>
      <c r="M181" s="94"/>
      <c r="N181" s="95"/>
      <c r="O181" s="66"/>
      <c r="P181" s="96"/>
      <c r="Q181" s="97"/>
      <c r="R181" s="58"/>
      <c r="S181" s="69"/>
      <c r="T181" s="70"/>
      <c r="U181" s="66"/>
      <c r="V181" s="55"/>
      <c r="W181" s="55"/>
      <c r="X181" s="277"/>
      <c r="Y181" s="92"/>
    </row>
    <row r="182" spans="1:25" s="99" customFormat="1" ht="65.099999999999994" customHeight="1">
      <c r="A182" s="89"/>
      <c r="B182" s="89"/>
      <c r="C182" s="90"/>
      <c r="D182" s="91"/>
      <c r="E182" s="92"/>
      <c r="F182" s="92"/>
      <c r="G182" s="92"/>
      <c r="H182" s="92"/>
      <c r="I182" s="92"/>
      <c r="J182" s="92"/>
      <c r="K182" s="93"/>
      <c r="L182" s="94"/>
      <c r="M182" s="94"/>
      <c r="N182" s="95"/>
      <c r="O182" s="66"/>
      <c r="P182" s="96"/>
      <c r="Q182" s="97"/>
      <c r="R182" s="58"/>
      <c r="S182" s="69"/>
      <c r="T182" s="70"/>
      <c r="U182" s="66"/>
      <c r="V182" s="55"/>
      <c r="W182" s="55"/>
      <c r="X182" s="277"/>
      <c r="Y182" s="92"/>
    </row>
    <row r="183" spans="1:25" s="99" customFormat="1" ht="65.099999999999994" customHeight="1">
      <c r="A183" s="89"/>
      <c r="B183" s="89"/>
      <c r="C183" s="90"/>
      <c r="D183" s="91"/>
      <c r="E183" s="92"/>
      <c r="F183" s="92"/>
      <c r="G183" s="92"/>
      <c r="H183" s="92"/>
      <c r="I183" s="92"/>
      <c r="J183" s="92"/>
      <c r="K183" s="93"/>
      <c r="L183" s="94"/>
      <c r="M183" s="94"/>
      <c r="N183" s="95"/>
      <c r="O183" s="66"/>
      <c r="P183" s="96"/>
      <c r="Q183" s="97"/>
      <c r="R183" s="58"/>
      <c r="S183" s="69"/>
      <c r="T183" s="70"/>
      <c r="U183" s="66"/>
      <c r="V183" s="55"/>
      <c r="W183" s="55"/>
      <c r="X183" s="277"/>
      <c r="Y183" s="92"/>
    </row>
    <row r="184" spans="1:25" s="99" customFormat="1" ht="65.099999999999994" customHeight="1">
      <c r="A184" s="89"/>
      <c r="B184" s="89"/>
      <c r="C184" s="90"/>
      <c r="D184" s="91"/>
      <c r="E184" s="92"/>
      <c r="F184" s="92"/>
      <c r="G184" s="92"/>
      <c r="H184" s="92"/>
      <c r="I184" s="92"/>
      <c r="J184" s="92"/>
      <c r="K184" s="93"/>
      <c r="L184" s="94"/>
      <c r="M184" s="94"/>
      <c r="N184" s="95"/>
      <c r="O184" s="66"/>
      <c r="P184" s="96"/>
      <c r="Q184" s="97"/>
      <c r="R184" s="58"/>
      <c r="S184" s="69"/>
      <c r="T184" s="70"/>
      <c r="U184" s="66"/>
      <c r="V184" s="55"/>
      <c r="W184" s="55"/>
      <c r="X184" s="277"/>
      <c r="Y184" s="92"/>
    </row>
    <row r="185" spans="1:25" s="99" customFormat="1" ht="65.099999999999994" customHeight="1">
      <c r="A185" s="89"/>
      <c r="B185" s="89"/>
      <c r="C185" s="90"/>
      <c r="D185" s="91"/>
      <c r="E185" s="92"/>
      <c r="F185" s="92"/>
      <c r="G185" s="92"/>
      <c r="H185" s="92"/>
      <c r="I185" s="92"/>
      <c r="J185" s="92"/>
      <c r="K185" s="93"/>
      <c r="L185" s="94"/>
      <c r="M185" s="94"/>
      <c r="N185" s="95"/>
      <c r="O185" s="66"/>
      <c r="P185" s="96"/>
      <c r="Q185" s="97"/>
      <c r="R185" s="58"/>
      <c r="S185" s="69"/>
      <c r="T185" s="70"/>
      <c r="U185" s="66"/>
      <c r="V185" s="55"/>
      <c r="W185" s="55"/>
      <c r="X185" s="277"/>
      <c r="Y185" s="92"/>
    </row>
    <row r="186" spans="1:25" s="99" customFormat="1" ht="65.099999999999994" customHeight="1">
      <c r="A186" s="89"/>
      <c r="B186" s="89"/>
      <c r="C186" s="90"/>
      <c r="D186" s="91"/>
      <c r="E186" s="92"/>
      <c r="F186" s="92"/>
      <c r="G186" s="92"/>
      <c r="H186" s="92"/>
      <c r="I186" s="92"/>
      <c r="J186" s="92"/>
      <c r="K186" s="93"/>
      <c r="L186" s="94"/>
      <c r="M186" s="94"/>
      <c r="N186" s="95"/>
      <c r="O186" s="66"/>
      <c r="P186" s="96"/>
      <c r="Q186" s="97"/>
      <c r="R186" s="58"/>
      <c r="S186" s="69"/>
      <c r="T186" s="70"/>
      <c r="U186" s="66"/>
      <c r="V186" s="55"/>
      <c r="W186" s="55"/>
      <c r="X186" s="277"/>
      <c r="Y186" s="92"/>
    </row>
    <row r="187" spans="1:25" s="99" customFormat="1" ht="65.099999999999994" customHeight="1">
      <c r="A187" s="89"/>
      <c r="B187" s="89"/>
      <c r="C187" s="90"/>
      <c r="D187" s="91"/>
      <c r="E187" s="92"/>
      <c r="F187" s="92"/>
      <c r="G187" s="92"/>
      <c r="H187" s="92"/>
      <c r="I187" s="92"/>
      <c r="J187" s="92"/>
      <c r="K187" s="93"/>
      <c r="L187" s="94"/>
      <c r="M187" s="94"/>
      <c r="N187" s="95"/>
      <c r="O187" s="66"/>
      <c r="P187" s="96"/>
      <c r="Q187" s="97"/>
      <c r="R187" s="58"/>
      <c r="S187" s="69"/>
      <c r="T187" s="70"/>
      <c r="U187" s="66"/>
      <c r="V187" s="55"/>
      <c r="W187" s="55"/>
      <c r="X187" s="277"/>
      <c r="Y187" s="92"/>
    </row>
    <row r="188" spans="1:25" s="99" customFormat="1" ht="65.099999999999994" customHeight="1">
      <c r="A188" s="89"/>
      <c r="B188" s="89"/>
      <c r="C188" s="90"/>
      <c r="D188" s="91"/>
      <c r="E188" s="92"/>
      <c r="F188" s="92"/>
      <c r="G188" s="92"/>
      <c r="H188" s="92"/>
      <c r="I188" s="92"/>
      <c r="J188" s="92"/>
      <c r="K188" s="93"/>
      <c r="L188" s="94"/>
      <c r="M188" s="94"/>
      <c r="N188" s="95"/>
      <c r="O188" s="66"/>
      <c r="P188" s="96"/>
      <c r="Q188" s="97"/>
      <c r="R188" s="58"/>
      <c r="S188" s="69"/>
      <c r="T188" s="70"/>
      <c r="U188" s="66"/>
      <c r="V188" s="55"/>
      <c r="W188" s="55"/>
      <c r="X188" s="277"/>
      <c r="Y188" s="92"/>
    </row>
    <row r="189" spans="1:25" s="99" customFormat="1" ht="65.099999999999994" customHeight="1">
      <c r="A189" s="89"/>
      <c r="B189" s="89"/>
      <c r="C189" s="90"/>
      <c r="D189" s="91"/>
      <c r="E189" s="92"/>
      <c r="F189" s="92"/>
      <c r="G189" s="92"/>
      <c r="H189" s="92"/>
      <c r="I189" s="92"/>
      <c r="J189" s="92"/>
      <c r="K189" s="93"/>
      <c r="L189" s="94"/>
      <c r="M189" s="94"/>
      <c r="N189" s="95"/>
      <c r="O189" s="66"/>
      <c r="P189" s="96"/>
      <c r="Q189" s="97"/>
      <c r="R189" s="58"/>
      <c r="S189" s="69"/>
      <c r="T189" s="70"/>
      <c r="U189" s="66"/>
      <c r="V189" s="55"/>
      <c r="W189" s="55"/>
      <c r="X189" s="277"/>
      <c r="Y189" s="92"/>
    </row>
    <row r="190" spans="1:25" s="99" customFormat="1" ht="65.099999999999994" customHeight="1">
      <c r="A190" s="89"/>
      <c r="B190" s="89"/>
      <c r="C190" s="90"/>
      <c r="D190" s="91"/>
      <c r="E190" s="92"/>
      <c r="F190" s="92"/>
      <c r="G190" s="92"/>
      <c r="H190" s="92"/>
      <c r="I190" s="92"/>
      <c r="J190" s="92"/>
      <c r="K190" s="93"/>
      <c r="L190" s="94"/>
      <c r="M190" s="94"/>
      <c r="N190" s="95"/>
      <c r="O190" s="66"/>
      <c r="P190" s="96"/>
      <c r="Q190" s="97"/>
      <c r="R190" s="58"/>
      <c r="S190" s="69"/>
      <c r="T190" s="70"/>
      <c r="U190" s="66"/>
      <c r="V190" s="55"/>
      <c r="W190" s="55"/>
      <c r="X190" s="277"/>
      <c r="Y190" s="92"/>
    </row>
    <row r="191" spans="1:25" s="99" customFormat="1" ht="65.099999999999994" customHeight="1">
      <c r="A191" s="89"/>
      <c r="B191" s="89"/>
      <c r="C191" s="90"/>
      <c r="D191" s="91"/>
      <c r="E191" s="92"/>
      <c r="F191" s="92"/>
      <c r="G191" s="92"/>
      <c r="H191" s="92"/>
      <c r="I191" s="92"/>
      <c r="J191" s="92"/>
      <c r="K191" s="93"/>
      <c r="L191" s="94"/>
      <c r="M191" s="94"/>
      <c r="N191" s="95"/>
      <c r="O191" s="66"/>
      <c r="P191" s="96"/>
      <c r="Q191" s="97"/>
      <c r="R191" s="58"/>
      <c r="S191" s="69"/>
      <c r="T191" s="70"/>
      <c r="U191" s="66"/>
      <c r="V191" s="55"/>
      <c r="W191" s="55"/>
      <c r="X191" s="277"/>
      <c r="Y191" s="92"/>
    </row>
    <row r="192" spans="1:25" s="99" customFormat="1" ht="65.099999999999994" customHeight="1">
      <c r="A192" s="89"/>
      <c r="B192" s="89"/>
      <c r="C192" s="90"/>
      <c r="D192" s="91"/>
      <c r="E192" s="92"/>
      <c r="F192" s="92"/>
      <c r="G192" s="92"/>
      <c r="H192" s="92"/>
      <c r="I192" s="92"/>
      <c r="J192" s="92"/>
      <c r="K192" s="93"/>
      <c r="L192" s="94"/>
      <c r="M192" s="94"/>
      <c r="N192" s="95"/>
      <c r="O192" s="66"/>
      <c r="P192" s="96"/>
      <c r="Q192" s="97"/>
      <c r="R192" s="58"/>
      <c r="S192" s="69"/>
      <c r="T192" s="70"/>
      <c r="U192" s="66"/>
      <c r="V192" s="55"/>
      <c r="W192" s="55"/>
      <c r="X192" s="277"/>
      <c r="Y192" s="92"/>
    </row>
    <row r="193" spans="1:25" s="99" customFormat="1" ht="65.099999999999994" customHeight="1">
      <c r="A193" s="89"/>
      <c r="B193" s="89"/>
      <c r="C193" s="90"/>
      <c r="D193" s="91"/>
      <c r="E193" s="92"/>
      <c r="F193" s="92"/>
      <c r="G193" s="92"/>
      <c r="H193" s="92"/>
      <c r="I193" s="92"/>
      <c r="J193" s="92"/>
      <c r="K193" s="93"/>
      <c r="L193" s="94"/>
      <c r="M193" s="94"/>
      <c r="N193" s="95"/>
      <c r="O193" s="66"/>
      <c r="P193" s="96"/>
      <c r="Q193" s="97"/>
      <c r="R193" s="58"/>
      <c r="S193" s="69"/>
      <c r="T193" s="70"/>
      <c r="U193" s="66"/>
      <c r="V193" s="55"/>
      <c r="W193" s="55"/>
      <c r="X193" s="277"/>
      <c r="Y193" s="92"/>
    </row>
    <row r="194" spans="1:25" s="99" customFormat="1" ht="65.099999999999994" customHeight="1">
      <c r="A194" s="89"/>
      <c r="B194" s="89"/>
      <c r="C194" s="90"/>
      <c r="D194" s="91"/>
      <c r="E194" s="92"/>
      <c r="F194" s="92"/>
      <c r="G194" s="92"/>
      <c r="H194" s="92"/>
      <c r="I194" s="92"/>
      <c r="J194" s="92"/>
      <c r="K194" s="93"/>
      <c r="L194" s="94"/>
      <c r="M194" s="94"/>
      <c r="N194" s="95"/>
      <c r="O194" s="66"/>
      <c r="P194" s="96"/>
      <c r="Q194" s="97"/>
      <c r="R194" s="58"/>
      <c r="S194" s="69"/>
      <c r="T194" s="70"/>
      <c r="U194" s="66"/>
      <c r="V194" s="55"/>
      <c r="W194" s="55"/>
      <c r="X194" s="277"/>
      <c r="Y194" s="92"/>
    </row>
    <row r="195" spans="1:25" s="99" customFormat="1" ht="65.099999999999994" customHeight="1">
      <c r="A195" s="89"/>
      <c r="B195" s="89"/>
      <c r="C195" s="90"/>
      <c r="D195" s="91"/>
      <c r="E195" s="92"/>
      <c r="F195" s="92"/>
      <c r="G195" s="92"/>
      <c r="H195" s="92"/>
      <c r="I195" s="92"/>
      <c r="J195" s="92"/>
      <c r="K195" s="93"/>
      <c r="L195" s="94"/>
      <c r="M195" s="94"/>
      <c r="N195" s="95"/>
      <c r="O195" s="66"/>
      <c r="P195" s="96"/>
      <c r="Q195" s="97"/>
      <c r="R195" s="58"/>
      <c r="S195" s="69"/>
      <c r="T195" s="70"/>
      <c r="U195" s="66"/>
      <c r="V195" s="55"/>
      <c r="W195" s="55"/>
      <c r="X195" s="277"/>
      <c r="Y195" s="92"/>
    </row>
    <row r="196" spans="1:25" s="99" customFormat="1" ht="65.099999999999994" customHeight="1">
      <c r="A196" s="89"/>
      <c r="B196" s="89"/>
      <c r="C196" s="90"/>
      <c r="D196" s="91"/>
      <c r="E196" s="92"/>
      <c r="F196" s="92"/>
      <c r="G196" s="92"/>
      <c r="H196" s="92"/>
      <c r="I196" s="92"/>
      <c r="J196" s="92"/>
      <c r="K196" s="93"/>
      <c r="L196" s="94"/>
      <c r="M196" s="94"/>
      <c r="N196" s="95"/>
      <c r="O196" s="66"/>
      <c r="P196" s="96"/>
      <c r="Q196" s="97"/>
      <c r="R196" s="58"/>
      <c r="S196" s="69"/>
      <c r="T196" s="70"/>
      <c r="U196" s="66"/>
      <c r="V196" s="55"/>
      <c r="W196" s="55"/>
      <c r="X196" s="277"/>
      <c r="Y196" s="92"/>
    </row>
    <row r="197" spans="1:25" s="99" customFormat="1" ht="65.099999999999994" customHeight="1">
      <c r="A197" s="89"/>
      <c r="B197" s="89"/>
      <c r="C197" s="90"/>
      <c r="D197" s="91"/>
      <c r="E197" s="92"/>
      <c r="F197" s="92"/>
      <c r="G197" s="92"/>
      <c r="H197" s="92"/>
      <c r="I197" s="92"/>
      <c r="J197" s="92"/>
      <c r="K197" s="93"/>
      <c r="L197" s="94"/>
      <c r="M197" s="94"/>
      <c r="N197" s="95"/>
      <c r="O197" s="66"/>
      <c r="P197" s="96"/>
      <c r="Q197" s="97"/>
      <c r="R197" s="58"/>
      <c r="S197" s="69"/>
      <c r="T197" s="70"/>
      <c r="U197" s="66"/>
      <c r="V197" s="55"/>
      <c r="W197" s="55"/>
      <c r="X197" s="277"/>
      <c r="Y197" s="92"/>
    </row>
    <row r="198" spans="1:25" s="99" customFormat="1" ht="65.099999999999994" customHeight="1">
      <c r="A198" s="89"/>
      <c r="B198" s="89"/>
      <c r="C198" s="90"/>
      <c r="D198" s="91"/>
      <c r="E198" s="92"/>
      <c r="F198" s="92"/>
      <c r="G198" s="92"/>
      <c r="H198" s="92"/>
      <c r="I198" s="92"/>
      <c r="J198" s="92"/>
      <c r="K198" s="93"/>
      <c r="L198" s="94"/>
      <c r="M198" s="94"/>
      <c r="N198" s="95"/>
      <c r="O198" s="66"/>
      <c r="P198" s="96"/>
      <c r="Q198" s="97"/>
      <c r="R198" s="58"/>
      <c r="S198" s="69"/>
      <c r="T198" s="70"/>
      <c r="U198" s="66"/>
      <c r="V198" s="55"/>
      <c r="W198" s="55"/>
      <c r="X198" s="277"/>
      <c r="Y198" s="92"/>
    </row>
  </sheetData>
  <autoFilter ref="A1:Y17"/>
  <mergeCells count="38">
    <mergeCell ref="A47:A50"/>
    <mergeCell ref="A51:A54"/>
    <mergeCell ref="A23:A26"/>
    <mergeCell ref="A27:A30"/>
    <mergeCell ref="A31:A34"/>
    <mergeCell ref="A35:A38"/>
    <mergeCell ref="A39:A42"/>
    <mergeCell ref="A43:A46"/>
    <mergeCell ref="Y1:Y2"/>
    <mergeCell ref="A3:A6"/>
    <mergeCell ref="A7:A10"/>
    <mergeCell ref="A11:A14"/>
    <mergeCell ref="A15:A18"/>
    <mergeCell ref="W1:W2"/>
    <mergeCell ref="X1:X2"/>
    <mergeCell ref="L1:L2"/>
    <mergeCell ref="A1:A2"/>
    <mergeCell ref="B1:B2"/>
    <mergeCell ref="C1:C2"/>
    <mergeCell ref="D1:D2"/>
    <mergeCell ref="E1:E2"/>
    <mergeCell ref="F1:F2"/>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s>
  <conditionalFormatting sqref="G3:J54">
    <cfRule type="containsText" dxfId="101" priority="56" operator="containsText" text="NO">
      <formula>NOT(ISERROR(SEARCH("NO",G3)))</formula>
    </cfRule>
  </conditionalFormatting>
  <conditionalFormatting sqref="X3">
    <cfRule type="containsText" dxfId="100" priority="55" operator="containsText" text="NO CUMPLE">
      <formula>NOT(ISERROR(SEARCH("NO CUMPLE",X3)))</formula>
    </cfRule>
  </conditionalFormatting>
  <conditionalFormatting sqref="X4">
    <cfRule type="containsText" dxfId="99" priority="54" operator="containsText" text="NO CUMPLE">
      <formula>NOT(ISERROR(SEARCH("NO CUMPLE",X4)))</formula>
    </cfRule>
  </conditionalFormatting>
  <conditionalFormatting sqref="X5">
    <cfRule type="containsText" dxfId="98" priority="53" operator="containsText" text="NO CUMPLE">
      <formula>NOT(ISERROR(SEARCH("NO CUMPLE",X5)))</formula>
    </cfRule>
  </conditionalFormatting>
  <conditionalFormatting sqref="X6">
    <cfRule type="containsText" dxfId="97" priority="52" operator="containsText" text="NO CUMPLE">
      <formula>NOT(ISERROR(SEARCH("NO CUMPLE",X6)))</formula>
    </cfRule>
  </conditionalFormatting>
  <conditionalFormatting sqref="X10 X14 X18 X22 X26 X30 X34 X38 X42 X46 X50 X54">
    <cfRule type="containsText" dxfId="96" priority="51" operator="containsText" text="NO CUMPLE">
      <formula>NOT(ISERROR(SEARCH("NO CUMPLE",X10)))</formula>
    </cfRule>
  </conditionalFormatting>
  <conditionalFormatting sqref="X8:X9 X12:X13 X16:X17 X20:X21 X24:X25 X28:X29 X32:X33 X36:X37 X40:X41 X44:X45 X48:X49 X52:X53">
    <cfRule type="containsText" dxfId="95" priority="50" operator="containsText" text="NO CUMPLE">
      <formula>NOT(ISERROR(SEARCH("NO CUMPLE",X8)))</formula>
    </cfRule>
  </conditionalFormatting>
  <conditionalFormatting sqref="X7 X11 X15 X19 X23 X27 X31 X35 X39 X43 X47 X51">
    <cfRule type="containsText" dxfId="94" priority="49" operator="containsText" text="NO CUMPLE">
      <formula>NOT(ISERROR(SEARCH("NO CUMPLE",X7)))</formula>
    </cfRule>
  </conditionalFormatting>
  <conditionalFormatting sqref="X7">
    <cfRule type="containsText" dxfId="93" priority="48" operator="containsText" text="NO CUMPLE">
      <formula>NOT(ISERROR(SEARCH("NO CUMPLE",X7)))</formula>
    </cfRule>
  </conditionalFormatting>
  <conditionalFormatting sqref="X8">
    <cfRule type="containsText" dxfId="92" priority="47" operator="containsText" text="NO CUMPLE">
      <formula>NOT(ISERROR(SEARCH("NO CUMPLE",X8)))</formula>
    </cfRule>
  </conditionalFormatting>
  <conditionalFormatting sqref="X9">
    <cfRule type="containsText" dxfId="91" priority="46" operator="containsText" text="NO CUMPLE">
      <formula>NOT(ISERROR(SEARCH("NO CUMPLE",X9)))</formula>
    </cfRule>
  </conditionalFormatting>
  <conditionalFormatting sqref="X10">
    <cfRule type="containsText" dxfId="90" priority="45" operator="containsText" text="NO CUMPLE">
      <formula>NOT(ISERROR(SEARCH("NO CUMPLE",X10)))</formula>
    </cfRule>
  </conditionalFormatting>
  <conditionalFormatting sqref="X11">
    <cfRule type="containsText" dxfId="89" priority="44" operator="containsText" text="NO CUMPLE">
      <formula>NOT(ISERROR(SEARCH("NO CUMPLE",X11)))</formula>
    </cfRule>
  </conditionalFormatting>
  <conditionalFormatting sqref="X12">
    <cfRule type="containsText" dxfId="88" priority="43" operator="containsText" text="NO CUMPLE">
      <formula>NOT(ISERROR(SEARCH("NO CUMPLE",X12)))</formula>
    </cfRule>
  </conditionalFormatting>
  <conditionalFormatting sqref="X13">
    <cfRule type="containsText" dxfId="87" priority="42" operator="containsText" text="NO CUMPLE">
      <formula>NOT(ISERROR(SEARCH("NO CUMPLE",X13)))</formula>
    </cfRule>
  </conditionalFormatting>
  <conditionalFormatting sqref="X14">
    <cfRule type="containsText" dxfId="86" priority="41" operator="containsText" text="NO CUMPLE">
      <formula>NOT(ISERROR(SEARCH("NO CUMPLE",X14)))</formula>
    </cfRule>
  </conditionalFormatting>
  <conditionalFormatting sqref="X15">
    <cfRule type="containsText" dxfId="85" priority="40" operator="containsText" text="NO CUMPLE">
      <formula>NOT(ISERROR(SEARCH("NO CUMPLE",X15)))</formula>
    </cfRule>
  </conditionalFormatting>
  <conditionalFormatting sqref="X16">
    <cfRule type="containsText" dxfId="84" priority="39" operator="containsText" text="NO CUMPLE">
      <formula>NOT(ISERROR(SEARCH("NO CUMPLE",X16)))</formula>
    </cfRule>
  </conditionalFormatting>
  <conditionalFormatting sqref="X17">
    <cfRule type="containsText" dxfId="83" priority="38" operator="containsText" text="NO CUMPLE">
      <formula>NOT(ISERROR(SEARCH("NO CUMPLE",X17)))</formula>
    </cfRule>
  </conditionalFormatting>
  <conditionalFormatting sqref="X18">
    <cfRule type="containsText" dxfId="82" priority="37" operator="containsText" text="NO CUMPLE">
      <formula>NOT(ISERROR(SEARCH("NO CUMPLE",X18)))</formula>
    </cfRule>
  </conditionalFormatting>
  <conditionalFormatting sqref="X7">
    <cfRule type="containsText" dxfId="81" priority="36" operator="containsText" text="NO CUMPLE">
      <formula>NOT(ISERROR(SEARCH("NO CUMPLE",X7)))</formula>
    </cfRule>
  </conditionalFormatting>
  <conditionalFormatting sqref="X8">
    <cfRule type="containsText" dxfId="80" priority="35" operator="containsText" text="NO CUMPLE">
      <formula>NOT(ISERROR(SEARCH("NO CUMPLE",X8)))</formula>
    </cfRule>
  </conditionalFormatting>
  <conditionalFormatting sqref="X9">
    <cfRule type="containsText" dxfId="79" priority="34" operator="containsText" text="NO CUMPLE">
      <formula>NOT(ISERROR(SEARCH("NO CUMPLE",X9)))</formula>
    </cfRule>
  </conditionalFormatting>
  <conditionalFormatting sqref="X10">
    <cfRule type="containsText" dxfId="78" priority="33" operator="containsText" text="NO CUMPLE">
      <formula>NOT(ISERROR(SEARCH("NO CUMPLE",X10)))</formula>
    </cfRule>
  </conditionalFormatting>
  <conditionalFormatting sqref="X11">
    <cfRule type="containsText" dxfId="77" priority="32" operator="containsText" text="NO CUMPLE">
      <formula>NOT(ISERROR(SEARCH("NO CUMPLE",X11)))</formula>
    </cfRule>
  </conditionalFormatting>
  <conditionalFormatting sqref="X12">
    <cfRule type="containsText" dxfId="76" priority="31" operator="containsText" text="NO CUMPLE">
      <formula>NOT(ISERROR(SEARCH("NO CUMPLE",X12)))</formula>
    </cfRule>
  </conditionalFormatting>
  <conditionalFormatting sqref="X13">
    <cfRule type="containsText" dxfId="75" priority="30" operator="containsText" text="NO CUMPLE">
      <formula>NOT(ISERROR(SEARCH("NO CUMPLE",X13)))</formula>
    </cfRule>
  </conditionalFormatting>
  <conditionalFormatting sqref="X14">
    <cfRule type="containsText" dxfId="74" priority="29" operator="containsText" text="NO CUMPLE">
      <formula>NOT(ISERROR(SEARCH("NO CUMPLE",X14)))</formula>
    </cfRule>
  </conditionalFormatting>
  <conditionalFormatting sqref="X15">
    <cfRule type="containsText" dxfId="73" priority="28" operator="containsText" text="NO CUMPLE">
      <formula>NOT(ISERROR(SEARCH("NO CUMPLE",X15)))</formula>
    </cfRule>
  </conditionalFormatting>
  <conditionalFormatting sqref="X16">
    <cfRule type="containsText" dxfId="72" priority="27" operator="containsText" text="NO CUMPLE">
      <formula>NOT(ISERROR(SEARCH("NO CUMPLE",X16)))</formula>
    </cfRule>
  </conditionalFormatting>
  <conditionalFormatting sqref="X17">
    <cfRule type="containsText" dxfId="71" priority="26" operator="containsText" text="NO CUMPLE">
      <formula>NOT(ISERROR(SEARCH("NO CUMPLE",X17)))</formula>
    </cfRule>
  </conditionalFormatting>
  <conditionalFormatting sqref="X18">
    <cfRule type="containsText" dxfId="70" priority="25" operator="containsText" text="NO CUMPLE">
      <formula>NOT(ISERROR(SEARCH("NO CUMPLE",X18)))</formula>
    </cfRule>
  </conditionalFormatting>
  <conditionalFormatting sqref="X19">
    <cfRule type="containsText" dxfId="69" priority="24" operator="containsText" text="NO CUMPLE">
      <formula>NOT(ISERROR(SEARCH("NO CUMPLE",X19)))</formula>
    </cfRule>
  </conditionalFormatting>
  <conditionalFormatting sqref="X20">
    <cfRule type="containsText" dxfId="68" priority="23" operator="containsText" text="NO CUMPLE">
      <formula>NOT(ISERROR(SEARCH("NO CUMPLE",X20)))</formula>
    </cfRule>
  </conditionalFormatting>
  <conditionalFormatting sqref="X21">
    <cfRule type="containsText" dxfId="67" priority="22" operator="containsText" text="NO CUMPLE">
      <formula>NOT(ISERROR(SEARCH("NO CUMPLE",X21)))</formula>
    </cfRule>
  </conditionalFormatting>
  <conditionalFormatting sqref="X22">
    <cfRule type="containsText" dxfId="66" priority="21" operator="containsText" text="NO CUMPLE">
      <formula>NOT(ISERROR(SEARCH("NO CUMPLE",X22)))</formula>
    </cfRule>
  </conditionalFormatting>
  <conditionalFormatting sqref="X23">
    <cfRule type="containsText" dxfId="65" priority="20" operator="containsText" text="NO CUMPLE">
      <formula>NOT(ISERROR(SEARCH("NO CUMPLE",X23)))</formula>
    </cfRule>
  </conditionalFormatting>
  <conditionalFormatting sqref="X24">
    <cfRule type="containsText" dxfId="64" priority="19" operator="containsText" text="NO CUMPLE">
      <formula>NOT(ISERROR(SEARCH("NO CUMPLE",X24)))</formula>
    </cfRule>
  </conditionalFormatting>
  <conditionalFormatting sqref="X25">
    <cfRule type="containsText" dxfId="63" priority="18" operator="containsText" text="NO CUMPLE">
      <formula>NOT(ISERROR(SEARCH("NO CUMPLE",X25)))</formula>
    </cfRule>
  </conditionalFormatting>
  <conditionalFormatting sqref="X26">
    <cfRule type="containsText" dxfId="62" priority="17" operator="containsText" text="NO CUMPLE">
      <formula>NOT(ISERROR(SEARCH("NO CUMPLE",X26)))</formula>
    </cfRule>
  </conditionalFormatting>
  <conditionalFormatting sqref="X23">
    <cfRule type="containsText" dxfId="61" priority="16" operator="containsText" text="NO CUMPLE">
      <formula>NOT(ISERROR(SEARCH("NO CUMPLE",X23)))</formula>
    </cfRule>
  </conditionalFormatting>
  <conditionalFormatting sqref="X24">
    <cfRule type="containsText" dxfId="60" priority="15" operator="containsText" text="NO CUMPLE">
      <formula>NOT(ISERROR(SEARCH("NO CUMPLE",X24)))</formula>
    </cfRule>
  </conditionalFormatting>
  <conditionalFormatting sqref="X25">
    <cfRule type="containsText" dxfId="59" priority="14" operator="containsText" text="NO CUMPLE">
      <formula>NOT(ISERROR(SEARCH("NO CUMPLE",X25)))</formula>
    </cfRule>
  </conditionalFormatting>
  <conditionalFormatting sqref="X26">
    <cfRule type="containsText" dxfId="58" priority="13" operator="containsText" text="NO CUMPLE">
      <formula>NOT(ISERROR(SEARCH("NO CUMPLE",X26)))</formula>
    </cfRule>
  </conditionalFormatting>
  <conditionalFormatting sqref="X27">
    <cfRule type="containsText" dxfId="57" priority="12" operator="containsText" text="NO CUMPLE">
      <formula>NOT(ISERROR(SEARCH("NO CUMPLE",X27)))</formula>
    </cfRule>
  </conditionalFormatting>
  <conditionalFormatting sqref="X28">
    <cfRule type="containsText" dxfId="56" priority="11" operator="containsText" text="NO CUMPLE">
      <formula>NOT(ISERROR(SEARCH("NO CUMPLE",X28)))</formula>
    </cfRule>
  </conditionalFormatting>
  <conditionalFormatting sqref="X29">
    <cfRule type="containsText" dxfId="55" priority="10" operator="containsText" text="NO CUMPLE">
      <formula>NOT(ISERROR(SEARCH("NO CUMPLE",X29)))</formula>
    </cfRule>
  </conditionalFormatting>
  <conditionalFormatting sqref="X30">
    <cfRule type="containsText" dxfId="54" priority="9" operator="containsText" text="NO CUMPLE">
      <formula>NOT(ISERROR(SEARCH("NO CUMPLE",X30)))</formula>
    </cfRule>
  </conditionalFormatting>
  <conditionalFormatting sqref="X27">
    <cfRule type="containsText" dxfId="53" priority="8" operator="containsText" text="NO CUMPLE">
      <formula>NOT(ISERROR(SEARCH("NO CUMPLE",X27)))</formula>
    </cfRule>
  </conditionalFormatting>
  <conditionalFormatting sqref="X28">
    <cfRule type="containsText" dxfId="52" priority="7" operator="containsText" text="NO CUMPLE">
      <formula>NOT(ISERROR(SEARCH("NO CUMPLE",X28)))</formula>
    </cfRule>
  </conditionalFormatting>
  <conditionalFormatting sqref="X29">
    <cfRule type="containsText" dxfId="51" priority="6" operator="containsText" text="NO CUMPLE">
      <formula>NOT(ISERROR(SEARCH("NO CUMPLE",X29)))</formula>
    </cfRule>
  </conditionalFormatting>
  <conditionalFormatting sqref="X30">
    <cfRule type="containsText" dxfId="50" priority="5" operator="containsText" text="NO CUMPLE">
      <formula>NOT(ISERROR(SEARCH("NO CUMPLE",X30)))</formula>
    </cfRule>
  </conditionalFormatting>
  <conditionalFormatting sqref="X31">
    <cfRule type="containsText" dxfId="49" priority="4" operator="containsText" text="NO CUMPLE">
      <formula>NOT(ISERROR(SEARCH("NO CUMPLE",X31)))</formula>
    </cfRule>
  </conditionalFormatting>
  <conditionalFormatting sqref="X32">
    <cfRule type="containsText" dxfId="48" priority="3" operator="containsText" text="NO CUMPLE">
      <formula>NOT(ISERROR(SEARCH("NO CUMPLE",X32)))</formula>
    </cfRule>
  </conditionalFormatting>
  <conditionalFormatting sqref="X33">
    <cfRule type="containsText" dxfId="47" priority="2" operator="containsText" text="NO CUMPLE">
      <formula>NOT(ISERROR(SEARCH("NO CUMPLE",X33)))</formula>
    </cfRule>
  </conditionalFormatting>
  <conditionalFormatting sqref="X34">
    <cfRule type="containsText" dxfId="46" priority="1" operator="containsText" text="NO CUMPLE">
      <formula>NOT(ISERROR(SEARCH("NO CUMPLE",X34)))</formula>
    </cfRule>
  </conditionalFormatting>
  <dataValidations count="1">
    <dataValidation type="list" allowBlank="1" showInputMessage="1" showErrorMessage="1" sqref="G3:J54">
      <formula1>$AA$1:$AB$1</formula1>
    </dataValidation>
  </dataValidations>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217"/>
  <sheetViews>
    <sheetView zoomScaleNormal="100" zoomScalePageLayoutView="75" workbookViewId="0">
      <pane xSplit="1" ySplit="2" topLeftCell="X34" activePane="bottomRight" state="frozen"/>
      <selection activeCell="F10" sqref="F10"/>
      <selection pane="topRight" activeCell="F10" sqref="F10"/>
      <selection pane="bottomLeft" activeCell="F10" sqref="F10"/>
      <selection pane="bottomRight" activeCell="AI37" sqref="AI37"/>
    </sheetView>
  </sheetViews>
  <sheetFormatPr baseColWidth="10" defaultColWidth="10.875" defaultRowHeight="14.2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12.5" style="101" customWidth="1"/>
    <col min="9" max="9" width="13.625" style="102" customWidth="1"/>
    <col min="10" max="10" width="10.625" style="103" customWidth="1"/>
    <col min="11" max="11" width="11" style="104" customWidth="1"/>
    <col min="12" max="12" width="11" style="105" customWidth="1"/>
    <col min="13" max="13" width="11" style="68" customWidth="1"/>
    <col min="14" max="14" width="21.125" style="295" customWidth="1"/>
    <col min="15" max="15" width="8.75" style="106" customWidth="1"/>
    <col min="16" max="16" width="9.5" style="68" bestFit="1" customWidth="1"/>
    <col min="17" max="17" width="12.5" style="68" customWidth="1"/>
    <col min="18" max="18" width="15.125" style="68" bestFit="1" customWidth="1"/>
    <col min="19"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107" bestFit="1" customWidth="1"/>
    <col min="30" max="30" width="7.375" style="107" bestFit="1" customWidth="1"/>
    <col min="31" max="31" width="6.375" style="107" customWidth="1"/>
    <col min="32" max="35" width="19.5" style="58" customWidth="1"/>
    <col min="36" max="36" width="59.125" style="92" customWidth="1"/>
    <col min="37" max="39" width="10.875" style="99"/>
    <col min="40" max="41" width="15.125" style="99" bestFit="1" customWidth="1"/>
    <col min="42" max="16384" width="10.875" style="99"/>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845" t="s">
        <v>17</v>
      </c>
      <c r="O1" s="776" t="s">
        <v>18</v>
      </c>
      <c r="P1" s="780" t="s">
        <v>19</v>
      </c>
      <c r="Q1" s="780" t="s">
        <v>20</v>
      </c>
      <c r="R1" s="780" t="s">
        <v>21</v>
      </c>
      <c r="S1" s="778" t="s">
        <v>22</v>
      </c>
      <c r="T1" s="778" t="s">
        <v>23</v>
      </c>
      <c r="U1" s="778" t="s">
        <v>482</v>
      </c>
      <c r="V1" s="776" t="s">
        <v>62</v>
      </c>
      <c r="W1" s="776" t="s">
        <v>28</v>
      </c>
      <c r="X1" s="776"/>
      <c r="Y1" s="776"/>
      <c r="Z1" s="776" t="s">
        <v>29</v>
      </c>
      <c r="AA1" s="776"/>
      <c r="AB1" s="776"/>
      <c r="AC1" s="776" t="s">
        <v>30</v>
      </c>
      <c r="AD1" s="776"/>
      <c r="AE1" s="776"/>
      <c r="AF1" s="780" t="s">
        <v>31</v>
      </c>
      <c r="AG1" s="778" t="s">
        <v>339</v>
      </c>
      <c r="AH1" s="779" t="s">
        <v>175</v>
      </c>
      <c r="AI1" s="778" t="s">
        <v>736</v>
      </c>
      <c r="AJ1" s="776" t="s">
        <v>3</v>
      </c>
      <c r="AL1" s="57" t="s">
        <v>10</v>
      </c>
      <c r="AM1" s="57" t="s">
        <v>11</v>
      </c>
    </row>
    <row r="2" spans="1:39" s="56" customFormat="1" ht="76.5" customHeight="1" thickBot="1">
      <c r="A2" s="777"/>
      <c r="B2" s="777"/>
      <c r="C2" s="777"/>
      <c r="D2" s="779"/>
      <c r="E2" s="777"/>
      <c r="F2" s="777"/>
      <c r="G2" s="781"/>
      <c r="H2" s="781"/>
      <c r="I2" s="783"/>
      <c r="J2" s="785"/>
      <c r="K2" s="785"/>
      <c r="L2" s="787"/>
      <c r="M2" s="779"/>
      <c r="N2" s="846"/>
      <c r="O2" s="777"/>
      <c r="P2" s="781"/>
      <c r="Q2" s="781"/>
      <c r="R2" s="781"/>
      <c r="S2" s="779"/>
      <c r="T2" s="779"/>
      <c r="U2" s="779"/>
      <c r="V2" s="777"/>
      <c r="W2" s="281" t="s">
        <v>32</v>
      </c>
      <c r="X2" s="281" t="s">
        <v>33</v>
      </c>
      <c r="Y2" s="281" t="s">
        <v>34</v>
      </c>
      <c r="Z2" s="281" t="s">
        <v>35</v>
      </c>
      <c r="AA2" s="281" t="s">
        <v>33</v>
      </c>
      <c r="AB2" s="281" t="s">
        <v>36</v>
      </c>
      <c r="AC2" s="281" t="s">
        <v>35</v>
      </c>
      <c r="AD2" s="281" t="s">
        <v>33</v>
      </c>
      <c r="AE2" s="281" t="s">
        <v>37</v>
      </c>
      <c r="AF2" s="781"/>
      <c r="AG2" s="779"/>
      <c r="AH2" s="844"/>
      <c r="AI2" s="779"/>
      <c r="AJ2" s="777"/>
    </row>
    <row r="3" spans="1:39" s="72" customFormat="1" ht="142.5">
      <c r="A3" s="795" t="s">
        <v>279</v>
      </c>
      <c r="B3" s="123" t="s">
        <v>145</v>
      </c>
      <c r="C3" s="343">
        <v>101</v>
      </c>
      <c r="D3" s="303" t="str">
        <f>+IFERROR(INDEX([6]CONSOLIDADO!$D$4:$D$91,MATCH('EXP GEN. 27-33'!B3,[6]CONSOLIDADO!$C$4:$C$91,0)),"")</f>
        <v>INTERPRO SAS</v>
      </c>
      <c r="E3" s="126" t="s">
        <v>478</v>
      </c>
      <c r="F3" s="127" t="s">
        <v>481</v>
      </c>
      <c r="G3" s="279" t="s">
        <v>10</v>
      </c>
      <c r="H3" s="279" t="s">
        <v>10</v>
      </c>
      <c r="I3" s="128">
        <v>0.5</v>
      </c>
      <c r="J3" s="129">
        <v>39004</v>
      </c>
      <c r="K3" s="129">
        <v>39667</v>
      </c>
      <c r="L3" s="130">
        <f t="shared" ref="L3:L34" si="0">IF(K3="","",YEAR(K3))</f>
        <v>2008</v>
      </c>
      <c r="M3" s="131">
        <f>+IFERROR(INDEX([6]PARÁMETROS!$B$11:$B$37,MATCH(L3,[6]PARÁMETROS!$A$11:$A$37,0)),"")</f>
        <v>461500</v>
      </c>
      <c r="N3" s="305">
        <v>3848051306</v>
      </c>
      <c r="O3" s="133" t="s">
        <v>25</v>
      </c>
      <c r="P3" s="123" t="s">
        <v>346</v>
      </c>
      <c r="Q3" s="134" t="s">
        <v>346</v>
      </c>
      <c r="R3" s="135">
        <v>1</v>
      </c>
      <c r="S3" s="131">
        <f>IF(R3&lt;&gt;"",N3*R3,"")</f>
        <v>3848051306</v>
      </c>
      <c r="T3" s="136">
        <f t="shared" ref="T3:T34" si="1">+IFERROR(S3/M3,"")</f>
        <v>8338.13934127844</v>
      </c>
      <c r="U3" s="136">
        <f t="shared" ref="U3:U34" si="2">IFERROR(T3*I3,"")</f>
        <v>4169.06967063922</v>
      </c>
      <c r="V3" s="137">
        <v>21</v>
      </c>
      <c r="W3" s="798" t="s">
        <v>11</v>
      </c>
      <c r="X3" s="798"/>
      <c r="Y3" s="798"/>
      <c r="Z3" s="798" t="s">
        <v>11</v>
      </c>
      <c r="AA3" s="798"/>
      <c r="AB3" s="798"/>
      <c r="AC3" s="798" t="s">
        <v>10</v>
      </c>
      <c r="AD3" s="798"/>
      <c r="AE3" s="798"/>
      <c r="AF3" s="279" t="s">
        <v>10</v>
      </c>
      <c r="AG3" s="798" t="str">
        <f>IF(U3="","",IF(SUM(U3:U8)&gt;=[6]PARÁMETROS!$D$5,"HÁBIL","NO HÁBIL"))</f>
        <v>HÁBIL</v>
      </c>
      <c r="AH3" s="798" t="str">
        <f>IF(U3="","",IF(U3+U4+U5&gt;=[6]PARÁMETROS!$H$5,"HÁBIL","NO HÁBIL"))</f>
        <v>HÁBIL</v>
      </c>
      <c r="AI3" s="168" t="str">
        <f>+IF(U3="","",IF(U3&gt;=[6]PARÁMETROS!$F$5,"CUMPLE","NO CUMPLE"))</f>
        <v>CUMPLE</v>
      </c>
      <c r="AJ3" s="138"/>
      <c r="AK3" s="109"/>
    </row>
    <row r="4" spans="1:39" s="72" customFormat="1" ht="57">
      <c r="A4" s="796"/>
      <c r="B4" s="58" t="s">
        <v>145</v>
      </c>
      <c r="C4" s="342">
        <v>108</v>
      </c>
      <c r="D4" s="299" t="str">
        <f>+IFERROR(INDEX([6]CONSOLIDADO!$D$4:$D$91,MATCH('EXP GEN. 27-33'!B4,[6]CONSOLIDADO!$C$4:$C$91,0)),"")</f>
        <v>INTERPRO SAS</v>
      </c>
      <c r="E4" s="61" t="s">
        <v>480</v>
      </c>
      <c r="F4" s="61" t="s">
        <v>479</v>
      </c>
      <c r="G4" s="277" t="s">
        <v>10</v>
      </c>
      <c r="H4" s="277" t="s">
        <v>10</v>
      </c>
      <c r="I4" s="73">
        <v>0.33</v>
      </c>
      <c r="J4" s="64">
        <v>40368</v>
      </c>
      <c r="K4" s="64">
        <v>42094</v>
      </c>
      <c r="L4" s="65">
        <f t="shared" si="0"/>
        <v>2015</v>
      </c>
      <c r="M4" s="66">
        <f>+IFERROR(INDEX([6]PARÁMETROS!$B$11:$B$37,MATCH(L4,[6]PARÁMETROS!$A$11:$A$37,0)),"")</f>
        <v>644350</v>
      </c>
      <c r="N4" s="298">
        <v>10689723675</v>
      </c>
      <c r="O4" s="66" t="s">
        <v>25</v>
      </c>
      <c r="P4" s="58" t="s">
        <v>346</v>
      </c>
      <c r="Q4" s="69" t="s">
        <v>346</v>
      </c>
      <c r="R4" s="70">
        <v>1</v>
      </c>
      <c r="S4" s="66">
        <f>IF(R4&lt;&gt;"",N4*R4,"")</f>
        <v>10689723675</v>
      </c>
      <c r="T4" s="55">
        <f t="shared" si="1"/>
        <v>16589.933537673624</v>
      </c>
      <c r="U4" s="55">
        <f t="shared" si="2"/>
        <v>5474.6780674322963</v>
      </c>
      <c r="V4" s="71">
        <v>108</v>
      </c>
      <c r="W4" s="799" t="s">
        <v>11</v>
      </c>
      <c r="X4" s="799"/>
      <c r="Y4" s="799"/>
      <c r="Z4" s="799" t="s">
        <v>10</v>
      </c>
      <c r="AA4" s="799"/>
      <c r="AB4" s="799"/>
      <c r="AC4" s="799" t="s">
        <v>10</v>
      </c>
      <c r="AD4" s="799"/>
      <c r="AE4" s="799"/>
      <c r="AF4" s="277" t="s">
        <v>10</v>
      </c>
      <c r="AG4" s="799"/>
      <c r="AH4" s="799"/>
      <c r="AI4" s="277" t="str">
        <f>+IF(U4="","",IF(U4&gt;=[6]PARÁMETROS!$F$5,"CUMPLE","NO CUMPLE"))</f>
        <v>CUMPLE</v>
      </c>
      <c r="AJ4" s="139"/>
      <c r="AK4" s="109"/>
    </row>
    <row r="5" spans="1:39" s="72" customFormat="1" ht="128.25">
      <c r="A5" s="796"/>
      <c r="B5" s="58" t="s">
        <v>145</v>
      </c>
      <c r="C5" s="342">
        <v>115</v>
      </c>
      <c r="D5" s="299" t="str">
        <f>+IFERROR(INDEX([6]CONSOLIDADO!$D$4:$D$91,MATCH('EXP GEN. 27-33'!B5,[6]CONSOLIDADO!$C$4:$C$91,0)),"")</f>
        <v>INTERPRO SAS</v>
      </c>
      <c r="E5" s="61" t="s">
        <v>478</v>
      </c>
      <c r="F5" s="62" t="s">
        <v>477</v>
      </c>
      <c r="G5" s="277" t="s">
        <v>10</v>
      </c>
      <c r="H5" s="277" t="s">
        <v>10</v>
      </c>
      <c r="I5" s="63">
        <v>0.5</v>
      </c>
      <c r="J5" s="64">
        <v>38754</v>
      </c>
      <c r="K5" s="64">
        <v>39682</v>
      </c>
      <c r="L5" s="65">
        <f t="shared" si="0"/>
        <v>2008</v>
      </c>
      <c r="M5" s="66">
        <f>+IFERROR(INDEX([6]PARÁMETROS!$B$11:$B$37,MATCH(L5,[6]PARÁMETROS!$A$11:$A$37,0)),"")</f>
        <v>461500</v>
      </c>
      <c r="N5" s="304">
        <v>3406916680</v>
      </c>
      <c r="O5" s="68" t="s">
        <v>25</v>
      </c>
      <c r="P5" s="58" t="s">
        <v>346</v>
      </c>
      <c r="Q5" s="69" t="s">
        <v>346</v>
      </c>
      <c r="R5" s="70">
        <v>1</v>
      </c>
      <c r="S5" s="66">
        <f>IF(R5&lt;&gt;"",N5*R5,"")</f>
        <v>3406916680</v>
      </c>
      <c r="T5" s="55">
        <f t="shared" si="1"/>
        <v>7382.267995666306</v>
      </c>
      <c r="U5" s="55">
        <f t="shared" si="2"/>
        <v>3691.133997833153</v>
      </c>
      <c r="V5" s="71">
        <v>17</v>
      </c>
      <c r="W5" s="799" t="s">
        <v>11</v>
      </c>
      <c r="X5" s="799"/>
      <c r="Y5" s="799"/>
      <c r="Z5" s="799" t="s">
        <v>11</v>
      </c>
      <c r="AA5" s="799"/>
      <c r="AB5" s="799"/>
      <c r="AC5" s="799" t="s">
        <v>10</v>
      </c>
      <c r="AD5" s="799"/>
      <c r="AE5" s="799"/>
      <c r="AF5" s="277" t="s">
        <v>10</v>
      </c>
      <c r="AG5" s="799"/>
      <c r="AH5" s="799"/>
      <c r="AI5" s="277" t="str">
        <f>+IF(U5="","",IF(U5&gt;=[6]PARÁMETROS!$F$5,"CUMPLE","NO CUMPLE"))</f>
        <v>CUMPLE</v>
      </c>
      <c r="AJ5" s="140"/>
      <c r="AK5" s="109"/>
    </row>
    <row r="6" spans="1:39" s="72" customFormat="1" ht="71.25">
      <c r="A6" s="796"/>
      <c r="B6" s="58" t="s">
        <v>146</v>
      </c>
      <c r="C6" s="342">
        <v>121</v>
      </c>
      <c r="D6" s="299" t="str">
        <f>+IFERROR(INDEX([6]CONSOLIDADO!$D$4:$D$91,MATCH('EXP GEN. 27-33'!B6,[6]CONSOLIDADO!$C$4:$C$91,0)),"")</f>
        <v>BAC ENGINEERING CONSULTANCY GROUP S.A.S.</v>
      </c>
      <c r="E6" s="61" t="s">
        <v>476</v>
      </c>
      <c r="F6" s="62" t="s">
        <v>475</v>
      </c>
      <c r="G6" s="277" t="s">
        <v>10</v>
      </c>
      <c r="H6" s="277" t="s">
        <v>10</v>
      </c>
      <c r="I6" s="63">
        <v>0.5</v>
      </c>
      <c r="J6" s="64">
        <v>39405</v>
      </c>
      <c r="K6" s="64">
        <v>40268</v>
      </c>
      <c r="L6" s="65">
        <f t="shared" si="0"/>
        <v>2010</v>
      </c>
      <c r="M6" s="66">
        <f>+IFERROR(INDEX([6]PARÁMETROS!$B$11:$B$37,MATCH(L6,[6]PARÁMETROS!$A$11:$A$37,0)),"")</f>
        <v>515000</v>
      </c>
      <c r="N6" s="304">
        <f>1300041+321436+268981</f>
        <v>1890458</v>
      </c>
      <c r="O6" s="68" t="s">
        <v>419</v>
      </c>
      <c r="P6" s="58">
        <v>1.3452999999999999</v>
      </c>
      <c r="Q6" s="69">
        <f>+P6*N6</f>
        <v>2543233.1473999997</v>
      </c>
      <c r="R6" s="70">
        <v>1928.59</v>
      </c>
      <c r="S6" s="66">
        <f>IF(R6&lt;&gt;"",Q6*R6,"")</f>
        <v>4904854015.7441654</v>
      </c>
      <c r="T6" s="55">
        <f t="shared" si="1"/>
        <v>9523.9883800857588</v>
      </c>
      <c r="U6" s="55">
        <f t="shared" si="2"/>
        <v>4761.9941900428794</v>
      </c>
      <c r="V6" s="71">
        <v>22</v>
      </c>
      <c r="W6" s="803" t="s">
        <v>10</v>
      </c>
      <c r="X6" s="804"/>
      <c r="Y6" s="805"/>
      <c r="Z6" s="803" t="s">
        <v>10</v>
      </c>
      <c r="AA6" s="804"/>
      <c r="AB6" s="805"/>
      <c r="AC6" s="803" t="s">
        <v>10</v>
      </c>
      <c r="AD6" s="804"/>
      <c r="AE6" s="805"/>
      <c r="AF6" s="277" t="s">
        <v>10</v>
      </c>
      <c r="AG6" s="799"/>
      <c r="AH6" s="799"/>
      <c r="AI6" s="277" t="str">
        <f>+IF(U6="","",IF(U6&gt;=[6]PARÁMETROS!$F$5,"CUMPLE","NO CUMPLE"))</f>
        <v>CUMPLE</v>
      </c>
      <c r="AJ6" s="140"/>
      <c r="AK6" s="109"/>
    </row>
    <row r="7" spans="1:39" s="72" customFormat="1" ht="71.25">
      <c r="A7" s="796"/>
      <c r="B7" s="58" t="s">
        <v>146</v>
      </c>
      <c r="C7" s="342">
        <v>126</v>
      </c>
      <c r="D7" s="299" t="str">
        <f>+IFERROR(INDEX([6]CONSOLIDADO!$D$4:$D$91,MATCH('EXP GEN. 27-33'!B7,[6]CONSOLIDADO!$C$4:$C$91,0)),"")</f>
        <v>BAC ENGINEERING CONSULTANCY GROUP S.A.S.</v>
      </c>
      <c r="E7" s="61" t="s">
        <v>474</v>
      </c>
      <c r="F7" s="62" t="s">
        <v>473</v>
      </c>
      <c r="G7" s="277" t="s">
        <v>10</v>
      </c>
      <c r="H7" s="277" t="s">
        <v>10</v>
      </c>
      <c r="I7" s="63">
        <v>0.7</v>
      </c>
      <c r="J7" s="64">
        <v>37951</v>
      </c>
      <c r="K7" s="64">
        <v>39568</v>
      </c>
      <c r="L7" s="65">
        <f t="shared" si="0"/>
        <v>2008</v>
      </c>
      <c r="M7" s="66">
        <f>+IFERROR(INDEX([6]PARÁMETROS!$B$11:$B$37,MATCH(L7,[6]PARÁMETROS!$A$11:$A$37,0)),"")</f>
        <v>461500</v>
      </c>
      <c r="N7" s="304">
        <v>2224756</v>
      </c>
      <c r="O7" s="68" t="s">
        <v>419</v>
      </c>
      <c r="P7" s="58">
        <v>1.5607500000000001</v>
      </c>
      <c r="Q7" s="69">
        <f>+P7*N7</f>
        <v>3472287.9270000001</v>
      </c>
      <c r="R7" s="70">
        <v>1780.21</v>
      </c>
      <c r="S7" s="66">
        <f>IF(R7&lt;&gt;"",Q7*R7,"")</f>
        <v>6181401690.5246706</v>
      </c>
      <c r="T7" s="55">
        <f t="shared" si="1"/>
        <v>13394.153175568084</v>
      </c>
      <c r="U7" s="55">
        <f t="shared" si="2"/>
        <v>9375.9072228976584</v>
      </c>
      <c r="V7" s="71">
        <v>23</v>
      </c>
      <c r="W7" s="799" t="s">
        <v>10</v>
      </c>
      <c r="X7" s="799"/>
      <c r="Y7" s="799"/>
      <c r="Z7" s="799" t="s">
        <v>10</v>
      </c>
      <c r="AA7" s="799"/>
      <c r="AB7" s="799"/>
      <c r="AC7" s="799" t="s">
        <v>10</v>
      </c>
      <c r="AD7" s="799"/>
      <c r="AE7" s="799"/>
      <c r="AF7" s="277" t="s">
        <v>10</v>
      </c>
      <c r="AG7" s="799"/>
      <c r="AH7" s="799"/>
      <c r="AI7" s="277" t="str">
        <f>+IF(U7="","",IF(U7&gt;=[6]PARÁMETROS!$F$5,"CUMPLE","NO CUMPLE"))</f>
        <v>CUMPLE</v>
      </c>
      <c r="AJ7" s="140"/>
      <c r="AK7" s="109"/>
    </row>
    <row r="8" spans="1:39" s="72" customFormat="1" ht="65.099999999999994" customHeight="1" thickBot="1">
      <c r="A8" s="806"/>
      <c r="B8" s="141" t="s">
        <v>146</v>
      </c>
      <c r="C8" s="142">
        <v>132</v>
      </c>
      <c r="D8" s="301" t="str">
        <f>+IFERROR(INDEX([6]CONSOLIDADO!$D$4:$D$91,MATCH('EXP GEN. 27-33'!B8,[6]CONSOLIDADO!$C$4:$C$91,0)),"")</f>
        <v>BAC ENGINEERING CONSULTANCY GROUP S.A.S.</v>
      </c>
      <c r="E8" s="144" t="s">
        <v>472</v>
      </c>
      <c r="F8" s="145" t="s">
        <v>471</v>
      </c>
      <c r="G8" s="278" t="s">
        <v>10</v>
      </c>
      <c r="H8" s="278" t="s">
        <v>10</v>
      </c>
      <c r="I8" s="146">
        <v>0.5</v>
      </c>
      <c r="J8" s="147">
        <v>39722</v>
      </c>
      <c r="K8" s="147">
        <v>41211</v>
      </c>
      <c r="L8" s="148">
        <f t="shared" si="0"/>
        <v>2012</v>
      </c>
      <c r="M8" s="149">
        <f>+IFERROR(INDEX([6]PARÁMETROS!$B$11:$B$37,MATCH(L8,[6]PARÁMETROS!$A$11:$A$37,0)),"")</f>
        <v>566700</v>
      </c>
      <c r="N8" s="341">
        <v>2738296</v>
      </c>
      <c r="O8" s="151" t="s">
        <v>419</v>
      </c>
      <c r="P8" s="141">
        <v>1.29355</v>
      </c>
      <c r="Q8" s="152">
        <f>+P8*N8</f>
        <v>3542122.7908000001</v>
      </c>
      <c r="R8" s="153">
        <v>1823.18</v>
      </c>
      <c r="S8" s="149">
        <f>IF(R8&lt;&gt;"",Q8*R8,"")</f>
        <v>6457927429.7307444</v>
      </c>
      <c r="T8" s="154">
        <f t="shared" si="1"/>
        <v>11395.672189396055</v>
      </c>
      <c r="U8" s="154">
        <f t="shared" si="2"/>
        <v>5697.8360946980274</v>
      </c>
      <c r="V8" s="340"/>
      <c r="W8" s="801"/>
      <c r="X8" s="801"/>
      <c r="Y8" s="801"/>
      <c r="Z8" s="801"/>
      <c r="AA8" s="801"/>
      <c r="AB8" s="801"/>
      <c r="AC8" s="801"/>
      <c r="AD8" s="801"/>
      <c r="AE8" s="801"/>
      <c r="AF8" s="278"/>
      <c r="AG8" s="801"/>
      <c r="AH8" s="801"/>
      <c r="AI8" s="280" t="str">
        <f>+IF(U8="","",IF(U8&gt;=[6]PARÁMETROS!$F$5,"CUMPLE","NO CUMPLE"))</f>
        <v>CUMPLE</v>
      </c>
      <c r="AJ8" s="155" t="s">
        <v>745</v>
      </c>
      <c r="AK8" s="109"/>
    </row>
    <row r="9" spans="1:39" s="72" customFormat="1" ht="57">
      <c r="A9" s="795" t="s">
        <v>282</v>
      </c>
      <c r="B9" s="110" t="s">
        <v>147</v>
      </c>
      <c r="C9" s="111">
        <v>243</v>
      </c>
      <c r="D9" s="316" t="str">
        <f>+IFERROR(INDEX([6]CONSOLIDADO!$D$4:$D$91,MATCH('EXP GEN. 27-33'!B9,[6]CONSOLIDADO!$C$4:$C$91,0)),"")</f>
        <v>CONCOL INGENIERIA SAS</v>
      </c>
      <c r="E9" s="309" t="s">
        <v>430</v>
      </c>
      <c r="F9" s="308" t="s">
        <v>470</v>
      </c>
      <c r="G9" s="280" t="s">
        <v>10</v>
      </c>
      <c r="H9" s="280" t="s">
        <v>10</v>
      </c>
      <c r="I9" s="327">
        <v>0.7</v>
      </c>
      <c r="J9" s="116">
        <v>39933</v>
      </c>
      <c r="K9" s="116">
        <v>41029</v>
      </c>
      <c r="L9" s="160">
        <f t="shared" si="0"/>
        <v>2012</v>
      </c>
      <c r="M9" s="117">
        <f>+IFERROR(INDEX([6]PARÁMETROS!$B$11:$B$37,MATCH(L9,[6]PARÁMETROS!$A$11:$A$37,0)),"")</f>
        <v>566700</v>
      </c>
      <c r="N9" s="313">
        <f>6196817512+1390157920+518272198+1127918102+175141200</f>
        <v>9408306932</v>
      </c>
      <c r="O9" s="119" t="s">
        <v>25</v>
      </c>
      <c r="P9" s="110" t="s">
        <v>346</v>
      </c>
      <c r="Q9" s="120" t="s">
        <v>346</v>
      </c>
      <c r="R9" s="121">
        <v>1</v>
      </c>
      <c r="S9" s="117">
        <f t="shared" ref="S9:S24" si="3">IF(R9&lt;&gt;"",N9*R9,"")</f>
        <v>9408306932</v>
      </c>
      <c r="T9" s="122">
        <f t="shared" si="1"/>
        <v>16601.918002470444</v>
      </c>
      <c r="U9" s="122">
        <f t="shared" si="2"/>
        <v>11621.34260172931</v>
      </c>
      <c r="V9" s="122" t="s">
        <v>469</v>
      </c>
      <c r="W9" s="798" t="s">
        <v>11</v>
      </c>
      <c r="X9" s="798"/>
      <c r="Y9" s="798"/>
      <c r="Z9" s="809" t="s">
        <v>11</v>
      </c>
      <c r="AA9" s="809"/>
      <c r="AB9" s="809"/>
      <c r="AC9" s="809" t="s">
        <v>10</v>
      </c>
      <c r="AD9" s="809"/>
      <c r="AE9" s="809"/>
      <c r="AF9" s="280" t="s">
        <v>10</v>
      </c>
      <c r="AG9" s="809" t="str">
        <f>IF(U9="","",IF(SUM(U9:U14)&gt;=[6]PARÁMETROS!$D$5,"HÁBIL","NO HÁBIL"))</f>
        <v>HÁBIL</v>
      </c>
      <c r="AH9" s="809" t="str">
        <f>IF(U9="","",IF(U9&gt;=[6]PARÁMETROS!$H$5,"HÁBIL","NO HÁBIL"))</f>
        <v>HÁBIL</v>
      </c>
      <c r="AI9" s="168" t="str">
        <f>+IF(U9="","",IF(U9&gt;=[6]PARÁMETROS!$F$5,"CUMPLE","NO CUMPLE"))</f>
        <v>CUMPLE</v>
      </c>
      <c r="AJ9" s="167"/>
      <c r="AK9" s="109"/>
    </row>
    <row r="10" spans="1:39" s="72" customFormat="1" ht="57">
      <c r="A10" s="796"/>
      <c r="B10" s="58" t="s">
        <v>147</v>
      </c>
      <c r="C10" s="75">
        <v>248</v>
      </c>
      <c r="D10" s="299" t="str">
        <f>+IFERROR(INDEX([6]CONSOLIDADO!$D$4:$D$91,MATCH('EXP GEN. 27-33'!B10,[6]CONSOLIDADO!$C$4:$C$91,0)),"")</f>
        <v>CONCOL INGENIERIA SAS</v>
      </c>
      <c r="E10" s="336" t="s">
        <v>460</v>
      </c>
      <c r="F10" s="335" t="s">
        <v>468</v>
      </c>
      <c r="G10" s="277" t="s">
        <v>10</v>
      </c>
      <c r="H10" s="277" t="s">
        <v>10</v>
      </c>
      <c r="I10" s="327">
        <v>0.5</v>
      </c>
      <c r="J10" s="64">
        <v>36333</v>
      </c>
      <c r="K10" s="64">
        <v>38915</v>
      </c>
      <c r="L10" s="65">
        <f t="shared" si="0"/>
        <v>2006</v>
      </c>
      <c r="M10" s="66">
        <f>+IFERROR(INDEX([6]PARÁMETROS!$B$11:$B$37,MATCH(L10,[6]PARÁMETROS!$A$11:$A$37,0)),"")</f>
        <v>408000</v>
      </c>
      <c r="N10" s="334">
        <v>19941780178.779999</v>
      </c>
      <c r="O10" s="68" t="s">
        <v>25</v>
      </c>
      <c r="P10" s="58" t="s">
        <v>346</v>
      </c>
      <c r="Q10" s="69" t="s">
        <v>346</v>
      </c>
      <c r="R10" s="70">
        <v>1</v>
      </c>
      <c r="S10" s="66">
        <f t="shared" si="3"/>
        <v>19941780178.779999</v>
      </c>
      <c r="T10" s="55">
        <f t="shared" si="1"/>
        <v>48876.912202892156</v>
      </c>
      <c r="U10" s="55">
        <f t="shared" si="2"/>
        <v>24438.456101446078</v>
      </c>
      <c r="V10" s="55" t="s">
        <v>467</v>
      </c>
      <c r="W10" s="799" t="s">
        <v>11</v>
      </c>
      <c r="X10" s="799"/>
      <c r="Y10" s="799"/>
      <c r="Z10" s="799" t="s">
        <v>11</v>
      </c>
      <c r="AA10" s="799"/>
      <c r="AB10" s="799"/>
      <c r="AC10" s="799" t="s">
        <v>10</v>
      </c>
      <c r="AD10" s="799"/>
      <c r="AE10" s="799"/>
      <c r="AF10" s="277" t="s">
        <v>10</v>
      </c>
      <c r="AG10" s="799"/>
      <c r="AH10" s="799"/>
      <c r="AI10" s="277" t="str">
        <f>+IF(U10="","",IF(U10&gt;=[6]PARÁMETROS!$F$5,"CUMPLE","NO CUMPLE"))</f>
        <v>CUMPLE</v>
      </c>
      <c r="AJ10" s="139"/>
      <c r="AK10" s="109"/>
    </row>
    <row r="11" spans="1:39" s="72" customFormat="1" ht="57">
      <c r="A11" s="796"/>
      <c r="B11" s="58" t="s">
        <v>147</v>
      </c>
      <c r="C11" s="75">
        <v>251</v>
      </c>
      <c r="D11" s="299" t="str">
        <f>+IFERROR(INDEX([6]CONSOLIDADO!$D$4:$D$91,MATCH('EXP GEN. 27-33'!B11,[6]CONSOLIDADO!$C$4:$C$91,0)),"")</f>
        <v>CONCOL INGENIERIA SAS</v>
      </c>
      <c r="E11" s="339" t="s">
        <v>466</v>
      </c>
      <c r="F11" s="335" t="s">
        <v>465</v>
      </c>
      <c r="G11" s="277" t="s">
        <v>10</v>
      </c>
      <c r="H11" s="277" t="s">
        <v>10</v>
      </c>
      <c r="I11" s="338">
        <v>1</v>
      </c>
      <c r="J11" s="64">
        <v>38888</v>
      </c>
      <c r="K11" s="64">
        <v>39641</v>
      </c>
      <c r="L11" s="65">
        <f t="shared" si="0"/>
        <v>2008</v>
      </c>
      <c r="M11" s="66">
        <f>+IFERROR(INDEX([6]PARÁMETROS!$B$11:$B$37,MATCH(L11,[6]PARÁMETROS!$A$11:$A$37,0)),"")</f>
        <v>461500</v>
      </c>
      <c r="N11" s="337">
        <v>10475917527</v>
      </c>
      <c r="O11" s="68" t="s">
        <v>25</v>
      </c>
      <c r="P11" s="58" t="s">
        <v>346</v>
      </c>
      <c r="Q11" s="69" t="s">
        <v>346</v>
      </c>
      <c r="R11" s="70">
        <v>1</v>
      </c>
      <c r="S11" s="66">
        <f t="shared" si="3"/>
        <v>10475917527</v>
      </c>
      <c r="T11" s="55">
        <f t="shared" si="1"/>
        <v>22699.712951245936</v>
      </c>
      <c r="U11" s="55">
        <f t="shared" si="2"/>
        <v>22699.712951245936</v>
      </c>
      <c r="V11" s="55" t="s">
        <v>464</v>
      </c>
      <c r="W11" s="799" t="s">
        <v>11</v>
      </c>
      <c r="X11" s="799"/>
      <c r="Y11" s="799"/>
      <c r="Z11" s="799" t="s">
        <v>11</v>
      </c>
      <c r="AA11" s="799"/>
      <c r="AB11" s="799"/>
      <c r="AC11" s="799" t="s">
        <v>10</v>
      </c>
      <c r="AD11" s="799"/>
      <c r="AE11" s="799"/>
      <c r="AF11" s="277" t="s">
        <v>10</v>
      </c>
      <c r="AG11" s="799"/>
      <c r="AH11" s="799"/>
      <c r="AI11" s="277" t="str">
        <f>+IF(U11="","",IF(U11&gt;=[6]PARÁMETROS!$F$5,"CUMPLE","NO CUMPLE"))</f>
        <v>CUMPLE</v>
      </c>
      <c r="AJ11" s="139"/>
      <c r="AK11" s="109"/>
    </row>
    <row r="12" spans="1:39" s="72" customFormat="1" ht="42.75">
      <c r="A12" s="796"/>
      <c r="B12" s="58" t="s">
        <v>147</v>
      </c>
      <c r="C12" s="75">
        <v>255</v>
      </c>
      <c r="D12" s="299" t="str">
        <f>+IFERROR(INDEX([6]CONSOLIDADO!$D$4:$D$91,MATCH('EXP GEN. 27-33'!B12,[6]CONSOLIDADO!$C$4:$C$91,0)),"")</f>
        <v>CONCOL INGENIERIA SAS</v>
      </c>
      <c r="E12" s="336" t="s">
        <v>463</v>
      </c>
      <c r="F12" s="335" t="s">
        <v>462</v>
      </c>
      <c r="G12" s="277" t="s">
        <v>10</v>
      </c>
      <c r="H12" s="277" t="s">
        <v>10</v>
      </c>
      <c r="I12" s="327">
        <v>0.45</v>
      </c>
      <c r="J12" s="64">
        <v>39860</v>
      </c>
      <c r="K12" s="64">
        <v>41213</v>
      </c>
      <c r="L12" s="65">
        <f t="shared" si="0"/>
        <v>2012</v>
      </c>
      <c r="M12" s="66">
        <f>+IFERROR(INDEX([6]PARÁMETROS!$B$11:$B$37,MATCH(L12,[6]PARÁMETROS!$A$11:$A$37,0)),"")</f>
        <v>566700</v>
      </c>
      <c r="N12" s="313">
        <v>8291206645</v>
      </c>
      <c r="O12" s="68" t="s">
        <v>25</v>
      </c>
      <c r="P12" s="58" t="s">
        <v>346</v>
      </c>
      <c r="Q12" s="69" t="s">
        <v>346</v>
      </c>
      <c r="R12" s="70">
        <v>1</v>
      </c>
      <c r="S12" s="66">
        <f t="shared" si="3"/>
        <v>8291206645</v>
      </c>
      <c r="T12" s="55">
        <f t="shared" si="1"/>
        <v>14630.680509970001</v>
      </c>
      <c r="U12" s="55">
        <f t="shared" si="2"/>
        <v>6583.8062294865003</v>
      </c>
      <c r="V12" s="55" t="s">
        <v>461</v>
      </c>
      <c r="W12" s="799" t="s">
        <v>11</v>
      </c>
      <c r="X12" s="799"/>
      <c r="Y12" s="799"/>
      <c r="Z12" s="799" t="s">
        <v>11</v>
      </c>
      <c r="AA12" s="799"/>
      <c r="AB12" s="799"/>
      <c r="AC12" s="799" t="s">
        <v>10</v>
      </c>
      <c r="AD12" s="799"/>
      <c r="AE12" s="799"/>
      <c r="AF12" s="277" t="s">
        <v>10</v>
      </c>
      <c r="AG12" s="799"/>
      <c r="AH12" s="799"/>
      <c r="AI12" s="277" t="str">
        <f>+IF(U12="","",IF(U12&gt;=[6]PARÁMETROS!$F$5,"CUMPLE","NO CUMPLE"))</f>
        <v>CUMPLE</v>
      </c>
      <c r="AJ12" s="139"/>
      <c r="AK12" s="109"/>
    </row>
    <row r="13" spans="1:39" s="72" customFormat="1" ht="57">
      <c r="A13" s="796"/>
      <c r="B13" s="58" t="s">
        <v>147</v>
      </c>
      <c r="C13" s="75">
        <v>260</v>
      </c>
      <c r="D13" s="299" t="str">
        <f>+IFERROR(INDEX([6]CONSOLIDADO!$D$4:$D$91,MATCH('EXP GEN. 27-33'!B13,[6]CONSOLIDADO!$C$4:$C$91,0)),"")</f>
        <v>CONCOL INGENIERIA SAS</v>
      </c>
      <c r="E13" s="336" t="s">
        <v>460</v>
      </c>
      <c r="F13" s="335" t="s">
        <v>459</v>
      </c>
      <c r="G13" s="277" t="s">
        <v>10</v>
      </c>
      <c r="H13" s="277" t="s">
        <v>10</v>
      </c>
      <c r="I13" s="327">
        <v>0.5</v>
      </c>
      <c r="J13" s="64">
        <v>38916</v>
      </c>
      <c r="K13" s="64">
        <v>40267</v>
      </c>
      <c r="L13" s="65">
        <f t="shared" si="0"/>
        <v>2010</v>
      </c>
      <c r="M13" s="66">
        <f>+IFERROR(INDEX([6]PARÁMETROS!$B$11:$B$37,MATCH(L13,[6]PARÁMETROS!$A$11:$A$37,0)),"")</f>
        <v>515000</v>
      </c>
      <c r="N13" s="334">
        <v>7564702533</v>
      </c>
      <c r="O13" s="68" t="s">
        <v>25</v>
      </c>
      <c r="P13" s="58" t="s">
        <v>346</v>
      </c>
      <c r="Q13" s="69" t="s">
        <v>346</v>
      </c>
      <c r="R13" s="70">
        <v>1</v>
      </c>
      <c r="S13" s="66">
        <f t="shared" si="3"/>
        <v>7564702533</v>
      </c>
      <c r="T13" s="55">
        <f t="shared" si="1"/>
        <v>14688.742782524272</v>
      </c>
      <c r="U13" s="55">
        <f t="shared" si="2"/>
        <v>7344.3713912621361</v>
      </c>
      <c r="V13" s="55" t="s">
        <v>458</v>
      </c>
      <c r="W13" s="799" t="s">
        <v>11</v>
      </c>
      <c r="X13" s="799"/>
      <c r="Y13" s="799"/>
      <c r="Z13" s="799" t="s">
        <v>11</v>
      </c>
      <c r="AA13" s="799"/>
      <c r="AB13" s="799"/>
      <c r="AC13" s="799" t="s">
        <v>10</v>
      </c>
      <c r="AD13" s="799"/>
      <c r="AE13" s="799"/>
      <c r="AF13" s="277" t="s">
        <v>10</v>
      </c>
      <c r="AG13" s="799"/>
      <c r="AH13" s="799"/>
      <c r="AI13" s="277" t="str">
        <f>+IF(U13="","",IF(U13&gt;=[6]PARÁMETROS!$F$5,"CUMPLE","NO CUMPLE"))</f>
        <v>CUMPLE</v>
      </c>
      <c r="AJ13" s="139"/>
      <c r="AK13" s="109"/>
    </row>
    <row r="14" spans="1:39" s="72" customFormat="1" ht="43.5" thickBot="1">
      <c r="A14" s="806"/>
      <c r="B14" s="141" t="s">
        <v>147</v>
      </c>
      <c r="C14" s="142">
        <v>267</v>
      </c>
      <c r="D14" s="301" t="str">
        <f>+IFERROR(INDEX([6]CONSOLIDADO!$D$4:$D$91,MATCH('EXP GEN. 27-33'!B14,[6]CONSOLIDADO!$C$4:$C$91,0)),"")</f>
        <v>CONCOL INGENIERIA SAS</v>
      </c>
      <c r="E14" s="333" t="s">
        <v>457</v>
      </c>
      <c r="F14" s="332" t="s">
        <v>456</v>
      </c>
      <c r="G14" s="278" t="s">
        <v>10</v>
      </c>
      <c r="H14" s="278" t="s">
        <v>10</v>
      </c>
      <c r="I14" s="331">
        <v>0.5</v>
      </c>
      <c r="J14" s="147">
        <v>35457</v>
      </c>
      <c r="K14" s="147">
        <v>37126</v>
      </c>
      <c r="L14" s="148">
        <f t="shared" si="0"/>
        <v>2001</v>
      </c>
      <c r="M14" s="149">
        <f>+IFERROR(INDEX([6]PARÁMETROS!$B$11:$B$37,MATCH(L14,[6]PARÁMETROS!$A$11:$A$37,0)),"")</f>
        <v>286000</v>
      </c>
      <c r="N14" s="330">
        <v>5240267062</v>
      </c>
      <c r="O14" s="151" t="s">
        <v>25</v>
      </c>
      <c r="P14" s="141" t="s">
        <v>346</v>
      </c>
      <c r="Q14" s="152" t="s">
        <v>346</v>
      </c>
      <c r="R14" s="153">
        <v>1</v>
      </c>
      <c r="S14" s="149">
        <f t="shared" si="3"/>
        <v>5240267062</v>
      </c>
      <c r="T14" s="154">
        <f t="shared" si="1"/>
        <v>18322.612104895106</v>
      </c>
      <c r="U14" s="154">
        <f t="shared" si="2"/>
        <v>9161.3060524475532</v>
      </c>
      <c r="V14" s="154" t="s">
        <v>455</v>
      </c>
      <c r="W14" s="801" t="s">
        <v>11</v>
      </c>
      <c r="X14" s="801"/>
      <c r="Y14" s="801"/>
      <c r="Z14" s="801" t="s">
        <v>11</v>
      </c>
      <c r="AA14" s="801"/>
      <c r="AB14" s="801"/>
      <c r="AC14" s="801" t="s">
        <v>10</v>
      </c>
      <c r="AD14" s="801"/>
      <c r="AE14" s="801"/>
      <c r="AF14" s="278" t="s">
        <v>10</v>
      </c>
      <c r="AG14" s="801"/>
      <c r="AH14" s="801"/>
      <c r="AI14" s="280" t="str">
        <f>+IF(U14="","",IF(U14&gt;=[6]PARÁMETROS!$F$5,"CUMPLE","NO CUMPLE"))</f>
        <v>CUMPLE</v>
      </c>
      <c r="AJ14" s="155"/>
      <c r="AK14" s="109"/>
    </row>
    <row r="15" spans="1:39" s="72" customFormat="1" ht="71.25">
      <c r="A15" s="795" t="s">
        <v>285</v>
      </c>
      <c r="B15" s="123" t="s">
        <v>149</v>
      </c>
      <c r="C15" s="157">
        <v>147</v>
      </c>
      <c r="D15" s="303" t="str">
        <f>+IFERROR(INDEX([6]CONSOLIDADO!$D$4:$D$91,MATCH('EXP GEN. 27-33'!B15,[6]CONSOLIDADO!$C$4:$C$91,0)),"")</f>
        <v>INGETEC GERENCIA &amp; SUPERVISION SA</v>
      </c>
      <c r="E15" s="328" t="s">
        <v>380</v>
      </c>
      <c r="F15" s="308" t="s">
        <v>454</v>
      </c>
      <c r="G15" s="279" t="s">
        <v>10</v>
      </c>
      <c r="H15" s="279" t="s">
        <v>10</v>
      </c>
      <c r="I15" s="329">
        <v>0.65</v>
      </c>
      <c r="J15" s="307">
        <v>37986</v>
      </c>
      <c r="K15" s="307">
        <v>40748</v>
      </c>
      <c r="L15" s="130">
        <f t="shared" si="0"/>
        <v>2011</v>
      </c>
      <c r="M15" s="131">
        <f>+IFERROR(INDEX([6]PARÁMETROS!$B$11:$B$37,MATCH(L15,[6]PARÁMETROS!$A$11:$A$37,0)),"")</f>
        <v>535600</v>
      </c>
      <c r="N15" s="326">
        <v>6087540759</v>
      </c>
      <c r="O15" s="133" t="s">
        <v>25</v>
      </c>
      <c r="P15" s="123" t="s">
        <v>346</v>
      </c>
      <c r="Q15" s="134" t="s">
        <v>346</v>
      </c>
      <c r="R15" s="135">
        <v>1</v>
      </c>
      <c r="S15" s="131">
        <f t="shared" si="3"/>
        <v>6087540759</v>
      </c>
      <c r="T15" s="136">
        <f t="shared" si="1"/>
        <v>11365.834128080658</v>
      </c>
      <c r="U15" s="136">
        <f t="shared" si="2"/>
        <v>7387.792183252428</v>
      </c>
      <c r="V15" s="328">
        <v>67</v>
      </c>
      <c r="W15" s="798" t="s">
        <v>11</v>
      </c>
      <c r="X15" s="798"/>
      <c r="Y15" s="798"/>
      <c r="Z15" s="798" t="s">
        <v>10</v>
      </c>
      <c r="AA15" s="798"/>
      <c r="AB15" s="798"/>
      <c r="AC15" s="798" t="s">
        <v>10</v>
      </c>
      <c r="AD15" s="798"/>
      <c r="AE15" s="798"/>
      <c r="AF15" s="279" t="s">
        <v>10</v>
      </c>
      <c r="AG15" s="798" t="str">
        <f>IF(U15="","",IF(SUM(U15:U19)&gt;=[6]PARÁMETROS!$D$5,"HÁBIL","NO HÁBIL"))</f>
        <v>HÁBIL</v>
      </c>
      <c r="AH15" s="798" t="str">
        <f>IF(U15="","",IF(U15&gt;=[6]PARÁMETROS!$H$5,"HÁBIL","NO HÁBIL"))</f>
        <v>HÁBIL</v>
      </c>
      <c r="AI15" s="168" t="str">
        <f>+IF(U15="","",IF(U15&gt;=[6]PARÁMETROS!$F$5,"CUMPLE","NO CUMPLE"))</f>
        <v>CUMPLE</v>
      </c>
      <c r="AJ15" s="138"/>
      <c r="AK15" s="109"/>
    </row>
    <row r="16" spans="1:39" s="72" customFormat="1" ht="57">
      <c r="A16" s="796"/>
      <c r="B16" s="58" t="s">
        <v>149</v>
      </c>
      <c r="C16" s="75">
        <v>153</v>
      </c>
      <c r="D16" s="299" t="str">
        <f>+IFERROR(INDEX([6]CONSOLIDADO!$D$4:$D$91,MATCH('EXP GEN. 27-33'!B16,[6]CONSOLIDADO!$C$4:$C$91,0)),"")</f>
        <v>INGETEC GERENCIA &amp; SUPERVISION SA</v>
      </c>
      <c r="E16" s="328" t="s">
        <v>371</v>
      </c>
      <c r="F16" s="308" t="s">
        <v>453</v>
      </c>
      <c r="G16" s="277" t="s">
        <v>10</v>
      </c>
      <c r="H16" s="277" t="s">
        <v>10</v>
      </c>
      <c r="I16" s="329">
        <v>1</v>
      </c>
      <c r="J16" s="307">
        <v>36523</v>
      </c>
      <c r="K16" s="307">
        <v>37769</v>
      </c>
      <c r="L16" s="65">
        <f t="shared" si="0"/>
        <v>2003</v>
      </c>
      <c r="M16" s="66">
        <f>+IFERROR(INDEX([6]PARÁMETROS!$B$11:$B$37,MATCH(L16,[6]PARÁMETROS!$A$11:$A$37,0)),"")</f>
        <v>332000</v>
      </c>
      <c r="N16" s="326">
        <v>3291518374</v>
      </c>
      <c r="O16" s="66" t="s">
        <v>25</v>
      </c>
      <c r="P16" s="58" t="s">
        <v>346</v>
      </c>
      <c r="Q16" s="69" t="s">
        <v>346</v>
      </c>
      <c r="R16" s="70">
        <v>1</v>
      </c>
      <c r="S16" s="66">
        <f t="shared" si="3"/>
        <v>3291518374</v>
      </c>
      <c r="T16" s="55">
        <f t="shared" si="1"/>
        <v>9914.2119698795177</v>
      </c>
      <c r="U16" s="55">
        <f t="shared" si="2"/>
        <v>9914.2119698795177</v>
      </c>
      <c r="V16" s="328">
        <v>52</v>
      </c>
      <c r="W16" s="799" t="s">
        <v>11</v>
      </c>
      <c r="X16" s="799"/>
      <c r="Y16" s="799"/>
      <c r="Z16" s="799" t="s">
        <v>10</v>
      </c>
      <c r="AA16" s="799"/>
      <c r="AB16" s="799"/>
      <c r="AC16" s="799" t="s">
        <v>10</v>
      </c>
      <c r="AD16" s="799"/>
      <c r="AE16" s="799"/>
      <c r="AF16" s="277" t="s">
        <v>10</v>
      </c>
      <c r="AG16" s="799"/>
      <c r="AH16" s="799"/>
      <c r="AI16" s="277" t="str">
        <f>+IF(U16="","",IF(U16&gt;=[6]PARÁMETROS!$F$5,"CUMPLE","NO CUMPLE"))</f>
        <v>CUMPLE</v>
      </c>
      <c r="AJ16" s="139"/>
      <c r="AK16" s="109"/>
    </row>
    <row r="17" spans="1:37" s="72" customFormat="1" ht="57">
      <c r="A17" s="796"/>
      <c r="B17" s="58" t="s">
        <v>149</v>
      </c>
      <c r="C17" s="75">
        <v>157</v>
      </c>
      <c r="D17" s="299" t="str">
        <f>+IFERROR(INDEX([6]CONSOLIDADO!$D$4:$D$91,MATCH('EXP GEN. 27-33'!B17,[6]CONSOLIDADO!$C$4:$C$91,0)),"")</f>
        <v>INGETEC GERENCIA &amp; SUPERVISION SA</v>
      </c>
      <c r="E17" s="328" t="s">
        <v>371</v>
      </c>
      <c r="F17" s="308" t="s">
        <v>452</v>
      </c>
      <c r="G17" s="277" t="s">
        <v>10</v>
      </c>
      <c r="H17" s="277" t="s">
        <v>10</v>
      </c>
      <c r="I17" s="329">
        <v>1</v>
      </c>
      <c r="J17" s="307">
        <v>38366</v>
      </c>
      <c r="K17" s="307">
        <v>39064</v>
      </c>
      <c r="L17" s="65">
        <f t="shared" si="0"/>
        <v>2006</v>
      </c>
      <c r="M17" s="66">
        <f>+IFERROR(INDEX([6]PARÁMETROS!$B$11:$B$37,MATCH(L17,[6]PARÁMETROS!$A$11:$A$37,0)),"")</f>
        <v>408000</v>
      </c>
      <c r="N17" s="326">
        <v>1473683024</v>
      </c>
      <c r="O17" s="68" t="s">
        <v>25</v>
      </c>
      <c r="P17" s="58" t="s">
        <v>346</v>
      </c>
      <c r="Q17" s="69" t="s">
        <v>346</v>
      </c>
      <c r="R17" s="70">
        <v>1</v>
      </c>
      <c r="S17" s="66">
        <f t="shared" si="3"/>
        <v>1473683024</v>
      </c>
      <c r="T17" s="55">
        <f t="shared" si="1"/>
        <v>3611.9681960784314</v>
      </c>
      <c r="U17" s="55">
        <f t="shared" si="2"/>
        <v>3611.9681960784314</v>
      </c>
      <c r="V17" s="328">
        <v>62</v>
      </c>
      <c r="W17" s="799" t="s">
        <v>11</v>
      </c>
      <c r="X17" s="799"/>
      <c r="Y17" s="799"/>
      <c r="Z17" s="799" t="s">
        <v>10</v>
      </c>
      <c r="AA17" s="799"/>
      <c r="AB17" s="799"/>
      <c r="AC17" s="799" t="s">
        <v>10</v>
      </c>
      <c r="AD17" s="799"/>
      <c r="AE17" s="799"/>
      <c r="AF17" s="277" t="s">
        <v>10</v>
      </c>
      <c r="AG17" s="799"/>
      <c r="AH17" s="799"/>
      <c r="AI17" s="277" t="str">
        <f>+IF(U17="","",IF(U17&gt;=[6]PARÁMETROS!$F$5,"CUMPLE","NO CUMPLE"))</f>
        <v>CUMPLE</v>
      </c>
      <c r="AJ17" s="139"/>
      <c r="AK17" s="109"/>
    </row>
    <row r="18" spans="1:37" s="72" customFormat="1" ht="42.75">
      <c r="A18" s="796"/>
      <c r="B18" s="58" t="s">
        <v>148</v>
      </c>
      <c r="C18" s="75">
        <v>160</v>
      </c>
      <c r="D18" s="299" t="str">
        <f>+IFERROR(INDEX([6]CONSOLIDADO!$D$4:$D$91,MATCH('EXP GEN. 27-33'!B18,[6]CONSOLIDADO!$C$4:$C$91,0)),"")</f>
        <v>ING INGENIERIA SA</v>
      </c>
      <c r="E18" s="328" t="s">
        <v>451</v>
      </c>
      <c r="F18" s="308" t="s">
        <v>450</v>
      </c>
      <c r="G18" s="277" t="s">
        <v>10</v>
      </c>
      <c r="H18" s="277" t="s">
        <v>10</v>
      </c>
      <c r="I18" s="327">
        <v>1</v>
      </c>
      <c r="J18" s="307">
        <v>41018</v>
      </c>
      <c r="K18" s="307">
        <v>41486</v>
      </c>
      <c r="L18" s="65">
        <f t="shared" si="0"/>
        <v>2013</v>
      </c>
      <c r="M18" s="66">
        <f>+IFERROR(INDEX([6]PARÁMETROS!$B$11:$B$37,MATCH(L18,[6]PARÁMETROS!$A$11:$A$37,0)),"")</f>
        <v>589500</v>
      </c>
      <c r="N18" s="326">
        <v>2132195139</v>
      </c>
      <c r="O18" s="68" t="s">
        <v>25</v>
      </c>
      <c r="P18" s="58" t="s">
        <v>346</v>
      </c>
      <c r="Q18" s="69" t="s">
        <v>346</v>
      </c>
      <c r="R18" s="70">
        <v>1</v>
      </c>
      <c r="S18" s="66">
        <f t="shared" si="3"/>
        <v>2132195139</v>
      </c>
      <c r="T18" s="55">
        <f t="shared" si="1"/>
        <v>3616.9552824427483</v>
      </c>
      <c r="U18" s="55">
        <f t="shared" si="2"/>
        <v>3616.9552824427483</v>
      </c>
      <c r="V18" s="325">
        <v>8</v>
      </c>
      <c r="W18" s="799" t="s">
        <v>11</v>
      </c>
      <c r="X18" s="799"/>
      <c r="Y18" s="799"/>
      <c r="Z18" s="799" t="s">
        <v>11</v>
      </c>
      <c r="AA18" s="799"/>
      <c r="AB18" s="799"/>
      <c r="AC18" s="799" t="s">
        <v>10</v>
      </c>
      <c r="AD18" s="799"/>
      <c r="AE18" s="799"/>
      <c r="AF18" s="277" t="s">
        <v>10</v>
      </c>
      <c r="AG18" s="799"/>
      <c r="AH18" s="799"/>
      <c r="AI18" s="277" t="str">
        <f>+IF(U18="","",IF(U18&gt;=[6]PARÁMETROS!$F$5,"CUMPLE","NO CUMPLE"))</f>
        <v>CUMPLE</v>
      </c>
      <c r="AJ18" s="139"/>
      <c r="AK18" s="109"/>
    </row>
    <row r="19" spans="1:37" s="72" customFormat="1" ht="43.5" thickBot="1">
      <c r="A19" s="796"/>
      <c r="B19" s="58" t="s">
        <v>148</v>
      </c>
      <c r="C19" s="75">
        <v>165</v>
      </c>
      <c r="D19" s="299" t="str">
        <f>+IFERROR(INDEX([6]CONSOLIDADO!$D$4:$D$91,MATCH('EXP GEN. 27-33'!B19,[6]CONSOLIDADO!$C$4:$C$91,0)),"")</f>
        <v>ING INGENIERIA SA</v>
      </c>
      <c r="E19" s="328" t="s">
        <v>380</v>
      </c>
      <c r="F19" s="308" t="s">
        <v>449</v>
      </c>
      <c r="G19" s="277" t="s">
        <v>10</v>
      </c>
      <c r="H19" s="277" t="s">
        <v>10</v>
      </c>
      <c r="I19" s="327">
        <v>0.8</v>
      </c>
      <c r="J19" s="307">
        <v>39204</v>
      </c>
      <c r="K19" s="307">
        <v>39906</v>
      </c>
      <c r="L19" s="65">
        <f t="shared" si="0"/>
        <v>2009</v>
      </c>
      <c r="M19" s="66">
        <f>+IFERROR(INDEX([6]PARÁMETROS!$B$11:$B$37,MATCH(L19,[6]PARÁMETROS!$A$11:$A$37,0)),"")</f>
        <v>496900</v>
      </c>
      <c r="N19" s="326">
        <v>1592082109</v>
      </c>
      <c r="O19" s="68" t="s">
        <v>25</v>
      </c>
      <c r="P19" s="58" t="s">
        <v>346</v>
      </c>
      <c r="Q19" s="69" t="s">
        <v>346</v>
      </c>
      <c r="R19" s="70">
        <v>1</v>
      </c>
      <c r="S19" s="66">
        <f t="shared" si="3"/>
        <v>1592082109</v>
      </c>
      <c r="T19" s="55">
        <f t="shared" si="1"/>
        <v>3204.0291990340111</v>
      </c>
      <c r="U19" s="55">
        <f t="shared" si="2"/>
        <v>2563.2233592272091</v>
      </c>
      <c r="V19" s="325">
        <v>16</v>
      </c>
      <c r="W19" s="799" t="s">
        <v>10</v>
      </c>
      <c r="X19" s="799"/>
      <c r="Y19" s="799"/>
      <c r="Z19" s="799" t="s">
        <v>10</v>
      </c>
      <c r="AA19" s="799"/>
      <c r="AB19" s="799"/>
      <c r="AC19" s="799" t="s">
        <v>10</v>
      </c>
      <c r="AD19" s="799"/>
      <c r="AE19" s="799"/>
      <c r="AF19" s="277" t="s">
        <v>10</v>
      </c>
      <c r="AG19" s="799"/>
      <c r="AH19" s="799"/>
      <c r="AI19" s="277" t="str">
        <f>+IF(U19="","",IF(U19&gt;=[6]PARÁMETROS!$F$5,"CUMPLE","NO CUMPLE"))</f>
        <v>CUMPLE</v>
      </c>
      <c r="AJ19" s="139"/>
      <c r="AK19" s="109"/>
    </row>
    <row r="20" spans="1:37" s="72" customFormat="1" ht="57">
      <c r="A20" s="795" t="s">
        <v>289</v>
      </c>
      <c r="B20" s="123" t="s">
        <v>150</v>
      </c>
      <c r="C20" s="157">
        <v>183</v>
      </c>
      <c r="D20" s="303" t="str">
        <f>+IFERROR(INDEX([6]CONSOLIDADO!$D$4:$D$91,MATCH('EXP GEN. 27-33'!B20,[6]CONSOLIDADO!$C$4:$C$91,0)),"")</f>
        <v>HMV CONSULTORIA SAS</v>
      </c>
      <c r="E20" s="264" t="s">
        <v>371</v>
      </c>
      <c r="F20" s="127" t="s">
        <v>448</v>
      </c>
      <c r="G20" s="279" t="s">
        <v>10</v>
      </c>
      <c r="H20" s="279" t="s">
        <v>10</v>
      </c>
      <c r="I20" s="128">
        <v>1</v>
      </c>
      <c r="J20" s="129">
        <v>38323</v>
      </c>
      <c r="K20" s="129">
        <v>40694</v>
      </c>
      <c r="L20" s="130">
        <f t="shared" si="0"/>
        <v>2011</v>
      </c>
      <c r="M20" s="131">
        <f>+IFERROR(INDEX([6]PARÁMETROS!$B$11:$B$37,MATCH(L20,[6]PARÁMETROS!$A$11:$A$37,0)),"")</f>
        <v>535600</v>
      </c>
      <c r="N20" s="305">
        <v>8415351165</v>
      </c>
      <c r="O20" s="133" t="s">
        <v>25</v>
      </c>
      <c r="P20" s="123" t="s">
        <v>346</v>
      </c>
      <c r="Q20" s="134" t="s">
        <v>346</v>
      </c>
      <c r="R20" s="135">
        <v>1</v>
      </c>
      <c r="S20" s="131">
        <f t="shared" si="3"/>
        <v>8415351165</v>
      </c>
      <c r="T20" s="136">
        <f t="shared" si="1"/>
        <v>15712.007402912621</v>
      </c>
      <c r="U20" s="136">
        <f t="shared" si="2"/>
        <v>15712.007402912621</v>
      </c>
      <c r="V20" s="136">
        <v>13</v>
      </c>
      <c r="W20" s="798" t="s">
        <v>10</v>
      </c>
      <c r="X20" s="798"/>
      <c r="Y20" s="798"/>
      <c r="Z20" s="798" t="s">
        <v>10</v>
      </c>
      <c r="AA20" s="798"/>
      <c r="AB20" s="798"/>
      <c r="AC20" s="798" t="s">
        <v>10</v>
      </c>
      <c r="AD20" s="798"/>
      <c r="AE20" s="798"/>
      <c r="AF20" s="279" t="s">
        <v>10</v>
      </c>
      <c r="AG20" s="798" t="str">
        <f>IF(U20="","",IF(SUM(U20:U24)&gt;=[6]PARÁMETROS!$D$5,"HÁBIL","NO HÁBIL"))</f>
        <v>HÁBIL</v>
      </c>
      <c r="AH20" s="798" t="str">
        <f>IF(U20="","",IF(U20&gt;=[6]PARÁMETROS!$H$5,"HÁBIL","NO HÁBIL"))</f>
        <v>HÁBIL</v>
      </c>
      <c r="AI20" s="168" t="str">
        <f>+IF(U20="","",IF(U20&gt;=[6]PARÁMETROS!$F$5,"CUMPLE","NO CUMPLE"))</f>
        <v>CUMPLE</v>
      </c>
      <c r="AJ20" s="138"/>
      <c r="AK20" s="109"/>
    </row>
    <row r="21" spans="1:37" s="72" customFormat="1" ht="42.75">
      <c r="A21" s="796"/>
      <c r="B21" s="58" t="s">
        <v>150</v>
      </c>
      <c r="C21" s="75">
        <v>190</v>
      </c>
      <c r="D21" s="299" t="str">
        <f>+IFERROR(INDEX([6]CONSOLIDADO!$D$4:$D$91,MATCH('EXP GEN. 27-33'!B21,[6]CONSOLIDADO!$C$4:$C$91,0)),"")</f>
        <v>HMV CONSULTORIA SAS</v>
      </c>
      <c r="E21" s="264" t="s">
        <v>371</v>
      </c>
      <c r="F21" s="62" t="s">
        <v>447</v>
      </c>
      <c r="G21" s="277" t="s">
        <v>10</v>
      </c>
      <c r="H21" s="277" t="s">
        <v>10</v>
      </c>
      <c r="I21" s="63">
        <v>0.5</v>
      </c>
      <c r="J21" s="64">
        <v>36312</v>
      </c>
      <c r="K21" s="64">
        <v>37833</v>
      </c>
      <c r="L21" s="65">
        <f t="shared" si="0"/>
        <v>2003</v>
      </c>
      <c r="M21" s="66">
        <f>+IFERROR(INDEX([6]PARÁMETROS!$B$11:$B$37,MATCH(L21,[6]PARÁMETROS!$A$11:$A$37,0)),"")</f>
        <v>332000</v>
      </c>
      <c r="N21" s="304">
        <v>5331439397</v>
      </c>
      <c r="O21" s="68" t="s">
        <v>25</v>
      </c>
      <c r="P21" s="58" t="s">
        <v>346</v>
      </c>
      <c r="Q21" s="69" t="s">
        <v>346</v>
      </c>
      <c r="R21" s="70">
        <v>1</v>
      </c>
      <c r="S21" s="66">
        <f t="shared" si="3"/>
        <v>5331439397</v>
      </c>
      <c r="T21" s="55">
        <f t="shared" si="1"/>
        <v>16058.55240060241</v>
      </c>
      <c r="U21" s="55">
        <f t="shared" si="2"/>
        <v>8029.2762003012049</v>
      </c>
      <c r="V21" s="55">
        <v>8</v>
      </c>
      <c r="W21" s="799" t="s">
        <v>10</v>
      </c>
      <c r="X21" s="799"/>
      <c r="Y21" s="799"/>
      <c r="Z21" s="799" t="s">
        <v>10</v>
      </c>
      <c r="AA21" s="799"/>
      <c r="AB21" s="799"/>
      <c r="AC21" s="799" t="s">
        <v>10</v>
      </c>
      <c r="AD21" s="799"/>
      <c r="AE21" s="799"/>
      <c r="AF21" s="277" t="s">
        <v>10</v>
      </c>
      <c r="AG21" s="799"/>
      <c r="AH21" s="799"/>
      <c r="AI21" s="277" t="str">
        <f>+IF(U21="","",IF(U21&gt;=[6]PARÁMETROS!$F$5,"CUMPLE","NO CUMPLE"))</f>
        <v>CUMPLE</v>
      </c>
      <c r="AJ21" s="139"/>
      <c r="AK21" s="109"/>
    </row>
    <row r="22" spans="1:37" s="72" customFormat="1" ht="57">
      <c r="A22" s="796"/>
      <c r="B22" s="58" t="s">
        <v>150</v>
      </c>
      <c r="C22" s="75">
        <v>196</v>
      </c>
      <c r="D22" s="299" t="str">
        <f>+IFERROR(INDEX([6]CONSOLIDADO!$D$4:$D$91,MATCH('EXP GEN. 27-33'!B22,[6]CONSOLIDADO!$C$4:$C$91,0)),"")</f>
        <v>HMV CONSULTORIA SAS</v>
      </c>
      <c r="E22" s="71" t="s">
        <v>380</v>
      </c>
      <c r="F22" s="62" t="s">
        <v>446</v>
      </c>
      <c r="G22" s="277" t="s">
        <v>10</v>
      </c>
      <c r="H22" s="277" t="s">
        <v>10</v>
      </c>
      <c r="I22" s="63">
        <v>1</v>
      </c>
      <c r="J22" s="64">
        <v>39246</v>
      </c>
      <c r="K22" s="64">
        <v>40311</v>
      </c>
      <c r="L22" s="65">
        <f t="shared" si="0"/>
        <v>2010</v>
      </c>
      <c r="M22" s="66">
        <f>+IFERROR(INDEX([6]PARÁMETROS!$B$11:$B$37,MATCH(L22,[6]PARÁMETROS!$A$11:$A$37,0)),"")</f>
        <v>515000</v>
      </c>
      <c r="N22" s="304">
        <v>4653247126</v>
      </c>
      <c r="O22" s="68" t="s">
        <v>25</v>
      </c>
      <c r="P22" s="58" t="s">
        <v>346</v>
      </c>
      <c r="Q22" s="69" t="s">
        <v>346</v>
      </c>
      <c r="R22" s="70">
        <v>1</v>
      </c>
      <c r="S22" s="66">
        <f t="shared" si="3"/>
        <v>4653247126</v>
      </c>
      <c r="T22" s="55">
        <f t="shared" si="1"/>
        <v>9035.4313126213601</v>
      </c>
      <c r="U22" s="55">
        <f t="shared" si="2"/>
        <v>9035.4313126213601</v>
      </c>
      <c r="V22" s="55">
        <v>2</v>
      </c>
      <c r="W22" s="799" t="s">
        <v>10</v>
      </c>
      <c r="X22" s="799"/>
      <c r="Y22" s="799"/>
      <c r="Z22" s="799" t="s">
        <v>10</v>
      </c>
      <c r="AA22" s="799"/>
      <c r="AB22" s="799"/>
      <c r="AC22" s="799" t="s">
        <v>10</v>
      </c>
      <c r="AD22" s="799"/>
      <c r="AE22" s="799"/>
      <c r="AF22" s="277" t="s">
        <v>10</v>
      </c>
      <c r="AG22" s="799"/>
      <c r="AH22" s="799"/>
      <c r="AI22" s="277" t="str">
        <f>+IF(U22="","",IF(U22&gt;=[6]PARÁMETROS!$F$5,"CUMPLE","NO CUMPLE"))</f>
        <v>CUMPLE</v>
      </c>
      <c r="AJ22" s="139"/>
      <c r="AK22" s="109"/>
    </row>
    <row r="23" spans="1:37" s="72" customFormat="1" ht="42.75">
      <c r="A23" s="796"/>
      <c r="B23" s="58" t="s">
        <v>150</v>
      </c>
      <c r="C23" s="75">
        <v>201</v>
      </c>
      <c r="D23" s="299" t="str">
        <f>+IFERROR(INDEX([6]CONSOLIDADO!$D$4:$D$91,MATCH('EXP GEN. 27-33'!B23,[6]CONSOLIDADO!$C$4:$C$91,0)),"")</f>
        <v>HMV CONSULTORIA SAS</v>
      </c>
      <c r="E23" s="71" t="s">
        <v>445</v>
      </c>
      <c r="F23" s="62" t="s">
        <v>444</v>
      </c>
      <c r="G23" s="277" t="s">
        <v>10</v>
      </c>
      <c r="H23" s="277" t="s">
        <v>10</v>
      </c>
      <c r="I23" s="63">
        <v>0.5</v>
      </c>
      <c r="J23" s="64">
        <v>39188</v>
      </c>
      <c r="K23" s="64">
        <v>40633</v>
      </c>
      <c r="L23" s="65">
        <f t="shared" si="0"/>
        <v>2011</v>
      </c>
      <c r="M23" s="66">
        <f>+IFERROR(INDEX([6]PARÁMETROS!$B$11:$B$37,MATCH(L23,[6]PARÁMETROS!$A$11:$A$37,0)),"")</f>
        <v>535600</v>
      </c>
      <c r="N23" s="304">
        <v>12097028958</v>
      </c>
      <c r="O23" s="68" t="s">
        <v>25</v>
      </c>
      <c r="P23" s="58" t="s">
        <v>346</v>
      </c>
      <c r="Q23" s="69" t="s">
        <v>346</v>
      </c>
      <c r="R23" s="70">
        <v>1</v>
      </c>
      <c r="S23" s="66">
        <f t="shared" si="3"/>
        <v>12097028958</v>
      </c>
      <c r="T23" s="55">
        <f t="shared" si="1"/>
        <v>22585.939055265124</v>
      </c>
      <c r="U23" s="55">
        <f t="shared" si="2"/>
        <v>11292.969527632562</v>
      </c>
      <c r="V23" s="55">
        <v>19</v>
      </c>
      <c r="W23" s="799" t="s">
        <v>10</v>
      </c>
      <c r="X23" s="799"/>
      <c r="Y23" s="799"/>
      <c r="Z23" s="799" t="s">
        <v>10</v>
      </c>
      <c r="AA23" s="799"/>
      <c r="AB23" s="799"/>
      <c r="AC23" s="799" t="s">
        <v>10</v>
      </c>
      <c r="AD23" s="799"/>
      <c r="AE23" s="799"/>
      <c r="AF23" s="277" t="s">
        <v>10</v>
      </c>
      <c r="AG23" s="799"/>
      <c r="AH23" s="799"/>
      <c r="AI23" s="277" t="str">
        <f>+IF(U23="","",IF(U23&gt;=[6]PARÁMETROS!$F$5,"CUMPLE","NO CUMPLE"))</f>
        <v>CUMPLE</v>
      </c>
      <c r="AJ23" s="139"/>
      <c r="AK23" s="109"/>
    </row>
    <row r="24" spans="1:37" s="72" customFormat="1" ht="57.75" thickBot="1">
      <c r="A24" s="796"/>
      <c r="B24" s="58" t="s">
        <v>150</v>
      </c>
      <c r="C24" s="75">
        <v>206</v>
      </c>
      <c r="D24" s="299" t="str">
        <f>+IFERROR(INDEX([6]CONSOLIDADO!$D$4:$D$91,MATCH('EXP GEN. 27-33'!B24,[6]CONSOLIDADO!$C$4:$C$91,0)),"")</f>
        <v>HMV CONSULTORIA SAS</v>
      </c>
      <c r="E24" s="71" t="s">
        <v>380</v>
      </c>
      <c r="F24" s="62" t="s">
        <v>443</v>
      </c>
      <c r="G24" s="277" t="s">
        <v>10</v>
      </c>
      <c r="H24" s="277" t="s">
        <v>10</v>
      </c>
      <c r="I24" s="63">
        <v>1</v>
      </c>
      <c r="J24" s="64">
        <v>38852</v>
      </c>
      <c r="K24" s="64">
        <v>39431</v>
      </c>
      <c r="L24" s="65">
        <f t="shared" si="0"/>
        <v>2007</v>
      </c>
      <c r="M24" s="66">
        <f>+IFERROR(INDEX([6]PARÁMETROS!$B$11:$B$37,MATCH(L24,[6]PARÁMETROS!$A$11:$A$37,0)),"")</f>
        <v>433700</v>
      </c>
      <c r="N24" s="304">
        <v>1789237814</v>
      </c>
      <c r="O24" s="68" t="s">
        <v>25</v>
      </c>
      <c r="P24" s="58" t="s">
        <v>346</v>
      </c>
      <c r="Q24" s="69" t="s">
        <v>346</v>
      </c>
      <c r="R24" s="70">
        <v>1</v>
      </c>
      <c r="S24" s="66">
        <f t="shared" si="3"/>
        <v>1789237814</v>
      </c>
      <c r="T24" s="55">
        <f t="shared" si="1"/>
        <v>4125.5195157943281</v>
      </c>
      <c r="U24" s="55">
        <f t="shared" si="2"/>
        <v>4125.5195157943281</v>
      </c>
      <c r="V24" s="55">
        <v>96</v>
      </c>
      <c r="W24" s="799" t="s">
        <v>10</v>
      </c>
      <c r="X24" s="799"/>
      <c r="Y24" s="799"/>
      <c r="Z24" s="799" t="s">
        <v>10</v>
      </c>
      <c r="AA24" s="799"/>
      <c r="AB24" s="799"/>
      <c r="AC24" s="799" t="s">
        <v>10</v>
      </c>
      <c r="AD24" s="799"/>
      <c r="AE24" s="799"/>
      <c r="AF24" s="277" t="s">
        <v>10</v>
      </c>
      <c r="AG24" s="799"/>
      <c r="AH24" s="799"/>
      <c r="AI24" s="280" t="str">
        <f>+IF(U24="","",IF(U24&gt;=[6]PARÁMETROS!$F$5,"CUMPLE","NO CUMPLE"))</f>
        <v>CUMPLE</v>
      </c>
      <c r="AJ24" s="139"/>
      <c r="AK24" s="109"/>
    </row>
    <row r="25" spans="1:37" s="72" customFormat="1" ht="28.5">
      <c r="A25" s="795" t="s">
        <v>291</v>
      </c>
      <c r="B25" s="123" t="s">
        <v>151</v>
      </c>
      <c r="C25" s="157">
        <v>149</v>
      </c>
      <c r="D25" s="303" t="str">
        <f>+IFERROR(INDEX([6]CONSOLIDADO!$D$4:$D$91,MATCH('EXP GEN. 27-33'!B25,[6]CONSOLIDADO!$C$4:$C$91,0)),"")</f>
        <v>SERINCO COLOMBIA</v>
      </c>
      <c r="E25" s="126" t="s">
        <v>434</v>
      </c>
      <c r="F25" s="127" t="s">
        <v>442</v>
      </c>
      <c r="G25" s="279" t="s">
        <v>10</v>
      </c>
      <c r="H25" s="279" t="s">
        <v>10</v>
      </c>
      <c r="I25" s="128">
        <v>0.5</v>
      </c>
      <c r="J25" s="129">
        <v>37576</v>
      </c>
      <c r="K25" s="129">
        <v>38763</v>
      </c>
      <c r="L25" s="130">
        <f t="shared" si="0"/>
        <v>2006</v>
      </c>
      <c r="M25" s="131">
        <f>+IFERROR(INDEX([6]PARÁMETROS!$B$11:$B$37,MATCH(L25,[6]PARÁMETROS!$A$11:$A$37,0)),"")</f>
        <v>408000</v>
      </c>
      <c r="N25" s="305">
        <v>2212803.58</v>
      </c>
      <c r="O25" s="133" t="s">
        <v>419</v>
      </c>
      <c r="P25" s="123">
        <v>1.19011</v>
      </c>
      <c r="Q25" s="134">
        <f>+P25*N25</f>
        <v>2633479.6685938002</v>
      </c>
      <c r="R25" s="135">
        <v>2254.98</v>
      </c>
      <c r="S25" s="131">
        <f>IF(R25&lt;&gt;"",Q25*R25,"")</f>
        <v>5938443983.0856476</v>
      </c>
      <c r="T25" s="136">
        <f t="shared" si="1"/>
        <v>14555.009762464822</v>
      </c>
      <c r="U25" s="136">
        <f t="shared" si="2"/>
        <v>7277.5048812324112</v>
      </c>
      <c r="V25" s="136">
        <v>4</v>
      </c>
      <c r="W25" s="798" t="s">
        <v>10</v>
      </c>
      <c r="X25" s="798"/>
      <c r="Y25" s="798"/>
      <c r="Z25" s="798" t="s">
        <v>10</v>
      </c>
      <c r="AA25" s="798"/>
      <c r="AB25" s="798"/>
      <c r="AC25" s="798" t="s">
        <v>10</v>
      </c>
      <c r="AD25" s="798"/>
      <c r="AE25" s="798"/>
      <c r="AF25" s="279" t="s">
        <v>10</v>
      </c>
      <c r="AG25" s="798" t="str">
        <f>IF(U25="","",IF(SUM(U25:U28)&gt;=[6]PARÁMETROS!$D$5,"HÁBIL","NO HÁBIL"))</f>
        <v>HÁBIL</v>
      </c>
      <c r="AH25" s="798" t="str">
        <f>IF(U25="","",IF(U25&gt;=[6]PARÁMETROS!$H$5,"HÁBIL","NO HÁBIL"))</f>
        <v>HÁBIL</v>
      </c>
      <c r="AI25" s="168" t="str">
        <f>+IF(U25="","",IF(U25&gt;=[6]PARÁMETROS!$F$5,"CUMPLE","NO CUMPLE"))</f>
        <v>CUMPLE</v>
      </c>
      <c r="AJ25" s="138"/>
      <c r="AK25" s="109"/>
    </row>
    <row r="26" spans="1:37" s="72" customFormat="1" ht="42.75">
      <c r="A26" s="796"/>
      <c r="B26" s="58" t="s">
        <v>151</v>
      </c>
      <c r="C26" s="75">
        <v>153</v>
      </c>
      <c r="D26" s="299" t="str">
        <f>+IFERROR(INDEX([6]CONSOLIDADO!$D$4:$D$91,MATCH('EXP GEN. 27-33'!B26,[6]CONSOLIDADO!$C$4:$C$91,0)),"")</f>
        <v>SERINCO COLOMBIA</v>
      </c>
      <c r="E26" s="61" t="s">
        <v>434</v>
      </c>
      <c r="F26" s="62" t="s">
        <v>441</v>
      </c>
      <c r="G26" s="277" t="s">
        <v>10</v>
      </c>
      <c r="H26" s="277" t="s">
        <v>10</v>
      </c>
      <c r="I26" s="63">
        <v>0.5</v>
      </c>
      <c r="J26" s="64">
        <v>36774</v>
      </c>
      <c r="K26" s="64">
        <v>37806</v>
      </c>
      <c r="L26" s="65">
        <f t="shared" si="0"/>
        <v>2003</v>
      </c>
      <c r="M26" s="66">
        <f>+IFERROR(INDEX([6]PARÁMETROS!$B$11:$B$37,MATCH(L26,[6]PARÁMETROS!$A$11:$A$37,0)),"")</f>
        <v>332000</v>
      </c>
      <c r="N26" s="304">
        <v>978371.63</v>
      </c>
      <c r="O26" s="68" t="s">
        <v>419</v>
      </c>
      <c r="P26" s="58">
        <v>1.1494</v>
      </c>
      <c r="Q26" s="69">
        <f>+P26*N26</f>
        <v>1124540.351522</v>
      </c>
      <c r="R26" s="70">
        <v>2815.14</v>
      </c>
      <c r="S26" s="66">
        <f>IF(R26&lt;&gt;"",Q26*R26,"")</f>
        <v>3165738525.1836429</v>
      </c>
      <c r="T26" s="55">
        <f t="shared" si="1"/>
        <v>9535.3570035651901</v>
      </c>
      <c r="U26" s="55">
        <f t="shared" si="2"/>
        <v>4767.678501782595</v>
      </c>
      <c r="V26" s="55">
        <v>7</v>
      </c>
      <c r="W26" s="799" t="s">
        <v>10</v>
      </c>
      <c r="X26" s="799"/>
      <c r="Y26" s="799"/>
      <c r="Z26" s="799" t="s">
        <v>10</v>
      </c>
      <c r="AA26" s="799"/>
      <c r="AB26" s="799"/>
      <c r="AC26" s="799" t="s">
        <v>10</v>
      </c>
      <c r="AD26" s="799"/>
      <c r="AE26" s="799"/>
      <c r="AF26" s="277" t="s">
        <v>10</v>
      </c>
      <c r="AG26" s="799"/>
      <c r="AH26" s="799"/>
      <c r="AI26" s="277" t="str">
        <f>+IF(U26="","",IF(U26&gt;=[6]PARÁMETROS!$F$5,"CUMPLE","NO CUMPLE"))</f>
        <v>CUMPLE</v>
      </c>
      <c r="AJ26" s="139"/>
      <c r="AK26" s="109"/>
    </row>
    <row r="27" spans="1:37" s="72" customFormat="1" ht="57">
      <c r="A27" s="796"/>
      <c r="B27" s="58" t="s">
        <v>152</v>
      </c>
      <c r="C27" s="75">
        <v>157</v>
      </c>
      <c r="D27" s="299" t="str">
        <f>+IFERROR(INDEX([6]CONSOLIDADO!$D$4:$D$91,MATCH('EXP GEN. 27-33'!B27,[6]CONSOLIDADO!$C$4:$C$91,0)),"")</f>
        <v>DICONSULTORIA SA</v>
      </c>
      <c r="E27" s="62" t="s">
        <v>440</v>
      </c>
      <c r="F27" s="62" t="s">
        <v>439</v>
      </c>
      <c r="G27" s="277" t="s">
        <v>10</v>
      </c>
      <c r="H27" s="277" t="s">
        <v>10</v>
      </c>
      <c r="I27" s="78">
        <v>1</v>
      </c>
      <c r="J27" s="64">
        <v>38762</v>
      </c>
      <c r="K27" s="64">
        <v>39710</v>
      </c>
      <c r="L27" s="65">
        <f t="shared" si="0"/>
        <v>2008</v>
      </c>
      <c r="M27" s="66">
        <f>+IFERROR(INDEX([6]PARÁMETROS!$B$11:$B$37,MATCH(L27,[6]PARÁMETROS!$A$11:$A$37,0)),"")</f>
        <v>461500</v>
      </c>
      <c r="N27" s="304">
        <v>3635481658</v>
      </c>
      <c r="O27" s="68" t="s">
        <v>25</v>
      </c>
      <c r="P27" s="58" t="s">
        <v>346</v>
      </c>
      <c r="Q27" s="69" t="s">
        <v>346</v>
      </c>
      <c r="R27" s="70">
        <v>1</v>
      </c>
      <c r="S27" s="66">
        <f>IF(R27&lt;&gt;"",N27*R27,"")</f>
        <v>3635481658</v>
      </c>
      <c r="T27" s="55">
        <f t="shared" si="1"/>
        <v>7877.5333867822319</v>
      </c>
      <c r="U27" s="55">
        <f t="shared" si="2"/>
        <v>7877.5333867822319</v>
      </c>
      <c r="V27" s="55">
        <v>1</v>
      </c>
      <c r="W27" s="799" t="s">
        <v>10</v>
      </c>
      <c r="X27" s="799"/>
      <c r="Y27" s="799"/>
      <c r="Z27" s="799" t="s">
        <v>10</v>
      </c>
      <c r="AA27" s="799"/>
      <c r="AB27" s="799"/>
      <c r="AC27" s="799" t="s">
        <v>10</v>
      </c>
      <c r="AD27" s="799"/>
      <c r="AE27" s="799"/>
      <c r="AF27" s="277" t="s">
        <v>10</v>
      </c>
      <c r="AG27" s="799"/>
      <c r="AH27" s="799"/>
      <c r="AI27" s="277" t="str">
        <f>+IF(U27="","",IF(U27&gt;=[6]PARÁMETROS!$F$5,"CUMPLE","NO CUMPLE"))</f>
        <v>CUMPLE</v>
      </c>
      <c r="AJ27" s="139"/>
      <c r="AK27" s="109"/>
    </row>
    <row r="28" spans="1:37" s="72" customFormat="1" ht="43.5" thickBot="1">
      <c r="A28" s="806"/>
      <c r="B28" s="141" t="s">
        <v>152</v>
      </c>
      <c r="C28" s="323">
        <v>162</v>
      </c>
      <c r="D28" s="301" t="str">
        <f>+IFERROR(INDEX([6]CONSOLIDADO!$D$4:$D$91,MATCH('EXP GEN. 27-33'!B28,[6]CONSOLIDADO!$C$4:$C$91,0)),"")</f>
        <v>DICONSULTORIA SA</v>
      </c>
      <c r="E28" s="322" t="s">
        <v>438</v>
      </c>
      <c r="F28" s="145" t="s">
        <v>437</v>
      </c>
      <c r="G28" s="278" t="s">
        <v>10</v>
      </c>
      <c r="H28" s="278" t="s">
        <v>10</v>
      </c>
      <c r="I28" s="321">
        <v>1</v>
      </c>
      <c r="J28" s="320">
        <v>37956</v>
      </c>
      <c r="K28" s="319">
        <v>39052</v>
      </c>
      <c r="L28" s="148">
        <f t="shared" si="0"/>
        <v>2006</v>
      </c>
      <c r="M28" s="149">
        <f>+IFERROR(INDEX([6]PARÁMETROS!$B$11:$B$37,MATCH(L28,[6]PARÁMETROS!$A$11:$A$37,0)),"")</f>
        <v>408000</v>
      </c>
      <c r="N28" s="318">
        <v>2387827695</v>
      </c>
      <c r="O28" s="151" t="s">
        <v>25</v>
      </c>
      <c r="P28" s="151" t="s">
        <v>346</v>
      </c>
      <c r="Q28" s="151" t="s">
        <v>346</v>
      </c>
      <c r="R28" s="70">
        <v>1</v>
      </c>
      <c r="S28" s="149">
        <f>IF(R28&lt;&gt;"",N28*R28,"")</f>
        <v>2387827695</v>
      </c>
      <c r="T28" s="154">
        <f t="shared" si="1"/>
        <v>5852.518860294118</v>
      </c>
      <c r="U28" s="154">
        <f t="shared" si="2"/>
        <v>5852.518860294118</v>
      </c>
      <c r="V28" s="317">
        <v>37</v>
      </c>
      <c r="W28" s="801" t="s">
        <v>10</v>
      </c>
      <c r="X28" s="801"/>
      <c r="Y28" s="801"/>
      <c r="Z28" s="801" t="s">
        <v>10</v>
      </c>
      <c r="AA28" s="801"/>
      <c r="AB28" s="801"/>
      <c r="AC28" s="801" t="s">
        <v>10</v>
      </c>
      <c r="AD28" s="801"/>
      <c r="AE28" s="801"/>
      <c r="AF28" s="278" t="s">
        <v>10</v>
      </c>
      <c r="AG28" s="801"/>
      <c r="AH28" s="801"/>
      <c r="AI28" s="278" t="str">
        <f>+IF(U28="","",IF(U28&gt;=[6]PARÁMETROS!$F$5,"CUMPLE","NO CUMPLE"))</f>
        <v>CUMPLE</v>
      </c>
      <c r="AJ28" s="155"/>
      <c r="AK28" s="109"/>
    </row>
    <row r="29" spans="1:37" s="72" customFormat="1" ht="85.5">
      <c r="A29" s="808" t="s">
        <v>294</v>
      </c>
      <c r="B29" s="110" t="s">
        <v>154</v>
      </c>
      <c r="C29" s="111">
        <v>304</v>
      </c>
      <c r="D29" s="316" t="str">
        <f>+IFERROR(INDEX([6]CONSOLIDADO!$D$4:$D$91,MATCH('EXP GEN. 27-33'!B29,[6]CONSOLIDADO!$C$4:$C$91,0)),"")</f>
        <v>SONDEOS ESTRUCTURAS Y GEOTECNIA SUCURSAL S.A.</v>
      </c>
      <c r="E29" s="312" t="s">
        <v>436</v>
      </c>
      <c r="F29" s="311" t="s">
        <v>435</v>
      </c>
      <c r="G29" s="280" t="s">
        <v>10</v>
      </c>
      <c r="H29" s="280" t="s">
        <v>10</v>
      </c>
      <c r="I29" s="115">
        <v>0.23</v>
      </c>
      <c r="J29" s="310">
        <v>35473</v>
      </c>
      <c r="K29" s="310">
        <v>36189</v>
      </c>
      <c r="L29" s="160">
        <f t="shared" si="0"/>
        <v>1999</v>
      </c>
      <c r="M29" s="117">
        <f>+IFERROR(INDEX([6]PARÁMETROS!$B$11:$B$37,MATCH(L29,[6]PARÁMETROS!$A$11:$A$37,0)),"")</f>
        <v>236460</v>
      </c>
      <c r="N29" s="315">
        <v>7035211.1399999997</v>
      </c>
      <c r="O29" s="119" t="s">
        <v>419</v>
      </c>
      <c r="P29" s="110">
        <v>1.1385000000000001</v>
      </c>
      <c r="Q29" s="120">
        <f>+P29*N29</f>
        <v>8009587.88289</v>
      </c>
      <c r="R29" s="121">
        <v>1580.72</v>
      </c>
      <c r="S29" s="117">
        <f>IF(R29&lt;&gt;"",Q29*R29,"")</f>
        <v>12660915758.24188</v>
      </c>
      <c r="T29" s="122">
        <f t="shared" si="1"/>
        <v>53543.583516205195</v>
      </c>
      <c r="U29" s="122">
        <f t="shared" si="2"/>
        <v>12315.024208727196</v>
      </c>
      <c r="V29" s="122">
        <v>51</v>
      </c>
      <c r="W29" s="809" t="s">
        <v>10</v>
      </c>
      <c r="X29" s="809"/>
      <c r="Y29" s="809"/>
      <c r="Z29" s="809" t="s">
        <v>10</v>
      </c>
      <c r="AA29" s="809"/>
      <c r="AB29" s="809"/>
      <c r="AC29" s="809" t="s">
        <v>10</v>
      </c>
      <c r="AD29" s="809"/>
      <c r="AE29" s="809"/>
      <c r="AF29" s="280" t="s">
        <v>10</v>
      </c>
      <c r="AG29" s="809" t="str">
        <f>IF(U29="","",IF(SUM(U29:U32)&gt;=[6]PARÁMETROS!$D$5,"HÁBIL","NO HÁBIL"))</f>
        <v>HÁBIL</v>
      </c>
      <c r="AH29" s="809" t="str">
        <f>IF(U29="","",IF(U29&gt;=[6]PARÁMETROS!$H$5,"HÁBIL","NO HÁBIL"))</f>
        <v>HÁBIL</v>
      </c>
      <c r="AI29" s="314" t="str">
        <f>+IF(U29="","",IF(U29&gt;=[6]PARÁMETROS!$F$5,"CUMPLE","NO CUMPLE"))</f>
        <v>CUMPLE</v>
      </c>
      <c r="AJ29" s="167"/>
      <c r="AK29" s="109"/>
    </row>
    <row r="30" spans="1:37" s="72" customFormat="1" ht="85.5">
      <c r="A30" s="796"/>
      <c r="B30" s="58" t="s">
        <v>154</v>
      </c>
      <c r="C30" s="75">
        <v>314</v>
      </c>
      <c r="D30" s="299" t="str">
        <f>+IFERROR(INDEX([6]CONSOLIDADO!$D$4:$D$91,MATCH('EXP GEN. 27-33'!B30,[6]CONSOLIDADO!$C$4:$C$91,0)),"")</f>
        <v>SONDEOS ESTRUCTURAS Y GEOTECNIA SUCURSAL S.A.</v>
      </c>
      <c r="E30" s="309" t="s">
        <v>434</v>
      </c>
      <c r="F30" s="308" t="s">
        <v>433</v>
      </c>
      <c r="G30" s="277" t="s">
        <v>10</v>
      </c>
      <c r="H30" s="277" t="s">
        <v>10</v>
      </c>
      <c r="I30" s="63">
        <v>0.5</v>
      </c>
      <c r="J30" s="307">
        <v>38693</v>
      </c>
      <c r="K30" s="307">
        <v>40907</v>
      </c>
      <c r="L30" s="65">
        <f t="shared" si="0"/>
        <v>2011</v>
      </c>
      <c r="M30" s="66">
        <f>+IFERROR(INDEX([6]PARÁMETROS!$B$11:$B$37,MATCH(L30,[6]PARÁMETROS!$A$11:$A$37,0)),"")</f>
        <v>535600</v>
      </c>
      <c r="N30" s="313">
        <v>1827620.16</v>
      </c>
      <c r="O30" s="68" t="s">
        <v>419</v>
      </c>
      <c r="P30" s="58">
        <v>1.2922119999999999</v>
      </c>
      <c r="Q30" s="69">
        <f>+P30*N30</f>
        <v>2361672.7021939196</v>
      </c>
      <c r="R30" s="70">
        <v>1942.7</v>
      </c>
      <c r="S30" s="66">
        <f>IF(R30&lt;&gt;"",Q30*R30,"")</f>
        <v>4588021558.5521278</v>
      </c>
      <c r="T30" s="55">
        <f t="shared" si="1"/>
        <v>8566.1343512922485</v>
      </c>
      <c r="U30" s="55">
        <f t="shared" si="2"/>
        <v>4283.0671756461243</v>
      </c>
      <c r="V30" s="55">
        <v>78</v>
      </c>
      <c r="W30" s="799" t="s">
        <v>10</v>
      </c>
      <c r="X30" s="799"/>
      <c r="Y30" s="799"/>
      <c r="Z30" s="799" t="s">
        <v>10</v>
      </c>
      <c r="AA30" s="799"/>
      <c r="AB30" s="799"/>
      <c r="AC30" s="799" t="s">
        <v>10</v>
      </c>
      <c r="AD30" s="799"/>
      <c r="AE30" s="799"/>
      <c r="AF30" s="277" t="s">
        <v>10</v>
      </c>
      <c r="AG30" s="799"/>
      <c r="AH30" s="799"/>
      <c r="AI30" s="277" t="str">
        <f>+IF(U30="","",IF(U30&gt;=[6]PARÁMETROS!$F$5,"CUMPLE","NO CUMPLE"))</f>
        <v>CUMPLE</v>
      </c>
      <c r="AJ30" s="139"/>
      <c r="AK30" s="109"/>
    </row>
    <row r="31" spans="1:37" s="72" customFormat="1" ht="71.25">
      <c r="A31" s="796"/>
      <c r="B31" s="58" t="s">
        <v>153</v>
      </c>
      <c r="C31" s="75">
        <v>325</v>
      </c>
      <c r="D31" s="299" t="str">
        <f>+IFERROR(INDEX([6]CONSOLIDADO!$D$4:$D$91,MATCH('EXP GEN. 27-33'!B31,[6]CONSOLIDADO!$C$4:$C$91,0)),"")</f>
        <v>INGENIERIA CONSULTORIA Y PLANEACION S.A. INCOPLAN S.A</v>
      </c>
      <c r="E31" s="312" t="s">
        <v>432</v>
      </c>
      <c r="F31" s="311" t="s">
        <v>431</v>
      </c>
      <c r="G31" s="277" t="s">
        <v>10</v>
      </c>
      <c r="H31" s="277" t="s">
        <v>10</v>
      </c>
      <c r="I31" s="63">
        <v>0.6</v>
      </c>
      <c r="J31" s="310">
        <v>39997</v>
      </c>
      <c r="K31" s="310">
        <v>42338</v>
      </c>
      <c r="L31" s="65">
        <f t="shared" si="0"/>
        <v>2015</v>
      </c>
      <c r="M31" s="66">
        <f>+IFERROR(INDEX([6]PARÁMETROS!$B$11:$B$37,MATCH(L31,[6]PARÁMETROS!$A$11:$A$37,0)),"")</f>
        <v>644350</v>
      </c>
      <c r="N31" s="304">
        <v>6605610884</v>
      </c>
      <c r="O31" s="68" t="s">
        <v>25</v>
      </c>
      <c r="P31" s="58" t="s">
        <v>346</v>
      </c>
      <c r="Q31" s="69" t="s">
        <v>346</v>
      </c>
      <c r="R31" s="70">
        <v>1</v>
      </c>
      <c r="S31" s="66">
        <f t="shared" ref="S31:S36" si="4">IF(R31&lt;&gt;"",N31*R31,"")</f>
        <v>6605610884</v>
      </c>
      <c r="T31" s="55">
        <f t="shared" si="1"/>
        <v>10251.588242414837</v>
      </c>
      <c r="U31" s="55">
        <f t="shared" si="2"/>
        <v>6150.952945448902</v>
      </c>
      <c r="V31" s="55" t="s">
        <v>422</v>
      </c>
      <c r="W31" s="799"/>
      <c r="X31" s="799"/>
      <c r="Y31" s="799"/>
      <c r="Z31" s="799"/>
      <c r="AA31" s="799"/>
      <c r="AB31" s="799"/>
      <c r="AC31" s="799"/>
      <c r="AD31" s="799"/>
      <c r="AE31" s="799"/>
      <c r="AF31" s="277"/>
      <c r="AG31" s="799"/>
      <c r="AH31" s="799"/>
      <c r="AI31" s="277" t="str">
        <f>+IF(U31="","",IF(U31&gt;=[6]PARÁMETROS!$F$5,"CUMPLE","NO CUMPLE"))</f>
        <v>CUMPLE</v>
      </c>
      <c r="AJ31" s="139"/>
      <c r="AK31" s="109"/>
    </row>
    <row r="32" spans="1:37" s="72" customFormat="1" ht="143.25" thickBot="1">
      <c r="A32" s="796"/>
      <c r="B32" s="58" t="s">
        <v>153</v>
      </c>
      <c r="C32" s="75">
        <v>329</v>
      </c>
      <c r="D32" s="299" t="str">
        <f>+IFERROR(INDEX([6]CONSOLIDADO!$D$4:$D$91,MATCH('EXP GEN. 27-33'!B32,[6]CONSOLIDADO!$C$4:$C$91,0)),"")</f>
        <v>INGENIERIA CONSULTORIA Y PLANEACION S.A. INCOPLAN S.A</v>
      </c>
      <c r="E32" s="309" t="s">
        <v>430</v>
      </c>
      <c r="F32" s="308" t="s">
        <v>429</v>
      </c>
      <c r="G32" s="277" t="s">
        <v>10</v>
      </c>
      <c r="H32" s="277" t="s">
        <v>10</v>
      </c>
      <c r="I32" s="63">
        <v>0.45</v>
      </c>
      <c r="J32" s="307">
        <v>40954</v>
      </c>
      <c r="K32" s="307">
        <v>42331</v>
      </c>
      <c r="L32" s="65">
        <f t="shared" si="0"/>
        <v>2015</v>
      </c>
      <c r="M32" s="66">
        <f>+IFERROR(INDEX([6]PARÁMETROS!$B$11:$B$37,MATCH(L32,[6]PARÁMETROS!$A$11:$A$37,0)),"")</f>
        <v>644350</v>
      </c>
      <c r="N32" s="304">
        <v>6670475572</v>
      </c>
      <c r="O32" s="68" t="s">
        <v>25</v>
      </c>
      <c r="P32" s="58" t="s">
        <v>346</v>
      </c>
      <c r="Q32" s="69" t="s">
        <v>346</v>
      </c>
      <c r="R32" s="70">
        <v>1</v>
      </c>
      <c r="S32" s="66">
        <f t="shared" si="4"/>
        <v>6670475572</v>
      </c>
      <c r="T32" s="55">
        <f t="shared" si="1"/>
        <v>10352.255097384961</v>
      </c>
      <c r="U32" s="55">
        <f t="shared" si="2"/>
        <v>4658.514793823233</v>
      </c>
      <c r="V32" s="55" t="s">
        <v>422</v>
      </c>
      <c r="W32" s="799"/>
      <c r="X32" s="799"/>
      <c r="Y32" s="799"/>
      <c r="Z32" s="799"/>
      <c r="AA32" s="799"/>
      <c r="AB32" s="799"/>
      <c r="AC32" s="799"/>
      <c r="AD32" s="799"/>
      <c r="AE32" s="799"/>
      <c r="AF32" s="277"/>
      <c r="AG32" s="799"/>
      <c r="AH32" s="799"/>
      <c r="AI32" s="277" t="str">
        <f>+IF(U32="","",IF(U32&gt;=[6]PARÁMETROS!$F$5,"CUMPLE","NO CUMPLE"))</f>
        <v>CUMPLE</v>
      </c>
      <c r="AJ32" s="139"/>
      <c r="AK32" s="109"/>
    </row>
    <row r="33" spans="1:37" s="72" customFormat="1" ht="57">
      <c r="A33" s="795" t="s">
        <v>297</v>
      </c>
      <c r="B33" s="123" t="s">
        <v>155</v>
      </c>
      <c r="C33" s="157">
        <v>255</v>
      </c>
      <c r="D33" s="303" t="str">
        <f>+IFERROR(INDEX([6]CONSOLIDADO!$D$4:$D$91,MATCH('EXP GEN. 27-33'!B33,[6]CONSOLIDADO!$C$4:$C$91,0)),"")</f>
        <v xml:space="preserve">INGENIERIA DE PROYECTOS SAS.  </v>
      </c>
      <c r="E33" s="246" t="s">
        <v>371</v>
      </c>
      <c r="F33" s="127" t="s">
        <v>428</v>
      </c>
      <c r="G33" s="279" t="s">
        <v>10</v>
      </c>
      <c r="H33" s="279" t="s">
        <v>10</v>
      </c>
      <c r="I33" s="128">
        <v>0.5</v>
      </c>
      <c r="J33" s="129">
        <v>38338</v>
      </c>
      <c r="K33" s="129">
        <v>40296</v>
      </c>
      <c r="L33" s="130">
        <f t="shared" si="0"/>
        <v>2010</v>
      </c>
      <c r="M33" s="131">
        <f>+IFERROR(INDEX([6]PARÁMETROS!$B$11:$B$37,MATCH(L33,[6]PARÁMETROS!$A$11:$A$37,0)),"")</f>
        <v>515000</v>
      </c>
      <c r="N33" s="305">
        <v>5611007434</v>
      </c>
      <c r="O33" s="133" t="s">
        <v>25</v>
      </c>
      <c r="P33" s="123" t="s">
        <v>346</v>
      </c>
      <c r="Q33" s="134" t="s">
        <v>346</v>
      </c>
      <c r="R33" s="135">
        <v>1</v>
      </c>
      <c r="S33" s="131">
        <f t="shared" si="4"/>
        <v>5611007434</v>
      </c>
      <c r="T33" s="136">
        <f t="shared" si="1"/>
        <v>10895.160066019418</v>
      </c>
      <c r="U33" s="136">
        <f t="shared" si="2"/>
        <v>5447.580033009709</v>
      </c>
      <c r="V33" s="136">
        <v>109</v>
      </c>
      <c r="W33" s="798" t="s">
        <v>10</v>
      </c>
      <c r="X33" s="798"/>
      <c r="Y33" s="798"/>
      <c r="Z33" s="798" t="s">
        <v>10</v>
      </c>
      <c r="AA33" s="798"/>
      <c r="AB33" s="798"/>
      <c r="AC33" s="798" t="s">
        <v>10</v>
      </c>
      <c r="AD33" s="798"/>
      <c r="AE33" s="798"/>
      <c r="AF33" s="279" t="s">
        <v>10</v>
      </c>
      <c r="AG33" s="798" t="str">
        <f>IF(U33="","",IF(SUM(U33:U37)&gt;=[6]PARÁMETROS!$D$5,"HÁBIL","NO HÁBIL"))</f>
        <v>HÁBIL</v>
      </c>
      <c r="AH33" s="798" t="str">
        <f>IF(U33="","",IF(U33&gt;=[6]PARÁMETROS!$H$5,"HÁBIL","NO HÁBIL"))</f>
        <v>HÁBIL</v>
      </c>
      <c r="AI33" s="168" t="str">
        <f>+IF(U33="","",IF(U33&gt;=[6]PARÁMETROS!$F$5,"CUMPLE","NO CUMPLE"))</f>
        <v>CUMPLE</v>
      </c>
      <c r="AJ33" s="138"/>
      <c r="AK33" s="109"/>
    </row>
    <row r="34" spans="1:37" s="72" customFormat="1" ht="42.75">
      <c r="A34" s="796"/>
      <c r="B34" s="58" t="s">
        <v>155</v>
      </c>
      <c r="C34" s="75">
        <v>307</v>
      </c>
      <c r="D34" s="299" t="str">
        <f>+IFERROR(INDEX([6]CONSOLIDADO!$D$4:$D$91,MATCH('EXP GEN. 27-33'!B34,[6]CONSOLIDADO!$C$4:$C$91,0)),"")</f>
        <v xml:space="preserve">INGENIERIA DE PROYECTOS SAS.  </v>
      </c>
      <c r="E34" s="61" t="s">
        <v>380</v>
      </c>
      <c r="F34" s="62" t="s">
        <v>427</v>
      </c>
      <c r="G34" s="277" t="s">
        <v>10</v>
      </c>
      <c r="H34" s="277" t="s">
        <v>10</v>
      </c>
      <c r="I34" s="63">
        <v>1</v>
      </c>
      <c r="J34" s="64">
        <v>39181</v>
      </c>
      <c r="K34" s="64">
        <v>39950</v>
      </c>
      <c r="L34" s="65">
        <f t="shared" si="0"/>
        <v>2009</v>
      </c>
      <c r="M34" s="66">
        <f>+IFERROR(INDEX([6]PARÁMETROS!$B$11:$B$37,MATCH(L34,[6]PARÁMETROS!$A$11:$A$37,0)),"")</f>
        <v>496900</v>
      </c>
      <c r="N34" s="304">
        <v>1219858640</v>
      </c>
      <c r="O34" s="68" t="s">
        <v>25</v>
      </c>
      <c r="P34" s="58" t="s">
        <v>346</v>
      </c>
      <c r="Q34" s="69" t="s">
        <v>346</v>
      </c>
      <c r="R34" s="70">
        <v>1</v>
      </c>
      <c r="S34" s="66">
        <f t="shared" si="4"/>
        <v>1219858640</v>
      </c>
      <c r="T34" s="55">
        <f t="shared" si="1"/>
        <v>2454.9378949486818</v>
      </c>
      <c r="U34" s="55">
        <f t="shared" si="2"/>
        <v>2454.9378949486818</v>
      </c>
      <c r="V34" s="55">
        <v>180</v>
      </c>
      <c r="W34" s="799" t="s">
        <v>10</v>
      </c>
      <c r="X34" s="799"/>
      <c r="Y34" s="799"/>
      <c r="Z34" s="799" t="s">
        <v>10</v>
      </c>
      <c r="AA34" s="799"/>
      <c r="AB34" s="799"/>
      <c r="AC34" s="799" t="s">
        <v>10</v>
      </c>
      <c r="AD34" s="799"/>
      <c r="AE34" s="799"/>
      <c r="AF34" s="277" t="s">
        <v>10</v>
      </c>
      <c r="AG34" s="799"/>
      <c r="AH34" s="799"/>
      <c r="AI34" s="277" t="str">
        <f>+IF(U34="","",IF(U34&gt;=[6]PARÁMETROS!$F$5,"CUMPLE","NO CUMPLE"))</f>
        <v>CUMPLE</v>
      </c>
      <c r="AJ34" s="139"/>
      <c r="AK34" s="109"/>
    </row>
    <row r="35" spans="1:37" s="72" customFormat="1" ht="59.25" customHeight="1">
      <c r="A35" s="796"/>
      <c r="B35" s="58" t="s">
        <v>155</v>
      </c>
      <c r="C35" s="75">
        <v>265</v>
      </c>
      <c r="D35" s="299" t="str">
        <f>+IFERROR(INDEX([6]CONSOLIDADO!$D$4:$D$91,MATCH('EXP GEN. 27-33'!B35,[6]CONSOLIDADO!$C$4:$C$91,0)),"")</f>
        <v xml:space="preserve">INGENIERIA DE PROYECTOS SAS.  </v>
      </c>
      <c r="E35" s="61" t="s">
        <v>426</v>
      </c>
      <c r="F35" s="62" t="s">
        <v>425</v>
      </c>
      <c r="G35" s="277" t="s">
        <v>10</v>
      </c>
      <c r="H35" s="277" t="s">
        <v>10</v>
      </c>
      <c r="I35" s="63">
        <v>1</v>
      </c>
      <c r="J35" s="64">
        <v>40609</v>
      </c>
      <c r="K35" s="64">
        <v>41441</v>
      </c>
      <c r="L35" s="65">
        <f t="shared" ref="L35:L66" si="5">IF(K35="","",YEAR(K35))</f>
        <v>2013</v>
      </c>
      <c r="M35" s="66">
        <f>+IFERROR(INDEX([6]PARÁMETROS!$B$11:$B$37,MATCH(L35,[6]PARÁMETROS!$A$11:$A$37,0)),"")</f>
        <v>589500</v>
      </c>
      <c r="N35" s="304">
        <v>1749995913</v>
      </c>
      <c r="O35" s="68" t="s">
        <v>25</v>
      </c>
      <c r="P35" s="58" t="s">
        <v>346</v>
      </c>
      <c r="Q35" s="69" t="s">
        <v>346</v>
      </c>
      <c r="R35" s="70">
        <v>1</v>
      </c>
      <c r="S35" s="66">
        <f t="shared" si="4"/>
        <v>1749995913</v>
      </c>
      <c r="T35" s="55">
        <f t="shared" ref="T35:T66" si="6">+IFERROR(S35/M35,"")</f>
        <v>2968.6105394402034</v>
      </c>
      <c r="U35" s="55">
        <f t="shared" ref="U35:U66" si="7">IFERROR(T35*I35,"")</f>
        <v>2968.6105394402034</v>
      </c>
      <c r="V35" s="55">
        <v>38</v>
      </c>
      <c r="W35" s="799" t="s">
        <v>10</v>
      </c>
      <c r="X35" s="799"/>
      <c r="Y35" s="799"/>
      <c r="Z35" s="799" t="s">
        <v>10</v>
      </c>
      <c r="AA35" s="799"/>
      <c r="AB35" s="799"/>
      <c r="AC35" s="799" t="s">
        <v>10</v>
      </c>
      <c r="AD35" s="799"/>
      <c r="AE35" s="799"/>
      <c r="AF35" s="277" t="s">
        <v>10</v>
      </c>
      <c r="AG35" s="799"/>
      <c r="AH35" s="799"/>
      <c r="AI35" s="277" t="str">
        <f>+IF(U35="","",IF(U35&gt;=[6]PARÁMETROS!$F$5,"CUMPLE","NO CUMPLE"))</f>
        <v>CUMPLE</v>
      </c>
      <c r="AJ35" s="139"/>
      <c r="AK35" s="109"/>
    </row>
    <row r="36" spans="1:37" s="72" customFormat="1" ht="57">
      <c r="A36" s="796"/>
      <c r="B36" s="58" t="s">
        <v>156</v>
      </c>
      <c r="C36" s="75">
        <v>349</v>
      </c>
      <c r="D36" s="299" t="str">
        <f>+IFERROR(INDEX([6]CONSOLIDADO!$D$4:$D$91,MATCH('EXP GEN. 27-33'!B36,[6]CONSOLIDADO!$C$4:$C$91,0)),"")</f>
        <v>INGENIEROS CIVILES ESPECIALISTAS LTDA</v>
      </c>
      <c r="E36" s="83" t="s">
        <v>424</v>
      </c>
      <c r="F36" s="84" t="s">
        <v>423</v>
      </c>
      <c r="G36" s="277" t="s">
        <v>10</v>
      </c>
      <c r="H36" s="277" t="s">
        <v>10</v>
      </c>
      <c r="I36" s="85">
        <v>0.5</v>
      </c>
      <c r="J36" s="86">
        <v>37288</v>
      </c>
      <c r="K36" s="86">
        <v>42265</v>
      </c>
      <c r="L36" s="65">
        <f t="shared" si="5"/>
        <v>2015</v>
      </c>
      <c r="M36" s="66">
        <f>+IFERROR(INDEX([6]PARÁMETROS!$B$11:$B$37,MATCH(L36,[6]PARÁMETROS!$A$11:$A$37,0)),"")</f>
        <v>644350</v>
      </c>
      <c r="N36" s="306"/>
      <c r="O36" s="88" t="s">
        <v>25</v>
      </c>
      <c r="P36" s="58" t="s">
        <v>346</v>
      </c>
      <c r="Q36" s="69" t="s">
        <v>346</v>
      </c>
      <c r="R36" s="70">
        <v>1</v>
      </c>
      <c r="S36" s="66">
        <f t="shared" si="4"/>
        <v>0</v>
      </c>
      <c r="T36" s="55">
        <v>16317.48</v>
      </c>
      <c r="U36" s="55">
        <f t="shared" si="7"/>
        <v>8158.74</v>
      </c>
      <c r="V36" s="55" t="s">
        <v>422</v>
      </c>
      <c r="W36" s="799"/>
      <c r="X36" s="799"/>
      <c r="Y36" s="799"/>
      <c r="Z36" s="799"/>
      <c r="AA36" s="799"/>
      <c r="AB36" s="799"/>
      <c r="AC36" s="799"/>
      <c r="AD36" s="799"/>
      <c r="AE36" s="799"/>
      <c r="AF36" s="277"/>
      <c r="AG36" s="799"/>
      <c r="AH36" s="799"/>
      <c r="AI36" s="277" t="str">
        <f>+IF(U36="","",IF(U36&gt;=[6]PARÁMETROS!$F$5,"CUMPLE","NO CUMPLE"))</f>
        <v>CUMPLE</v>
      </c>
      <c r="AJ36" s="140"/>
      <c r="AK36" s="109"/>
    </row>
    <row r="37" spans="1:37" s="72" customFormat="1" ht="43.5" thickBot="1">
      <c r="A37" s="796"/>
      <c r="B37" s="58" t="s">
        <v>300</v>
      </c>
      <c r="C37" s="75">
        <v>379</v>
      </c>
      <c r="D37" s="299" t="str">
        <f>+IFERROR(INDEX([6]CONSOLIDADO!$D$4:$D$91,MATCH('EXP GEN. 27-33'!B37,[6]CONSOLIDADO!$C$4:$C$91,0)),"")</f>
        <v>EGIS COLOMBIA SAS</v>
      </c>
      <c r="E37" s="61" t="s">
        <v>421</v>
      </c>
      <c r="F37" s="62" t="s">
        <v>420</v>
      </c>
      <c r="G37" s="277" t="s">
        <v>10</v>
      </c>
      <c r="H37" s="277" t="s">
        <v>10</v>
      </c>
      <c r="I37" s="63">
        <v>1</v>
      </c>
      <c r="J37" s="64">
        <v>39539</v>
      </c>
      <c r="K37" s="64">
        <v>41061</v>
      </c>
      <c r="L37" s="65">
        <f t="shared" si="5"/>
        <v>2012</v>
      </c>
      <c r="M37" s="66">
        <f>+IFERROR(INDEX([6]PARÁMETROS!$B$11:$B$37,MATCH(L37,[6]PARÁMETROS!$A$11:$A$37,0)),"")</f>
        <v>566700</v>
      </c>
      <c r="N37" s="304">
        <v>12427664</v>
      </c>
      <c r="O37" s="68" t="s">
        <v>419</v>
      </c>
      <c r="P37" s="58">
        <v>1.23814</v>
      </c>
      <c r="Q37" s="69">
        <f>+P37*N37</f>
        <v>15387187.904960001</v>
      </c>
      <c r="R37" s="70">
        <v>1833.8</v>
      </c>
      <c r="S37" s="66">
        <f>IF(R37&lt;&gt;"",Q37*R37,"")</f>
        <v>28217025180.11565</v>
      </c>
      <c r="T37" s="55">
        <f t="shared" si="6"/>
        <v>49791.821387181313</v>
      </c>
      <c r="U37" s="55">
        <f t="shared" si="7"/>
        <v>49791.821387181313</v>
      </c>
      <c r="V37" s="55">
        <v>1</v>
      </c>
      <c r="W37" s="799" t="s">
        <v>10</v>
      </c>
      <c r="X37" s="799"/>
      <c r="Y37" s="799"/>
      <c r="Z37" s="799" t="s">
        <v>11</v>
      </c>
      <c r="AA37" s="799"/>
      <c r="AB37" s="799"/>
      <c r="AC37" s="799" t="s">
        <v>10</v>
      </c>
      <c r="AD37" s="799"/>
      <c r="AE37" s="799"/>
      <c r="AF37" s="277" t="s">
        <v>10</v>
      </c>
      <c r="AG37" s="799"/>
      <c r="AH37" s="799"/>
      <c r="AI37" s="280" t="s">
        <v>747</v>
      </c>
      <c r="AJ37" s="139"/>
      <c r="AK37" s="109"/>
    </row>
    <row r="38" spans="1:37" s="72" customFormat="1" ht="30" customHeight="1">
      <c r="A38" s="795"/>
      <c r="B38" s="123"/>
      <c r="C38" s="157"/>
      <c r="D38" s="303" t="str">
        <f>+IFERROR(INDEX([6]CONSOLIDADO!$D$4:$D$91,MATCH('EXP GEN. 27-33'!B38,[6]CONSOLIDADO!$C$4:$C$91,0)),"")</f>
        <v/>
      </c>
      <c r="E38" s="126"/>
      <c r="F38" s="127"/>
      <c r="G38" s="279"/>
      <c r="H38" s="279"/>
      <c r="I38" s="128"/>
      <c r="J38" s="129"/>
      <c r="K38" s="129"/>
      <c r="L38" s="130" t="str">
        <f t="shared" si="5"/>
        <v/>
      </c>
      <c r="M38" s="131" t="str">
        <f>+IFERROR(INDEX([6]PARÁMETROS!$B$11:$B$37,MATCH(L38,[6]PARÁMETROS!$A$11:$A$37,0)),"")</f>
        <v/>
      </c>
      <c r="N38" s="305"/>
      <c r="O38" s="133"/>
      <c r="P38" s="123"/>
      <c r="Q38" s="134"/>
      <c r="R38" s="135"/>
      <c r="S38" s="131" t="str">
        <f t="shared" ref="S38:S73" si="8">IF(R38&lt;&gt;"",N38*R38,"")</f>
        <v/>
      </c>
      <c r="T38" s="136" t="str">
        <f t="shared" si="6"/>
        <v/>
      </c>
      <c r="U38" s="136" t="str">
        <f t="shared" si="7"/>
        <v/>
      </c>
      <c r="V38" s="136"/>
      <c r="W38" s="798"/>
      <c r="X38" s="798"/>
      <c r="Y38" s="798"/>
      <c r="Z38" s="798"/>
      <c r="AA38" s="798"/>
      <c r="AB38" s="798"/>
      <c r="AC38" s="798"/>
      <c r="AD38" s="798"/>
      <c r="AE38" s="798"/>
      <c r="AF38" s="279"/>
      <c r="AG38" s="798" t="str">
        <f>IF(U38="","",IF(SUM(U38:U40)&gt;=[6]PARÁMETROS!$D$5,"HÁBIL","NO HÁBIL"))</f>
        <v/>
      </c>
      <c r="AH38" s="798" t="str">
        <f>IF(U38="","",IF(U38&gt;=[6]PARÁMETROS!$H$5,"HÁBIL","NO HÁBIL"))</f>
        <v/>
      </c>
      <c r="AI38" s="279" t="str">
        <f>+IF(U38="","",IF(U38&gt;=[6]PARÁMETROS!$D$5,"CUMPLE","NO CUMPLE"))</f>
        <v/>
      </c>
      <c r="AJ38" s="138"/>
      <c r="AK38" s="109"/>
    </row>
    <row r="39" spans="1:37" s="72" customFormat="1" ht="30" customHeight="1">
      <c r="A39" s="796"/>
      <c r="B39" s="58"/>
      <c r="C39" s="75"/>
      <c r="D39" s="299" t="str">
        <f>+IFERROR(INDEX([6]CONSOLIDADO!$D$4:$D$91,MATCH('EXP GEN. 27-33'!B39,[6]CONSOLIDADO!$C$4:$C$91,0)),"")</f>
        <v/>
      </c>
      <c r="E39" s="61"/>
      <c r="F39" s="62"/>
      <c r="G39" s="277"/>
      <c r="H39" s="277"/>
      <c r="I39" s="63"/>
      <c r="J39" s="64"/>
      <c r="K39" s="64"/>
      <c r="L39" s="65" t="str">
        <f t="shared" si="5"/>
        <v/>
      </c>
      <c r="M39" s="66" t="str">
        <f>+IFERROR(INDEX([6]PARÁMETROS!$B$11:$B$37,MATCH(L39,[6]PARÁMETROS!$A$11:$A$37,0)),"")</f>
        <v/>
      </c>
      <c r="N39" s="304"/>
      <c r="O39" s="68"/>
      <c r="P39" s="58"/>
      <c r="Q39" s="69"/>
      <c r="R39" s="70"/>
      <c r="S39" s="66" t="str">
        <f t="shared" si="8"/>
        <v/>
      </c>
      <c r="T39" s="55" t="str">
        <f t="shared" si="6"/>
        <v/>
      </c>
      <c r="U39" s="55" t="str">
        <f t="shared" si="7"/>
        <v/>
      </c>
      <c r="V39" s="55"/>
      <c r="W39" s="799"/>
      <c r="X39" s="799"/>
      <c r="Y39" s="799"/>
      <c r="Z39" s="799"/>
      <c r="AA39" s="799"/>
      <c r="AB39" s="799"/>
      <c r="AC39" s="799"/>
      <c r="AD39" s="799"/>
      <c r="AE39" s="799"/>
      <c r="AF39" s="277"/>
      <c r="AG39" s="799"/>
      <c r="AH39" s="799"/>
      <c r="AI39" s="277" t="str">
        <f>+IF(U39="","",IF(U39&gt;=[6]PARÁMETROS!$D$5,"CUMPLE","NO CUMPLE"))</f>
        <v/>
      </c>
      <c r="AJ39" s="139"/>
      <c r="AK39" s="109"/>
    </row>
    <row r="40" spans="1:37" s="72" customFormat="1" ht="30" customHeight="1">
      <c r="A40" s="796"/>
      <c r="B40" s="58"/>
      <c r="C40" s="75"/>
      <c r="D40" s="299" t="str">
        <f>+IFERROR(INDEX([6]CONSOLIDADO!$D$4:$D$91,MATCH('EXP GEN. 27-33'!B40,[6]CONSOLIDADO!$C$4:$C$91,0)),"")</f>
        <v/>
      </c>
      <c r="E40" s="61"/>
      <c r="F40" s="62"/>
      <c r="G40" s="277"/>
      <c r="H40" s="277"/>
      <c r="I40" s="63"/>
      <c r="J40" s="64"/>
      <c r="K40" s="64"/>
      <c r="L40" s="65" t="str">
        <f t="shared" si="5"/>
        <v/>
      </c>
      <c r="M40" s="66" t="str">
        <f>+IFERROR(INDEX([6]PARÁMETROS!$B$11:$B$37,MATCH(L40,[6]PARÁMETROS!$A$11:$A$37,0)),"")</f>
        <v/>
      </c>
      <c r="N40" s="304"/>
      <c r="O40" s="68"/>
      <c r="P40" s="58"/>
      <c r="Q40" s="69"/>
      <c r="R40" s="70"/>
      <c r="S40" s="66" t="str">
        <f t="shared" si="8"/>
        <v/>
      </c>
      <c r="T40" s="55" t="str">
        <f t="shared" si="6"/>
        <v/>
      </c>
      <c r="U40" s="55" t="str">
        <f t="shared" si="7"/>
        <v/>
      </c>
      <c r="V40" s="55"/>
      <c r="W40" s="799"/>
      <c r="X40" s="799"/>
      <c r="Y40" s="799"/>
      <c r="Z40" s="799"/>
      <c r="AA40" s="799"/>
      <c r="AB40" s="799"/>
      <c r="AC40" s="799"/>
      <c r="AD40" s="799"/>
      <c r="AE40" s="799"/>
      <c r="AF40" s="277"/>
      <c r="AG40" s="799"/>
      <c r="AH40" s="799"/>
      <c r="AI40" s="277" t="str">
        <f>+IF(U40="","",IF(U40&gt;=[6]PARÁMETROS!$D$5,"CUMPLE","NO CUMPLE"))</f>
        <v/>
      </c>
      <c r="AJ40" s="139"/>
      <c r="AK40" s="109"/>
    </row>
    <row r="41" spans="1:37" s="72" customFormat="1" ht="30" customHeight="1">
      <c r="A41" s="796"/>
      <c r="B41" s="58"/>
      <c r="C41" s="75"/>
      <c r="D41" s="299" t="str">
        <f>+IFERROR(INDEX([6]CONSOLIDADO!$D$4:$D$91,MATCH('EXP GEN. 27-33'!B41,[6]CONSOLIDADO!$C$4:$C$91,0)),"")</f>
        <v/>
      </c>
      <c r="E41" s="61"/>
      <c r="F41" s="62"/>
      <c r="G41" s="277"/>
      <c r="H41" s="277"/>
      <c r="I41" s="63"/>
      <c r="J41" s="64"/>
      <c r="K41" s="64"/>
      <c r="L41" s="65" t="str">
        <f t="shared" si="5"/>
        <v/>
      </c>
      <c r="M41" s="66" t="str">
        <f>+IFERROR(INDEX([6]PARÁMETROS!$B$11:$B$37,MATCH(L41,[6]PARÁMETROS!$A$11:$A$37,0)),"")</f>
        <v/>
      </c>
      <c r="N41" s="304"/>
      <c r="O41" s="68"/>
      <c r="P41" s="58"/>
      <c r="Q41" s="69"/>
      <c r="R41" s="70"/>
      <c r="S41" s="66" t="str">
        <f t="shared" si="8"/>
        <v/>
      </c>
      <c r="T41" s="55" t="str">
        <f t="shared" si="6"/>
        <v/>
      </c>
      <c r="U41" s="55" t="str">
        <f t="shared" si="7"/>
        <v/>
      </c>
      <c r="V41" s="55"/>
      <c r="W41" s="799"/>
      <c r="X41" s="799"/>
      <c r="Y41" s="799"/>
      <c r="Z41" s="799"/>
      <c r="AA41" s="799"/>
      <c r="AB41" s="799"/>
      <c r="AC41" s="799"/>
      <c r="AD41" s="799"/>
      <c r="AE41" s="799"/>
      <c r="AF41" s="277"/>
      <c r="AG41" s="799"/>
      <c r="AH41" s="799"/>
      <c r="AI41" s="277" t="str">
        <f>+IF(U41="","",IF(U41&gt;=[6]PARÁMETROS!$D$5,"CUMPLE","NO CUMPLE"))</f>
        <v/>
      </c>
      <c r="AJ41" s="139"/>
      <c r="AK41" s="109"/>
    </row>
    <row r="42" spans="1:37" s="72" customFormat="1" ht="30" customHeight="1">
      <c r="A42" s="796"/>
      <c r="B42" s="58"/>
      <c r="C42" s="75"/>
      <c r="D42" s="299" t="str">
        <f>+IFERROR(INDEX([6]CONSOLIDADO!$D$4:$D$91,MATCH('EXP GEN. 27-33'!B42,[6]CONSOLIDADO!$C$4:$C$91,0)),"")</f>
        <v/>
      </c>
      <c r="E42" s="61"/>
      <c r="F42" s="61"/>
      <c r="G42" s="277"/>
      <c r="H42" s="277"/>
      <c r="I42" s="73"/>
      <c r="J42" s="64"/>
      <c r="K42" s="64"/>
      <c r="L42" s="65" t="str">
        <f t="shared" si="5"/>
        <v/>
      </c>
      <c r="M42" s="66" t="str">
        <f>+IFERROR(INDEX([6]PARÁMETROS!$B$11:$B$37,MATCH(L42,[6]PARÁMETROS!$A$11:$A$37,0)),"")</f>
        <v/>
      </c>
      <c r="N42" s="298"/>
      <c r="O42" s="66"/>
      <c r="P42" s="58"/>
      <c r="Q42" s="69"/>
      <c r="R42" s="70"/>
      <c r="S42" s="66" t="str">
        <f t="shared" si="8"/>
        <v/>
      </c>
      <c r="T42" s="55" t="str">
        <f t="shared" si="6"/>
        <v/>
      </c>
      <c r="U42" s="55" t="str">
        <f t="shared" si="7"/>
        <v/>
      </c>
      <c r="V42" s="55"/>
      <c r="W42" s="799"/>
      <c r="X42" s="799"/>
      <c r="Y42" s="799"/>
      <c r="Z42" s="799"/>
      <c r="AA42" s="799"/>
      <c r="AB42" s="799"/>
      <c r="AC42" s="799"/>
      <c r="AD42" s="799"/>
      <c r="AE42" s="799"/>
      <c r="AF42" s="277"/>
      <c r="AG42" s="799"/>
      <c r="AH42" s="799"/>
      <c r="AI42" s="277" t="str">
        <f>+IF(U42="","",IF(U42&gt;=[6]PARÁMETROS!$D$5,"CUMPLE","NO CUMPLE"))</f>
        <v/>
      </c>
      <c r="AJ42" s="139"/>
      <c r="AK42" s="109"/>
    </row>
    <row r="43" spans="1:37" s="72" customFormat="1" ht="30" customHeight="1" thickBot="1">
      <c r="A43" s="806"/>
      <c r="B43" s="141"/>
      <c r="C43" s="142"/>
      <c r="D43" s="301" t="str">
        <f>+IFERROR(INDEX([6]CONSOLIDADO!$D$4:$D$91,MATCH('EXP GEN. 27-33'!B43,[6]CONSOLIDADO!$C$4:$C$91,0)),"")</f>
        <v/>
      </c>
      <c r="E43" s="144"/>
      <c r="F43" s="144"/>
      <c r="G43" s="278"/>
      <c r="H43" s="278"/>
      <c r="I43" s="164"/>
      <c r="J43" s="147"/>
      <c r="K43" s="147"/>
      <c r="L43" s="148" t="str">
        <f t="shared" si="5"/>
        <v/>
      </c>
      <c r="M43" s="149" t="str">
        <f>+IFERROR(INDEX([6]PARÁMETROS!$B$11:$B$37,MATCH(L43,[6]PARÁMETROS!$A$11:$A$37,0)),"")</f>
        <v/>
      </c>
      <c r="N43" s="300"/>
      <c r="O43" s="149"/>
      <c r="P43" s="141"/>
      <c r="Q43" s="152"/>
      <c r="R43" s="153"/>
      <c r="S43" s="149" t="str">
        <f t="shared" si="8"/>
        <v/>
      </c>
      <c r="T43" s="154" t="str">
        <f t="shared" si="6"/>
        <v/>
      </c>
      <c r="U43" s="154" t="str">
        <f t="shared" si="7"/>
        <v/>
      </c>
      <c r="V43" s="154"/>
      <c r="W43" s="801"/>
      <c r="X43" s="801"/>
      <c r="Y43" s="801"/>
      <c r="Z43" s="801"/>
      <c r="AA43" s="801"/>
      <c r="AB43" s="801"/>
      <c r="AC43" s="801"/>
      <c r="AD43" s="801"/>
      <c r="AE43" s="801"/>
      <c r="AF43" s="278"/>
      <c r="AG43" s="801"/>
      <c r="AH43" s="801"/>
      <c r="AI43" s="278" t="str">
        <f>+IF(U43="","",IF(U43&gt;=[6]PARÁMETROS!$D$5,"CUMPLE","NO CUMPLE"))</f>
        <v/>
      </c>
      <c r="AJ43" s="155"/>
      <c r="AK43" s="109"/>
    </row>
    <row r="44" spans="1:37" s="72" customFormat="1" ht="30" customHeight="1">
      <c r="A44" s="795"/>
      <c r="B44" s="123"/>
      <c r="C44" s="157"/>
      <c r="D44" s="303" t="str">
        <f>+IFERROR(INDEX([6]CONSOLIDADO!$D$4:$D$91,MATCH('EXP GEN. 27-33'!B44,[6]CONSOLIDADO!$C$4:$C$91,0)),"")</f>
        <v/>
      </c>
      <c r="E44" s="126"/>
      <c r="F44" s="126"/>
      <c r="G44" s="279"/>
      <c r="H44" s="279"/>
      <c r="I44" s="162"/>
      <c r="J44" s="129"/>
      <c r="K44" s="129"/>
      <c r="L44" s="130" t="str">
        <f t="shared" si="5"/>
        <v/>
      </c>
      <c r="M44" s="131" t="str">
        <f>+IFERROR(INDEX([6]PARÁMETROS!$B$11:$B$37,MATCH(L44,[6]PARÁMETROS!$A$11:$A$37,0)),"")</f>
        <v/>
      </c>
      <c r="N44" s="302"/>
      <c r="O44" s="131"/>
      <c r="P44" s="123"/>
      <c r="Q44" s="134"/>
      <c r="R44" s="135"/>
      <c r="S44" s="131" t="str">
        <f t="shared" si="8"/>
        <v/>
      </c>
      <c r="T44" s="136" t="str">
        <f t="shared" si="6"/>
        <v/>
      </c>
      <c r="U44" s="136" t="str">
        <f t="shared" si="7"/>
        <v/>
      </c>
      <c r="V44" s="136"/>
      <c r="W44" s="798"/>
      <c r="X44" s="798"/>
      <c r="Y44" s="798"/>
      <c r="Z44" s="798"/>
      <c r="AA44" s="798"/>
      <c r="AB44" s="798"/>
      <c r="AC44" s="798"/>
      <c r="AD44" s="798"/>
      <c r="AE44" s="798"/>
      <c r="AF44" s="279"/>
      <c r="AG44" s="798" t="str">
        <f>IF(U44="","",IF(SUM(U44:U46)&gt;=[6]PARÁMETROS!$H$5,"HÁBIL","NO HÁBIL"))</f>
        <v/>
      </c>
      <c r="AH44" s="798" t="str">
        <f>IF(U44="","",IF(U44&gt;=[6]PARÁMETROS!$F$5,"HÁBIL","NO HÁBIL"))</f>
        <v/>
      </c>
      <c r="AI44" s="279" t="str">
        <f>+IF(U44="","",IF(U44&gt;=[6]PARÁMETROS!$D$5,"CUMPLE","NO CUMPLE"))</f>
        <v/>
      </c>
      <c r="AJ44" s="138"/>
      <c r="AK44" s="109"/>
    </row>
    <row r="45" spans="1:37" s="72" customFormat="1" ht="30" customHeight="1">
      <c r="A45" s="796"/>
      <c r="B45" s="58"/>
      <c r="C45" s="75"/>
      <c r="D45" s="299" t="str">
        <f>+IFERROR(INDEX([6]CONSOLIDADO!$D$4:$D$91,MATCH('EXP GEN. 27-33'!B45,[6]CONSOLIDADO!$C$4:$C$91,0)),"")</f>
        <v/>
      </c>
      <c r="E45" s="61"/>
      <c r="F45" s="61"/>
      <c r="G45" s="277"/>
      <c r="H45" s="277"/>
      <c r="I45" s="73"/>
      <c r="J45" s="64"/>
      <c r="K45" s="64"/>
      <c r="L45" s="65" t="str">
        <f t="shared" si="5"/>
        <v/>
      </c>
      <c r="M45" s="66" t="str">
        <f>+IFERROR(INDEX([6]PARÁMETROS!$B$11:$B$37,MATCH(L45,[6]PARÁMETROS!$A$11:$A$37,0)),"")</f>
        <v/>
      </c>
      <c r="N45" s="298"/>
      <c r="O45" s="66"/>
      <c r="P45" s="58"/>
      <c r="Q45" s="69"/>
      <c r="R45" s="70"/>
      <c r="S45" s="66" t="str">
        <f t="shared" si="8"/>
        <v/>
      </c>
      <c r="T45" s="55" t="str">
        <f t="shared" si="6"/>
        <v/>
      </c>
      <c r="U45" s="55" t="str">
        <f t="shared" si="7"/>
        <v/>
      </c>
      <c r="V45" s="55"/>
      <c r="W45" s="799"/>
      <c r="X45" s="799"/>
      <c r="Y45" s="799"/>
      <c r="Z45" s="799"/>
      <c r="AA45" s="799"/>
      <c r="AB45" s="799"/>
      <c r="AC45" s="799"/>
      <c r="AD45" s="799"/>
      <c r="AE45" s="799"/>
      <c r="AF45" s="277"/>
      <c r="AG45" s="799"/>
      <c r="AH45" s="799"/>
      <c r="AI45" s="277" t="str">
        <f>+IF(U45="","",IF(U45&gt;=[6]PARÁMETROS!$D$5,"CUMPLE","NO CUMPLE"))</f>
        <v/>
      </c>
      <c r="AJ45" s="139"/>
      <c r="AK45" s="109"/>
    </row>
    <row r="46" spans="1:37" s="72" customFormat="1" ht="30" customHeight="1">
      <c r="A46" s="796"/>
      <c r="B46" s="58"/>
      <c r="C46" s="75"/>
      <c r="D46" s="299" t="str">
        <f>+IFERROR(INDEX([6]CONSOLIDADO!$D$4:$D$91,MATCH('EXP GEN. 27-33'!B46,[6]CONSOLIDADO!$C$4:$C$91,0)),"")</f>
        <v/>
      </c>
      <c r="E46" s="61"/>
      <c r="F46" s="61"/>
      <c r="G46" s="277"/>
      <c r="H46" s="277"/>
      <c r="I46" s="73"/>
      <c r="J46" s="64"/>
      <c r="K46" s="64"/>
      <c r="L46" s="65" t="str">
        <f t="shared" si="5"/>
        <v/>
      </c>
      <c r="M46" s="66" t="str">
        <f>+IFERROR(INDEX([6]PARÁMETROS!$B$11:$B$37,MATCH(L46,[6]PARÁMETROS!$A$11:$A$37,0)),"")</f>
        <v/>
      </c>
      <c r="N46" s="298"/>
      <c r="O46" s="66"/>
      <c r="P46" s="58"/>
      <c r="Q46" s="69"/>
      <c r="R46" s="70"/>
      <c r="S46" s="66" t="str">
        <f t="shared" si="8"/>
        <v/>
      </c>
      <c r="T46" s="55" t="str">
        <f t="shared" si="6"/>
        <v/>
      </c>
      <c r="U46" s="55" t="str">
        <f t="shared" si="7"/>
        <v/>
      </c>
      <c r="V46" s="55"/>
      <c r="W46" s="799"/>
      <c r="X46" s="799"/>
      <c r="Y46" s="799"/>
      <c r="Z46" s="799"/>
      <c r="AA46" s="799"/>
      <c r="AB46" s="799"/>
      <c r="AC46" s="799"/>
      <c r="AD46" s="799"/>
      <c r="AE46" s="799"/>
      <c r="AF46" s="277"/>
      <c r="AG46" s="799"/>
      <c r="AH46" s="799"/>
      <c r="AI46" s="277" t="str">
        <f>+IF(U46="","",IF(U46&gt;=[6]PARÁMETROS!$D$5,"CUMPLE","NO CUMPLE"))</f>
        <v/>
      </c>
      <c r="AJ46" s="139"/>
      <c r="AK46" s="109"/>
    </row>
    <row r="47" spans="1:37" s="72" customFormat="1" ht="30" customHeight="1">
      <c r="A47" s="796"/>
      <c r="B47" s="58"/>
      <c r="C47" s="75"/>
      <c r="D47" s="299" t="str">
        <f>+IFERROR(INDEX([6]CONSOLIDADO!$D$4:$D$91,MATCH('EXP GEN. 27-33'!B47,[6]CONSOLIDADO!$C$4:$C$91,0)),"")</f>
        <v/>
      </c>
      <c r="E47" s="61"/>
      <c r="F47" s="61"/>
      <c r="G47" s="277"/>
      <c r="H47" s="277"/>
      <c r="I47" s="73"/>
      <c r="J47" s="64"/>
      <c r="K47" s="64"/>
      <c r="L47" s="65" t="str">
        <f t="shared" si="5"/>
        <v/>
      </c>
      <c r="M47" s="66" t="str">
        <f>+IFERROR(INDEX([6]PARÁMETROS!$B$11:$B$37,MATCH(L47,[6]PARÁMETROS!$A$11:$A$37,0)),"")</f>
        <v/>
      </c>
      <c r="N47" s="298"/>
      <c r="O47" s="66"/>
      <c r="P47" s="58"/>
      <c r="Q47" s="69"/>
      <c r="R47" s="70"/>
      <c r="S47" s="66" t="str">
        <f t="shared" si="8"/>
        <v/>
      </c>
      <c r="T47" s="55" t="str">
        <f t="shared" si="6"/>
        <v/>
      </c>
      <c r="U47" s="55" t="str">
        <f t="shared" si="7"/>
        <v/>
      </c>
      <c r="V47" s="55"/>
      <c r="W47" s="799"/>
      <c r="X47" s="799"/>
      <c r="Y47" s="799"/>
      <c r="Z47" s="799"/>
      <c r="AA47" s="799"/>
      <c r="AB47" s="799"/>
      <c r="AC47" s="799"/>
      <c r="AD47" s="799"/>
      <c r="AE47" s="799"/>
      <c r="AF47" s="277"/>
      <c r="AG47" s="799"/>
      <c r="AH47" s="799"/>
      <c r="AI47" s="277" t="str">
        <f>+IF(U47="","",IF(U47&gt;=[6]PARÁMETROS!$D$5,"CUMPLE","NO CUMPLE"))</f>
        <v/>
      </c>
      <c r="AJ47" s="139"/>
      <c r="AK47" s="109"/>
    </row>
    <row r="48" spans="1:37" s="72" customFormat="1" ht="30" customHeight="1">
      <c r="A48" s="796"/>
      <c r="B48" s="58"/>
      <c r="C48" s="75"/>
      <c r="D48" s="299" t="str">
        <f>+IFERROR(INDEX([6]CONSOLIDADO!$D$4:$D$91,MATCH('EXP GEN. 27-33'!B48,[6]CONSOLIDADO!$C$4:$C$91,0)),"")</f>
        <v/>
      </c>
      <c r="E48" s="61"/>
      <c r="F48" s="61"/>
      <c r="G48" s="277"/>
      <c r="H48" s="277"/>
      <c r="I48" s="73"/>
      <c r="J48" s="64"/>
      <c r="K48" s="64"/>
      <c r="L48" s="65" t="str">
        <f t="shared" si="5"/>
        <v/>
      </c>
      <c r="M48" s="66" t="str">
        <f>+IFERROR(INDEX([6]PARÁMETROS!$B$11:$B$37,MATCH(L48,[6]PARÁMETROS!$A$11:$A$37,0)),"")</f>
        <v/>
      </c>
      <c r="N48" s="298"/>
      <c r="O48" s="66"/>
      <c r="P48" s="58"/>
      <c r="Q48" s="69"/>
      <c r="R48" s="70"/>
      <c r="S48" s="66" t="str">
        <f t="shared" si="8"/>
        <v/>
      </c>
      <c r="T48" s="55" t="str">
        <f t="shared" si="6"/>
        <v/>
      </c>
      <c r="U48" s="55" t="str">
        <f t="shared" si="7"/>
        <v/>
      </c>
      <c r="V48" s="55"/>
      <c r="W48" s="799"/>
      <c r="X48" s="799"/>
      <c r="Y48" s="799"/>
      <c r="Z48" s="799"/>
      <c r="AA48" s="799"/>
      <c r="AB48" s="799"/>
      <c r="AC48" s="799"/>
      <c r="AD48" s="799"/>
      <c r="AE48" s="799"/>
      <c r="AF48" s="277"/>
      <c r="AG48" s="799"/>
      <c r="AH48" s="799"/>
      <c r="AI48" s="277" t="str">
        <f>+IF(U48="","",IF(U48&gt;=[6]PARÁMETROS!$D$5,"CUMPLE","NO CUMPLE"))</f>
        <v/>
      </c>
      <c r="AJ48" s="139"/>
      <c r="AK48" s="109"/>
    </row>
    <row r="49" spans="1:37" s="72" customFormat="1" ht="30" customHeight="1" thickBot="1">
      <c r="A49" s="806"/>
      <c r="B49" s="141"/>
      <c r="C49" s="142"/>
      <c r="D49" s="301" t="str">
        <f>+IFERROR(INDEX([6]CONSOLIDADO!$D$4:$D$91,MATCH('EXP GEN. 27-33'!B49,[6]CONSOLIDADO!$C$4:$C$91,0)),"")</f>
        <v/>
      </c>
      <c r="E49" s="144"/>
      <c r="F49" s="144"/>
      <c r="G49" s="278"/>
      <c r="H49" s="278"/>
      <c r="I49" s="164"/>
      <c r="J49" s="147"/>
      <c r="K49" s="147"/>
      <c r="L49" s="148" t="str">
        <f t="shared" si="5"/>
        <v/>
      </c>
      <c r="M49" s="149" t="str">
        <f>+IFERROR(INDEX([6]PARÁMETROS!$B$11:$B$37,MATCH(L49,[6]PARÁMETROS!$A$11:$A$37,0)),"")</f>
        <v/>
      </c>
      <c r="N49" s="300"/>
      <c r="O49" s="149"/>
      <c r="P49" s="141"/>
      <c r="Q49" s="152"/>
      <c r="R49" s="153"/>
      <c r="S49" s="149" t="str">
        <f t="shared" si="8"/>
        <v/>
      </c>
      <c r="T49" s="154" t="str">
        <f t="shared" si="6"/>
        <v/>
      </c>
      <c r="U49" s="154" t="str">
        <f t="shared" si="7"/>
        <v/>
      </c>
      <c r="V49" s="154"/>
      <c r="W49" s="801"/>
      <c r="X49" s="801"/>
      <c r="Y49" s="801"/>
      <c r="Z49" s="801"/>
      <c r="AA49" s="801"/>
      <c r="AB49" s="801"/>
      <c r="AC49" s="801"/>
      <c r="AD49" s="801"/>
      <c r="AE49" s="801"/>
      <c r="AF49" s="278"/>
      <c r="AG49" s="801"/>
      <c r="AH49" s="801"/>
      <c r="AI49" s="278" t="str">
        <f>+IF(U49="","",IF(U49&gt;=[6]PARÁMETROS!$D$5,"CUMPLE","NO CUMPLE"))</f>
        <v/>
      </c>
      <c r="AJ49" s="155"/>
      <c r="AK49" s="109"/>
    </row>
    <row r="50" spans="1:37" s="72" customFormat="1" ht="30" customHeight="1">
      <c r="A50" s="795"/>
      <c r="B50" s="123"/>
      <c r="C50" s="157"/>
      <c r="D50" s="303" t="str">
        <f>+IFERROR(INDEX([6]CONSOLIDADO!$D$4:$D$91,MATCH('EXP GEN. 27-33'!B50,[6]CONSOLIDADO!$C$4:$C$91,0)),"")</f>
        <v/>
      </c>
      <c r="E50" s="126"/>
      <c r="F50" s="126"/>
      <c r="G50" s="279"/>
      <c r="H50" s="279"/>
      <c r="I50" s="162"/>
      <c r="J50" s="129"/>
      <c r="K50" s="129"/>
      <c r="L50" s="130" t="str">
        <f t="shared" si="5"/>
        <v/>
      </c>
      <c r="M50" s="131" t="str">
        <f>+IFERROR(INDEX([6]PARÁMETROS!$B$11:$B$37,MATCH(L50,[6]PARÁMETROS!$A$11:$A$37,0)),"")</f>
        <v/>
      </c>
      <c r="N50" s="302"/>
      <c r="O50" s="131"/>
      <c r="P50" s="123"/>
      <c r="Q50" s="134"/>
      <c r="R50" s="135"/>
      <c r="S50" s="131" t="str">
        <f t="shared" si="8"/>
        <v/>
      </c>
      <c r="T50" s="136" t="str">
        <f t="shared" si="6"/>
        <v/>
      </c>
      <c r="U50" s="136" t="str">
        <f t="shared" si="7"/>
        <v/>
      </c>
      <c r="V50" s="136"/>
      <c r="W50" s="798"/>
      <c r="X50" s="798"/>
      <c r="Y50" s="798"/>
      <c r="Z50" s="798"/>
      <c r="AA50" s="798"/>
      <c r="AB50" s="798"/>
      <c r="AC50" s="798"/>
      <c r="AD50" s="798"/>
      <c r="AE50" s="798"/>
      <c r="AF50" s="279"/>
      <c r="AG50" s="798" t="str">
        <f>IF(U50="","",IF(SUM(U50:U52)&gt;=[6]PARÁMETROS!$H$5,"HÁBIL","NO HÁBIL"))</f>
        <v/>
      </c>
      <c r="AH50" s="798" t="str">
        <f>IF(U50="","",IF(U50&gt;=[6]PARÁMETROS!$F$5,"HÁBIL","NO HÁBIL"))</f>
        <v/>
      </c>
      <c r="AI50" s="279" t="str">
        <f>+IF(U50="","",IF(U50&gt;=[6]PARÁMETROS!$D$5,"CUMPLE","NO CUMPLE"))</f>
        <v/>
      </c>
      <c r="AJ50" s="138"/>
      <c r="AK50" s="109"/>
    </row>
    <row r="51" spans="1:37" s="72" customFormat="1" ht="30" customHeight="1">
      <c r="A51" s="796"/>
      <c r="B51" s="58"/>
      <c r="C51" s="75"/>
      <c r="D51" s="299" t="str">
        <f>+IFERROR(INDEX([6]CONSOLIDADO!$D$4:$D$91,MATCH('EXP GEN. 27-33'!B51,[6]CONSOLIDADO!$C$4:$C$91,0)),"")</f>
        <v/>
      </c>
      <c r="E51" s="61"/>
      <c r="F51" s="61"/>
      <c r="G51" s="277"/>
      <c r="H51" s="277"/>
      <c r="I51" s="73"/>
      <c r="J51" s="64"/>
      <c r="K51" s="64"/>
      <c r="L51" s="65" t="str">
        <f t="shared" si="5"/>
        <v/>
      </c>
      <c r="M51" s="66" t="str">
        <f>+IFERROR(INDEX([6]PARÁMETROS!$B$11:$B$37,MATCH(L51,[6]PARÁMETROS!$A$11:$A$37,0)),"")</f>
        <v/>
      </c>
      <c r="N51" s="298"/>
      <c r="O51" s="66"/>
      <c r="P51" s="58"/>
      <c r="Q51" s="69"/>
      <c r="R51" s="70"/>
      <c r="S51" s="66" t="str">
        <f t="shared" si="8"/>
        <v/>
      </c>
      <c r="T51" s="55" t="str">
        <f t="shared" si="6"/>
        <v/>
      </c>
      <c r="U51" s="55" t="str">
        <f t="shared" si="7"/>
        <v/>
      </c>
      <c r="V51" s="55"/>
      <c r="W51" s="799"/>
      <c r="X51" s="799"/>
      <c r="Y51" s="799"/>
      <c r="Z51" s="799"/>
      <c r="AA51" s="799"/>
      <c r="AB51" s="799"/>
      <c r="AC51" s="799"/>
      <c r="AD51" s="799"/>
      <c r="AE51" s="799"/>
      <c r="AF51" s="277"/>
      <c r="AG51" s="799"/>
      <c r="AH51" s="799"/>
      <c r="AI51" s="277" t="str">
        <f>+IF(U51="","",IF(U51&gt;=[6]PARÁMETROS!$D$5,"CUMPLE","NO CUMPLE"))</f>
        <v/>
      </c>
      <c r="AJ51" s="139"/>
      <c r="AK51" s="109"/>
    </row>
    <row r="52" spans="1:37" s="72" customFormat="1" ht="30" customHeight="1">
      <c r="A52" s="796"/>
      <c r="B52" s="58"/>
      <c r="C52" s="75"/>
      <c r="D52" s="299" t="str">
        <f>+IFERROR(INDEX([6]CONSOLIDADO!$D$4:$D$91,MATCH('EXP GEN. 27-33'!B52,[6]CONSOLIDADO!$C$4:$C$91,0)),"")</f>
        <v/>
      </c>
      <c r="E52" s="61"/>
      <c r="F52" s="61"/>
      <c r="G52" s="277"/>
      <c r="H52" s="277"/>
      <c r="I52" s="73"/>
      <c r="J52" s="64"/>
      <c r="K52" s="64"/>
      <c r="L52" s="65" t="str">
        <f t="shared" si="5"/>
        <v/>
      </c>
      <c r="M52" s="66" t="str">
        <f>+IFERROR(INDEX([6]PARÁMETROS!$B$11:$B$37,MATCH(L52,[6]PARÁMETROS!$A$11:$A$37,0)),"")</f>
        <v/>
      </c>
      <c r="N52" s="298"/>
      <c r="O52" s="66"/>
      <c r="P52" s="58"/>
      <c r="Q52" s="69"/>
      <c r="R52" s="70"/>
      <c r="S52" s="66" t="str">
        <f t="shared" si="8"/>
        <v/>
      </c>
      <c r="T52" s="55" t="str">
        <f t="shared" si="6"/>
        <v/>
      </c>
      <c r="U52" s="55" t="str">
        <f t="shared" si="7"/>
        <v/>
      </c>
      <c r="V52" s="55"/>
      <c r="W52" s="799"/>
      <c r="X52" s="799"/>
      <c r="Y52" s="799"/>
      <c r="Z52" s="799"/>
      <c r="AA52" s="799"/>
      <c r="AB52" s="799"/>
      <c r="AC52" s="799"/>
      <c r="AD52" s="799"/>
      <c r="AE52" s="799"/>
      <c r="AF52" s="277"/>
      <c r="AG52" s="799"/>
      <c r="AH52" s="799"/>
      <c r="AI52" s="277" t="str">
        <f>+IF(U52="","",IF(U52&gt;=[6]PARÁMETROS!$D$5,"CUMPLE","NO CUMPLE"))</f>
        <v/>
      </c>
      <c r="AJ52" s="139"/>
      <c r="AK52" s="109"/>
    </row>
    <row r="53" spans="1:37" s="72" customFormat="1" ht="30" customHeight="1">
      <c r="A53" s="796"/>
      <c r="B53" s="58"/>
      <c r="C53" s="75"/>
      <c r="D53" s="299" t="str">
        <f>+IFERROR(INDEX([6]CONSOLIDADO!$D$4:$D$91,MATCH('EXP GEN. 27-33'!B53,[6]CONSOLIDADO!$C$4:$C$91,0)),"")</f>
        <v/>
      </c>
      <c r="E53" s="61"/>
      <c r="F53" s="61"/>
      <c r="G53" s="277"/>
      <c r="H53" s="277"/>
      <c r="I53" s="73"/>
      <c r="J53" s="64"/>
      <c r="K53" s="64"/>
      <c r="L53" s="65" t="str">
        <f t="shared" si="5"/>
        <v/>
      </c>
      <c r="M53" s="66" t="str">
        <f>+IFERROR(INDEX([6]PARÁMETROS!$B$11:$B$37,MATCH(L53,[6]PARÁMETROS!$A$11:$A$37,0)),"")</f>
        <v/>
      </c>
      <c r="N53" s="298"/>
      <c r="O53" s="66"/>
      <c r="P53" s="58"/>
      <c r="Q53" s="69"/>
      <c r="R53" s="70"/>
      <c r="S53" s="66" t="str">
        <f t="shared" si="8"/>
        <v/>
      </c>
      <c r="T53" s="55" t="str">
        <f t="shared" si="6"/>
        <v/>
      </c>
      <c r="U53" s="55" t="str">
        <f t="shared" si="7"/>
        <v/>
      </c>
      <c r="V53" s="55"/>
      <c r="W53" s="799"/>
      <c r="X53" s="799"/>
      <c r="Y53" s="799"/>
      <c r="Z53" s="799"/>
      <c r="AA53" s="799"/>
      <c r="AB53" s="799"/>
      <c r="AC53" s="799"/>
      <c r="AD53" s="799"/>
      <c r="AE53" s="799"/>
      <c r="AF53" s="277"/>
      <c r="AG53" s="799"/>
      <c r="AH53" s="799"/>
      <c r="AI53" s="277" t="str">
        <f>+IF(U53="","",IF(U53&gt;=[6]PARÁMETROS!$D$5,"CUMPLE","NO CUMPLE"))</f>
        <v/>
      </c>
      <c r="AJ53" s="139"/>
      <c r="AK53" s="109"/>
    </row>
    <row r="54" spans="1:37" s="72" customFormat="1" ht="30" customHeight="1">
      <c r="A54" s="796"/>
      <c r="B54" s="58"/>
      <c r="C54" s="75"/>
      <c r="D54" s="299" t="str">
        <f>+IFERROR(INDEX([6]CONSOLIDADO!$D$4:$D$91,MATCH('EXP GEN. 27-33'!B54,[6]CONSOLIDADO!$C$4:$C$91,0)),"")</f>
        <v/>
      </c>
      <c r="E54" s="61"/>
      <c r="F54" s="61"/>
      <c r="G54" s="277"/>
      <c r="H54" s="277"/>
      <c r="I54" s="73"/>
      <c r="J54" s="64"/>
      <c r="K54" s="64"/>
      <c r="L54" s="65" t="str">
        <f t="shared" si="5"/>
        <v/>
      </c>
      <c r="M54" s="66" t="str">
        <f>+IFERROR(INDEX([6]PARÁMETROS!$B$11:$B$37,MATCH(L54,[6]PARÁMETROS!$A$11:$A$37,0)),"")</f>
        <v/>
      </c>
      <c r="N54" s="298"/>
      <c r="O54" s="66"/>
      <c r="P54" s="58"/>
      <c r="Q54" s="69"/>
      <c r="R54" s="70"/>
      <c r="S54" s="66" t="str">
        <f t="shared" si="8"/>
        <v/>
      </c>
      <c r="T54" s="55" t="str">
        <f t="shared" si="6"/>
        <v/>
      </c>
      <c r="U54" s="55" t="str">
        <f t="shared" si="7"/>
        <v/>
      </c>
      <c r="V54" s="55"/>
      <c r="W54" s="799"/>
      <c r="X54" s="799"/>
      <c r="Y54" s="799"/>
      <c r="Z54" s="799"/>
      <c r="AA54" s="799"/>
      <c r="AB54" s="799"/>
      <c r="AC54" s="799"/>
      <c r="AD54" s="799"/>
      <c r="AE54" s="799"/>
      <c r="AF54" s="277"/>
      <c r="AG54" s="799"/>
      <c r="AH54" s="799"/>
      <c r="AI54" s="277" t="str">
        <f>+IF(U54="","",IF(U54&gt;=[6]PARÁMETROS!$D$5,"CUMPLE","NO CUMPLE"))</f>
        <v/>
      </c>
      <c r="AJ54" s="139"/>
      <c r="AK54" s="109"/>
    </row>
    <row r="55" spans="1:37" s="72" customFormat="1" ht="30" customHeight="1" thickBot="1">
      <c r="A55" s="806"/>
      <c r="B55" s="141"/>
      <c r="C55" s="142"/>
      <c r="D55" s="301" t="str">
        <f>+IFERROR(INDEX([6]CONSOLIDADO!$D$4:$D$91,MATCH('EXP GEN. 27-33'!B55,[6]CONSOLIDADO!$C$4:$C$91,0)),"")</f>
        <v/>
      </c>
      <c r="E55" s="144"/>
      <c r="F55" s="144"/>
      <c r="G55" s="278"/>
      <c r="H55" s="278"/>
      <c r="I55" s="164"/>
      <c r="J55" s="147"/>
      <c r="K55" s="147"/>
      <c r="L55" s="148" t="str">
        <f t="shared" si="5"/>
        <v/>
      </c>
      <c r="M55" s="149" t="str">
        <f>+IFERROR(INDEX([6]PARÁMETROS!$B$11:$B$37,MATCH(L55,[6]PARÁMETROS!$A$11:$A$37,0)),"")</f>
        <v/>
      </c>
      <c r="N55" s="300"/>
      <c r="O55" s="149"/>
      <c r="P55" s="141"/>
      <c r="Q55" s="152"/>
      <c r="R55" s="153"/>
      <c r="S55" s="149" t="str">
        <f t="shared" si="8"/>
        <v/>
      </c>
      <c r="T55" s="154" t="str">
        <f t="shared" si="6"/>
        <v/>
      </c>
      <c r="U55" s="154" t="str">
        <f t="shared" si="7"/>
        <v/>
      </c>
      <c r="V55" s="154"/>
      <c r="W55" s="801"/>
      <c r="X55" s="801"/>
      <c r="Y55" s="801"/>
      <c r="Z55" s="801"/>
      <c r="AA55" s="801"/>
      <c r="AB55" s="801"/>
      <c r="AC55" s="801"/>
      <c r="AD55" s="801"/>
      <c r="AE55" s="801"/>
      <c r="AF55" s="278"/>
      <c r="AG55" s="801"/>
      <c r="AH55" s="801"/>
      <c r="AI55" s="278" t="str">
        <f>+IF(U55="","",IF(U55&gt;=[6]PARÁMETROS!$D$5,"CUMPLE","NO CUMPLE"))</f>
        <v/>
      </c>
      <c r="AJ55" s="155"/>
      <c r="AK55" s="109"/>
    </row>
    <row r="56" spans="1:37" s="72" customFormat="1" ht="30" customHeight="1">
      <c r="A56" s="795"/>
      <c r="B56" s="123"/>
      <c r="C56" s="157"/>
      <c r="D56" s="303" t="str">
        <f>+IFERROR(INDEX([6]CONSOLIDADO!$D$4:$D$91,MATCH('EXP GEN. 27-33'!B56,[6]CONSOLIDADO!$C$4:$C$91,0)),"")</f>
        <v/>
      </c>
      <c r="E56" s="126"/>
      <c r="F56" s="126"/>
      <c r="G56" s="279"/>
      <c r="H56" s="279"/>
      <c r="I56" s="162"/>
      <c r="J56" s="129"/>
      <c r="K56" s="129"/>
      <c r="L56" s="130" t="str">
        <f t="shared" si="5"/>
        <v/>
      </c>
      <c r="M56" s="131" t="str">
        <f>+IFERROR(INDEX([6]PARÁMETROS!$B$11:$B$37,MATCH(L56,[6]PARÁMETROS!$A$11:$A$37,0)),"")</f>
        <v/>
      </c>
      <c r="N56" s="302"/>
      <c r="O56" s="131"/>
      <c r="P56" s="123"/>
      <c r="Q56" s="134"/>
      <c r="R56" s="135"/>
      <c r="S56" s="131" t="str">
        <f t="shared" si="8"/>
        <v/>
      </c>
      <c r="T56" s="136" t="str">
        <f t="shared" si="6"/>
        <v/>
      </c>
      <c r="U56" s="136" t="str">
        <f t="shared" si="7"/>
        <v/>
      </c>
      <c r="V56" s="136"/>
      <c r="W56" s="798"/>
      <c r="X56" s="798"/>
      <c r="Y56" s="798"/>
      <c r="Z56" s="798"/>
      <c r="AA56" s="798"/>
      <c r="AB56" s="798"/>
      <c r="AC56" s="798"/>
      <c r="AD56" s="798"/>
      <c r="AE56" s="798"/>
      <c r="AF56" s="279"/>
      <c r="AG56" s="798" t="str">
        <f>IF(U56="","",IF(SUM(U56:U58)&gt;=[6]PARÁMETROS!$H$5,"HÁBIL","NO HÁBIL"))</f>
        <v/>
      </c>
      <c r="AH56" s="798" t="str">
        <f>IF(U56="","",IF(U56&gt;=[6]PARÁMETROS!$F$5,"HÁBIL","NO HÁBIL"))</f>
        <v/>
      </c>
      <c r="AI56" s="279" t="str">
        <f>+IF(U56="","",IF(U56&gt;=[6]PARÁMETROS!$D$5,"CUMPLE","NO CUMPLE"))</f>
        <v/>
      </c>
      <c r="AJ56" s="138"/>
      <c r="AK56" s="109"/>
    </row>
    <row r="57" spans="1:37" s="72" customFormat="1" ht="30" customHeight="1">
      <c r="A57" s="796"/>
      <c r="B57" s="58"/>
      <c r="C57" s="75"/>
      <c r="D57" s="299" t="str">
        <f>+IFERROR(INDEX([6]CONSOLIDADO!$D$4:$D$91,MATCH('EXP GEN. 27-33'!B57,[6]CONSOLIDADO!$C$4:$C$91,0)),"")</f>
        <v/>
      </c>
      <c r="E57" s="61"/>
      <c r="F57" s="61"/>
      <c r="G57" s="277"/>
      <c r="H57" s="277"/>
      <c r="I57" s="73"/>
      <c r="J57" s="64"/>
      <c r="K57" s="64"/>
      <c r="L57" s="65" t="str">
        <f t="shared" si="5"/>
        <v/>
      </c>
      <c r="M57" s="66" t="str">
        <f>+IFERROR(INDEX([6]PARÁMETROS!$B$11:$B$37,MATCH(L57,[6]PARÁMETROS!$A$11:$A$37,0)),"")</f>
        <v/>
      </c>
      <c r="N57" s="298"/>
      <c r="O57" s="66"/>
      <c r="P57" s="58"/>
      <c r="Q57" s="69"/>
      <c r="R57" s="70"/>
      <c r="S57" s="66" t="str">
        <f t="shared" si="8"/>
        <v/>
      </c>
      <c r="T57" s="55" t="str">
        <f t="shared" si="6"/>
        <v/>
      </c>
      <c r="U57" s="55" t="str">
        <f t="shared" si="7"/>
        <v/>
      </c>
      <c r="V57" s="55"/>
      <c r="W57" s="799"/>
      <c r="X57" s="799"/>
      <c r="Y57" s="799"/>
      <c r="Z57" s="799"/>
      <c r="AA57" s="799"/>
      <c r="AB57" s="799"/>
      <c r="AC57" s="799"/>
      <c r="AD57" s="799"/>
      <c r="AE57" s="799"/>
      <c r="AF57" s="277"/>
      <c r="AG57" s="799"/>
      <c r="AH57" s="799"/>
      <c r="AI57" s="277" t="str">
        <f>+IF(U57="","",IF(U57&gt;=[6]PARÁMETROS!$D$5,"CUMPLE","NO CUMPLE"))</f>
        <v/>
      </c>
      <c r="AJ57" s="139"/>
      <c r="AK57" s="109"/>
    </row>
    <row r="58" spans="1:37" s="72" customFormat="1" ht="30" customHeight="1">
      <c r="A58" s="796"/>
      <c r="B58" s="58"/>
      <c r="C58" s="75"/>
      <c r="D58" s="299" t="str">
        <f>+IFERROR(INDEX([6]CONSOLIDADO!$D$4:$D$91,MATCH('EXP GEN. 27-33'!B58,[6]CONSOLIDADO!$C$4:$C$91,0)),"")</f>
        <v/>
      </c>
      <c r="E58" s="61"/>
      <c r="F58" s="61"/>
      <c r="G58" s="277"/>
      <c r="H58" s="277"/>
      <c r="I58" s="73"/>
      <c r="J58" s="64"/>
      <c r="K58" s="64"/>
      <c r="L58" s="65" t="str">
        <f t="shared" si="5"/>
        <v/>
      </c>
      <c r="M58" s="66" t="str">
        <f>+IFERROR(INDEX([6]PARÁMETROS!$B$11:$B$37,MATCH(L58,[6]PARÁMETROS!$A$11:$A$37,0)),"")</f>
        <v/>
      </c>
      <c r="N58" s="298"/>
      <c r="O58" s="66"/>
      <c r="P58" s="58"/>
      <c r="Q58" s="69"/>
      <c r="R58" s="70"/>
      <c r="S58" s="66" t="str">
        <f t="shared" si="8"/>
        <v/>
      </c>
      <c r="T58" s="55" t="str">
        <f t="shared" si="6"/>
        <v/>
      </c>
      <c r="U58" s="55" t="str">
        <f t="shared" si="7"/>
        <v/>
      </c>
      <c r="V58" s="55"/>
      <c r="W58" s="799"/>
      <c r="X58" s="799"/>
      <c r="Y58" s="799"/>
      <c r="Z58" s="799"/>
      <c r="AA58" s="799"/>
      <c r="AB58" s="799"/>
      <c r="AC58" s="799"/>
      <c r="AD58" s="799"/>
      <c r="AE58" s="799"/>
      <c r="AF58" s="277"/>
      <c r="AG58" s="799"/>
      <c r="AH58" s="799"/>
      <c r="AI58" s="277" t="str">
        <f>+IF(U58="","",IF(U58&gt;=[6]PARÁMETROS!$D$5,"CUMPLE","NO CUMPLE"))</f>
        <v/>
      </c>
      <c r="AJ58" s="139"/>
      <c r="AK58" s="109"/>
    </row>
    <row r="59" spans="1:37" s="72" customFormat="1" ht="30" customHeight="1">
      <c r="A59" s="796"/>
      <c r="B59" s="58"/>
      <c r="C59" s="75"/>
      <c r="D59" s="299" t="str">
        <f>+IFERROR(INDEX([6]CONSOLIDADO!$D$4:$D$91,MATCH('EXP GEN. 27-33'!B59,[6]CONSOLIDADO!$C$4:$C$91,0)),"")</f>
        <v/>
      </c>
      <c r="E59" s="61"/>
      <c r="F59" s="61"/>
      <c r="G59" s="277"/>
      <c r="H59" s="277"/>
      <c r="I59" s="73"/>
      <c r="J59" s="64"/>
      <c r="K59" s="64"/>
      <c r="L59" s="65" t="str">
        <f t="shared" si="5"/>
        <v/>
      </c>
      <c r="M59" s="66" t="str">
        <f>+IFERROR(INDEX([6]PARÁMETROS!$B$11:$B$37,MATCH(L59,[6]PARÁMETROS!$A$11:$A$37,0)),"")</f>
        <v/>
      </c>
      <c r="N59" s="298"/>
      <c r="O59" s="66"/>
      <c r="P59" s="58"/>
      <c r="Q59" s="69"/>
      <c r="R59" s="70"/>
      <c r="S59" s="66" t="str">
        <f t="shared" si="8"/>
        <v/>
      </c>
      <c r="T59" s="55" t="str">
        <f t="shared" si="6"/>
        <v/>
      </c>
      <c r="U59" s="55" t="str">
        <f t="shared" si="7"/>
        <v/>
      </c>
      <c r="V59" s="55"/>
      <c r="W59" s="799"/>
      <c r="X59" s="799"/>
      <c r="Y59" s="799"/>
      <c r="Z59" s="799"/>
      <c r="AA59" s="799"/>
      <c r="AB59" s="799"/>
      <c r="AC59" s="799"/>
      <c r="AD59" s="799"/>
      <c r="AE59" s="799"/>
      <c r="AF59" s="277"/>
      <c r="AG59" s="799"/>
      <c r="AH59" s="799"/>
      <c r="AI59" s="277" t="str">
        <f>+IF(U59="","",IF(U59&gt;=[6]PARÁMETROS!$D$5,"CUMPLE","NO CUMPLE"))</f>
        <v/>
      </c>
      <c r="AJ59" s="139"/>
      <c r="AK59" s="109"/>
    </row>
    <row r="60" spans="1:37" s="72" customFormat="1" ht="30" customHeight="1">
      <c r="A60" s="796"/>
      <c r="B60" s="58"/>
      <c r="C60" s="75"/>
      <c r="D60" s="299" t="str">
        <f>+IFERROR(INDEX([6]CONSOLIDADO!$D$4:$D$91,MATCH('EXP GEN. 27-33'!B60,[6]CONSOLIDADO!$C$4:$C$91,0)),"")</f>
        <v/>
      </c>
      <c r="E60" s="61"/>
      <c r="F60" s="61"/>
      <c r="G60" s="277"/>
      <c r="H60" s="277"/>
      <c r="I60" s="73"/>
      <c r="J60" s="64"/>
      <c r="K60" s="64"/>
      <c r="L60" s="65" t="str">
        <f t="shared" si="5"/>
        <v/>
      </c>
      <c r="M60" s="66" t="str">
        <f>+IFERROR(INDEX([6]PARÁMETROS!$B$11:$B$37,MATCH(L60,[6]PARÁMETROS!$A$11:$A$37,0)),"")</f>
        <v/>
      </c>
      <c r="N60" s="298"/>
      <c r="O60" s="66"/>
      <c r="P60" s="58"/>
      <c r="Q60" s="69"/>
      <c r="R60" s="70"/>
      <c r="S60" s="66" t="str">
        <f t="shared" si="8"/>
        <v/>
      </c>
      <c r="T60" s="55" t="str">
        <f t="shared" si="6"/>
        <v/>
      </c>
      <c r="U60" s="55" t="str">
        <f t="shared" si="7"/>
        <v/>
      </c>
      <c r="V60" s="55"/>
      <c r="W60" s="799"/>
      <c r="X60" s="799"/>
      <c r="Y60" s="799"/>
      <c r="Z60" s="799"/>
      <c r="AA60" s="799"/>
      <c r="AB60" s="799"/>
      <c r="AC60" s="799"/>
      <c r="AD60" s="799"/>
      <c r="AE60" s="799"/>
      <c r="AF60" s="277"/>
      <c r="AG60" s="799"/>
      <c r="AH60" s="799"/>
      <c r="AI60" s="277" t="str">
        <f>+IF(U60="","",IF(U60&gt;=[6]PARÁMETROS!$D$5,"CUMPLE","NO CUMPLE"))</f>
        <v/>
      </c>
      <c r="AJ60" s="139"/>
      <c r="AK60" s="109"/>
    </row>
    <row r="61" spans="1:37" s="72" customFormat="1" ht="30" customHeight="1" thickBot="1">
      <c r="A61" s="806"/>
      <c r="B61" s="141"/>
      <c r="C61" s="142"/>
      <c r="D61" s="301" t="str">
        <f>+IFERROR(INDEX([6]CONSOLIDADO!$D$4:$D$91,MATCH('EXP GEN. 27-33'!B61,[6]CONSOLIDADO!$C$4:$C$91,0)),"")</f>
        <v/>
      </c>
      <c r="E61" s="144"/>
      <c r="F61" s="144"/>
      <c r="G61" s="278"/>
      <c r="H61" s="278"/>
      <c r="I61" s="164"/>
      <c r="J61" s="147"/>
      <c r="K61" s="147"/>
      <c r="L61" s="148" t="str">
        <f t="shared" si="5"/>
        <v/>
      </c>
      <c r="M61" s="149" t="str">
        <f>+IFERROR(INDEX([6]PARÁMETROS!$B$11:$B$37,MATCH(L61,[6]PARÁMETROS!$A$11:$A$37,0)),"")</f>
        <v/>
      </c>
      <c r="N61" s="300"/>
      <c r="O61" s="149"/>
      <c r="P61" s="141"/>
      <c r="Q61" s="152"/>
      <c r="R61" s="153"/>
      <c r="S61" s="149" t="str">
        <f t="shared" si="8"/>
        <v/>
      </c>
      <c r="T61" s="154" t="str">
        <f t="shared" si="6"/>
        <v/>
      </c>
      <c r="U61" s="154" t="str">
        <f t="shared" si="7"/>
        <v/>
      </c>
      <c r="V61" s="154"/>
      <c r="W61" s="801"/>
      <c r="X61" s="801"/>
      <c r="Y61" s="801"/>
      <c r="Z61" s="801"/>
      <c r="AA61" s="801"/>
      <c r="AB61" s="801"/>
      <c r="AC61" s="801"/>
      <c r="AD61" s="801"/>
      <c r="AE61" s="801"/>
      <c r="AF61" s="278"/>
      <c r="AG61" s="801"/>
      <c r="AH61" s="801"/>
      <c r="AI61" s="278" t="str">
        <f>+IF(U61="","",IF(U61&gt;=[6]PARÁMETROS!$D$5,"CUMPLE","NO CUMPLE"))</f>
        <v/>
      </c>
      <c r="AJ61" s="155"/>
      <c r="AK61" s="109"/>
    </row>
    <row r="62" spans="1:37" s="72" customFormat="1" ht="30" customHeight="1">
      <c r="A62" s="795"/>
      <c r="B62" s="123"/>
      <c r="C62" s="157"/>
      <c r="D62" s="303" t="str">
        <f>+IFERROR(INDEX([6]CONSOLIDADO!$D$4:$D$91,MATCH('EXP GEN. 27-33'!B62,[6]CONSOLIDADO!$C$4:$C$91,0)),"")</f>
        <v/>
      </c>
      <c r="E62" s="126"/>
      <c r="F62" s="126"/>
      <c r="G62" s="279"/>
      <c r="H62" s="279"/>
      <c r="I62" s="162"/>
      <c r="J62" s="129"/>
      <c r="K62" s="129"/>
      <c r="L62" s="130" t="str">
        <f t="shared" si="5"/>
        <v/>
      </c>
      <c r="M62" s="131" t="str">
        <f>+IFERROR(INDEX([6]PARÁMETROS!$B$11:$B$37,MATCH(L62,[6]PARÁMETROS!$A$11:$A$37,0)),"")</f>
        <v/>
      </c>
      <c r="N62" s="302"/>
      <c r="O62" s="131"/>
      <c r="P62" s="123"/>
      <c r="Q62" s="134"/>
      <c r="R62" s="135"/>
      <c r="S62" s="131" t="str">
        <f t="shared" si="8"/>
        <v/>
      </c>
      <c r="T62" s="136" t="str">
        <f t="shared" si="6"/>
        <v/>
      </c>
      <c r="U62" s="136" t="str">
        <f t="shared" si="7"/>
        <v/>
      </c>
      <c r="V62" s="136"/>
      <c r="W62" s="798"/>
      <c r="X62" s="798"/>
      <c r="Y62" s="798"/>
      <c r="Z62" s="798"/>
      <c r="AA62" s="798"/>
      <c r="AB62" s="798"/>
      <c r="AC62" s="798"/>
      <c r="AD62" s="798"/>
      <c r="AE62" s="798"/>
      <c r="AF62" s="279"/>
      <c r="AG62" s="798" t="str">
        <f>IF(U62="","",IF(SUM(U62:U64)&gt;=[6]PARÁMETROS!$H$5,"HÁBIL","NO HÁBIL"))</f>
        <v/>
      </c>
      <c r="AH62" s="798" t="str">
        <f>IF(U62="","",IF(U62&gt;=[6]PARÁMETROS!$F$5,"HÁBIL","NO HÁBIL"))</f>
        <v/>
      </c>
      <c r="AI62" s="279" t="str">
        <f>+IF(U62="","",IF(U62&gt;=[6]PARÁMETROS!$D$5,"CUMPLE","NO CUMPLE"))</f>
        <v/>
      </c>
      <c r="AJ62" s="138"/>
      <c r="AK62" s="109"/>
    </row>
    <row r="63" spans="1:37" s="72" customFormat="1" ht="30" customHeight="1">
      <c r="A63" s="796"/>
      <c r="B63" s="58"/>
      <c r="C63" s="75"/>
      <c r="D63" s="299" t="str">
        <f>+IFERROR(INDEX([6]CONSOLIDADO!$D$4:$D$91,MATCH('EXP GEN. 27-33'!B63,[6]CONSOLIDADO!$C$4:$C$91,0)),"")</f>
        <v/>
      </c>
      <c r="E63" s="61"/>
      <c r="F63" s="61"/>
      <c r="G63" s="277"/>
      <c r="H63" s="277"/>
      <c r="I63" s="73"/>
      <c r="J63" s="64"/>
      <c r="K63" s="64"/>
      <c r="L63" s="65" t="str">
        <f t="shared" si="5"/>
        <v/>
      </c>
      <c r="M63" s="66" t="str">
        <f>+IFERROR(INDEX([6]PARÁMETROS!$B$11:$B$37,MATCH(L63,[6]PARÁMETROS!$A$11:$A$37,0)),"")</f>
        <v/>
      </c>
      <c r="N63" s="298"/>
      <c r="O63" s="66"/>
      <c r="P63" s="58"/>
      <c r="Q63" s="69"/>
      <c r="R63" s="70"/>
      <c r="S63" s="66" t="str">
        <f t="shared" si="8"/>
        <v/>
      </c>
      <c r="T63" s="55" t="str">
        <f t="shared" si="6"/>
        <v/>
      </c>
      <c r="U63" s="55" t="str">
        <f t="shared" si="7"/>
        <v/>
      </c>
      <c r="V63" s="55"/>
      <c r="W63" s="799"/>
      <c r="X63" s="799"/>
      <c r="Y63" s="799"/>
      <c r="Z63" s="799"/>
      <c r="AA63" s="799"/>
      <c r="AB63" s="799"/>
      <c r="AC63" s="799"/>
      <c r="AD63" s="799"/>
      <c r="AE63" s="799"/>
      <c r="AF63" s="277"/>
      <c r="AG63" s="799"/>
      <c r="AH63" s="799"/>
      <c r="AI63" s="277" t="str">
        <f>+IF(U63="","",IF(U63&gt;=[6]PARÁMETROS!$D$5,"CUMPLE","NO CUMPLE"))</f>
        <v/>
      </c>
      <c r="AJ63" s="139"/>
      <c r="AK63" s="109"/>
    </row>
    <row r="64" spans="1:37" s="72" customFormat="1" ht="30" customHeight="1">
      <c r="A64" s="796"/>
      <c r="B64" s="58"/>
      <c r="C64" s="75"/>
      <c r="D64" s="299" t="str">
        <f>+IFERROR(INDEX([6]CONSOLIDADO!$D$4:$D$91,MATCH('EXP GEN. 27-33'!B64,[6]CONSOLIDADO!$C$4:$C$91,0)),"")</f>
        <v/>
      </c>
      <c r="E64" s="61"/>
      <c r="F64" s="61"/>
      <c r="G64" s="277"/>
      <c r="H64" s="277"/>
      <c r="I64" s="73"/>
      <c r="J64" s="64"/>
      <c r="K64" s="64"/>
      <c r="L64" s="65" t="str">
        <f t="shared" si="5"/>
        <v/>
      </c>
      <c r="M64" s="66" t="str">
        <f>+IFERROR(INDEX([6]PARÁMETROS!$B$11:$B$37,MATCH(L64,[6]PARÁMETROS!$A$11:$A$37,0)),"")</f>
        <v/>
      </c>
      <c r="N64" s="298"/>
      <c r="O64" s="66"/>
      <c r="P64" s="58"/>
      <c r="Q64" s="69"/>
      <c r="R64" s="70"/>
      <c r="S64" s="66" t="str">
        <f t="shared" si="8"/>
        <v/>
      </c>
      <c r="T64" s="55" t="str">
        <f t="shared" si="6"/>
        <v/>
      </c>
      <c r="U64" s="55" t="str">
        <f t="shared" si="7"/>
        <v/>
      </c>
      <c r="V64" s="55"/>
      <c r="W64" s="799"/>
      <c r="X64" s="799"/>
      <c r="Y64" s="799"/>
      <c r="Z64" s="799"/>
      <c r="AA64" s="799"/>
      <c r="AB64" s="799"/>
      <c r="AC64" s="799"/>
      <c r="AD64" s="799"/>
      <c r="AE64" s="799"/>
      <c r="AF64" s="277"/>
      <c r="AG64" s="799"/>
      <c r="AH64" s="799"/>
      <c r="AI64" s="277" t="str">
        <f>+IF(U64="","",IF(U64&gt;=[6]PARÁMETROS!$D$5,"CUMPLE","NO CUMPLE"))</f>
        <v/>
      </c>
      <c r="AJ64" s="139"/>
      <c r="AK64" s="109"/>
    </row>
    <row r="65" spans="1:37" s="72" customFormat="1" ht="30" customHeight="1">
      <c r="A65" s="796"/>
      <c r="B65" s="58"/>
      <c r="C65" s="75"/>
      <c r="D65" s="299" t="str">
        <f>+IFERROR(INDEX([6]CONSOLIDADO!$D$4:$D$91,MATCH('EXP GEN. 27-33'!B65,[6]CONSOLIDADO!$C$4:$C$91,0)),"")</f>
        <v/>
      </c>
      <c r="E65" s="61"/>
      <c r="F65" s="61"/>
      <c r="G65" s="277"/>
      <c r="H65" s="277"/>
      <c r="I65" s="73"/>
      <c r="J65" s="64"/>
      <c r="K65" s="64"/>
      <c r="L65" s="65" t="str">
        <f t="shared" si="5"/>
        <v/>
      </c>
      <c r="M65" s="66" t="str">
        <f>+IFERROR(INDEX([6]PARÁMETROS!$B$11:$B$37,MATCH(L65,[6]PARÁMETROS!$A$11:$A$37,0)),"")</f>
        <v/>
      </c>
      <c r="N65" s="298"/>
      <c r="O65" s="66"/>
      <c r="P65" s="58"/>
      <c r="Q65" s="69"/>
      <c r="R65" s="70"/>
      <c r="S65" s="66" t="str">
        <f t="shared" si="8"/>
        <v/>
      </c>
      <c r="T65" s="55" t="str">
        <f t="shared" si="6"/>
        <v/>
      </c>
      <c r="U65" s="55" t="str">
        <f t="shared" si="7"/>
        <v/>
      </c>
      <c r="V65" s="55"/>
      <c r="W65" s="799"/>
      <c r="X65" s="799"/>
      <c r="Y65" s="799"/>
      <c r="Z65" s="799"/>
      <c r="AA65" s="799"/>
      <c r="AB65" s="799"/>
      <c r="AC65" s="799"/>
      <c r="AD65" s="799"/>
      <c r="AE65" s="799"/>
      <c r="AF65" s="277"/>
      <c r="AG65" s="799"/>
      <c r="AH65" s="799"/>
      <c r="AI65" s="277" t="str">
        <f>+IF(U65="","",IF(U65&gt;=[6]PARÁMETROS!$D$5,"CUMPLE","NO CUMPLE"))</f>
        <v/>
      </c>
      <c r="AJ65" s="139"/>
      <c r="AK65" s="109"/>
    </row>
    <row r="66" spans="1:37" s="72" customFormat="1" ht="30" customHeight="1">
      <c r="A66" s="796"/>
      <c r="B66" s="58"/>
      <c r="C66" s="75"/>
      <c r="D66" s="299" t="str">
        <f>+IFERROR(INDEX([6]CONSOLIDADO!$D$4:$D$91,MATCH('EXP GEN. 27-33'!B66,[6]CONSOLIDADO!$C$4:$C$91,0)),"")</f>
        <v/>
      </c>
      <c r="E66" s="61"/>
      <c r="F66" s="61"/>
      <c r="G66" s="277"/>
      <c r="H66" s="277"/>
      <c r="I66" s="73"/>
      <c r="J66" s="64"/>
      <c r="K66" s="64"/>
      <c r="L66" s="65" t="str">
        <f t="shared" si="5"/>
        <v/>
      </c>
      <c r="M66" s="66" t="str">
        <f>+IFERROR(INDEX([6]PARÁMETROS!$B$11:$B$37,MATCH(L66,[6]PARÁMETROS!$A$11:$A$37,0)),"")</f>
        <v/>
      </c>
      <c r="N66" s="298"/>
      <c r="O66" s="66"/>
      <c r="P66" s="58"/>
      <c r="Q66" s="69"/>
      <c r="R66" s="70"/>
      <c r="S66" s="66" t="str">
        <f t="shared" si="8"/>
        <v/>
      </c>
      <c r="T66" s="55" t="str">
        <f t="shared" si="6"/>
        <v/>
      </c>
      <c r="U66" s="55" t="str">
        <f t="shared" si="7"/>
        <v/>
      </c>
      <c r="V66" s="55"/>
      <c r="W66" s="799"/>
      <c r="X66" s="799"/>
      <c r="Y66" s="799"/>
      <c r="Z66" s="799"/>
      <c r="AA66" s="799"/>
      <c r="AB66" s="799"/>
      <c r="AC66" s="799"/>
      <c r="AD66" s="799"/>
      <c r="AE66" s="799"/>
      <c r="AF66" s="277"/>
      <c r="AG66" s="799"/>
      <c r="AH66" s="799"/>
      <c r="AI66" s="277" t="str">
        <f>+IF(U66="","",IF(U66&gt;=[6]PARÁMETROS!$D$5,"CUMPLE","NO CUMPLE"))</f>
        <v/>
      </c>
      <c r="AJ66" s="139"/>
      <c r="AK66" s="109"/>
    </row>
    <row r="67" spans="1:37" s="72" customFormat="1" ht="30" customHeight="1" thickBot="1">
      <c r="A67" s="806"/>
      <c r="B67" s="141"/>
      <c r="C67" s="142"/>
      <c r="D67" s="301" t="str">
        <f>+IFERROR(INDEX([6]CONSOLIDADO!$D$4:$D$91,MATCH('EXP GEN. 27-33'!B67,[6]CONSOLIDADO!$C$4:$C$91,0)),"")</f>
        <v/>
      </c>
      <c r="E67" s="144"/>
      <c r="F67" s="144"/>
      <c r="G67" s="278"/>
      <c r="H67" s="278"/>
      <c r="I67" s="164"/>
      <c r="J67" s="147"/>
      <c r="K67" s="147"/>
      <c r="L67" s="148" t="str">
        <f t="shared" ref="L67:L73" si="9">IF(K67="","",YEAR(K67))</f>
        <v/>
      </c>
      <c r="M67" s="149" t="str">
        <f>+IFERROR(INDEX([6]PARÁMETROS!$B$11:$B$37,MATCH(L67,[6]PARÁMETROS!$A$11:$A$37,0)),"")</f>
        <v/>
      </c>
      <c r="N67" s="300"/>
      <c r="O67" s="149"/>
      <c r="P67" s="141"/>
      <c r="Q67" s="152"/>
      <c r="R67" s="153"/>
      <c r="S67" s="149" t="str">
        <f t="shared" si="8"/>
        <v/>
      </c>
      <c r="T67" s="154" t="str">
        <f t="shared" ref="T67:T73" si="10">+IFERROR(S67/M67,"")</f>
        <v/>
      </c>
      <c r="U67" s="154" t="str">
        <f t="shared" ref="U67:U73" si="11">IFERROR(T67*I67,"")</f>
        <v/>
      </c>
      <c r="V67" s="154"/>
      <c r="W67" s="801"/>
      <c r="X67" s="801"/>
      <c r="Y67" s="801"/>
      <c r="Z67" s="801"/>
      <c r="AA67" s="801"/>
      <c r="AB67" s="801"/>
      <c r="AC67" s="801"/>
      <c r="AD67" s="801"/>
      <c r="AE67" s="801"/>
      <c r="AF67" s="278"/>
      <c r="AG67" s="801"/>
      <c r="AH67" s="801"/>
      <c r="AI67" s="278" t="str">
        <f>+IF(U67="","",IF(U67&gt;=[6]PARÁMETROS!$D$5,"CUMPLE","NO CUMPLE"))</f>
        <v/>
      </c>
      <c r="AJ67" s="155"/>
      <c r="AK67" s="109"/>
    </row>
    <row r="68" spans="1:37" s="72" customFormat="1" ht="30" customHeight="1">
      <c r="A68" s="795"/>
      <c r="B68" s="123"/>
      <c r="C68" s="157"/>
      <c r="D68" s="303" t="str">
        <f>+IFERROR(INDEX([6]CONSOLIDADO!$D$4:$D$91,MATCH('EXP GEN. 27-33'!B68,[6]CONSOLIDADO!$C$4:$C$91,0)),"")</f>
        <v/>
      </c>
      <c r="E68" s="126"/>
      <c r="F68" s="126"/>
      <c r="G68" s="279"/>
      <c r="H68" s="279"/>
      <c r="I68" s="162"/>
      <c r="J68" s="129"/>
      <c r="K68" s="129"/>
      <c r="L68" s="130" t="str">
        <f t="shared" si="9"/>
        <v/>
      </c>
      <c r="M68" s="131" t="str">
        <f>+IFERROR(INDEX([6]PARÁMETROS!$B$11:$B$37,MATCH(L68,[6]PARÁMETROS!$A$11:$A$37,0)),"")</f>
        <v/>
      </c>
      <c r="N68" s="302"/>
      <c r="O68" s="131"/>
      <c r="P68" s="123"/>
      <c r="Q68" s="134"/>
      <c r="R68" s="135"/>
      <c r="S68" s="131" t="str">
        <f t="shared" si="8"/>
        <v/>
      </c>
      <c r="T68" s="136" t="str">
        <f t="shared" si="10"/>
        <v/>
      </c>
      <c r="U68" s="136" t="str">
        <f t="shared" si="11"/>
        <v/>
      </c>
      <c r="V68" s="136"/>
      <c r="W68" s="798"/>
      <c r="X68" s="798"/>
      <c r="Y68" s="798"/>
      <c r="Z68" s="798"/>
      <c r="AA68" s="798"/>
      <c r="AB68" s="798"/>
      <c r="AC68" s="798"/>
      <c r="AD68" s="798"/>
      <c r="AE68" s="798"/>
      <c r="AF68" s="279"/>
      <c r="AG68" s="798" t="str">
        <f>IF(U68="","",IF(SUM(U68:U70)&gt;=[6]PARÁMETROS!$H$5,"HÁBIL","NO HÁBIL"))</f>
        <v/>
      </c>
      <c r="AH68" s="798" t="str">
        <f>IF(U68="","",IF(U68&gt;=[6]PARÁMETROS!$F$5,"HÁBIL","NO HÁBIL"))</f>
        <v/>
      </c>
      <c r="AI68" s="279" t="str">
        <f>+IF(U68="","",IF(U68&gt;=[6]PARÁMETROS!$D$5,"CUMPLE","NO CUMPLE"))</f>
        <v/>
      </c>
      <c r="AJ68" s="138"/>
      <c r="AK68" s="109"/>
    </row>
    <row r="69" spans="1:37" s="72" customFormat="1" ht="30" customHeight="1">
      <c r="A69" s="796"/>
      <c r="B69" s="58"/>
      <c r="C69" s="75"/>
      <c r="D69" s="299" t="str">
        <f>+IFERROR(INDEX([6]CONSOLIDADO!$D$4:$D$91,MATCH('EXP GEN. 27-33'!B69,[6]CONSOLIDADO!$C$4:$C$91,0)),"")</f>
        <v/>
      </c>
      <c r="E69" s="61"/>
      <c r="F69" s="61"/>
      <c r="G69" s="277"/>
      <c r="H69" s="277"/>
      <c r="I69" s="73"/>
      <c r="J69" s="64"/>
      <c r="K69" s="64"/>
      <c r="L69" s="65" t="str">
        <f t="shared" si="9"/>
        <v/>
      </c>
      <c r="M69" s="66" t="str">
        <f>+IFERROR(INDEX([6]PARÁMETROS!$B$11:$B$37,MATCH(L69,[6]PARÁMETROS!$A$11:$A$37,0)),"")</f>
        <v/>
      </c>
      <c r="N69" s="298"/>
      <c r="O69" s="66"/>
      <c r="P69" s="58"/>
      <c r="Q69" s="69"/>
      <c r="R69" s="70"/>
      <c r="S69" s="66" t="str">
        <f t="shared" si="8"/>
        <v/>
      </c>
      <c r="T69" s="55" t="str">
        <f t="shared" si="10"/>
        <v/>
      </c>
      <c r="U69" s="55" t="str">
        <f t="shared" si="11"/>
        <v/>
      </c>
      <c r="V69" s="55"/>
      <c r="W69" s="799"/>
      <c r="X69" s="799"/>
      <c r="Y69" s="799"/>
      <c r="Z69" s="799"/>
      <c r="AA69" s="799"/>
      <c r="AB69" s="799"/>
      <c r="AC69" s="799"/>
      <c r="AD69" s="799"/>
      <c r="AE69" s="799"/>
      <c r="AF69" s="277"/>
      <c r="AG69" s="799"/>
      <c r="AH69" s="799"/>
      <c r="AI69" s="277" t="str">
        <f>+IF(U69="","",IF(U69&gt;=[6]PARÁMETROS!$D$5,"CUMPLE","NO CUMPLE"))</f>
        <v/>
      </c>
      <c r="AJ69" s="139"/>
      <c r="AK69" s="109"/>
    </row>
    <row r="70" spans="1:37" s="72" customFormat="1" ht="30" customHeight="1">
      <c r="A70" s="796"/>
      <c r="B70" s="58"/>
      <c r="C70" s="75"/>
      <c r="D70" s="299" t="str">
        <f>+IFERROR(INDEX([6]CONSOLIDADO!$D$4:$D$91,MATCH('EXP GEN. 27-33'!B70,[6]CONSOLIDADO!$C$4:$C$91,0)),"")</f>
        <v/>
      </c>
      <c r="E70" s="61"/>
      <c r="F70" s="61"/>
      <c r="G70" s="277"/>
      <c r="H70" s="277"/>
      <c r="I70" s="73"/>
      <c r="J70" s="64"/>
      <c r="K70" s="64"/>
      <c r="L70" s="65" t="str">
        <f t="shared" si="9"/>
        <v/>
      </c>
      <c r="M70" s="66" t="str">
        <f>+IFERROR(INDEX([6]PARÁMETROS!$B$11:$B$37,MATCH(L70,[6]PARÁMETROS!$A$11:$A$37,0)),"")</f>
        <v/>
      </c>
      <c r="N70" s="298"/>
      <c r="O70" s="66"/>
      <c r="P70" s="58"/>
      <c r="Q70" s="69"/>
      <c r="R70" s="70"/>
      <c r="S70" s="66" t="str">
        <f t="shared" si="8"/>
        <v/>
      </c>
      <c r="T70" s="55" t="str">
        <f t="shared" si="10"/>
        <v/>
      </c>
      <c r="U70" s="55" t="str">
        <f t="shared" si="11"/>
        <v/>
      </c>
      <c r="V70" s="55"/>
      <c r="W70" s="799"/>
      <c r="X70" s="799"/>
      <c r="Y70" s="799"/>
      <c r="Z70" s="799"/>
      <c r="AA70" s="799"/>
      <c r="AB70" s="799"/>
      <c r="AC70" s="799"/>
      <c r="AD70" s="799"/>
      <c r="AE70" s="799"/>
      <c r="AF70" s="277"/>
      <c r="AG70" s="799"/>
      <c r="AH70" s="799"/>
      <c r="AI70" s="277" t="str">
        <f>+IF(U70="","",IF(U70&gt;=[6]PARÁMETROS!$D$5,"CUMPLE","NO CUMPLE"))</f>
        <v/>
      </c>
      <c r="AJ70" s="139"/>
      <c r="AK70" s="109"/>
    </row>
    <row r="71" spans="1:37" s="72" customFormat="1" ht="30" customHeight="1">
      <c r="A71" s="796"/>
      <c r="B71" s="58"/>
      <c r="C71" s="75"/>
      <c r="D71" s="299" t="str">
        <f>+IFERROR(INDEX([6]CONSOLIDADO!$D$4:$D$91,MATCH('EXP GEN. 27-33'!B71,[6]CONSOLIDADO!$C$4:$C$91,0)),"")</f>
        <v/>
      </c>
      <c r="E71" s="61"/>
      <c r="F71" s="61"/>
      <c r="G71" s="277"/>
      <c r="H71" s="277"/>
      <c r="I71" s="73"/>
      <c r="J71" s="64"/>
      <c r="K71" s="64"/>
      <c r="L71" s="65" t="str">
        <f t="shared" si="9"/>
        <v/>
      </c>
      <c r="M71" s="66" t="str">
        <f>+IFERROR(INDEX([6]PARÁMETROS!$B$11:$B$37,MATCH(L71,[6]PARÁMETROS!$A$11:$A$37,0)),"")</f>
        <v/>
      </c>
      <c r="N71" s="298"/>
      <c r="O71" s="66"/>
      <c r="P71" s="58"/>
      <c r="Q71" s="69"/>
      <c r="R71" s="70"/>
      <c r="S71" s="66" t="str">
        <f t="shared" si="8"/>
        <v/>
      </c>
      <c r="T71" s="55" t="str">
        <f t="shared" si="10"/>
        <v/>
      </c>
      <c r="U71" s="55" t="str">
        <f t="shared" si="11"/>
        <v/>
      </c>
      <c r="V71" s="55"/>
      <c r="W71" s="799"/>
      <c r="X71" s="799"/>
      <c r="Y71" s="799"/>
      <c r="Z71" s="799"/>
      <c r="AA71" s="799"/>
      <c r="AB71" s="799"/>
      <c r="AC71" s="799"/>
      <c r="AD71" s="799"/>
      <c r="AE71" s="799"/>
      <c r="AF71" s="277"/>
      <c r="AG71" s="799"/>
      <c r="AH71" s="799"/>
      <c r="AI71" s="277" t="str">
        <f>+IF(U71="","",IF(U71&gt;=[6]PARÁMETROS!$D$5,"CUMPLE","NO CUMPLE"))</f>
        <v/>
      </c>
      <c r="AJ71" s="139"/>
      <c r="AK71" s="109"/>
    </row>
    <row r="72" spans="1:37" s="72" customFormat="1" ht="30" customHeight="1">
      <c r="A72" s="796"/>
      <c r="B72" s="58"/>
      <c r="C72" s="75"/>
      <c r="D72" s="299" t="str">
        <f>+IFERROR(INDEX([6]CONSOLIDADO!$D$4:$D$91,MATCH('EXP GEN. 27-33'!B72,[6]CONSOLIDADO!$C$4:$C$91,0)),"")</f>
        <v/>
      </c>
      <c r="E72" s="61"/>
      <c r="F72" s="61"/>
      <c r="G72" s="277"/>
      <c r="H72" s="277"/>
      <c r="I72" s="73"/>
      <c r="J72" s="64"/>
      <c r="K72" s="64"/>
      <c r="L72" s="65" t="str">
        <f t="shared" si="9"/>
        <v/>
      </c>
      <c r="M72" s="66" t="str">
        <f>+IFERROR(INDEX([6]PARÁMETROS!$B$11:$B$37,MATCH(L72,[6]PARÁMETROS!$A$11:$A$37,0)),"")</f>
        <v/>
      </c>
      <c r="N72" s="298"/>
      <c r="O72" s="66"/>
      <c r="P72" s="58"/>
      <c r="Q72" s="69"/>
      <c r="R72" s="70"/>
      <c r="S72" s="66" t="str">
        <f t="shared" si="8"/>
        <v/>
      </c>
      <c r="T72" s="55" t="str">
        <f t="shared" si="10"/>
        <v/>
      </c>
      <c r="U72" s="55" t="str">
        <f t="shared" si="11"/>
        <v/>
      </c>
      <c r="V72" s="55"/>
      <c r="W72" s="799"/>
      <c r="X72" s="799"/>
      <c r="Y72" s="799"/>
      <c r="Z72" s="799"/>
      <c r="AA72" s="799"/>
      <c r="AB72" s="799"/>
      <c r="AC72" s="799"/>
      <c r="AD72" s="799"/>
      <c r="AE72" s="799"/>
      <c r="AF72" s="277"/>
      <c r="AG72" s="799"/>
      <c r="AH72" s="799"/>
      <c r="AI72" s="277" t="str">
        <f>+IF(U72="","",IF(U72&gt;=[6]PARÁMETROS!$D$5,"CUMPLE","NO CUMPLE"))</f>
        <v/>
      </c>
      <c r="AJ72" s="139"/>
      <c r="AK72" s="109"/>
    </row>
    <row r="73" spans="1:37" s="72" customFormat="1" ht="30" customHeight="1" thickBot="1">
      <c r="A73" s="806"/>
      <c r="B73" s="141"/>
      <c r="C73" s="142"/>
      <c r="D73" s="301" t="str">
        <f>+IFERROR(INDEX([6]CONSOLIDADO!$D$4:$D$91,MATCH('EXP GEN. 27-33'!B73,[6]CONSOLIDADO!$C$4:$C$91,0)),"")</f>
        <v/>
      </c>
      <c r="E73" s="144"/>
      <c r="F73" s="144"/>
      <c r="G73" s="278"/>
      <c r="H73" s="278"/>
      <c r="I73" s="164"/>
      <c r="J73" s="147"/>
      <c r="K73" s="147"/>
      <c r="L73" s="148" t="str">
        <f t="shared" si="9"/>
        <v/>
      </c>
      <c r="M73" s="149" t="str">
        <f>+IFERROR(INDEX([6]PARÁMETROS!$B$11:$B$37,MATCH(L73,[6]PARÁMETROS!$A$11:$A$37,0)),"")</f>
        <v/>
      </c>
      <c r="N73" s="300"/>
      <c r="O73" s="149"/>
      <c r="P73" s="141"/>
      <c r="Q73" s="152"/>
      <c r="R73" s="153"/>
      <c r="S73" s="149" t="str">
        <f t="shared" si="8"/>
        <v/>
      </c>
      <c r="T73" s="154" t="str">
        <f t="shared" si="10"/>
        <v/>
      </c>
      <c r="U73" s="154" t="str">
        <f t="shared" si="11"/>
        <v/>
      </c>
      <c r="V73" s="154"/>
      <c r="W73" s="801"/>
      <c r="X73" s="801"/>
      <c r="Y73" s="801"/>
      <c r="Z73" s="801"/>
      <c r="AA73" s="801"/>
      <c r="AB73" s="801"/>
      <c r="AC73" s="801"/>
      <c r="AD73" s="801"/>
      <c r="AE73" s="801"/>
      <c r="AF73" s="278"/>
      <c r="AG73" s="801"/>
      <c r="AH73" s="801"/>
      <c r="AI73" s="278" t="str">
        <f>+IF(U73="","",IF(U73&gt;=[6]PARÁMETROS!$D$5,"CUMPLE","NO CUMPLE"))</f>
        <v/>
      </c>
      <c r="AJ73" s="155"/>
      <c r="AK73" s="109"/>
    </row>
    <row r="74" spans="1:37" s="72" customFormat="1" ht="30" customHeight="1">
      <c r="A74" s="58"/>
      <c r="B74" s="58"/>
      <c r="C74" s="75"/>
      <c r="D74" s="299"/>
      <c r="E74" s="61"/>
      <c r="F74" s="61"/>
      <c r="G74" s="61"/>
      <c r="H74" s="61"/>
      <c r="I74" s="73"/>
      <c r="J74" s="64"/>
      <c r="K74" s="64"/>
      <c r="L74" s="65"/>
      <c r="M74" s="66"/>
      <c r="N74" s="298"/>
      <c r="O74" s="66"/>
      <c r="P74" s="58"/>
      <c r="Q74" s="69"/>
      <c r="R74" s="70"/>
      <c r="S74" s="66"/>
      <c r="T74" s="55"/>
      <c r="U74" s="55"/>
      <c r="V74" s="55"/>
      <c r="W74" s="277"/>
      <c r="X74" s="277"/>
      <c r="Y74" s="277"/>
      <c r="Z74" s="277"/>
      <c r="AA74" s="277"/>
      <c r="AB74" s="277"/>
      <c r="AC74" s="277"/>
      <c r="AD74" s="277"/>
      <c r="AE74" s="277"/>
      <c r="AF74" s="277"/>
      <c r="AG74" s="277"/>
      <c r="AH74" s="277"/>
      <c r="AI74" s="277"/>
      <c r="AJ74" s="61"/>
    </row>
    <row r="75" spans="1:37" s="72" customFormat="1" ht="30" customHeight="1">
      <c r="A75" s="58"/>
      <c r="B75" s="58"/>
      <c r="C75" s="75"/>
      <c r="D75" s="299"/>
      <c r="E75" s="61"/>
      <c r="F75" s="61"/>
      <c r="G75" s="61"/>
      <c r="H75" s="61"/>
      <c r="I75" s="73"/>
      <c r="J75" s="64"/>
      <c r="K75" s="64"/>
      <c r="L75" s="65"/>
      <c r="M75" s="66"/>
      <c r="N75" s="298"/>
      <c r="O75" s="66"/>
      <c r="P75" s="58"/>
      <c r="Q75" s="69"/>
      <c r="R75" s="70"/>
      <c r="S75" s="66"/>
      <c r="T75" s="55"/>
      <c r="U75" s="55"/>
      <c r="V75" s="55"/>
      <c r="W75" s="277"/>
      <c r="X75" s="277"/>
      <c r="Y75" s="277"/>
      <c r="Z75" s="277"/>
      <c r="AA75" s="277"/>
      <c r="AB75" s="277"/>
      <c r="AC75" s="277"/>
      <c r="AD75" s="277"/>
      <c r="AE75" s="277"/>
      <c r="AF75" s="277"/>
      <c r="AG75" s="277"/>
      <c r="AH75" s="277"/>
      <c r="AI75" s="277"/>
      <c r="AJ75" s="61"/>
    </row>
    <row r="76" spans="1:37" s="72" customFormat="1" ht="30" customHeight="1">
      <c r="A76" s="58"/>
      <c r="B76" s="58"/>
      <c r="C76" s="75"/>
      <c r="D76" s="299"/>
      <c r="E76" s="61"/>
      <c r="F76" s="61"/>
      <c r="G76" s="61"/>
      <c r="H76" s="61"/>
      <c r="I76" s="73"/>
      <c r="J76" s="64"/>
      <c r="K76" s="64"/>
      <c r="L76" s="65"/>
      <c r="M76" s="66"/>
      <c r="N76" s="298"/>
      <c r="O76" s="66"/>
      <c r="P76" s="58"/>
      <c r="Q76" s="69"/>
      <c r="R76" s="70"/>
      <c r="S76" s="66"/>
      <c r="T76" s="55"/>
      <c r="U76" s="55"/>
      <c r="V76" s="55"/>
      <c r="W76" s="277"/>
      <c r="X76" s="277"/>
      <c r="Y76" s="277"/>
      <c r="Z76" s="277"/>
      <c r="AA76" s="277"/>
      <c r="AB76" s="277"/>
      <c r="AC76" s="277"/>
      <c r="AD76" s="277"/>
      <c r="AE76" s="277"/>
      <c r="AF76" s="277"/>
      <c r="AG76" s="277"/>
      <c r="AH76" s="277"/>
      <c r="AI76" s="277"/>
      <c r="AJ76" s="61"/>
    </row>
    <row r="77" spans="1:37" s="72" customFormat="1" ht="30" customHeight="1">
      <c r="A77" s="58"/>
      <c r="B77" s="58"/>
      <c r="C77" s="75"/>
      <c r="D77" s="299"/>
      <c r="E77" s="61"/>
      <c r="F77" s="61"/>
      <c r="G77" s="61"/>
      <c r="H77" s="61"/>
      <c r="I77" s="73"/>
      <c r="J77" s="64"/>
      <c r="K77" s="64"/>
      <c r="L77" s="65"/>
      <c r="M77" s="66"/>
      <c r="N77" s="298"/>
      <c r="O77" s="66"/>
      <c r="P77" s="58"/>
      <c r="Q77" s="69"/>
      <c r="R77" s="70"/>
      <c r="S77" s="66"/>
      <c r="T77" s="55"/>
      <c r="U77" s="55"/>
      <c r="V77" s="55"/>
      <c r="W77" s="277"/>
      <c r="X77" s="277"/>
      <c r="Y77" s="277"/>
      <c r="Z77" s="277"/>
      <c r="AA77" s="277"/>
      <c r="AB77" s="277"/>
      <c r="AC77" s="277"/>
      <c r="AD77" s="277"/>
      <c r="AE77" s="277"/>
      <c r="AF77" s="277"/>
      <c r="AG77" s="277"/>
      <c r="AH77" s="277"/>
      <c r="AI77" s="277"/>
      <c r="AJ77" s="61"/>
    </row>
    <row r="78" spans="1:37" s="72" customFormat="1" ht="30" customHeight="1">
      <c r="A78" s="58"/>
      <c r="B78" s="58"/>
      <c r="C78" s="75"/>
      <c r="D78" s="299"/>
      <c r="E78" s="61"/>
      <c r="F78" s="61"/>
      <c r="G78" s="61"/>
      <c r="H78" s="61"/>
      <c r="I78" s="73"/>
      <c r="J78" s="64"/>
      <c r="K78" s="64"/>
      <c r="L78" s="65"/>
      <c r="M78" s="66"/>
      <c r="N78" s="298"/>
      <c r="O78" s="66"/>
      <c r="P78" s="58"/>
      <c r="Q78" s="69"/>
      <c r="R78" s="70"/>
      <c r="S78" s="66"/>
      <c r="T78" s="55"/>
      <c r="U78" s="55"/>
      <c r="V78" s="55"/>
      <c r="W78" s="277"/>
      <c r="X78" s="277"/>
      <c r="Y78" s="277"/>
      <c r="Z78" s="277"/>
      <c r="AA78" s="277"/>
      <c r="AB78" s="277"/>
      <c r="AC78" s="277"/>
      <c r="AD78" s="277"/>
      <c r="AE78" s="277"/>
      <c r="AF78" s="277"/>
      <c r="AG78" s="277"/>
      <c r="AH78" s="277"/>
      <c r="AI78" s="277"/>
      <c r="AJ78" s="61"/>
    </row>
    <row r="79" spans="1:37" s="72" customFormat="1" ht="30" customHeight="1">
      <c r="A79" s="58"/>
      <c r="B79" s="58"/>
      <c r="C79" s="75"/>
      <c r="D79" s="299"/>
      <c r="E79" s="61"/>
      <c r="F79" s="61"/>
      <c r="G79" s="61"/>
      <c r="H79" s="61"/>
      <c r="I79" s="73"/>
      <c r="J79" s="64"/>
      <c r="K79" s="64"/>
      <c r="L79" s="65"/>
      <c r="M79" s="66"/>
      <c r="N79" s="298"/>
      <c r="O79" s="66"/>
      <c r="P79" s="58"/>
      <c r="Q79" s="69"/>
      <c r="R79" s="70"/>
      <c r="S79" s="66"/>
      <c r="T79" s="55"/>
      <c r="U79" s="55"/>
      <c r="V79" s="55"/>
      <c r="W79" s="277"/>
      <c r="X79" s="277"/>
      <c r="Y79" s="277"/>
      <c r="Z79" s="277"/>
      <c r="AA79" s="277"/>
      <c r="AB79" s="277"/>
      <c r="AC79" s="277"/>
      <c r="AD79" s="277"/>
      <c r="AE79" s="277"/>
      <c r="AF79" s="277"/>
      <c r="AG79" s="277"/>
      <c r="AH79" s="277"/>
      <c r="AI79" s="277"/>
      <c r="AJ79" s="61"/>
    </row>
    <row r="80" spans="1:37" s="72" customFormat="1" ht="30" customHeight="1">
      <c r="A80" s="58"/>
      <c r="B80" s="58"/>
      <c r="C80" s="75"/>
      <c r="D80" s="299"/>
      <c r="E80" s="61"/>
      <c r="F80" s="61"/>
      <c r="G80" s="61"/>
      <c r="H80" s="61"/>
      <c r="I80" s="73"/>
      <c r="J80" s="64"/>
      <c r="K80" s="64"/>
      <c r="L80" s="65"/>
      <c r="M80" s="66"/>
      <c r="N80" s="298"/>
      <c r="O80" s="66"/>
      <c r="P80" s="58"/>
      <c r="Q80" s="69"/>
      <c r="R80" s="70"/>
      <c r="S80" s="66"/>
      <c r="T80" s="55"/>
      <c r="U80" s="55"/>
      <c r="V80" s="55"/>
      <c r="W80" s="277"/>
      <c r="X80" s="277"/>
      <c r="Y80" s="277"/>
      <c r="Z80" s="277"/>
      <c r="AA80" s="277"/>
      <c r="AB80" s="277"/>
      <c r="AC80" s="277"/>
      <c r="AD80" s="277"/>
      <c r="AE80" s="277"/>
      <c r="AF80" s="277"/>
      <c r="AG80" s="277"/>
      <c r="AH80" s="277"/>
      <c r="AI80" s="277"/>
      <c r="AJ80" s="61"/>
    </row>
    <row r="81" spans="1:36" s="72" customFormat="1" ht="30" customHeight="1">
      <c r="A81" s="58"/>
      <c r="B81" s="58"/>
      <c r="C81" s="75"/>
      <c r="D81" s="299"/>
      <c r="E81" s="61"/>
      <c r="F81" s="61"/>
      <c r="G81" s="61"/>
      <c r="H81" s="61"/>
      <c r="I81" s="73"/>
      <c r="J81" s="64"/>
      <c r="K81" s="64"/>
      <c r="L81" s="65"/>
      <c r="M81" s="66"/>
      <c r="N81" s="298"/>
      <c r="O81" s="66"/>
      <c r="P81" s="58"/>
      <c r="Q81" s="69"/>
      <c r="R81" s="70"/>
      <c r="S81" s="66"/>
      <c r="T81" s="55"/>
      <c r="U81" s="55"/>
      <c r="V81" s="55"/>
      <c r="W81" s="277"/>
      <c r="X81" s="277"/>
      <c r="Y81" s="277"/>
      <c r="Z81" s="277"/>
      <c r="AA81" s="277"/>
      <c r="AB81" s="277"/>
      <c r="AC81" s="277"/>
      <c r="AD81" s="277"/>
      <c r="AE81" s="277"/>
      <c r="AF81" s="277"/>
      <c r="AG81" s="277"/>
      <c r="AH81" s="277"/>
      <c r="AI81" s="277"/>
      <c r="AJ81" s="61"/>
    </row>
    <row r="82" spans="1:36" s="72" customFormat="1" ht="30" customHeight="1">
      <c r="A82" s="58"/>
      <c r="B82" s="58"/>
      <c r="C82" s="75"/>
      <c r="D82" s="299"/>
      <c r="E82" s="61"/>
      <c r="F82" s="61"/>
      <c r="G82" s="61"/>
      <c r="H82" s="61"/>
      <c r="I82" s="73"/>
      <c r="J82" s="64"/>
      <c r="K82" s="64"/>
      <c r="L82" s="65"/>
      <c r="M82" s="66"/>
      <c r="N82" s="298"/>
      <c r="O82" s="66"/>
      <c r="P82" s="58"/>
      <c r="Q82" s="69"/>
      <c r="R82" s="70"/>
      <c r="S82" s="66"/>
      <c r="T82" s="55"/>
      <c r="U82" s="55"/>
      <c r="V82" s="55"/>
      <c r="W82" s="277"/>
      <c r="X82" s="277"/>
      <c r="Y82" s="277"/>
      <c r="Z82" s="277"/>
      <c r="AA82" s="277"/>
      <c r="AB82" s="277"/>
      <c r="AC82" s="277"/>
      <c r="AD82" s="277"/>
      <c r="AE82" s="277"/>
      <c r="AF82" s="277"/>
      <c r="AG82" s="277"/>
      <c r="AH82" s="277"/>
      <c r="AI82" s="277"/>
      <c r="AJ82" s="61"/>
    </row>
    <row r="83" spans="1:36" s="72" customFormat="1" ht="30" customHeight="1">
      <c r="A83" s="58"/>
      <c r="B83" s="58"/>
      <c r="C83" s="75"/>
      <c r="D83" s="299"/>
      <c r="E83" s="61"/>
      <c r="F83" s="61"/>
      <c r="G83" s="61"/>
      <c r="H83" s="61"/>
      <c r="I83" s="73"/>
      <c r="J83" s="64"/>
      <c r="K83" s="64"/>
      <c r="L83" s="65"/>
      <c r="M83" s="66"/>
      <c r="N83" s="298"/>
      <c r="O83" s="66"/>
      <c r="P83" s="58"/>
      <c r="Q83" s="69"/>
      <c r="R83" s="70"/>
      <c r="S83" s="66"/>
      <c r="T83" s="55"/>
      <c r="U83" s="55"/>
      <c r="V83" s="55"/>
      <c r="W83" s="277"/>
      <c r="X83" s="277"/>
      <c r="Y83" s="277"/>
      <c r="Z83" s="277"/>
      <c r="AA83" s="277"/>
      <c r="AB83" s="277"/>
      <c r="AC83" s="277"/>
      <c r="AD83" s="277"/>
      <c r="AE83" s="277"/>
      <c r="AF83" s="277"/>
      <c r="AG83" s="277"/>
      <c r="AH83" s="277"/>
      <c r="AI83" s="277"/>
      <c r="AJ83" s="61"/>
    </row>
    <row r="84" spans="1:36" s="72" customFormat="1" ht="30" customHeight="1">
      <c r="A84" s="58"/>
      <c r="B84" s="58"/>
      <c r="C84" s="75"/>
      <c r="D84" s="299"/>
      <c r="E84" s="61"/>
      <c r="F84" s="61"/>
      <c r="G84" s="61"/>
      <c r="H84" s="61"/>
      <c r="I84" s="73"/>
      <c r="J84" s="64"/>
      <c r="K84" s="64"/>
      <c r="L84" s="65"/>
      <c r="M84" s="66"/>
      <c r="N84" s="298"/>
      <c r="O84" s="66"/>
      <c r="P84" s="58"/>
      <c r="Q84" s="69"/>
      <c r="R84" s="70"/>
      <c r="S84" s="66"/>
      <c r="T84" s="55"/>
      <c r="U84" s="55"/>
      <c r="V84" s="55"/>
      <c r="W84" s="277"/>
      <c r="X84" s="277"/>
      <c r="Y84" s="277"/>
      <c r="Z84" s="277"/>
      <c r="AA84" s="277"/>
      <c r="AB84" s="277"/>
      <c r="AC84" s="277"/>
      <c r="AD84" s="277"/>
      <c r="AE84" s="277"/>
      <c r="AF84" s="277"/>
      <c r="AG84" s="277"/>
      <c r="AH84" s="277"/>
      <c r="AI84" s="277"/>
      <c r="AJ84" s="61"/>
    </row>
    <row r="85" spans="1:36" s="72" customFormat="1" ht="30" customHeight="1">
      <c r="A85" s="58"/>
      <c r="B85" s="58"/>
      <c r="C85" s="75"/>
      <c r="D85" s="299"/>
      <c r="E85" s="61"/>
      <c r="F85" s="61"/>
      <c r="G85" s="61"/>
      <c r="H85" s="61"/>
      <c r="I85" s="73"/>
      <c r="J85" s="64"/>
      <c r="K85" s="64"/>
      <c r="L85" s="65"/>
      <c r="M85" s="66"/>
      <c r="N85" s="298"/>
      <c r="O85" s="66"/>
      <c r="P85" s="58"/>
      <c r="Q85" s="69"/>
      <c r="R85" s="70"/>
      <c r="S85" s="66"/>
      <c r="T85" s="55"/>
      <c r="U85" s="55"/>
      <c r="V85" s="55"/>
      <c r="W85" s="277"/>
      <c r="X85" s="277"/>
      <c r="Y85" s="277"/>
      <c r="Z85" s="277"/>
      <c r="AA85" s="277"/>
      <c r="AB85" s="277"/>
      <c r="AC85" s="277"/>
      <c r="AD85" s="277"/>
      <c r="AE85" s="277"/>
      <c r="AF85" s="277"/>
      <c r="AG85" s="277"/>
      <c r="AH85" s="277"/>
      <c r="AI85" s="277"/>
      <c r="AJ85" s="61"/>
    </row>
    <row r="86" spans="1:36" ht="30" customHeight="1">
      <c r="C86" s="90"/>
      <c r="D86" s="297"/>
      <c r="F86" s="92"/>
      <c r="G86" s="92"/>
      <c r="H86" s="92"/>
      <c r="I86" s="93"/>
      <c r="J86" s="94"/>
      <c r="K86" s="94"/>
      <c r="L86" s="95"/>
      <c r="M86" s="66"/>
      <c r="N86" s="296"/>
      <c r="O86" s="97"/>
      <c r="P86" s="58"/>
      <c r="Q86" s="69"/>
      <c r="R86" s="70"/>
      <c r="S86" s="66"/>
      <c r="T86" s="55"/>
      <c r="U86" s="55"/>
      <c r="V86" s="55"/>
      <c r="W86" s="98"/>
      <c r="X86" s="98"/>
      <c r="Y86" s="98"/>
      <c r="Z86" s="98"/>
      <c r="AA86" s="98"/>
      <c r="AB86" s="98"/>
      <c r="AC86" s="98"/>
      <c r="AD86" s="98"/>
      <c r="AE86" s="98"/>
      <c r="AF86" s="277"/>
      <c r="AG86" s="277"/>
      <c r="AH86" s="277"/>
      <c r="AI86" s="277"/>
    </row>
    <row r="87" spans="1:36" ht="30" customHeight="1">
      <c r="C87" s="90"/>
      <c r="D87" s="297"/>
      <c r="F87" s="92"/>
      <c r="G87" s="92"/>
      <c r="H87" s="92"/>
      <c r="I87" s="93"/>
      <c r="J87" s="94"/>
      <c r="K87" s="94"/>
      <c r="L87" s="95"/>
      <c r="M87" s="66"/>
      <c r="N87" s="296"/>
      <c r="O87" s="97"/>
      <c r="P87" s="58"/>
      <c r="Q87" s="69"/>
      <c r="R87" s="70"/>
      <c r="S87" s="66"/>
      <c r="T87" s="55"/>
      <c r="U87" s="55"/>
      <c r="V87" s="55"/>
      <c r="W87" s="98"/>
      <c r="X87" s="98"/>
      <c r="Y87" s="98"/>
      <c r="Z87" s="98"/>
      <c r="AA87" s="98"/>
      <c r="AB87" s="98"/>
      <c r="AC87" s="98"/>
      <c r="AD87" s="98"/>
      <c r="AE87" s="98"/>
      <c r="AF87" s="277"/>
      <c r="AG87" s="277"/>
      <c r="AH87" s="277"/>
      <c r="AI87" s="277"/>
    </row>
    <row r="88" spans="1:36" ht="30" customHeight="1">
      <c r="C88" s="90"/>
      <c r="D88" s="297"/>
      <c r="F88" s="92"/>
      <c r="G88" s="92"/>
      <c r="H88" s="92"/>
      <c r="I88" s="93"/>
      <c r="J88" s="94"/>
      <c r="K88" s="94"/>
      <c r="L88" s="95"/>
      <c r="M88" s="66"/>
      <c r="N88" s="296"/>
      <c r="O88" s="97"/>
      <c r="P88" s="58"/>
      <c r="Q88" s="69"/>
      <c r="R88" s="70"/>
      <c r="S88" s="66"/>
      <c r="T88" s="55"/>
      <c r="U88" s="55"/>
      <c r="V88" s="55"/>
      <c r="W88" s="98"/>
      <c r="X88" s="98"/>
      <c r="Y88" s="98"/>
      <c r="Z88" s="98"/>
      <c r="AA88" s="98"/>
      <c r="AB88" s="98"/>
      <c r="AC88" s="98"/>
      <c r="AD88" s="98"/>
      <c r="AE88" s="98"/>
      <c r="AF88" s="277"/>
      <c r="AG88" s="277"/>
      <c r="AH88" s="277"/>
      <c r="AI88" s="277"/>
    </row>
    <row r="89" spans="1:36" ht="30" customHeight="1">
      <c r="C89" s="90"/>
      <c r="D89" s="297"/>
      <c r="F89" s="92"/>
      <c r="G89" s="92"/>
      <c r="H89" s="92"/>
      <c r="I89" s="93"/>
      <c r="J89" s="94"/>
      <c r="K89" s="94"/>
      <c r="L89" s="95"/>
      <c r="M89" s="66"/>
      <c r="N89" s="296"/>
      <c r="O89" s="97"/>
      <c r="P89" s="58"/>
      <c r="Q89" s="69"/>
      <c r="R89" s="70"/>
      <c r="S89" s="66"/>
      <c r="T89" s="55"/>
      <c r="U89" s="55"/>
      <c r="V89" s="55"/>
      <c r="W89" s="98"/>
      <c r="X89" s="98"/>
      <c r="Y89" s="98"/>
      <c r="Z89" s="98"/>
      <c r="AA89" s="98"/>
      <c r="AB89" s="98"/>
      <c r="AC89" s="98"/>
      <c r="AD89" s="98"/>
      <c r="AE89" s="98"/>
      <c r="AF89" s="277"/>
      <c r="AG89" s="277"/>
      <c r="AH89" s="277"/>
      <c r="AI89" s="277"/>
    </row>
    <row r="90" spans="1:36" ht="30" customHeight="1">
      <c r="C90" s="90"/>
      <c r="D90" s="297"/>
      <c r="F90" s="92"/>
      <c r="G90" s="92"/>
      <c r="H90" s="92"/>
      <c r="I90" s="93"/>
      <c r="J90" s="94"/>
      <c r="K90" s="94"/>
      <c r="L90" s="95"/>
      <c r="M90" s="66"/>
      <c r="N90" s="296"/>
      <c r="O90" s="97"/>
      <c r="P90" s="58"/>
      <c r="Q90" s="69"/>
      <c r="R90" s="70"/>
      <c r="S90" s="66"/>
      <c r="T90" s="55"/>
      <c r="U90" s="55"/>
      <c r="V90" s="55"/>
      <c r="W90" s="98"/>
      <c r="X90" s="98"/>
      <c r="Y90" s="98"/>
      <c r="Z90" s="98"/>
      <c r="AA90" s="98"/>
      <c r="AB90" s="98"/>
      <c r="AC90" s="98"/>
      <c r="AD90" s="98"/>
      <c r="AE90" s="98"/>
      <c r="AF90" s="277"/>
      <c r="AG90" s="277"/>
      <c r="AH90" s="277"/>
      <c r="AI90" s="277"/>
    </row>
    <row r="91" spans="1:36" ht="30" customHeight="1">
      <c r="C91" s="90"/>
      <c r="D91" s="297"/>
      <c r="F91" s="92"/>
      <c r="G91" s="92"/>
      <c r="H91" s="92"/>
      <c r="I91" s="93"/>
      <c r="J91" s="94"/>
      <c r="K91" s="94"/>
      <c r="L91" s="95"/>
      <c r="M91" s="66"/>
      <c r="N91" s="296"/>
      <c r="O91" s="97"/>
      <c r="P91" s="58"/>
      <c r="Q91" s="69"/>
      <c r="R91" s="70"/>
      <c r="S91" s="66"/>
      <c r="T91" s="55"/>
      <c r="U91" s="55"/>
      <c r="V91" s="55"/>
      <c r="W91" s="98"/>
      <c r="X91" s="98"/>
      <c r="Y91" s="98"/>
      <c r="Z91" s="98"/>
      <c r="AA91" s="98"/>
      <c r="AB91" s="98"/>
      <c r="AC91" s="98"/>
      <c r="AD91" s="98"/>
      <c r="AE91" s="98"/>
      <c r="AF91" s="277"/>
      <c r="AG91" s="277"/>
      <c r="AH91" s="277"/>
      <c r="AI91" s="277"/>
    </row>
    <row r="92" spans="1:36" ht="30" customHeight="1">
      <c r="C92" s="90"/>
      <c r="D92" s="297"/>
      <c r="F92" s="92"/>
      <c r="G92" s="92"/>
      <c r="H92" s="92"/>
      <c r="I92" s="93"/>
      <c r="J92" s="94"/>
      <c r="K92" s="94"/>
      <c r="L92" s="95"/>
      <c r="M92" s="66"/>
      <c r="N92" s="296"/>
      <c r="O92" s="97"/>
      <c r="P92" s="58"/>
      <c r="Q92" s="69"/>
      <c r="R92" s="70"/>
      <c r="S92" s="66"/>
      <c r="T92" s="55"/>
      <c r="U92" s="55"/>
      <c r="V92" s="55"/>
      <c r="W92" s="98"/>
      <c r="X92" s="98"/>
      <c r="Y92" s="98"/>
      <c r="Z92" s="98"/>
      <c r="AA92" s="98"/>
      <c r="AB92" s="98"/>
      <c r="AC92" s="98"/>
      <c r="AD92" s="98"/>
      <c r="AE92" s="98"/>
      <c r="AF92" s="277"/>
      <c r="AG92" s="277"/>
      <c r="AH92" s="277"/>
      <c r="AI92" s="277"/>
    </row>
    <row r="93" spans="1:36" ht="30" customHeight="1">
      <c r="C93" s="90"/>
      <c r="D93" s="297"/>
      <c r="F93" s="92"/>
      <c r="G93" s="92"/>
      <c r="H93" s="92"/>
      <c r="I93" s="93"/>
      <c r="J93" s="94"/>
      <c r="K93" s="94"/>
      <c r="L93" s="95"/>
      <c r="M93" s="66"/>
      <c r="N93" s="296"/>
      <c r="O93" s="97"/>
      <c r="P93" s="58"/>
      <c r="Q93" s="69"/>
      <c r="R93" s="70"/>
      <c r="S93" s="66"/>
      <c r="T93" s="55"/>
      <c r="U93" s="55"/>
      <c r="V93" s="55"/>
      <c r="W93" s="98"/>
      <c r="X93" s="98"/>
      <c r="Y93" s="98"/>
      <c r="Z93" s="98"/>
      <c r="AA93" s="98"/>
      <c r="AB93" s="98"/>
      <c r="AC93" s="98"/>
      <c r="AD93" s="98"/>
      <c r="AE93" s="98"/>
      <c r="AF93" s="277"/>
      <c r="AG93" s="277"/>
      <c r="AH93" s="277"/>
      <c r="AI93" s="277"/>
    </row>
    <row r="94" spans="1:36" ht="30" customHeight="1">
      <c r="C94" s="90"/>
      <c r="D94" s="297"/>
      <c r="F94" s="92"/>
      <c r="G94" s="92"/>
      <c r="H94" s="92"/>
      <c r="I94" s="93"/>
      <c r="J94" s="94"/>
      <c r="K94" s="94"/>
      <c r="L94" s="95"/>
      <c r="M94" s="66"/>
      <c r="N94" s="296"/>
      <c r="O94" s="97"/>
      <c r="P94" s="58"/>
      <c r="Q94" s="69"/>
      <c r="R94" s="70"/>
      <c r="S94" s="66"/>
      <c r="T94" s="55"/>
      <c r="U94" s="55"/>
      <c r="V94" s="55"/>
      <c r="W94" s="98"/>
      <c r="X94" s="98"/>
      <c r="Y94" s="98"/>
      <c r="Z94" s="98"/>
      <c r="AA94" s="98"/>
      <c r="AB94" s="98"/>
      <c r="AC94" s="98"/>
      <c r="AD94" s="98"/>
      <c r="AE94" s="98"/>
      <c r="AF94" s="277"/>
      <c r="AG94" s="277"/>
      <c r="AH94" s="277"/>
      <c r="AI94" s="277"/>
    </row>
    <row r="95" spans="1:36" ht="30" customHeight="1">
      <c r="C95" s="90"/>
      <c r="D95" s="297"/>
      <c r="F95" s="92"/>
      <c r="G95" s="92"/>
      <c r="H95" s="92"/>
      <c r="I95" s="93"/>
      <c r="J95" s="94"/>
      <c r="K95" s="94"/>
      <c r="L95" s="95"/>
      <c r="M95" s="66"/>
      <c r="N95" s="296"/>
      <c r="O95" s="97"/>
      <c r="P95" s="58"/>
      <c r="Q95" s="69"/>
      <c r="R95" s="70"/>
      <c r="S95" s="66"/>
      <c r="T95" s="55"/>
      <c r="U95" s="55"/>
      <c r="V95" s="55"/>
      <c r="W95" s="98"/>
      <c r="X95" s="98"/>
      <c r="Y95" s="98"/>
      <c r="Z95" s="98"/>
      <c r="AA95" s="98"/>
      <c r="AB95" s="98"/>
      <c r="AC95" s="98"/>
      <c r="AD95" s="98"/>
      <c r="AE95" s="98"/>
      <c r="AF95" s="277"/>
      <c r="AG95" s="277"/>
      <c r="AH95" s="277"/>
      <c r="AI95" s="277"/>
    </row>
    <row r="96" spans="1:36" ht="30" customHeight="1">
      <c r="C96" s="90"/>
      <c r="D96" s="297"/>
      <c r="F96" s="92"/>
      <c r="G96" s="92"/>
      <c r="H96" s="92"/>
      <c r="I96" s="93"/>
      <c r="J96" s="94"/>
      <c r="K96" s="94"/>
      <c r="L96" s="95"/>
      <c r="M96" s="66"/>
      <c r="N96" s="296"/>
      <c r="O96" s="97"/>
      <c r="P96" s="58"/>
      <c r="Q96" s="69"/>
      <c r="R96" s="70"/>
      <c r="S96" s="66"/>
      <c r="T96" s="55"/>
      <c r="U96" s="55"/>
      <c r="V96" s="55"/>
      <c r="W96" s="98"/>
      <c r="X96" s="98"/>
      <c r="Y96" s="98"/>
      <c r="Z96" s="98"/>
      <c r="AA96" s="98"/>
      <c r="AB96" s="98"/>
      <c r="AC96" s="98"/>
      <c r="AD96" s="98"/>
      <c r="AE96" s="98"/>
      <c r="AF96" s="277"/>
      <c r="AG96" s="277"/>
      <c r="AH96" s="277"/>
      <c r="AI96" s="277"/>
    </row>
    <row r="97" spans="3:35" ht="30" customHeight="1">
      <c r="C97" s="90"/>
      <c r="D97" s="297"/>
      <c r="F97" s="92"/>
      <c r="G97" s="92"/>
      <c r="H97" s="92"/>
      <c r="I97" s="93"/>
      <c r="J97" s="94"/>
      <c r="K97" s="94"/>
      <c r="L97" s="95"/>
      <c r="M97" s="66"/>
      <c r="N97" s="296"/>
      <c r="O97" s="97"/>
      <c r="P97" s="58"/>
      <c r="Q97" s="69"/>
      <c r="R97" s="70"/>
      <c r="S97" s="66"/>
      <c r="T97" s="55"/>
      <c r="U97" s="55"/>
      <c r="V97" s="55"/>
      <c r="W97" s="98"/>
      <c r="X97" s="98"/>
      <c r="Y97" s="98"/>
      <c r="Z97" s="98"/>
      <c r="AA97" s="98"/>
      <c r="AB97" s="98"/>
      <c r="AC97" s="98"/>
      <c r="AD97" s="98"/>
      <c r="AE97" s="98"/>
      <c r="AF97" s="277"/>
      <c r="AG97" s="277"/>
      <c r="AH97" s="277"/>
      <c r="AI97" s="277"/>
    </row>
    <row r="98" spans="3:35" ht="30" customHeight="1">
      <c r="C98" s="90"/>
      <c r="D98" s="297"/>
      <c r="F98" s="92"/>
      <c r="G98" s="92"/>
      <c r="H98" s="92"/>
      <c r="I98" s="93"/>
      <c r="J98" s="94"/>
      <c r="K98" s="94"/>
      <c r="L98" s="95"/>
      <c r="M98" s="66"/>
      <c r="N98" s="296"/>
      <c r="O98" s="97"/>
      <c r="P98" s="58"/>
      <c r="Q98" s="69"/>
      <c r="R98" s="70"/>
      <c r="S98" s="66"/>
      <c r="T98" s="55"/>
      <c r="U98" s="55"/>
      <c r="V98" s="55"/>
      <c r="W98" s="98"/>
      <c r="X98" s="98"/>
      <c r="Y98" s="98"/>
      <c r="Z98" s="98"/>
      <c r="AA98" s="98"/>
      <c r="AB98" s="98"/>
      <c r="AC98" s="98"/>
      <c r="AD98" s="98"/>
      <c r="AE98" s="98"/>
      <c r="AF98" s="277"/>
      <c r="AG98" s="277"/>
      <c r="AH98" s="277"/>
      <c r="AI98" s="277"/>
    </row>
    <row r="99" spans="3:35" ht="30" customHeight="1">
      <c r="C99" s="90"/>
      <c r="D99" s="297"/>
      <c r="F99" s="92"/>
      <c r="G99" s="92"/>
      <c r="H99" s="92"/>
      <c r="I99" s="93"/>
      <c r="J99" s="94"/>
      <c r="K99" s="94"/>
      <c r="L99" s="95"/>
      <c r="M99" s="66"/>
      <c r="N99" s="296"/>
      <c r="O99" s="97"/>
      <c r="P99" s="58"/>
      <c r="Q99" s="69"/>
      <c r="R99" s="70"/>
      <c r="S99" s="66"/>
      <c r="T99" s="55"/>
      <c r="U99" s="55"/>
      <c r="V99" s="55"/>
      <c r="W99" s="98"/>
      <c r="X99" s="98"/>
      <c r="Y99" s="98"/>
      <c r="Z99" s="98"/>
      <c r="AA99" s="98"/>
      <c r="AB99" s="98"/>
      <c r="AC99" s="98"/>
      <c r="AD99" s="98"/>
      <c r="AE99" s="98"/>
      <c r="AF99" s="277"/>
      <c r="AG99" s="277"/>
      <c r="AH99" s="277"/>
      <c r="AI99" s="277"/>
    </row>
    <row r="100" spans="3:35" ht="30" customHeight="1">
      <c r="C100" s="90"/>
      <c r="D100" s="297"/>
      <c r="F100" s="92"/>
      <c r="G100" s="92"/>
      <c r="H100" s="92"/>
      <c r="I100" s="93"/>
      <c r="J100" s="94"/>
      <c r="K100" s="94"/>
      <c r="L100" s="95"/>
      <c r="M100" s="66"/>
      <c r="N100" s="296"/>
      <c r="O100" s="97"/>
      <c r="P100" s="58"/>
      <c r="Q100" s="69"/>
      <c r="R100" s="70"/>
      <c r="S100" s="66"/>
      <c r="T100" s="55"/>
      <c r="U100" s="55"/>
      <c r="V100" s="55"/>
      <c r="W100" s="98"/>
      <c r="X100" s="98"/>
      <c r="Y100" s="98"/>
      <c r="Z100" s="98"/>
      <c r="AA100" s="98"/>
      <c r="AB100" s="98"/>
      <c r="AC100" s="98"/>
      <c r="AD100" s="98"/>
      <c r="AE100" s="98"/>
      <c r="AF100" s="277"/>
      <c r="AG100" s="277"/>
      <c r="AH100" s="277"/>
      <c r="AI100" s="277"/>
    </row>
    <row r="101" spans="3:35" ht="30" customHeight="1">
      <c r="C101" s="90"/>
      <c r="D101" s="297"/>
      <c r="F101" s="92"/>
      <c r="G101" s="92"/>
      <c r="H101" s="92"/>
      <c r="I101" s="93"/>
      <c r="J101" s="94"/>
      <c r="K101" s="94"/>
      <c r="L101" s="95"/>
      <c r="M101" s="66"/>
      <c r="N101" s="296"/>
      <c r="O101" s="97"/>
      <c r="P101" s="58"/>
      <c r="Q101" s="69"/>
      <c r="R101" s="70"/>
      <c r="S101" s="66"/>
      <c r="T101" s="55"/>
      <c r="U101" s="55"/>
      <c r="V101" s="55"/>
      <c r="W101" s="98"/>
      <c r="X101" s="98"/>
      <c r="Y101" s="98"/>
      <c r="Z101" s="98"/>
      <c r="AA101" s="98"/>
      <c r="AB101" s="98"/>
      <c r="AC101" s="98"/>
      <c r="AD101" s="98"/>
      <c r="AE101" s="98"/>
      <c r="AF101" s="277"/>
      <c r="AG101" s="277"/>
      <c r="AH101" s="277"/>
      <c r="AI101" s="277"/>
    </row>
    <row r="102" spans="3:35" ht="30" customHeight="1">
      <c r="C102" s="90"/>
      <c r="D102" s="297"/>
      <c r="F102" s="92"/>
      <c r="G102" s="92"/>
      <c r="H102" s="92"/>
      <c r="I102" s="93"/>
      <c r="J102" s="94"/>
      <c r="K102" s="94"/>
      <c r="L102" s="95"/>
      <c r="M102" s="66"/>
      <c r="N102" s="296"/>
      <c r="O102" s="97"/>
      <c r="P102" s="58"/>
      <c r="Q102" s="69"/>
      <c r="R102" s="70"/>
      <c r="S102" s="66"/>
      <c r="T102" s="55"/>
      <c r="U102" s="55"/>
      <c r="V102" s="55"/>
      <c r="W102" s="98"/>
      <c r="X102" s="98"/>
      <c r="Y102" s="98"/>
      <c r="Z102" s="98"/>
      <c r="AA102" s="98"/>
      <c r="AB102" s="98"/>
      <c r="AC102" s="98"/>
      <c r="AD102" s="98"/>
      <c r="AE102" s="98"/>
      <c r="AF102" s="277"/>
      <c r="AG102" s="277"/>
      <c r="AH102" s="277"/>
      <c r="AI102" s="277"/>
    </row>
    <row r="103" spans="3:35" ht="30" customHeight="1">
      <c r="C103" s="90"/>
      <c r="D103" s="297"/>
      <c r="F103" s="92"/>
      <c r="G103" s="92"/>
      <c r="H103" s="92"/>
      <c r="I103" s="93"/>
      <c r="J103" s="94"/>
      <c r="K103" s="94"/>
      <c r="L103" s="95"/>
      <c r="M103" s="66"/>
      <c r="N103" s="296"/>
      <c r="O103" s="97"/>
      <c r="P103" s="58"/>
      <c r="Q103" s="69"/>
      <c r="R103" s="70"/>
      <c r="S103" s="66"/>
      <c r="T103" s="55"/>
      <c r="U103" s="55"/>
      <c r="V103" s="55"/>
      <c r="W103" s="98"/>
      <c r="X103" s="98"/>
      <c r="Y103" s="98"/>
      <c r="Z103" s="98"/>
      <c r="AA103" s="98"/>
      <c r="AB103" s="98"/>
      <c r="AC103" s="98"/>
      <c r="AD103" s="98"/>
      <c r="AE103" s="98"/>
      <c r="AF103" s="277"/>
      <c r="AG103" s="277"/>
      <c r="AH103" s="277"/>
      <c r="AI103" s="277"/>
    </row>
    <row r="104" spans="3:35" ht="30" customHeight="1">
      <c r="C104" s="90"/>
      <c r="D104" s="297"/>
      <c r="F104" s="92"/>
      <c r="G104" s="92"/>
      <c r="H104" s="92"/>
      <c r="I104" s="93"/>
      <c r="J104" s="94"/>
      <c r="K104" s="94"/>
      <c r="L104" s="95"/>
      <c r="M104" s="66"/>
      <c r="N104" s="296"/>
      <c r="O104" s="97"/>
      <c r="P104" s="58"/>
      <c r="Q104" s="69"/>
      <c r="R104" s="70"/>
      <c r="S104" s="66"/>
      <c r="T104" s="55"/>
      <c r="U104" s="55"/>
      <c r="V104" s="55"/>
      <c r="W104" s="98"/>
      <c r="X104" s="98"/>
      <c r="Y104" s="98"/>
      <c r="Z104" s="98"/>
      <c r="AA104" s="98"/>
      <c r="AB104" s="98"/>
      <c r="AC104" s="98"/>
      <c r="AD104" s="98"/>
      <c r="AE104" s="98"/>
      <c r="AF104" s="277"/>
      <c r="AG104" s="277"/>
      <c r="AH104" s="277"/>
      <c r="AI104" s="277"/>
    </row>
    <row r="105" spans="3:35" ht="30" customHeight="1">
      <c r="C105" s="90"/>
      <c r="D105" s="297"/>
      <c r="F105" s="92"/>
      <c r="G105" s="92"/>
      <c r="H105" s="92"/>
      <c r="I105" s="93"/>
      <c r="J105" s="94"/>
      <c r="K105" s="94"/>
      <c r="L105" s="95"/>
      <c r="M105" s="66"/>
      <c r="N105" s="296"/>
      <c r="O105" s="97"/>
      <c r="P105" s="58"/>
      <c r="Q105" s="69"/>
      <c r="R105" s="70"/>
      <c r="S105" s="66"/>
      <c r="T105" s="55"/>
      <c r="U105" s="55"/>
      <c r="V105" s="55"/>
      <c r="W105" s="98"/>
      <c r="X105" s="98"/>
      <c r="Y105" s="98"/>
      <c r="Z105" s="98"/>
      <c r="AA105" s="98"/>
      <c r="AB105" s="98"/>
      <c r="AC105" s="98"/>
      <c r="AD105" s="98"/>
      <c r="AE105" s="98"/>
      <c r="AF105" s="277"/>
      <c r="AG105" s="277"/>
      <c r="AH105" s="277"/>
      <c r="AI105" s="277"/>
    </row>
    <row r="106" spans="3:35" ht="30" customHeight="1">
      <c r="C106" s="90"/>
      <c r="D106" s="297"/>
      <c r="F106" s="92"/>
      <c r="G106" s="92"/>
      <c r="H106" s="92"/>
      <c r="I106" s="93"/>
      <c r="J106" s="94"/>
      <c r="K106" s="94"/>
      <c r="L106" s="95"/>
      <c r="M106" s="66"/>
      <c r="N106" s="296"/>
      <c r="O106" s="97"/>
      <c r="P106" s="58"/>
      <c r="Q106" s="69"/>
      <c r="R106" s="70"/>
      <c r="S106" s="66"/>
      <c r="T106" s="55"/>
      <c r="U106" s="55"/>
      <c r="V106" s="55"/>
      <c r="W106" s="98"/>
      <c r="X106" s="98"/>
      <c r="Y106" s="98"/>
      <c r="Z106" s="98"/>
      <c r="AA106" s="98"/>
      <c r="AB106" s="98"/>
      <c r="AC106" s="98"/>
      <c r="AD106" s="98"/>
      <c r="AE106" s="98"/>
      <c r="AF106" s="277"/>
      <c r="AG106" s="277"/>
      <c r="AH106" s="277"/>
      <c r="AI106" s="277"/>
    </row>
    <row r="107" spans="3:35" ht="30" customHeight="1">
      <c r="C107" s="90"/>
      <c r="D107" s="297"/>
      <c r="F107" s="92"/>
      <c r="G107" s="92"/>
      <c r="H107" s="92"/>
      <c r="I107" s="93"/>
      <c r="J107" s="94"/>
      <c r="K107" s="94"/>
      <c r="L107" s="95"/>
      <c r="M107" s="66"/>
      <c r="N107" s="296"/>
      <c r="O107" s="97"/>
      <c r="P107" s="58"/>
      <c r="Q107" s="69"/>
      <c r="R107" s="70"/>
      <c r="S107" s="66"/>
      <c r="T107" s="55"/>
      <c r="U107" s="55"/>
      <c r="V107" s="55"/>
      <c r="W107" s="98"/>
      <c r="X107" s="98"/>
      <c r="Y107" s="98"/>
      <c r="Z107" s="98"/>
      <c r="AA107" s="98"/>
      <c r="AB107" s="98"/>
      <c r="AC107" s="98"/>
      <c r="AD107" s="98"/>
      <c r="AE107" s="98"/>
      <c r="AF107" s="277"/>
      <c r="AG107" s="277"/>
      <c r="AH107" s="277"/>
      <c r="AI107" s="277"/>
    </row>
    <row r="108" spans="3:35" ht="30" customHeight="1">
      <c r="C108" s="90"/>
      <c r="D108" s="297"/>
      <c r="F108" s="92"/>
      <c r="G108" s="92"/>
      <c r="H108" s="92"/>
      <c r="I108" s="93"/>
      <c r="J108" s="94"/>
      <c r="K108" s="94"/>
      <c r="L108" s="95"/>
      <c r="M108" s="66"/>
      <c r="N108" s="296"/>
      <c r="O108" s="97"/>
      <c r="P108" s="58"/>
      <c r="Q108" s="69"/>
      <c r="R108" s="70"/>
      <c r="S108" s="66"/>
      <c r="T108" s="55"/>
      <c r="U108" s="55"/>
      <c r="V108" s="55"/>
      <c r="W108" s="98"/>
      <c r="X108" s="98"/>
      <c r="Y108" s="98"/>
      <c r="Z108" s="98"/>
      <c r="AA108" s="98"/>
      <c r="AB108" s="98"/>
      <c r="AC108" s="98"/>
      <c r="AD108" s="98"/>
      <c r="AE108" s="98"/>
      <c r="AF108" s="277"/>
      <c r="AG108" s="277"/>
      <c r="AH108" s="277"/>
      <c r="AI108" s="277"/>
    </row>
    <row r="109" spans="3:35" ht="30" customHeight="1">
      <c r="C109" s="90"/>
      <c r="D109" s="297"/>
      <c r="F109" s="92"/>
      <c r="G109" s="92"/>
      <c r="H109" s="92"/>
      <c r="I109" s="93"/>
      <c r="J109" s="94"/>
      <c r="K109" s="94"/>
      <c r="L109" s="95"/>
      <c r="M109" s="66"/>
      <c r="N109" s="296"/>
      <c r="O109" s="97"/>
      <c r="P109" s="58"/>
      <c r="Q109" s="69"/>
      <c r="R109" s="70"/>
      <c r="S109" s="66"/>
      <c r="T109" s="55"/>
      <c r="U109" s="55"/>
      <c r="V109" s="55"/>
      <c r="W109" s="98"/>
      <c r="X109" s="98"/>
      <c r="Y109" s="98"/>
      <c r="Z109" s="98"/>
      <c r="AA109" s="98"/>
      <c r="AB109" s="98"/>
      <c r="AC109" s="98"/>
      <c r="AD109" s="98"/>
      <c r="AE109" s="98"/>
      <c r="AF109" s="277"/>
      <c r="AG109" s="277"/>
      <c r="AH109" s="277"/>
      <c r="AI109" s="277"/>
    </row>
    <row r="110" spans="3:35" ht="30" customHeight="1">
      <c r="C110" s="90"/>
      <c r="D110" s="297"/>
      <c r="F110" s="92"/>
      <c r="G110" s="92"/>
      <c r="H110" s="92"/>
      <c r="I110" s="93"/>
      <c r="J110" s="94"/>
      <c r="K110" s="94"/>
      <c r="L110" s="95"/>
      <c r="M110" s="66"/>
      <c r="N110" s="296"/>
      <c r="O110" s="97"/>
      <c r="P110" s="58"/>
      <c r="Q110" s="69"/>
      <c r="R110" s="70"/>
      <c r="S110" s="66"/>
      <c r="T110" s="55"/>
      <c r="U110" s="55"/>
      <c r="V110" s="55"/>
      <c r="W110" s="98"/>
      <c r="X110" s="98"/>
      <c r="Y110" s="98"/>
      <c r="Z110" s="98"/>
      <c r="AA110" s="98"/>
      <c r="AB110" s="98"/>
      <c r="AC110" s="98"/>
      <c r="AD110" s="98"/>
      <c r="AE110" s="98"/>
      <c r="AF110" s="277"/>
      <c r="AG110" s="277"/>
      <c r="AH110" s="277"/>
      <c r="AI110" s="277"/>
    </row>
    <row r="111" spans="3:35" ht="30" customHeight="1">
      <c r="C111" s="90"/>
      <c r="D111" s="297"/>
      <c r="F111" s="92"/>
      <c r="G111" s="92"/>
      <c r="H111" s="92"/>
      <c r="I111" s="93"/>
      <c r="J111" s="94"/>
      <c r="K111" s="94"/>
      <c r="L111" s="95"/>
      <c r="M111" s="66"/>
      <c r="N111" s="296"/>
      <c r="O111" s="97"/>
      <c r="P111" s="58"/>
      <c r="Q111" s="69"/>
      <c r="R111" s="70"/>
      <c r="S111" s="66"/>
      <c r="T111" s="55"/>
      <c r="U111" s="55"/>
      <c r="V111" s="55"/>
      <c r="W111" s="98"/>
      <c r="X111" s="98"/>
      <c r="Y111" s="98"/>
      <c r="Z111" s="98"/>
      <c r="AA111" s="98"/>
      <c r="AB111" s="98"/>
      <c r="AC111" s="98"/>
      <c r="AD111" s="98"/>
      <c r="AE111" s="98"/>
      <c r="AF111" s="277"/>
      <c r="AG111" s="277"/>
      <c r="AH111" s="277"/>
      <c r="AI111" s="277"/>
    </row>
    <row r="112" spans="3:35" ht="30" customHeight="1">
      <c r="C112" s="90"/>
      <c r="D112" s="297"/>
      <c r="F112" s="92"/>
      <c r="G112" s="92"/>
      <c r="H112" s="92"/>
      <c r="I112" s="93"/>
      <c r="J112" s="94"/>
      <c r="K112" s="94"/>
      <c r="L112" s="95"/>
      <c r="M112" s="66"/>
      <c r="N112" s="296"/>
      <c r="O112" s="97"/>
      <c r="P112" s="58"/>
      <c r="Q112" s="69"/>
      <c r="R112" s="70"/>
      <c r="S112" s="66"/>
      <c r="T112" s="55"/>
      <c r="U112" s="55"/>
      <c r="V112" s="55"/>
      <c r="W112" s="98"/>
      <c r="X112" s="98"/>
      <c r="Y112" s="98"/>
      <c r="Z112" s="98"/>
      <c r="AA112" s="98"/>
      <c r="AB112" s="98"/>
      <c r="AC112" s="98"/>
      <c r="AD112" s="98"/>
      <c r="AE112" s="98"/>
      <c r="AF112" s="277"/>
      <c r="AG112" s="277"/>
      <c r="AH112" s="277"/>
      <c r="AI112" s="277"/>
    </row>
    <row r="113" spans="3:35" ht="30" customHeight="1">
      <c r="C113" s="90"/>
      <c r="D113" s="297"/>
      <c r="F113" s="92"/>
      <c r="G113" s="92"/>
      <c r="H113" s="92"/>
      <c r="I113" s="93"/>
      <c r="J113" s="94"/>
      <c r="K113" s="94"/>
      <c r="L113" s="95"/>
      <c r="M113" s="66"/>
      <c r="N113" s="296"/>
      <c r="O113" s="97"/>
      <c r="P113" s="58"/>
      <c r="Q113" s="69"/>
      <c r="R113" s="70"/>
      <c r="S113" s="66"/>
      <c r="T113" s="55"/>
      <c r="U113" s="55"/>
      <c r="V113" s="55"/>
      <c r="W113" s="98"/>
      <c r="X113" s="98"/>
      <c r="Y113" s="98"/>
      <c r="Z113" s="98"/>
      <c r="AA113" s="98"/>
      <c r="AB113" s="98"/>
      <c r="AC113" s="98"/>
      <c r="AD113" s="98"/>
      <c r="AE113" s="98"/>
      <c r="AF113" s="277"/>
      <c r="AG113" s="277"/>
      <c r="AH113" s="277"/>
      <c r="AI113" s="277"/>
    </row>
    <row r="114" spans="3:35" ht="30" customHeight="1">
      <c r="C114" s="90"/>
      <c r="D114" s="297"/>
      <c r="F114" s="92"/>
      <c r="G114" s="92"/>
      <c r="H114" s="92"/>
      <c r="I114" s="93"/>
      <c r="J114" s="94"/>
      <c r="K114" s="94"/>
      <c r="L114" s="95"/>
      <c r="M114" s="66"/>
      <c r="N114" s="296"/>
      <c r="O114" s="97"/>
      <c r="P114" s="58"/>
      <c r="Q114" s="69"/>
      <c r="R114" s="70"/>
      <c r="S114" s="66"/>
      <c r="T114" s="55"/>
      <c r="U114" s="55"/>
      <c r="V114" s="55"/>
      <c r="W114" s="98"/>
      <c r="X114" s="98"/>
      <c r="Y114" s="98"/>
      <c r="Z114" s="98"/>
      <c r="AA114" s="98"/>
      <c r="AB114" s="98"/>
      <c r="AC114" s="98"/>
      <c r="AD114" s="98"/>
      <c r="AE114" s="98"/>
      <c r="AF114" s="277"/>
      <c r="AG114" s="277"/>
      <c r="AH114" s="277"/>
      <c r="AI114" s="277"/>
    </row>
    <row r="115" spans="3:35" ht="30" customHeight="1">
      <c r="C115" s="90"/>
      <c r="D115" s="297"/>
      <c r="F115" s="92"/>
      <c r="G115" s="92"/>
      <c r="H115" s="92"/>
      <c r="I115" s="93"/>
      <c r="J115" s="94"/>
      <c r="K115" s="94"/>
      <c r="L115" s="95"/>
      <c r="M115" s="66"/>
      <c r="N115" s="296"/>
      <c r="O115" s="97"/>
      <c r="P115" s="58"/>
      <c r="Q115" s="69"/>
      <c r="R115" s="70"/>
      <c r="S115" s="66"/>
      <c r="T115" s="55"/>
      <c r="U115" s="55"/>
      <c r="V115" s="55"/>
      <c r="W115" s="98"/>
      <c r="X115" s="98"/>
      <c r="Y115" s="98"/>
      <c r="Z115" s="98"/>
      <c r="AA115" s="98"/>
      <c r="AB115" s="98"/>
      <c r="AC115" s="98"/>
      <c r="AD115" s="98"/>
      <c r="AE115" s="98"/>
      <c r="AF115" s="277"/>
      <c r="AG115" s="277"/>
      <c r="AH115" s="277"/>
      <c r="AI115" s="277"/>
    </row>
    <row r="116" spans="3:35" ht="30" customHeight="1">
      <c r="C116" s="90"/>
      <c r="D116" s="297"/>
      <c r="F116" s="92"/>
      <c r="G116" s="92"/>
      <c r="H116" s="92"/>
      <c r="I116" s="93"/>
      <c r="J116" s="94"/>
      <c r="K116" s="94"/>
      <c r="L116" s="95"/>
      <c r="M116" s="66"/>
      <c r="N116" s="296"/>
      <c r="O116" s="97"/>
      <c r="P116" s="58"/>
      <c r="Q116" s="69"/>
      <c r="R116" s="70"/>
      <c r="S116" s="66"/>
      <c r="T116" s="55"/>
      <c r="U116" s="55"/>
      <c r="V116" s="55"/>
      <c r="W116" s="98"/>
      <c r="X116" s="98"/>
      <c r="Y116" s="98"/>
      <c r="Z116" s="98"/>
      <c r="AA116" s="98"/>
      <c r="AB116" s="98"/>
      <c r="AC116" s="98"/>
      <c r="AD116" s="98"/>
      <c r="AE116" s="98"/>
      <c r="AF116" s="277"/>
      <c r="AG116" s="277"/>
      <c r="AH116" s="277"/>
      <c r="AI116" s="277"/>
    </row>
    <row r="117" spans="3:35" ht="30" customHeight="1">
      <c r="C117" s="90"/>
      <c r="D117" s="297"/>
      <c r="F117" s="92"/>
      <c r="G117" s="92"/>
      <c r="H117" s="92"/>
      <c r="I117" s="93"/>
      <c r="J117" s="94"/>
      <c r="K117" s="94"/>
      <c r="L117" s="95"/>
      <c r="M117" s="66"/>
      <c r="N117" s="296"/>
      <c r="O117" s="97"/>
      <c r="P117" s="58"/>
      <c r="Q117" s="69"/>
      <c r="R117" s="70"/>
      <c r="S117" s="66"/>
      <c r="T117" s="55"/>
      <c r="U117" s="55"/>
      <c r="V117" s="55"/>
      <c r="W117" s="98"/>
      <c r="X117" s="98"/>
      <c r="Y117" s="98"/>
      <c r="Z117" s="98"/>
      <c r="AA117" s="98"/>
      <c r="AB117" s="98"/>
      <c r="AC117" s="98"/>
      <c r="AD117" s="98"/>
      <c r="AE117" s="98"/>
      <c r="AF117" s="277"/>
      <c r="AG117" s="277"/>
      <c r="AH117" s="277"/>
      <c r="AI117" s="277"/>
    </row>
    <row r="118" spans="3:35" ht="30" customHeight="1">
      <c r="C118" s="90"/>
      <c r="D118" s="297"/>
      <c r="F118" s="92"/>
      <c r="G118" s="92"/>
      <c r="H118" s="92"/>
      <c r="I118" s="93"/>
      <c r="J118" s="94"/>
      <c r="K118" s="94"/>
      <c r="L118" s="95"/>
      <c r="M118" s="66"/>
      <c r="N118" s="296"/>
      <c r="O118" s="97"/>
      <c r="P118" s="58"/>
      <c r="Q118" s="69"/>
      <c r="R118" s="70"/>
      <c r="S118" s="66"/>
      <c r="T118" s="55"/>
      <c r="U118" s="55"/>
      <c r="V118" s="55"/>
      <c r="W118" s="98"/>
      <c r="X118" s="98"/>
      <c r="Y118" s="98"/>
      <c r="Z118" s="98"/>
      <c r="AA118" s="98"/>
      <c r="AB118" s="98"/>
      <c r="AC118" s="98"/>
      <c r="AD118" s="98"/>
      <c r="AE118" s="98"/>
      <c r="AF118" s="277"/>
      <c r="AG118" s="277"/>
      <c r="AH118" s="277"/>
      <c r="AI118" s="277"/>
    </row>
    <row r="119" spans="3:35" ht="30" customHeight="1">
      <c r="C119" s="90"/>
      <c r="D119" s="297"/>
      <c r="F119" s="92"/>
      <c r="G119" s="92"/>
      <c r="H119" s="92"/>
      <c r="I119" s="93"/>
      <c r="J119" s="94"/>
      <c r="K119" s="94"/>
      <c r="L119" s="95"/>
      <c r="M119" s="66"/>
      <c r="N119" s="296"/>
      <c r="O119" s="97"/>
      <c r="P119" s="58"/>
      <c r="Q119" s="69"/>
      <c r="R119" s="70"/>
      <c r="S119" s="66"/>
      <c r="T119" s="55"/>
      <c r="U119" s="55"/>
      <c r="V119" s="55"/>
      <c r="W119" s="98"/>
      <c r="X119" s="98"/>
      <c r="Y119" s="98"/>
      <c r="Z119" s="98"/>
      <c r="AA119" s="98"/>
      <c r="AB119" s="98"/>
      <c r="AC119" s="98"/>
      <c r="AD119" s="98"/>
      <c r="AE119" s="98"/>
      <c r="AF119" s="277"/>
      <c r="AG119" s="277"/>
      <c r="AH119" s="277"/>
      <c r="AI119" s="277"/>
    </row>
    <row r="120" spans="3:35" ht="30" customHeight="1">
      <c r="C120" s="90"/>
      <c r="D120" s="297"/>
      <c r="F120" s="92"/>
      <c r="G120" s="92"/>
      <c r="H120" s="92"/>
      <c r="I120" s="93"/>
      <c r="J120" s="94"/>
      <c r="K120" s="94"/>
      <c r="L120" s="95"/>
      <c r="M120" s="66"/>
      <c r="N120" s="296"/>
      <c r="O120" s="97"/>
      <c r="P120" s="58"/>
      <c r="Q120" s="69"/>
      <c r="R120" s="70"/>
      <c r="S120" s="66"/>
      <c r="T120" s="55"/>
      <c r="U120" s="55"/>
      <c r="V120" s="55"/>
      <c r="W120" s="98"/>
      <c r="X120" s="98"/>
      <c r="Y120" s="98"/>
      <c r="Z120" s="98"/>
      <c r="AA120" s="98"/>
      <c r="AB120" s="98"/>
      <c r="AC120" s="98"/>
      <c r="AD120" s="98"/>
      <c r="AE120" s="98"/>
      <c r="AF120" s="277"/>
      <c r="AG120" s="277"/>
      <c r="AH120" s="277"/>
      <c r="AI120" s="277"/>
    </row>
    <row r="121" spans="3:35" ht="30" customHeight="1">
      <c r="C121" s="90"/>
      <c r="D121" s="297"/>
      <c r="F121" s="92"/>
      <c r="G121" s="92"/>
      <c r="H121" s="92"/>
      <c r="I121" s="93"/>
      <c r="J121" s="94"/>
      <c r="K121" s="94"/>
      <c r="L121" s="95"/>
      <c r="M121" s="66"/>
      <c r="N121" s="296"/>
      <c r="O121" s="97"/>
      <c r="P121" s="58"/>
      <c r="Q121" s="69"/>
      <c r="R121" s="70"/>
      <c r="S121" s="66"/>
      <c r="T121" s="55"/>
      <c r="U121" s="55"/>
      <c r="V121" s="55"/>
      <c r="W121" s="98"/>
      <c r="X121" s="98"/>
      <c r="Y121" s="98"/>
      <c r="Z121" s="98"/>
      <c r="AA121" s="98"/>
      <c r="AB121" s="98"/>
      <c r="AC121" s="98"/>
      <c r="AD121" s="98"/>
      <c r="AE121" s="98"/>
      <c r="AF121" s="277"/>
      <c r="AG121" s="277"/>
      <c r="AH121" s="277"/>
      <c r="AI121" s="277"/>
    </row>
    <row r="122" spans="3:35" ht="30" customHeight="1">
      <c r="C122" s="90"/>
      <c r="D122" s="297"/>
      <c r="F122" s="92"/>
      <c r="G122" s="92"/>
      <c r="H122" s="92"/>
      <c r="I122" s="93"/>
      <c r="J122" s="94"/>
      <c r="K122" s="94"/>
      <c r="L122" s="95"/>
      <c r="M122" s="66"/>
      <c r="N122" s="296"/>
      <c r="O122" s="97"/>
      <c r="P122" s="58"/>
      <c r="Q122" s="69"/>
      <c r="R122" s="70"/>
      <c r="S122" s="66"/>
      <c r="T122" s="55"/>
      <c r="U122" s="55"/>
      <c r="V122" s="55"/>
      <c r="W122" s="98"/>
      <c r="X122" s="98"/>
      <c r="Y122" s="98"/>
      <c r="Z122" s="98"/>
      <c r="AA122" s="98"/>
      <c r="AB122" s="98"/>
      <c r="AC122" s="98"/>
      <c r="AD122" s="98"/>
      <c r="AE122" s="98"/>
      <c r="AF122" s="277"/>
      <c r="AG122" s="277"/>
      <c r="AH122" s="277"/>
      <c r="AI122" s="277"/>
    </row>
    <row r="123" spans="3:35" ht="30" customHeight="1">
      <c r="C123" s="90"/>
      <c r="D123" s="297"/>
      <c r="F123" s="92"/>
      <c r="G123" s="92"/>
      <c r="H123" s="92"/>
      <c r="I123" s="93"/>
      <c r="J123" s="94"/>
      <c r="K123" s="94"/>
      <c r="L123" s="95"/>
      <c r="M123" s="66"/>
      <c r="N123" s="296"/>
      <c r="O123" s="97"/>
      <c r="P123" s="58"/>
      <c r="Q123" s="69"/>
      <c r="R123" s="70"/>
      <c r="S123" s="66"/>
      <c r="T123" s="55"/>
      <c r="U123" s="55"/>
      <c r="V123" s="55"/>
      <c r="W123" s="98"/>
      <c r="X123" s="98"/>
      <c r="Y123" s="98"/>
      <c r="Z123" s="98"/>
      <c r="AA123" s="98"/>
      <c r="AB123" s="98"/>
      <c r="AC123" s="98"/>
      <c r="AD123" s="98"/>
      <c r="AE123" s="98"/>
      <c r="AF123" s="277"/>
      <c r="AG123" s="277"/>
      <c r="AH123" s="277"/>
      <c r="AI123" s="277"/>
    </row>
    <row r="124" spans="3:35" ht="30" customHeight="1">
      <c r="C124" s="90"/>
      <c r="D124" s="297"/>
      <c r="F124" s="92"/>
      <c r="G124" s="92"/>
      <c r="H124" s="92"/>
      <c r="I124" s="93"/>
      <c r="J124" s="94"/>
      <c r="K124" s="94"/>
      <c r="L124" s="95"/>
      <c r="M124" s="66"/>
      <c r="N124" s="296"/>
      <c r="O124" s="97"/>
      <c r="P124" s="58"/>
      <c r="Q124" s="69"/>
      <c r="R124" s="70"/>
      <c r="S124" s="66"/>
      <c r="T124" s="55"/>
      <c r="U124" s="55"/>
      <c r="V124" s="55"/>
      <c r="W124" s="98"/>
      <c r="X124" s="98"/>
      <c r="Y124" s="98"/>
      <c r="Z124" s="98"/>
      <c r="AA124" s="98"/>
      <c r="AB124" s="98"/>
      <c r="AC124" s="98"/>
      <c r="AD124" s="98"/>
      <c r="AE124" s="98"/>
      <c r="AF124" s="277"/>
      <c r="AG124" s="277"/>
      <c r="AH124" s="277"/>
      <c r="AI124" s="277"/>
    </row>
    <row r="125" spans="3:35" ht="30" customHeight="1">
      <c r="C125" s="90"/>
      <c r="D125" s="297"/>
      <c r="F125" s="92"/>
      <c r="G125" s="92"/>
      <c r="H125" s="92"/>
      <c r="I125" s="93"/>
      <c r="J125" s="94"/>
      <c r="K125" s="94"/>
      <c r="L125" s="95"/>
      <c r="M125" s="66"/>
      <c r="N125" s="296"/>
      <c r="O125" s="97"/>
      <c r="P125" s="58"/>
      <c r="Q125" s="69"/>
      <c r="R125" s="70"/>
      <c r="S125" s="66"/>
      <c r="T125" s="55"/>
      <c r="U125" s="55"/>
      <c r="V125" s="55"/>
      <c r="W125" s="98"/>
      <c r="X125" s="98"/>
      <c r="Y125" s="98"/>
      <c r="Z125" s="98"/>
      <c r="AA125" s="98"/>
      <c r="AB125" s="98"/>
      <c r="AC125" s="98"/>
      <c r="AD125" s="98"/>
      <c r="AE125" s="98"/>
      <c r="AF125" s="277"/>
      <c r="AG125" s="277"/>
      <c r="AH125" s="277"/>
      <c r="AI125" s="277"/>
    </row>
    <row r="126" spans="3:35" ht="30" customHeight="1">
      <c r="C126" s="90"/>
      <c r="D126" s="297"/>
      <c r="F126" s="92"/>
      <c r="G126" s="92"/>
      <c r="H126" s="92"/>
      <c r="I126" s="93"/>
      <c r="J126" s="94"/>
      <c r="K126" s="94"/>
      <c r="L126" s="95"/>
      <c r="M126" s="66"/>
      <c r="N126" s="296"/>
      <c r="O126" s="97"/>
      <c r="P126" s="58"/>
      <c r="Q126" s="69"/>
      <c r="R126" s="70"/>
      <c r="S126" s="66"/>
      <c r="T126" s="55"/>
      <c r="U126" s="55"/>
      <c r="V126" s="55"/>
      <c r="W126" s="98"/>
      <c r="X126" s="98"/>
      <c r="Y126" s="98"/>
      <c r="Z126" s="98"/>
      <c r="AA126" s="98"/>
      <c r="AB126" s="98"/>
      <c r="AC126" s="98"/>
      <c r="AD126" s="98"/>
      <c r="AE126" s="98"/>
      <c r="AF126" s="277"/>
      <c r="AG126" s="277"/>
      <c r="AH126" s="277"/>
      <c r="AI126" s="277"/>
    </row>
    <row r="127" spans="3:35" ht="30" customHeight="1">
      <c r="C127" s="90"/>
      <c r="D127" s="297"/>
      <c r="F127" s="92"/>
      <c r="G127" s="92"/>
      <c r="H127" s="92"/>
      <c r="I127" s="93"/>
      <c r="J127" s="94"/>
      <c r="K127" s="94"/>
      <c r="L127" s="95"/>
      <c r="M127" s="66"/>
      <c r="N127" s="296"/>
      <c r="O127" s="97"/>
      <c r="P127" s="58"/>
      <c r="Q127" s="69"/>
      <c r="R127" s="70"/>
      <c r="S127" s="66"/>
      <c r="T127" s="55"/>
      <c r="U127" s="55"/>
      <c r="V127" s="55"/>
      <c r="W127" s="98"/>
      <c r="X127" s="98"/>
      <c r="Y127" s="98"/>
      <c r="Z127" s="98"/>
      <c r="AA127" s="98"/>
      <c r="AB127" s="98"/>
      <c r="AC127" s="98"/>
      <c r="AD127" s="98"/>
      <c r="AE127" s="98"/>
      <c r="AF127" s="277"/>
      <c r="AG127" s="277"/>
      <c r="AH127" s="277"/>
      <c r="AI127" s="277"/>
    </row>
    <row r="128" spans="3:35" ht="30" customHeight="1">
      <c r="C128" s="90"/>
      <c r="D128" s="297"/>
      <c r="F128" s="92"/>
      <c r="G128" s="92"/>
      <c r="H128" s="92"/>
      <c r="I128" s="93"/>
      <c r="J128" s="94"/>
      <c r="K128" s="94"/>
      <c r="L128" s="95"/>
      <c r="M128" s="66"/>
      <c r="N128" s="296"/>
      <c r="O128" s="97"/>
      <c r="P128" s="58"/>
      <c r="Q128" s="69"/>
      <c r="R128" s="70"/>
      <c r="S128" s="66"/>
      <c r="T128" s="55"/>
      <c r="U128" s="55"/>
      <c r="V128" s="55"/>
      <c r="W128" s="98"/>
      <c r="X128" s="98"/>
      <c r="Y128" s="98"/>
      <c r="Z128" s="98"/>
      <c r="AA128" s="98"/>
      <c r="AB128" s="98"/>
      <c r="AC128" s="98"/>
      <c r="AD128" s="98"/>
      <c r="AE128" s="98"/>
      <c r="AF128" s="277"/>
      <c r="AG128" s="277"/>
      <c r="AH128" s="277"/>
      <c r="AI128" s="277"/>
    </row>
    <row r="129" spans="3:35" ht="65.099999999999994" customHeight="1">
      <c r="C129" s="90"/>
      <c r="D129" s="297"/>
      <c r="F129" s="92"/>
      <c r="G129" s="92"/>
      <c r="H129" s="92"/>
      <c r="I129" s="93"/>
      <c r="J129" s="94"/>
      <c r="K129" s="94"/>
      <c r="L129" s="95"/>
      <c r="M129" s="66"/>
      <c r="N129" s="296"/>
      <c r="O129" s="97"/>
      <c r="P129" s="58"/>
      <c r="Q129" s="69"/>
      <c r="R129" s="70"/>
      <c r="S129" s="66"/>
      <c r="T129" s="55"/>
      <c r="U129" s="55"/>
      <c r="V129" s="55"/>
      <c r="W129" s="98"/>
      <c r="X129" s="98"/>
      <c r="Y129" s="98"/>
      <c r="Z129" s="98"/>
      <c r="AA129" s="98"/>
      <c r="AB129" s="98"/>
      <c r="AC129" s="98"/>
      <c r="AD129" s="98"/>
      <c r="AE129" s="98"/>
      <c r="AF129" s="277"/>
      <c r="AG129" s="277"/>
      <c r="AH129" s="277"/>
      <c r="AI129" s="277"/>
    </row>
    <row r="130" spans="3:35" ht="65.099999999999994" customHeight="1">
      <c r="C130" s="90"/>
      <c r="D130" s="297"/>
      <c r="F130" s="92"/>
      <c r="G130" s="92"/>
      <c r="H130" s="92"/>
      <c r="I130" s="93"/>
      <c r="J130" s="94"/>
      <c r="K130" s="94"/>
      <c r="L130" s="95"/>
      <c r="M130" s="66"/>
      <c r="N130" s="296"/>
      <c r="O130" s="97"/>
      <c r="P130" s="58"/>
      <c r="Q130" s="69"/>
      <c r="R130" s="70"/>
      <c r="S130" s="66"/>
      <c r="T130" s="55"/>
      <c r="U130" s="55"/>
      <c r="V130" s="55"/>
      <c r="W130" s="98"/>
      <c r="X130" s="98"/>
      <c r="Y130" s="98"/>
      <c r="Z130" s="98"/>
      <c r="AA130" s="98"/>
      <c r="AB130" s="98"/>
      <c r="AC130" s="98"/>
      <c r="AD130" s="98"/>
      <c r="AE130" s="98"/>
      <c r="AF130" s="277"/>
      <c r="AG130" s="277"/>
      <c r="AH130" s="277"/>
      <c r="AI130" s="277"/>
    </row>
    <row r="131" spans="3:35" ht="65.099999999999994" customHeight="1">
      <c r="C131" s="90"/>
      <c r="D131" s="297"/>
      <c r="F131" s="92"/>
      <c r="G131" s="92"/>
      <c r="H131" s="92"/>
      <c r="I131" s="93"/>
      <c r="J131" s="94"/>
      <c r="K131" s="94"/>
      <c r="L131" s="95"/>
      <c r="M131" s="66"/>
      <c r="N131" s="296"/>
      <c r="O131" s="97"/>
      <c r="P131" s="58"/>
      <c r="Q131" s="69"/>
      <c r="R131" s="70"/>
      <c r="S131" s="66"/>
      <c r="T131" s="55"/>
      <c r="U131" s="55"/>
      <c r="V131" s="55"/>
      <c r="W131" s="98"/>
      <c r="X131" s="98"/>
      <c r="Y131" s="98"/>
      <c r="Z131" s="98"/>
      <c r="AA131" s="98"/>
      <c r="AB131" s="98"/>
      <c r="AC131" s="98"/>
      <c r="AD131" s="98"/>
      <c r="AE131" s="98"/>
      <c r="AF131" s="277"/>
      <c r="AG131" s="277"/>
      <c r="AH131" s="277"/>
      <c r="AI131" s="277"/>
    </row>
    <row r="132" spans="3:35" ht="65.099999999999994" customHeight="1">
      <c r="C132" s="90"/>
      <c r="D132" s="297"/>
      <c r="F132" s="92"/>
      <c r="G132" s="92"/>
      <c r="H132" s="92"/>
      <c r="I132" s="93"/>
      <c r="J132" s="94"/>
      <c r="K132" s="94"/>
      <c r="L132" s="95"/>
      <c r="M132" s="66"/>
      <c r="N132" s="296"/>
      <c r="O132" s="97"/>
      <c r="P132" s="58"/>
      <c r="Q132" s="69"/>
      <c r="R132" s="70"/>
      <c r="S132" s="66"/>
      <c r="T132" s="55"/>
      <c r="U132" s="55"/>
      <c r="V132" s="55"/>
      <c r="W132" s="98"/>
      <c r="X132" s="98"/>
      <c r="Y132" s="98"/>
      <c r="Z132" s="98"/>
      <c r="AA132" s="98"/>
      <c r="AB132" s="98"/>
      <c r="AC132" s="98"/>
      <c r="AD132" s="98"/>
      <c r="AE132" s="98"/>
      <c r="AF132" s="277"/>
      <c r="AG132" s="277"/>
      <c r="AH132" s="277"/>
      <c r="AI132" s="277"/>
    </row>
    <row r="133" spans="3:35" ht="65.099999999999994" customHeight="1">
      <c r="C133" s="90"/>
      <c r="D133" s="297"/>
      <c r="F133" s="92"/>
      <c r="G133" s="92"/>
      <c r="H133" s="92"/>
      <c r="I133" s="93"/>
      <c r="J133" s="94"/>
      <c r="K133" s="94"/>
      <c r="L133" s="95"/>
      <c r="M133" s="66"/>
      <c r="N133" s="296"/>
      <c r="O133" s="97"/>
      <c r="P133" s="58"/>
      <c r="Q133" s="69"/>
      <c r="R133" s="70"/>
      <c r="S133" s="66"/>
      <c r="T133" s="55"/>
      <c r="U133" s="55"/>
      <c r="V133" s="55"/>
      <c r="W133" s="98"/>
      <c r="X133" s="98"/>
      <c r="Y133" s="98"/>
      <c r="Z133" s="98"/>
      <c r="AA133" s="98"/>
      <c r="AB133" s="98"/>
      <c r="AC133" s="98"/>
      <c r="AD133" s="98"/>
      <c r="AE133" s="98"/>
      <c r="AF133" s="277"/>
      <c r="AG133" s="277"/>
      <c r="AH133" s="277"/>
      <c r="AI133" s="277"/>
    </row>
    <row r="134" spans="3:35" ht="65.099999999999994" customHeight="1">
      <c r="C134" s="90"/>
      <c r="D134" s="297"/>
      <c r="F134" s="92"/>
      <c r="G134" s="92"/>
      <c r="H134" s="92"/>
      <c r="I134" s="93"/>
      <c r="J134" s="94"/>
      <c r="K134" s="94"/>
      <c r="L134" s="95"/>
      <c r="M134" s="66"/>
      <c r="N134" s="296"/>
      <c r="O134" s="97"/>
      <c r="P134" s="58"/>
      <c r="Q134" s="69"/>
      <c r="R134" s="70"/>
      <c r="S134" s="66"/>
      <c r="T134" s="55"/>
      <c r="U134" s="55"/>
      <c r="V134" s="55"/>
      <c r="W134" s="98"/>
      <c r="X134" s="98"/>
      <c r="Y134" s="98"/>
      <c r="Z134" s="98"/>
      <c r="AA134" s="98"/>
      <c r="AB134" s="98"/>
      <c r="AC134" s="98"/>
      <c r="AD134" s="98"/>
      <c r="AE134" s="98"/>
      <c r="AF134" s="277"/>
      <c r="AG134" s="277"/>
      <c r="AH134" s="277"/>
      <c r="AI134" s="277"/>
    </row>
    <row r="135" spans="3:35" ht="65.099999999999994" customHeight="1">
      <c r="C135" s="90"/>
      <c r="D135" s="297"/>
      <c r="F135" s="92"/>
      <c r="G135" s="92"/>
      <c r="H135" s="92"/>
      <c r="I135" s="93"/>
      <c r="J135" s="94"/>
      <c r="K135" s="94"/>
      <c r="L135" s="95"/>
      <c r="M135" s="66"/>
      <c r="N135" s="296"/>
      <c r="O135" s="97"/>
      <c r="P135" s="58"/>
      <c r="Q135" s="69"/>
      <c r="R135" s="70"/>
      <c r="S135" s="66"/>
      <c r="T135" s="55"/>
      <c r="U135" s="55"/>
      <c r="V135" s="55"/>
      <c r="W135" s="98"/>
      <c r="X135" s="98"/>
      <c r="Y135" s="98"/>
      <c r="Z135" s="98"/>
      <c r="AA135" s="98"/>
      <c r="AB135" s="98"/>
      <c r="AC135" s="98"/>
      <c r="AD135" s="98"/>
      <c r="AE135" s="98"/>
      <c r="AF135" s="277"/>
      <c r="AG135" s="277"/>
      <c r="AH135" s="277"/>
      <c r="AI135" s="277"/>
    </row>
    <row r="136" spans="3:35" ht="65.099999999999994" customHeight="1">
      <c r="C136" s="90"/>
      <c r="D136" s="297"/>
      <c r="F136" s="92"/>
      <c r="G136" s="92"/>
      <c r="H136" s="92"/>
      <c r="I136" s="93"/>
      <c r="J136" s="94"/>
      <c r="K136" s="94"/>
      <c r="L136" s="95"/>
      <c r="M136" s="66"/>
      <c r="N136" s="296"/>
      <c r="O136" s="97"/>
      <c r="P136" s="58"/>
      <c r="Q136" s="69"/>
      <c r="R136" s="70"/>
      <c r="S136" s="66"/>
      <c r="T136" s="55"/>
      <c r="U136" s="55"/>
      <c r="V136" s="55"/>
      <c r="W136" s="98"/>
      <c r="X136" s="98"/>
      <c r="Y136" s="98"/>
      <c r="Z136" s="98"/>
      <c r="AA136" s="98"/>
      <c r="AB136" s="98"/>
      <c r="AC136" s="98"/>
      <c r="AD136" s="98"/>
      <c r="AE136" s="98"/>
      <c r="AF136" s="277"/>
      <c r="AG136" s="277"/>
      <c r="AH136" s="277"/>
      <c r="AI136" s="277"/>
    </row>
    <row r="137" spans="3:35" ht="65.099999999999994" customHeight="1">
      <c r="C137" s="90"/>
      <c r="D137" s="297"/>
      <c r="F137" s="92"/>
      <c r="G137" s="92"/>
      <c r="H137" s="92"/>
      <c r="I137" s="93"/>
      <c r="J137" s="94"/>
      <c r="K137" s="94"/>
      <c r="L137" s="95"/>
      <c r="M137" s="66"/>
      <c r="N137" s="296"/>
      <c r="O137" s="97"/>
      <c r="P137" s="58"/>
      <c r="Q137" s="69"/>
      <c r="R137" s="70"/>
      <c r="S137" s="66"/>
      <c r="T137" s="55"/>
      <c r="U137" s="55"/>
      <c r="V137" s="55"/>
      <c r="W137" s="98"/>
      <c r="X137" s="98"/>
      <c r="Y137" s="98"/>
      <c r="Z137" s="98"/>
      <c r="AA137" s="98"/>
      <c r="AB137" s="98"/>
      <c r="AC137" s="98"/>
      <c r="AD137" s="98"/>
      <c r="AE137" s="98"/>
      <c r="AF137" s="277"/>
      <c r="AG137" s="277"/>
      <c r="AH137" s="277"/>
      <c r="AI137" s="277"/>
    </row>
    <row r="138" spans="3:35" ht="65.099999999999994" customHeight="1">
      <c r="C138" s="90"/>
      <c r="D138" s="297"/>
      <c r="F138" s="92"/>
      <c r="G138" s="92"/>
      <c r="H138" s="92"/>
      <c r="I138" s="93"/>
      <c r="J138" s="94"/>
      <c r="K138" s="94"/>
      <c r="L138" s="95"/>
      <c r="M138" s="66"/>
      <c r="N138" s="296"/>
      <c r="O138" s="97"/>
      <c r="P138" s="58"/>
      <c r="Q138" s="69"/>
      <c r="R138" s="70"/>
      <c r="S138" s="66"/>
      <c r="T138" s="55"/>
      <c r="U138" s="55"/>
      <c r="V138" s="55"/>
      <c r="W138" s="98"/>
      <c r="X138" s="98"/>
      <c r="Y138" s="98"/>
      <c r="Z138" s="98"/>
      <c r="AA138" s="98"/>
      <c r="AB138" s="98"/>
      <c r="AC138" s="98"/>
      <c r="AD138" s="98"/>
      <c r="AE138" s="98"/>
      <c r="AF138" s="277"/>
      <c r="AG138" s="277"/>
      <c r="AH138" s="277"/>
      <c r="AI138" s="277"/>
    </row>
    <row r="139" spans="3:35" ht="65.099999999999994" customHeight="1">
      <c r="C139" s="90"/>
      <c r="D139" s="297"/>
      <c r="F139" s="92"/>
      <c r="G139" s="92"/>
      <c r="H139" s="92"/>
      <c r="I139" s="93"/>
      <c r="J139" s="94"/>
      <c r="K139" s="94"/>
      <c r="L139" s="95"/>
      <c r="M139" s="66"/>
      <c r="N139" s="296"/>
      <c r="O139" s="97"/>
      <c r="P139" s="58"/>
      <c r="Q139" s="69"/>
      <c r="R139" s="70"/>
      <c r="S139" s="66"/>
      <c r="T139" s="55"/>
      <c r="U139" s="55"/>
      <c r="V139" s="55"/>
      <c r="W139" s="98"/>
      <c r="X139" s="98"/>
      <c r="Y139" s="98"/>
      <c r="Z139" s="98"/>
      <c r="AA139" s="98"/>
      <c r="AB139" s="98"/>
      <c r="AC139" s="98"/>
      <c r="AD139" s="98"/>
      <c r="AE139" s="98"/>
      <c r="AF139" s="277"/>
      <c r="AG139" s="277"/>
      <c r="AH139" s="277"/>
      <c r="AI139" s="277"/>
    </row>
    <row r="140" spans="3:35" ht="65.099999999999994" customHeight="1">
      <c r="C140" s="90"/>
      <c r="D140" s="297"/>
      <c r="F140" s="92"/>
      <c r="G140" s="92"/>
      <c r="H140" s="92"/>
      <c r="I140" s="93"/>
      <c r="J140" s="94"/>
      <c r="K140" s="94"/>
      <c r="L140" s="95"/>
      <c r="M140" s="66"/>
      <c r="N140" s="296"/>
      <c r="O140" s="97"/>
      <c r="P140" s="58"/>
      <c r="Q140" s="69"/>
      <c r="R140" s="70"/>
      <c r="S140" s="66"/>
      <c r="T140" s="55"/>
      <c r="U140" s="55"/>
      <c r="V140" s="55"/>
      <c r="W140" s="98"/>
      <c r="X140" s="98"/>
      <c r="Y140" s="98"/>
      <c r="Z140" s="98"/>
      <c r="AA140" s="98"/>
      <c r="AB140" s="98"/>
      <c r="AC140" s="98"/>
      <c r="AD140" s="98"/>
      <c r="AE140" s="98"/>
      <c r="AF140" s="277"/>
      <c r="AG140" s="277"/>
      <c r="AH140" s="277"/>
      <c r="AI140" s="277"/>
    </row>
    <row r="141" spans="3:35" ht="65.099999999999994" customHeight="1">
      <c r="C141" s="90"/>
      <c r="D141" s="297"/>
      <c r="F141" s="92"/>
      <c r="G141" s="92"/>
      <c r="H141" s="92"/>
      <c r="I141" s="93"/>
      <c r="J141" s="94"/>
      <c r="K141" s="94"/>
      <c r="L141" s="95"/>
      <c r="M141" s="66"/>
      <c r="N141" s="296"/>
      <c r="O141" s="97"/>
      <c r="P141" s="58"/>
      <c r="Q141" s="69"/>
      <c r="R141" s="70"/>
      <c r="S141" s="66"/>
      <c r="T141" s="55"/>
      <c r="U141" s="55"/>
      <c r="V141" s="55"/>
      <c r="W141" s="98"/>
      <c r="X141" s="98"/>
      <c r="Y141" s="98"/>
      <c r="Z141" s="98"/>
      <c r="AA141" s="98"/>
      <c r="AB141" s="98"/>
      <c r="AC141" s="98"/>
      <c r="AD141" s="98"/>
      <c r="AE141" s="98"/>
      <c r="AF141" s="277"/>
      <c r="AG141" s="277"/>
      <c r="AH141" s="277"/>
      <c r="AI141" s="277"/>
    </row>
    <row r="142" spans="3:35" ht="65.099999999999994" customHeight="1">
      <c r="C142" s="90"/>
      <c r="D142" s="297"/>
      <c r="F142" s="92"/>
      <c r="G142" s="92"/>
      <c r="H142" s="92"/>
      <c r="I142" s="93"/>
      <c r="J142" s="94"/>
      <c r="K142" s="94"/>
      <c r="L142" s="95"/>
      <c r="M142" s="66"/>
      <c r="N142" s="296"/>
      <c r="O142" s="97"/>
      <c r="P142" s="58"/>
      <c r="Q142" s="69"/>
      <c r="R142" s="70"/>
      <c r="S142" s="66"/>
      <c r="T142" s="55"/>
      <c r="U142" s="55"/>
      <c r="V142" s="55"/>
      <c r="W142" s="98"/>
      <c r="X142" s="98"/>
      <c r="Y142" s="98"/>
      <c r="Z142" s="98"/>
      <c r="AA142" s="98"/>
      <c r="AB142" s="98"/>
      <c r="AC142" s="98"/>
      <c r="AD142" s="98"/>
      <c r="AE142" s="98"/>
      <c r="AF142" s="277"/>
      <c r="AG142" s="277"/>
      <c r="AH142" s="277"/>
      <c r="AI142" s="277"/>
    </row>
    <row r="143" spans="3:35" ht="65.099999999999994" customHeight="1">
      <c r="C143" s="90"/>
      <c r="D143" s="297"/>
      <c r="F143" s="92"/>
      <c r="G143" s="92"/>
      <c r="H143" s="92"/>
      <c r="I143" s="93"/>
      <c r="J143" s="94"/>
      <c r="K143" s="94"/>
      <c r="L143" s="95"/>
      <c r="M143" s="66"/>
      <c r="N143" s="296"/>
      <c r="O143" s="97"/>
      <c r="P143" s="58"/>
      <c r="Q143" s="69"/>
      <c r="R143" s="70"/>
      <c r="S143" s="66"/>
      <c r="T143" s="55"/>
      <c r="U143" s="55"/>
      <c r="V143" s="55"/>
      <c r="W143" s="98"/>
      <c r="X143" s="98"/>
      <c r="Y143" s="98"/>
      <c r="Z143" s="98"/>
      <c r="AA143" s="98"/>
      <c r="AB143" s="98"/>
      <c r="AC143" s="98"/>
      <c r="AD143" s="98"/>
      <c r="AE143" s="98"/>
      <c r="AF143" s="277"/>
      <c r="AG143" s="277"/>
      <c r="AH143" s="277"/>
      <c r="AI143" s="277"/>
    </row>
    <row r="144" spans="3:35" ht="65.099999999999994" customHeight="1">
      <c r="C144" s="90"/>
      <c r="D144" s="297"/>
      <c r="F144" s="92"/>
      <c r="G144" s="92"/>
      <c r="H144" s="92"/>
      <c r="I144" s="93"/>
      <c r="J144" s="94"/>
      <c r="K144" s="94"/>
      <c r="L144" s="95"/>
      <c r="M144" s="66"/>
      <c r="N144" s="296"/>
      <c r="O144" s="97"/>
      <c r="P144" s="58"/>
      <c r="Q144" s="69"/>
      <c r="R144" s="70"/>
      <c r="S144" s="66"/>
      <c r="T144" s="55"/>
      <c r="U144" s="55"/>
      <c r="V144" s="55"/>
      <c r="W144" s="98"/>
      <c r="X144" s="98"/>
      <c r="Y144" s="98"/>
      <c r="Z144" s="98"/>
      <c r="AA144" s="98"/>
      <c r="AB144" s="98"/>
      <c r="AC144" s="98"/>
      <c r="AD144" s="98"/>
      <c r="AE144" s="98"/>
      <c r="AF144" s="277"/>
      <c r="AG144" s="277"/>
      <c r="AH144" s="277"/>
      <c r="AI144" s="277"/>
    </row>
    <row r="145" spans="3:35" ht="65.099999999999994" customHeight="1">
      <c r="C145" s="90"/>
      <c r="D145" s="297"/>
      <c r="F145" s="92"/>
      <c r="G145" s="92"/>
      <c r="H145" s="92"/>
      <c r="I145" s="93"/>
      <c r="J145" s="94"/>
      <c r="K145" s="94"/>
      <c r="L145" s="95"/>
      <c r="M145" s="66"/>
      <c r="N145" s="296"/>
      <c r="O145" s="97"/>
      <c r="P145" s="58"/>
      <c r="Q145" s="69"/>
      <c r="R145" s="70"/>
      <c r="S145" s="66"/>
      <c r="T145" s="55"/>
      <c r="U145" s="55"/>
      <c r="V145" s="55"/>
      <c r="W145" s="98"/>
      <c r="X145" s="98"/>
      <c r="Y145" s="98"/>
      <c r="Z145" s="98"/>
      <c r="AA145" s="98"/>
      <c r="AB145" s="98"/>
      <c r="AC145" s="98"/>
      <c r="AD145" s="98"/>
      <c r="AE145" s="98"/>
      <c r="AF145" s="277"/>
      <c r="AG145" s="277"/>
      <c r="AH145" s="277"/>
      <c r="AI145" s="277"/>
    </row>
    <row r="146" spans="3:35" ht="65.099999999999994" customHeight="1">
      <c r="C146" s="90"/>
      <c r="D146" s="297"/>
      <c r="F146" s="92"/>
      <c r="G146" s="92"/>
      <c r="H146" s="92"/>
      <c r="I146" s="93"/>
      <c r="J146" s="94"/>
      <c r="K146" s="94"/>
      <c r="L146" s="95"/>
      <c r="M146" s="66"/>
      <c r="N146" s="296"/>
      <c r="O146" s="97"/>
      <c r="P146" s="58"/>
      <c r="Q146" s="69"/>
      <c r="R146" s="70"/>
      <c r="S146" s="66"/>
      <c r="T146" s="55"/>
      <c r="U146" s="55"/>
      <c r="V146" s="55"/>
      <c r="W146" s="98"/>
      <c r="X146" s="98"/>
      <c r="Y146" s="98"/>
      <c r="Z146" s="98"/>
      <c r="AA146" s="98"/>
      <c r="AB146" s="98"/>
      <c r="AC146" s="98"/>
      <c r="AD146" s="98"/>
      <c r="AE146" s="98"/>
      <c r="AF146" s="277"/>
      <c r="AG146" s="277"/>
      <c r="AH146" s="277"/>
      <c r="AI146" s="277"/>
    </row>
    <row r="147" spans="3:35" ht="65.099999999999994" customHeight="1">
      <c r="C147" s="90"/>
      <c r="D147" s="297"/>
      <c r="F147" s="92"/>
      <c r="G147" s="92"/>
      <c r="H147" s="92"/>
      <c r="I147" s="93"/>
      <c r="J147" s="94"/>
      <c r="K147" s="94"/>
      <c r="L147" s="95"/>
      <c r="M147" s="66"/>
      <c r="N147" s="296"/>
      <c r="O147" s="97"/>
      <c r="P147" s="58"/>
      <c r="Q147" s="69"/>
      <c r="R147" s="70"/>
      <c r="S147" s="66"/>
      <c r="T147" s="55"/>
      <c r="U147" s="55"/>
      <c r="V147" s="55"/>
      <c r="W147" s="98"/>
      <c r="X147" s="98"/>
      <c r="Y147" s="98"/>
      <c r="Z147" s="98"/>
      <c r="AA147" s="98"/>
      <c r="AB147" s="98"/>
      <c r="AC147" s="98"/>
      <c r="AD147" s="98"/>
      <c r="AE147" s="98"/>
      <c r="AF147" s="277"/>
      <c r="AG147" s="277"/>
      <c r="AH147" s="277"/>
      <c r="AI147" s="277"/>
    </row>
    <row r="148" spans="3:35" ht="65.099999999999994" customHeight="1">
      <c r="C148" s="90"/>
      <c r="D148" s="297"/>
      <c r="F148" s="92"/>
      <c r="G148" s="92"/>
      <c r="H148" s="92"/>
      <c r="I148" s="93"/>
      <c r="J148" s="94"/>
      <c r="K148" s="94"/>
      <c r="L148" s="95"/>
      <c r="M148" s="66"/>
      <c r="N148" s="296"/>
      <c r="O148" s="97"/>
      <c r="P148" s="58"/>
      <c r="Q148" s="69"/>
      <c r="R148" s="70"/>
      <c r="S148" s="66"/>
      <c r="T148" s="55"/>
      <c r="U148" s="55"/>
      <c r="V148" s="55"/>
      <c r="W148" s="98"/>
      <c r="X148" s="98"/>
      <c r="Y148" s="98"/>
      <c r="Z148" s="98"/>
      <c r="AA148" s="98"/>
      <c r="AB148" s="98"/>
      <c r="AC148" s="98"/>
      <c r="AD148" s="98"/>
      <c r="AE148" s="98"/>
      <c r="AF148" s="277"/>
      <c r="AG148" s="277"/>
      <c r="AH148" s="277"/>
      <c r="AI148" s="277"/>
    </row>
    <row r="149" spans="3:35" ht="65.099999999999994" customHeight="1">
      <c r="C149" s="90"/>
      <c r="D149" s="297"/>
      <c r="F149" s="92"/>
      <c r="G149" s="92"/>
      <c r="H149" s="92"/>
      <c r="I149" s="93"/>
      <c r="J149" s="94"/>
      <c r="K149" s="94"/>
      <c r="L149" s="95"/>
      <c r="M149" s="66"/>
      <c r="N149" s="296"/>
      <c r="O149" s="97"/>
      <c r="P149" s="58"/>
      <c r="Q149" s="69"/>
      <c r="R149" s="70"/>
      <c r="S149" s="66"/>
      <c r="T149" s="55"/>
      <c r="U149" s="55"/>
      <c r="V149" s="55"/>
      <c r="W149" s="98"/>
      <c r="X149" s="98"/>
      <c r="Y149" s="98"/>
      <c r="Z149" s="98"/>
      <c r="AA149" s="98"/>
      <c r="AB149" s="98"/>
      <c r="AC149" s="98"/>
      <c r="AD149" s="98"/>
      <c r="AE149" s="98"/>
      <c r="AF149" s="277"/>
      <c r="AG149" s="277"/>
      <c r="AH149" s="277"/>
      <c r="AI149" s="277"/>
    </row>
    <row r="150" spans="3:35" ht="65.099999999999994" customHeight="1">
      <c r="C150" s="90"/>
      <c r="D150" s="297"/>
      <c r="F150" s="92"/>
      <c r="G150" s="92"/>
      <c r="H150" s="92"/>
      <c r="I150" s="93"/>
      <c r="J150" s="94"/>
      <c r="K150" s="94"/>
      <c r="L150" s="95"/>
      <c r="M150" s="66"/>
      <c r="N150" s="296"/>
      <c r="O150" s="97"/>
      <c r="P150" s="58"/>
      <c r="Q150" s="69"/>
      <c r="R150" s="70"/>
      <c r="S150" s="66"/>
      <c r="T150" s="55"/>
      <c r="U150" s="55"/>
      <c r="V150" s="55"/>
      <c r="W150" s="98"/>
      <c r="X150" s="98"/>
      <c r="Y150" s="98"/>
      <c r="Z150" s="98"/>
      <c r="AA150" s="98"/>
      <c r="AB150" s="98"/>
      <c r="AC150" s="98"/>
      <c r="AD150" s="98"/>
      <c r="AE150" s="98"/>
      <c r="AF150" s="277"/>
      <c r="AG150" s="277"/>
      <c r="AH150" s="277"/>
      <c r="AI150" s="277"/>
    </row>
    <row r="151" spans="3:35" ht="65.099999999999994" customHeight="1">
      <c r="C151" s="90"/>
      <c r="D151" s="297"/>
      <c r="F151" s="92"/>
      <c r="G151" s="92"/>
      <c r="H151" s="92"/>
      <c r="I151" s="93"/>
      <c r="J151" s="94"/>
      <c r="K151" s="94"/>
      <c r="L151" s="95"/>
      <c r="M151" s="66"/>
      <c r="N151" s="296"/>
      <c r="O151" s="97"/>
      <c r="P151" s="58"/>
      <c r="Q151" s="69"/>
      <c r="R151" s="70"/>
      <c r="S151" s="66"/>
      <c r="T151" s="55"/>
      <c r="U151" s="55"/>
      <c r="V151" s="55"/>
      <c r="W151" s="98"/>
      <c r="X151" s="98"/>
      <c r="Y151" s="98"/>
      <c r="Z151" s="98"/>
      <c r="AA151" s="98"/>
      <c r="AB151" s="98"/>
      <c r="AC151" s="98"/>
      <c r="AD151" s="98"/>
      <c r="AE151" s="98"/>
      <c r="AF151" s="277"/>
      <c r="AG151" s="277"/>
      <c r="AH151" s="277"/>
      <c r="AI151" s="277"/>
    </row>
    <row r="152" spans="3:35" ht="65.099999999999994" customHeight="1">
      <c r="C152" s="90"/>
      <c r="D152" s="297"/>
      <c r="F152" s="92"/>
      <c r="G152" s="92"/>
      <c r="H152" s="92"/>
      <c r="I152" s="93"/>
      <c r="J152" s="94"/>
      <c r="K152" s="94"/>
      <c r="L152" s="95"/>
      <c r="M152" s="66"/>
      <c r="N152" s="296"/>
      <c r="O152" s="97"/>
      <c r="P152" s="58"/>
      <c r="Q152" s="69"/>
      <c r="R152" s="70"/>
      <c r="S152" s="66"/>
      <c r="T152" s="55"/>
      <c r="U152" s="55"/>
      <c r="V152" s="55"/>
      <c r="W152" s="98"/>
      <c r="X152" s="98"/>
      <c r="Y152" s="98"/>
      <c r="Z152" s="98"/>
      <c r="AA152" s="98"/>
      <c r="AB152" s="98"/>
      <c r="AC152" s="98"/>
      <c r="AD152" s="98"/>
      <c r="AE152" s="98"/>
      <c r="AF152" s="277"/>
      <c r="AG152" s="277"/>
      <c r="AH152" s="277"/>
      <c r="AI152" s="277"/>
    </row>
    <row r="153" spans="3:35" ht="65.099999999999994" customHeight="1">
      <c r="C153" s="90"/>
      <c r="D153" s="297"/>
      <c r="F153" s="92"/>
      <c r="G153" s="92"/>
      <c r="H153" s="92"/>
      <c r="I153" s="93"/>
      <c r="J153" s="94"/>
      <c r="K153" s="94"/>
      <c r="L153" s="95"/>
      <c r="M153" s="66"/>
      <c r="N153" s="296"/>
      <c r="O153" s="97"/>
      <c r="P153" s="58"/>
      <c r="Q153" s="69"/>
      <c r="R153" s="70"/>
      <c r="S153" s="66"/>
      <c r="T153" s="55"/>
      <c r="U153" s="55"/>
      <c r="V153" s="55"/>
      <c r="W153" s="98"/>
      <c r="X153" s="98"/>
      <c r="Y153" s="98"/>
      <c r="Z153" s="98"/>
      <c r="AA153" s="98"/>
      <c r="AB153" s="98"/>
      <c r="AC153" s="98"/>
      <c r="AD153" s="98"/>
      <c r="AE153" s="98"/>
      <c r="AF153" s="277"/>
      <c r="AG153" s="277"/>
      <c r="AH153" s="277"/>
      <c r="AI153" s="277"/>
    </row>
    <row r="154" spans="3:35" ht="65.099999999999994" customHeight="1">
      <c r="C154" s="90"/>
      <c r="D154" s="297"/>
      <c r="F154" s="92"/>
      <c r="G154" s="92"/>
      <c r="H154" s="92"/>
      <c r="I154" s="93"/>
      <c r="J154" s="94"/>
      <c r="K154" s="94"/>
      <c r="L154" s="95"/>
      <c r="M154" s="66"/>
      <c r="N154" s="296"/>
      <c r="O154" s="97"/>
      <c r="P154" s="58"/>
      <c r="Q154" s="69"/>
      <c r="R154" s="70"/>
      <c r="S154" s="66"/>
      <c r="T154" s="55"/>
      <c r="U154" s="55"/>
      <c r="V154" s="55"/>
      <c r="W154" s="98"/>
      <c r="X154" s="98"/>
      <c r="Y154" s="98"/>
      <c r="Z154" s="98"/>
      <c r="AA154" s="98"/>
      <c r="AB154" s="98"/>
      <c r="AC154" s="98"/>
      <c r="AD154" s="98"/>
      <c r="AE154" s="98"/>
      <c r="AF154" s="277"/>
      <c r="AG154" s="277"/>
      <c r="AH154" s="277"/>
      <c r="AI154" s="277"/>
    </row>
    <row r="155" spans="3:35" ht="65.099999999999994" customHeight="1">
      <c r="C155" s="90"/>
      <c r="D155" s="297"/>
      <c r="F155" s="92"/>
      <c r="G155" s="92"/>
      <c r="H155" s="92"/>
      <c r="I155" s="93"/>
      <c r="J155" s="94"/>
      <c r="K155" s="94"/>
      <c r="L155" s="95"/>
      <c r="M155" s="66"/>
      <c r="N155" s="296"/>
      <c r="O155" s="97"/>
      <c r="P155" s="58"/>
      <c r="Q155" s="69"/>
      <c r="R155" s="70"/>
      <c r="S155" s="66"/>
      <c r="T155" s="55"/>
      <c r="U155" s="55"/>
      <c r="V155" s="55"/>
      <c r="W155" s="98"/>
      <c r="X155" s="98"/>
      <c r="Y155" s="98"/>
      <c r="Z155" s="98"/>
      <c r="AA155" s="98"/>
      <c r="AB155" s="98"/>
      <c r="AC155" s="98"/>
      <c r="AD155" s="98"/>
      <c r="AE155" s="98"/>
      <c r="AF155" s="277"/>
      <c r="AG155" s="277"/>
      <c r="AH155" s="277"/>
      <c r="AI155" s="277"/>
    </row>
    <row r="156" spans="3:35" ht="65.099999999999994" customHeight="1">
      <c r="C156" s="90"/>
      <c r="D156" s="297"/>
      <c r="F156" s="92"/>
      <c r="G156" s="92"/>
      <c r="H156" s="92"/>
      <c r="I156" s="93"/>
      <c r="J156" s="94"/>
      <c r="K156" s="94"/>
      <c r="L156" s="95"/>
      <c r="M156" s="66"/>
      <c r="N156" s="296"/>
      <c r="O156" s="97"/>
      <c r="P156" s="58"/>
      <c r="Q156" s="69"/>
      <c r="R156" s="70"/>
      <c r="S156" s="66"/>
      <c r="T156" s="55"/>
      <c r="U156" s="55"/>
      <c r="V156" s="55"/>
      <c r="W156" s="98"/>
      <c r="X156" s="98"/>
      <c r="Y156" s="98"/>
      <c r="Z156" s="98"/>
      <c r="AA156" s="98"/>
      <c r="AB156" s="98"/>
      <c r="AC156" s="98"/>
      <c r="AD156" s="98"/>
      <c r="AE156" s="98"/>
      <c r="AF156" s="277"/>
      <c r="AG156" s="277"/>
      <c r="AH156" s="277"/>
      <c r="AI156" s="277"/>
    </row>
    <row r="157" spans="3:35" ht="65.099999999999994" customHeight="1">
      <c r="C157" s="90"/>
      <c r="D157" s="297"/>
      <c r="F157" s="92"/>
      <c r="G157" s="92"/>
      <c r="H157" s="92"/>
      <c r="I157" s="93"/>
      <c r="J157" s="94"/>
      <c r="K157" s="94"/>
      <c r="L157" s="95"/>
      <c r="M157" s="66"/>
      <c r="N157" s="296"/>
      <c r="O157" s="97"/>
      <c r="P157" s="58"/>
      <c r="Q157" s="69"/>
      <c r="R157" s="70"/>
      <c r="S157" s="66"/>
      <c r="T157" s="55"/>
      <c r="U157" s="55"/>
      <c r="V157" s="55"/>
      <c r="W157" s="98"/>
      <c r="X157" s="98"/>
      <c r="Y157" s="98"/>
      <c r="Z157" s="98"/>
      <c r="AA157" s="98"/>
      <c r="AB157" s="98"/>
      <c r="AC157" s="98"/>
      <c r="AD157" s="98"/>
      <c r="AE157" s="98"/>
      <c r="AF157" s="277"/>
      <c r="AG157" s="277"/>
      <c r="AH157" s="277"/>
      <c r="AI157" s="277"/>
    </row>
    <row r="158" spans="3:35" ht="65.099999999999994" customHeight="1">
      <c r="C158" s="90"/>
      <c r="D158" s="297"/>
      <c r="F158" s="92"/>
      <c r="G158" s="92"/>
      <c r="H158" s="92"/>
      <c r="I158" s="93"/>
      <c r="J158" s="94"/>
      <c r="K158" s="94"/>
      <c r="L158" s="95"/>
      <c r="M158" s="66"/>
      <c r="N158" s="296"/>
      <c r="O158" s="97"/>
      <c r="P158" s="58"/>
      <c r="Q158" s="69"/>
      <c r="R158" s="70"/>
      <c r="S158" s="66"/>
      <c r="T158" s="55"/>
      <c r="U158" s="55"/>
      <c r="V158" s="55"/>
      <c r="W158" s="98"/>
      <c r="X158" s="98"/>
      <c r="Y158" s="98"/>
      <c r="Z158" s="98"/>
      <c r="AA158" s="98"/>
      <c r="AB158" s="98"/>
      <c r="AC158" s="98"/>
      <c r="AD158" s="98"/>
      <c r="AE158" s="98"/>
      <c r="AF158" s="277"/>
      <c r="AG158" s="277"/>
      <c r="AH158" s="277"/>
      <c r="AI158" s="277"/>
    </row>
    <row r="159" spans="3:35" ht="65.099999999999994" customHeight="1">
      <c r="C159" s="90"/>
      <c r="D159" s="297"/>
      <c r="F159" s="92"/>
      <c r="G159" s="92"/>
      <c r="H159" s="92"/>
      <c r="I159" s="93"/>
      <c r="J159" s="94"/>
      <c r="K159" s="94"/>
      <c r="L159" s="95"/>
      <c r="M159" s="66"/>
      <c r="N159" s="296"/>
      <c r="O159" s="97"/>
      <c r="P159" s="58"/>
      <c r="Q159" s="69"/>
      <c r="R159" s="70"/>
      <c r="S159" s="66"/>
      <c r="T159" s="55"/>
      <c r="U159" s="55"/>
      <c r="V159" s="55"/>
      <c r="W159" s="98"/>
      <c r="X159" s="98"/>
      <c r="Y159" s="98"/>
      <c r="Z159" s="98"/>
      <c r="AA159" s="98"/>
      <c r="AB159" s="98"/>
      <c r="AC159" s="98"/>
      <c r="AD159" s="98"/>
      <c r="AE159" s="98"/>
      <c r="AF159" s="277"/>
      <c r="AG159" s="277"/>
      <c r="AH159" s="277"/>
      <c r="AI159" s="277"/>
    </row>
    <row r="160" spans="3:35" ht="65.099999999999994" customHeight="1">
      <c r="C160" s="90"/>
      <c r="D160" s="297"/>
      <c r="F160" s="92"/>
      <c r="G160" s="92"/>
      <c r="H160" s="92"/>
      <c r="I160" s="93"/>
      <c r="J160" s="94"/>
      <c r="K160" s="94"/>
      <c r="L160" s="95"/>
      <c r="M160" s="66"/>
      <c r="N160" s="296"/>
      <c r="O160" s="97"/>
      <c r="P160" s="58"/>
      <c r="Q160" s="69"/>
      <c r="R160" s="70"/>
      <c r="S160" s="66"/>
      <c r="T160" s="55"/>
      <c r="U160" s="55"/>
      <c r="V160" s="55"/>
      <c r="W160" s="98"/>
      <c r="X160" s="98"/>
      <c r="Y160" s="98"/>
      <c r="Z160" s="98"/>
      <c r="AA160" s="98"/>
      <c r="AB160" s="98"/>
      <c r="AC160" s="98"/>
      <c r="AD160" s="98"/>
      <c r="AE160" s="98"/>
      <c r="AF160" s="277"/>
      <c r="AG160" s="277"/>
      <c r="AH160" s="277"/>
      <c r="AI160" s="277"/>
    </row>
    <row r="161" spans="3:35" ht="65.099999999999994" customHeight="1">
      <c r="C161" s="90"/>
      <c r="D161" s="297"/>
      <c r="F161" s="92"/>
      <c r="G161" s="92"/>
      <c r="H161" s="92"/>
      <c r="I161" s="93"/>
      <c r="J161" s="94"/>
      <c r="K161" s="94"/>
      <c r="L161" s="95"/>
      <c r="M161" s="66"/>
      <c r="N161" s="296"/>
      <c r="O161" s="97"/>
      <c r="P161" s="58"/>
      <c r="Q161" s="69"/>
      <c r="R161" s="70"/>
      <c r="S161" s="66"/>
      <c r="T161" s="55"/>
      <c r="U161" s="55"/>
      <c r="V161" s="55"/>
      <c r="W161" s="98"/>
      <c r="X161" s="98"/>
      <c r="Y161" s="98"/>
      <c r="Z161" s="98"/>
      <c r="AA161" s="98"/>
      <c r="AB161" s="98"/>
      <c r="AC161" s="98"/>
      <c r="AD161" s="98"/>
      <c r="AE161" s="98"/>
      <c r="AF161" s="277"/>
      <c r="AG161" s="277"/>
      <c r="AH161" s="277"/>
      <c r="AI161" s="277"/>
    </row>
    <row r="162" spans="3:35" ht="65.099999999999994" customHeight="1">
      <c r="C162" s="90"/>
      <c r="D162" s="297"/>
      <c r="F162" s="92"/>
      <c r="G162" s="92"/>
      <c r="H162" s="92"/>
      <c r="I162" s="93"/>
      <c r="J162" s="94"/>
      <c r="K162" s="94"/>
      <c r="L162" s="95"/>
      <c r="M162" s="66"/>
      <c r="N162" s="296"/>
      <c r="O162" s="97"/>
      <c r="P162" s="58"/>
      <c r="Q162" s="69"/>
      <c r="R162" s="70"/>
      <c r="S162" s="66"/>
      <c r="T162" s="55"/>
      <c r="U162" s="55"/>
      <c r="V162" s="55"/>
      <c r="W162" s="98"/>
      <c r="X162" s="98"/>
      <c r="Y162" s="98"/>
      <c r="Z162" s="98"/>
      <c r="AA162" s="98"/>
      <c r="AB162" s="98"/>
      <c r="AC162" s="98"/>
      <c r="AD162" s="98"/>
      <c r="AE162" s="98"/>
      <c r="AF162" s="277"/>
      <c r="AG162" s="277"/>
      <c r="AH162" s="277"/>
      <c r="AI162" s="277"/>
    </row>
    <row r="163" spans="3:35" ht="65.099999999999994" customHeight="1">
      <c r="C163" s="90"/>
      <c r="D163" s="297"/>
      <c r="F163" s="92"/>
      <c r="G163" s="92"/>
      <c r="H163" s="92"/>
      <c r="I163" s="93"/>
      <c r="J163" s="94"/>
      <c r="K163" s="94"/>
      <c r="L163" s="95"/>
      <c r="M163" s="66"/>
      <c r="N163" s="296"/>
      <c r="O163" s="97"/>
      <c r="P163" s="58"/>
      <c r="Q163" s="69"/>
      <c r="R163" s="70"/>
      <c r="S163" s="66"/>
      <c r="T163" s="55"/>
      <c r="U163" s="55"/>
      <c r="V163" s="55"/>
      <c r="W163" s="98"/>
      <c r="X163" s="98"/>
      <c r="Y163" s="98"/>
      <c r="Z163" s="98"/>
      <c r="AA163" s="98"/>
      <c r="AB163" s="98"/>
      <c r="AC163" s="98"/>
      <c r="AD163" s="98"/>
      <c r="AE163" s="98"/>
      <c r="AF163" s="277"/>
      <c r="AG163" s="277"/>
      <c r="AH163" s="277"/>
      <c r="AI163" s="277"/>
    </row>
    <row r="164" spans="3:35" ht="65.099999999999994" customHeight="1">
      <c r="C164" s="90"/>
      <c r="D164" s="297"/>
      <c r="F164" s="92"/>
      <c r="G164" s="92"/>
      <c r="H164" s="92"/>
      <c r="I164" s="93"/>
      <c r="J164" s="94"/>
      <c r="K164" s="94"/>
      <c r="L164" s="95"/>
      <c r="M164" s="66"/>
      <c r="N164" s="296"/>
      <c r="O164" s="97"/>
      <c r="P164" s="58"/>
      <c r="Q164" s="69"/>
      <c r="R164" s="70"/>
      <c r="S164" s="66"/>
      <c r="T164" s="55"/>
      <c r="U164" s="55"/>
      <c r="V164" s="55"/>
      <c r="W164" s="98"/>
      <c r="X164" s="98"/>
      <c r="Y164" s="98"/>
      <c r="Z164" s="98"/>
      <c r="AA164" s="98"/>
      <c r="AB164" s="98"/>
      <c r="AC164" s="98"/>
      <c r="AD164" s="98"/>
      <c r="AE164" s="98"/>
      <c r="AF164" s="277"/>
      <c r="AG164" s="277"/>
      <c r="AH164" s="277"/>
      <c r="AI164" s="277"/>
    </row>
    <row r="165" spans="3:35" ht="65.099999999999994" customHeight="1">
      <c r="C165" s="90"/>
      <c r="D165" s="297"/>
      <c r="F165" s="92"/>
      <c r="G165" s="92"/>
      <c r="H165" s="92"/>
      <c r="I165" s="93"/>
      <c r="J165" s="94"/>
      <c r="K165" s="94"/>
      <c r="L165" s="95"/>
      <c r="M165" s="66"/>
      <c r="N165" s="296"/>
      <c r="O165" s="97"/>
      <c r="P165" s="58"/>
      <c r="Q165" s="69"/>
      <c r="R165" s="70"/>
      <c r="S165" s="66"/>
      <c r="T165" s="55"/>
      <c r="U165" s="55"/>
      <c r="V165" s="55"/>
      <c r="W165" s="98"/>
      <c r="X165" s="98"/>
      <c r="Y165" s="98"/>
      <c r="Z165" s="98"/>
      <c r="AA165" s="98"/>
      <c r="AB165" s="98"/>
      <c r="AC165" s="98"/>
      <c r="AD165" s="98"/>
      <c r="AE165" s="98"/>
      <c r="AF165" s="277"/>
      <c r="AG165" s="277"/>
      <c r="AH165" s="277"/>
      <c r="AI165" s="277"/>
    </row>
    <row r="166" spans="3:35" ht="65.099999999999994" customHeight="1">
      <c r="C166" s="90"/>
      <c r="D166" s="297"/>
      <c r="F166" s="92"/>
      <c r="G166" s="92"/>
      <c r="H166" s="92"/>
      <c r="I166" s="93"/>
      <c r="J166" s="94"/>
      <c r="K166" s="94"/>
      <c r="L166" s="95"/>
      <c r="M166" s="66"/>
      <c r="N166" s="296"/>
      <c r="O166" s="97"/>
      <c r="P166" s="58"/>
      <c r="Q166" s="69"/>
      <c r="R166" s="70"/>
      <c r="S166" s="66"/>
      <c r="T166" s="55"/>
      <c r="U166" s="55"/>
      <c r="V166" s="55"/>
      <c r="W166" s="98"/>
      <c r="X166" s="98"/>
      <c r="Y166" s="98"/>
      <c r="Z166" s="98"/>
      <c r="AA166" s="98"/>
      <c r="AB166" s="98"/>
      <c r="AC166" s="98"/>
      <c r="AD166" s="98"/>
      <c r="AE166" s="98"/>
      <c r="AF166" s="277"/>
      <c r="AG166" s="277"/>
      <c r="AH166" s="277"/>
      <c r="AI166" s="277"/>
    </row>
    <row r="167" spans="3:35" ht="65.099999999999994" customHeight="1">
      <c r="C167" s="90"/>
      <c r="D167" s="297"/>
      <c r="F167" s="92"/>
      <c r="G167" s="92"/>
      <c r="H167" s="92"/>
      <c r="I167" s="93"/>
      <c r="J167" s="94"/>
      <c r="K167" s="94"/>
      <c r="L167" s="95"/>
      <c r="M167" s="66"/>
      <c r="N167" s="296"/>
      <c r="O167" s="97"/>
      <c r="P167" s="58"/>
      <c r="Q167" s="69"/>
      <c r="R167" s="70"/>
      <c r="S167" s="66"/>
      <c r="T167" s="55"/>
      <c r="U167" s="55"/>
      <c r="V167" s="55"/>
      <c r="W167" s="98"/>
      <c r="X167" s="98"/>
      <c r="Y167" s="98"/>
      <c r="Z167" s="98"/>
      <c r="AA167" s="98"/>
      <c r="AB167" s="98"/>
      <c r="AC167" s="98"/>
      <c r="AD167" s="98"/>
      <c r="AE167" s="98"/>
      <c r="AF167" s="277"/>
      <c r="AG167" s="277"/>
      <c r="AH167" s="277"/>
      <c r="AI167" s="277"/>
    </row>
    <row r="168" spans="3:35" ht="65.099999999999994" customHeight="1">
      <c r="C168" s="90"/>
      <c r="D168" s="297"/>
      <c r="F168" s="92"/>
      <c r="G168" s="92"/>
      <c r="H168" s="92"/>
      <c r="I168" s="93"/>
      <c r="J168" s="94"/>
      <c r="K168" s="94"/>
      <c r="L168" s="95"/>
      <c r="M168" s="66"/>
      <c r="N168" s="296"/>
      <c r="O168" s="97"/>
      <c r="P168" s="58"/>
      <c r="Q168" s="69"/>
      <c r="R168" s="70"/>
      <c r="S168" s="66"/>
      <c r="T168" s="55"/>
      <c r="U168" s="55"/>
      <c r="V168" s="55"/>
      <c r="W168" s="98"/>
      <c r="X168" s="98"/>
      <c r="Y168" s="98"/>
      <c r="Z168" s="98"/>
      <c r="AA168" s="98"/>
      <c r="AB168" s="98"/>
      <c r="AC168" s="98"/>
      <c r="AD168" s="98"/>
      <c r="AE168" s="98"/>
      <c r="AF168" s="277"/>
      <c r="AG168" s="277"/>
      <c r="AH168" s="277"/>
      <c r="AI168" s="277"/>
    </row>
    <row r="169" spans="3:35" ht="65.099999999999994" customHeight="1">
      <c r="C169" s="90"/>
      <c r="D169" s="297"/>
      <c r="F169" s="92"/>
      <c r="G169" s="92"/>
      <c r="H169" s="92"/>
      <c r="I169" s="93"/>
      <c r="J169" s="94"/>
      <c r="K169" s="94"/>
      <c r="L169" s="95"/>
      <c r="M169" s="66"/>
      <c r="N169" s="296"/>
      <c r="O169" s="97"/>
      <c r="P169" s="58"/>
      <c r="Q169" s="69"/>
      <c r="R169" s="70"/>
      <c r="S169" s="66"/>
      <c r="T169" s="55"/>
      <c r="U169" s="55"/>
      <c r="V169" s="55"/>
      <c r="W169" s="98"/>
      <c r="X169" s="98"/>
      <c r="Y169" s="98"/>
      <c r="Z169" s="98"/>
      <c r="AA169" s="98"/>
      <c r="AB169" s="98"/>
      <c r="AC169" s="98"/>
      <c r="AD169" s="98"/>
      <c r="AE169" s="98"/>
      <c r="AF169" s="277"/>
      <c r="AG169" s="277"/>
      <c r="AH169" s="277"/>
      <c r="AI169" s="277"/>
    </row>
    <row r="170" spans="3:35" ht="65.099999999999994" customHeight="1">
      <c r="C170" s="90"/>
      <c r="D170" s="297"/>
      <c r="F170" s="92"/>
      <c r="G170" s="92"/>
      <c r="H170" s="92"/>
      <c r="I170" s="93"/>
      <c r="J170" s="94"/>
      <c r="K170" s="94"/>
      <c r="L170" s="95"/>
      <c r="M170" s="66"/>
      <c r="N170" s="296"/>
      <c r="O170" s="97"/>
      <c r="P170" s="58"/>
      <c r="Q170" s="69"/>
      <c r="R170" s="70"/>
      <c r="S170" s="66"/>
      <c r="T170" s="55"/>
      <c r="U170" s="55"/>
      <c r="V170" s="55"/>
      <c r="W170" s="98"/>
      <c r="X170" s="98"/>
      <c r="Y170" s="98"/>
      <c r="Z170" s="98"/>
      <c r="AA170" s="98"/>
      <c r="AB170" s="98"/>
      <c r="AC170" s="98"/>
      <c r="AD170" s="98"/>
      <c r="AE170" s="98"/>
      <c r="AF170" s="277"/>
      <c r="AG170" s="277"/>
      <c r="AH170" s="277"/>
      <c r="AI170" s="277"/>
    </row>
    <row r="171" spans="3:35" ht="65.099999999999994" customHeight="1">
      <c r="C171" s="90"/>
      <c r="D171" s="297"/>
      <c r="F171" s="92"/>
      <c r="G171" s="92"/>
      <c r="H171" s="92"/>
      <c r="I171" s="93"/>
      <c r="J171" s="94"/>
      <c r="K171" s="94"/>
      <c r="L171" s="95"/>
      <c r="M171" s="66"/>
      <c r="N171" s="296"/>
      <c r="O171" s="97"/>
      <c r="P171" s="58"/>
      <c r="Q171" s="69"/>
      <c r="R171" s="70"/>
      <c r="S171" s="66"/>
      <c r="T171" s="55"/>
      <c r="U171" s="55"/>
      <c r="V171" s="55"/>
      <c r="W171" s="98"/>
      <c r="X171" s="98"/>
      <c r="Y171" s="98"/>
      <c r="Z171" s="98"/>
      <c r="AA171" s="98"/>
      <c r="AB171" s="98"/>
      <c r="AC171" s="98"/>
      <c r="AD171" s="98"/>
      <c r="AE171" s="98"/>
      <c r="AF171" s="277"/>
      <c r="AG171" s="277"/>
      <c r="AH171" s="277"/>
      <c r="AI171" s="277"/>
    </row>
    <row r="172" spans="3:35" ht="65.099999999999994" customHeight="1">
      <c r="C172" s="90"/>
      <c r="D172" s="297"/>
      <c r="F172" s="92"/>
      <c r="G172" s="92"/>
      <c r="H172" s="92"/>
      <c r="I172" s="93"/>
      <c r="J172" s="94"/>
      <c r="K172" s="94"/>
      <c r="L172" s="95"/>
      <c r="M172" s="66"/>
      <c r="N172" s="296"/>
      <c r="O172" s="97"/>
      <c r="P172" s="58"/>
      <c r="Q172" s="69"/>
      <c r="R172" s="70"/>
      <c r="S172" s="66"/>
      <c r="T172" s="55"/>
      <c r="U172" s="55"/>
      <c r="V172" s="55"/>
      <c r="W172" s="98"/>
      <c r="X172" s="98"/>
      <c r="Y172" s="98"/>
      <c r="Z172" s="98"/>
      <c r="AA172" s="98"/>
      <c r="AB172" s="98"/>
      <c r="AC172" s="98"/>
      <c r="AD172" s="98"/>
      <c r="AE172" s="98"/>
      <c r="AF172" s="277"/>
      <c r="AG172" s="277"/>
      <c r="AH172" s="277"/>
      <c r="AI172" s="277"/>
    </row>
    <row r="173" spans="3:35" ht="65.099999999999994" customHeight="1">
      <c r="C173" s="90"/>
      <c r="D173" s="297"/>
      <c r="F173" s="92"/>
      <c r="G173" s="92"/>
      <c r="H173" s="92"/>
      <c r="I173" s="93"/>
      <c r="J173" s="94"/>
      <c r="K173" s="94"/>
      <c r="L173" s="95"/>
      <c r="M173" s="66"/>
      <c r="N173" s="296"/>
      <c r="O173" s="97"/>
      <c r="P173" s="58"/>
      <c r="Q173" s="69"/>
      <c r="R173" s="70"/>
      <c r="S173" s="66"/>
      <c r="T173" s="55"/>
      <c r="U173" s="55"/>
      <c r="V173" s="55"/>
      <c r="W173" s="98"/>
      <c r="X173" s="98"/>
      <c r="Y173" s="98"/>
      <c r="Z173" s="98"/>
      <c r="AA173" s="98"/>
      <c r="AB173" s="98"/>
      <c r="AC173" s="98"/>
      <c r="AD173" s="98"/>
      <c r="AE173" s="98"/>
      <c r="AF173" s="277"/>
      <c r="AG173" s="277"/>
      <c r="AH173" s="277"/>
      <c r="AI173" s="277"/>
    </row>
    <row r="174" spans="3:35" ht="65.099999999999994" customHeight="1">
      <c r="C174" s="90"/>
      <c r="D174" s="297"/>
      <c r="F174" s="92"/>
      <c r="G174" s="92"/>
      <c r="H174" s="92"/>
      <c r="I174" s="93"/>
      <c r="J174" s="94"/>
      <c r="K174" s="94"/>
      <c r="L174" s="95"/>
      <c r="M174" s="66"/>
      <c r="N174" s="296"/>
      <c r="O174" s="97"/>
      <c r="P174" s="58"/>
      <c r="Q174" s="69"/>
      <c r="R174" s="70"/>
      <c r="S174" s="66"/>
      <c r="T174" s="55"/>
      <c r="U174" s="55"/>
      <c r="V174" s="55"/>
      <c r="W174" s="98"/>
      <c r="X174" s="98"/>
      <c r="Y174" s="98"/>
      <c r="Z174" s="98"/>
      <c r="AA174" s="98"/>
      <c r="AB174" s="98"/>
      <c r="AC174" s="98"/>
      <c r="AD174" s="98"/>
      <c r="AE174" s="98"/>
      <c r="AF174" s="277"/>
      <c r="AG174" s="277"/>
      <c r="AH174" s="277"/>
      <c r="AI174" s="277"/>
    </row>
    <row r="175" spans="3:35" ht="65.099999999999994" customHeight="1">
      <c r="C175" s="90"/>
      <c r="D175" s="297"/>
      <c r="F175" s="92"/>
      <c r="G175" s="92"/>
      <c r="H175" s="92"/>
      <c r="I175" s="93"/>
      <c r="J175" s="94"/>
      <c r="K175" s="94"/>
      <c r="L175" s="95"/>
      <c r="M175" s="66"/>
      <c r="N175" s="296"/>
      <c r="O175" s="97"/>
      <c r="P175" s="58"/>
      <c r="Q175" s="69"/>
      <c r="R175" s="70"/>
      <c r="S175" s="66"/>
      <c r="T175" s="55"/>
      <c r="U175" s="55"/>
      <c r="V175" s="55"/>
      <c r="W175" s="98"/>
      <c r="X175" s="98"/>
      <c r="Y175" s="98"/>
      <c r="Z175" s="98"/>
      <c r="AA175" s="98"/>
      <c r="AB175" s="98"/>
      <c r="AC175" s="98"/>
      <c r="AD175" s="98"/>
      <c r="AE175" s="98"/>
      <c r="AF175" s="277"/>
      <c r="AG175" s="277"/>
      <c r="AH175" s="277"/>
      <c r="AI175" s="277"/>
    </row>
    <row r="176" spans="3:35" ht="65.099999999999994" customHeight="1">
      <c r="C176" s="90"/>
      <c r="D176" s="297"/>
      <c r="F176" s="92"/>
      <c r="G176" s="92"/>
      <c r="H176" s="92"/>
      <c r="I176" s="93"/>
      <c r="J176" s="94"/>
      <c r="K176" s="94"/>
      <c r="L176" s="95"/>
      <c r="M176" s="66"/>
      <c r="N176" s="296"/>
      <c r="O176" s="97"/>
      <c r="P176" s="58"/>
      <c r="Q176" s="69"/>
      <c r="R176" s="70"/>
      <c r="S176" s="66"/>
      <c r="T176" s="55"/>
      <c r="U176" s="55"/>
      <c r="V176" s="55"/>
      <c r="W176" s="98"/>
      <c r="X176" s="98"/>
      <c r="Y176" s="98"/>
      <c r="Z176" s="98"/>
      <c r="AA176" s="98"/>
      <c r="AB176" s="98"/>
      <c r="AC176" s="98"/>
      <c r="AD176" s="98"/>
      <c r="AE176" s="98"/>
      <c r="AF176" s="277"/>
      <c r="AG176" s="277"/>
      <c r="AH176" s="277"/>
      <c r="AI176" s="277"/>
    </row>
    <row r="177" spans="3:35" ht="65.099999999999994" customHeight="1">
      <c r="C177" s="90"/>
      <c r="D177" s="297"/>
      <c r="F177" s="92"/>
      <c r="G177" s="92"/>
      <c r="H177" s="92"/>
      <c r="I177" s="93"/>
      <c r="J177" s="94"/>
      <c r="K177" s="94"/>
      <c r="L177" s="95"/>
      <c r="M177" s="66"/>
      <c r="N177" s="296"/>
      <c r="O177" s="97"/>
      <c r="P177" s="58"/>
      <c r="Q177" s="69"/>
      <c r="R177" s="70"/>
      <c r="S177" s="66"/>
      <c r="T177" s="55"/>
      <c r="U177" s="55"/>
      <c r="V177" s="55"/>
      <c r="W177" s="98"/>
      <c r="X177" s="98"/>
      <c r="Y177" s="98"/>
      <c r="Z177" s="98"/>
      <c r="AA177" s="98"/>
      <c r="AB177" s="98"/>
      <c r="AC177" s="98"/>
      <c r="AD177" s="98"/>
      <c r="AE177" s="98"/>
      <c r="AF177" s="277"/>
      <c r="AG177" s="277"/>
      <c r="AH177" s="277"/>
      <c r="AI177" s="277"/>
    </row>
    <row r="178" spans="3:35" ht="65.099999999999994" customHeight="1">
      <c r="C178" s="90"/>
      <c r="D178" s="297"/>
      <c r="F178" s="92"/>
      <c r="G178" s="92"/>
      <c r="H178" s="92"/>
      <c r="I178" s="93"/>
      <c r="J178" s="94"/>
      <c r="K178" s="94"/>
      <c r="L178" s="95"/>
      <c r="M178" s="66"/>
      <c r="N178" s="296"/>
      <c r="O178" s="97"/>
      <c r="P178" s="58"/>
      <c r="Q178" s="69"/>
      <c r="R178" s="70"/>
      <c r="S178" s="66"/>
      <c r="T178" s="55"/>
      <c r="U178" s="55"/>
      <c r="V178" s="55"/>
      <c r="W178" s="98"/>
      <c r="X178" s="98"/>
      <c r="Y178" s="98"/>
      <c r="Z178" s="98"/>
      <c r="AA178" s="98"/>
      <c r="AB178" s="98"/>
      <c r="AC178" s="98"/>
      <c r="AD178" s="98"/>
      <c r="AE178" s="98"/>
      <c r="AF178" s="277"/>
      <c r="AG178" s="277"/>
      <c r="AH178" s="277"/>
      <c r="AI178" s="277"/>
    </row>
    <row r="179" spans="3:35" ht="65.099999999999994" customHeight="1">
      <c r="C179" s="90"/>
      <c r="D179" s="297"/>
      <c r="F179" s="92"/>
      <c r="G179" s="92"/>
      <c r="H179" s="92"/>
      <c r="I179" s="93"/>
      <c r="J179" s="94"/>
      <c r="K179" s="94"/>
      <c r="L179" s="95"/>
      <c r="M179" s="66"/>
      <c r="N179" s="296"/>
      <c r="O179" s="97"/>
      <c r="P179" s="58"/>
      <c r="Q179" s="69"/>
      <c r="R179" s="70"/>
      <c r="S179" s="66"/>
      <c r="T179" s="55"/>
      <c r="U179" s="55"/>
      <c r="V179" s="55"/>
      <c r="W179" s="98"/>
      <c r="X179" s="98"/>
      <c r="Y179" s="98"/>
      <c r="Z179" s="98"/>
      <c r="AA179" s="98"/>
      <c r="AB179" s="98"/>
      <c r="AC179" s="98"/>
      <c r="AD179" s="98"/>
      <c r="AE179" s="98"/>
      <c r="AF179" s="277"/>
      <c r="AG179" s="277"/>
      <c r="AH179" s="277"/>
      <c r="AI179" s="277"/>
    </row>
    <row r="180" spans="3:35" ht="65.099999999999994" customHeight="1">
      <c r="C180" s="90"/>
      <c r="D180" s="297"/>
      <c r="F180" s="92"/>
      <c r="G180" s="92"/>
      <c r="H180" s="92"/>
      <c r="I180" s="93"/>
      <c r="J180" s="94"/>
      <c r="K180" s="94"/>
      <c r="L180" s="95"/>
      <c r="M180" s="66"/>
      <c r="N180" s="296"/>
      <c r="O180" s="97"/>
      <c r="P180" s="58"/>
      <c r="Q180" s="69"/>
      <c r="R180" s="70"/>
      <c r="S180" s="66"/>
      <c r="T180" s="55"/>
      <c r="U180" s="55"/>
      <c r="V180" s="55"/>
      <c r="W180" s="98"/>
      <c r="X180" s="98"/>
      <c r="Y180" s="98"/>
      <c r="Z180" s="98"/>
      <c r="AA180" s="98"/>
      <c r="AB180" s="98"/>
      <c r="AC180" s="98"/>
      <c r="AD180" s="98"/>
      <c r="AE180" s="98"/>
      <c r="AF180" s="277"/>
      <c r="AG180" s="277"/>
      <c r="AH180" s="277"/>
      <c r="AI180" s="277"/>
    </row>
    <row r="181" spans="3:35" ht="65.099999999999994" customHeight="1">
      <c r="C181" s="90"/>
      <c r="D181" s="297"/>
      <c r="F181" s="92"/>
      <c r="G181" s="92"/>
      <c r="H181" s="92"/>
      <c r="I181" s="93"/>
      <c r="J181" s="94"/>
      <c r="K181" s="94"/>
      <c r="L181" s="95"/>
      <c r="M181" s="66"/>
      <c r="N181" s="296"/>
      <c r="O181" s="97"/>
      <c r="P181" s="58"/>
      <c r="Q181" s="69"/>
      <c r="R181" s="70"/>
      <c r="S181" s="66"/>
      <c r="T181" s="55"/>
      <c r="U181" s="55"/>
      <c r="V181" s="55"/>
      <c r="W181" s="98"/>
      <c r="X181" s="98"/>
      <c r="Y181" s="98"/>
      <c r="Z181" s="98"/>
      <c r="AA181" s="98"/>
      <c r="AB181" s="98"/>
      <c r="AC181" s="98"/>
      <c r="AD181" s="98"/>
      <c r="AE181" s="98"/>
      <c r="AF181" s="277"/>
      <c r="AG181" s="277"/>
      <c r="AH181" s="277"/>
      <c r="AI181" s="277"/>
    </row>
    <row r="182" spans="3:35" ht="65.099999999999994" customHeight="1">
      <c r="C182" s="90"/>
      <c r="D182" s="297"/>
      <c r="F182" s="92"/>
      <c r="G182" s="92"/>
      <c r="H182" s="92"/>
      <c r="I182" s="93"/>
      <c r="J182" s="94"/>
      <c r="K182" s="94"/>
      <c r="L182" s="95"/>
      <c r="M182" s="66"/>
      <c r="N182" s="296"/>
      <c r="O182" s="97"/>
      <c r="P182" s="58"/>
      <c r="Q182" s="69"/>
      <c r="R182" s="70"/>
      <c r="S182" s="66"/>
      <c r="T182" s="55"/>
      <c r="U182" s="55"/>
      <c r="V182" s="55"/>
      <c r="W182" s="98"/>
      <c r="X182" s="98"/>
      <c r="Y182" s="98"/>
      <c r="Z182" s="98"/>
      <c r="AA182" s="98"/>
      <c r="AB182" s="98"/>
      <c r="AC182" s="98"/>
      <c r="AD182" s="98"/>
      <c r="AE182" s="98"/>
      <c r="AF182" s="277"/>
      <c r="AG182" s="277"/>
      <c r="AH182" s="277"/>
      <c r="AI182" s="277"/>
    </row>
    <row r="183" spans="3:35" ht="65.099999999999994" customHeight="1">
      <c r="C183" s="90"/>
      <c r="D183" s="297"/>
      <c r="F183" s="92"/>
      <c r="G183" s="92"/>
      <c r="H183" s="92"/>
      <c r="I183" s="93"/>
      <c r="J183" s="94"/>
      <c r="K183" s="94"/>
      <c r="L183" s="95"/>
      <c r="M183" s="66"/>
      <c r="N183" s="296"/>
      <c r="O183" s="97"/>
      <c r="P183" s="58"/>
      <c r="Q183" s="69"/>
      <c r="R183" s="70"/>
      <c r="S183" s="66"/>
      <c r="T183" s="55"/>
      <c r="U183" s="55"/>
      <c r="V183" s="55"/>
      <c r="W183" s="98"/>
      <c r="X183" s="98"/>
      <c r="Y183" s="98"/>
      <c r="Z183" s="98"/>
      <c r="AA183" s="98"/>
      <c r="AB183" s="98"/>
      <c r="AC183" s="98"/>
      <c r="AD183" s="98"/>
      <c r="AE183" s="98"/>
      <c r="AF183" s="277"/>
      <c r="AG183" s="277"/>
      <c r="AH183" s="277"/>
      <c r="AI183" s="277"/>
    </row>
    <row r="184" spans="3:35" ht="65.099999999999994" customHeight="1">
      <c r="C184" s="90"/>
      <c r="D184" s="297"/>
      <c r="F184" s="92"/>
      <c r="G184" s="92"/>
      <c r="H184" s="92"/>
      <c r="I184" s="93"/>
      <c r="J184" s="94"/>
      <c r="K184" s="94"/>
      <c r="L184" s="95"/>
      <c r="M184" s="66"/>
      <c r="N184" s="296"/>
      <c r="O184" s="97"/>
      <c r="P184" s="58"/>
      <c r="Q184" s="69"/>
      <c r="R184" s="70"/>
      <c r="S184" s="66"/>
      <c r="T184" s="55"/>
      <c r="U184" s="55"/>
      <c r="V184" s="55"/>
      <c r="W184" s="98"/>
      <c r="X184" s="98"/>
      <c r="Y184" s="98"/>
      <c r="Z184" s="98"/>
      <c r="AA184" s="98"/>
      <c r="AB184" s="98"/>
      <c r="AC184" s="98"/>
      <c r="AD184" s="98"/>
      <c r="AE184" s="98"/>
      <c r="AF184" s="277"/>
      <c r="AG184" s="277"/>
      <c r="AH184" s="277"/>
      <c r="AI184" s="277"/>
    </row>
    <row r="185" spans="3:35" ht="65.099999999999994" customHeight="1">
      <c r="C185" s="90"/>
      <c r="D185" s="297"/>
      <c r="F185" s="92"/>
      <c r="G185" s="92"/>
      <c r="H185" s="92"/>
      <c r="I185" s="93"/>
      <c r="J185" s="94"/>
      <c r="K185" s="94"/>
      <c r="L185" s="95"/>
      <c r="M185" s="66"/>
      <c r="N185" s="296"/>
      <c r="O185" s="97"/>
      <c r="P185" s="58"/>
      <c r="Q185" s="69"/>
      <c r="R185" s="70"/>
      <c r="S185" s="66"/>
      <c r="T185" s="55"/>
      <c r="U185" s="55"/>
      <c r="V185" s="55"/>
      <c r="W185" s="98"/>
      <c r="X185" s="98"/>
      <c r="Y185" s="98"/>
      <c r="Z185" s="98"/>
      <c r="AA185" s="98"/>
      <c r="AB185" s="98"/>
      <c r="AC185" s="98"/>
      <c r="AD185" s="98"/>
      <c r="AE185" s="98"/>
      <c r="AF185" s="277"/>
      <c r="AG185" s="277"/>
      <c r="AH185" s="277"/>
      <c r="AI185" s="277"/>
    </row>
    <row r="186" spans="3:35" ht="65.099999999999994" customHeight="1">
      <c r="C186" s="90"/>
      <c r="D186" s="297"/>
      <c r="F186" s="92"/>
      <c r="G186" s="92"/>
      <c r="H186" s="92"/>
      <c r="I186" s="93"/>
      <c r="J186" s="94"/>
      <c r="K186" s="94"/>
      <c r="L186" s="95"/>
      <c r="M186" s="66"/>
      <c r="N186" s="296"/>
      <c r="O186" s="97"/>
      <c r="P186" s="58"/>
      <c r="Q186" s="69"/>
      <c r="R186" s="70"/>
      <c r="S186" s="66"/>
      <c r="T186" s="55"/>
      <c r="U186" s="55"/>
      <c r="V186" s="55"/>
      <c r="W186" s="98"/>
      <c r="X186" s="98"/>
      <c r="Y186" s="98"/>
      <c r="Z186" s="98"/>
      <c r="AA186" s="98"/>
      <c r="AB186" s="98"/>
      <c r="AC186" s="98"/>
      <c r="AD186" s="98"/>
      <c r="AE186" s="98"/>
      <c r="AF186" s="277"/>
      <c r="AG186" s="277"/>
      <c r="AH186" s="277"/>
      <c r="AI186" s="277"/>
    </row>
    <row r="187" spans="3:35" ht="65.099999999999994" customHeight="1">
      <c r="C187" s="90"/>
      <c r="D187" s="297"/>
      <c r="F187" s="92"/>
      <c r="G187" s="92"/>
      <c r="H187" s="92"/>
      <c r="I187" s="93"/>
      <c r="J187" s="94"/>
      <c r="K187" s="94"/>
      <c r="L187" s="95"/>
      <c r="M187" s="66"/>
      <c r="N187" s="296"/>
      <c r="O187" s="97"/>
      <c r="P187" s="58"/>
      <c r="Q187" s="69"/>
      <c r="R187" s="70"/>
      <c r="S187" s="66"/>
      <c r="T187" s="55"/>
      <c r="U187" s="55"/>
      <c r="V187" s="55"/>
      <c r="W187" s="98"/>
      <c r="X187" s="98"/>
      <c r="Y187" s="98"/>
      <c r="Z187" s="98"/>
      <c r="AA187" s="98"/>
      <c r="AB187" s="98"/>
      <c r="AC187" s="98"/>
      <c r="AD187" s="98"/>
      <c r="AE187" s="98"/>
      <c r="AF187" s="277"/>
      <c r="AG187" s="277"/>
      <c r="AH187" s="277"/>
      <c r="AI187" s="277"/>
    </row>
    <row r="188" spans="3:35" ht="65.099999999999994" customHeight="1">
      <c r="C188" s="90"/>
      <c r="D188" s="297"/>
      <c r="F188" s="92"/>
      <c r="G188" s="92"/>
      <c r="H188" s="92"/>
      <c r="I188" s="93"/>
      <c r="J188" s="94"/>
      <c r="K188" s="94"/>
      <c r="L188" s="95"/>
      <c r="M188" s="66"/>
      <c r="N188" s="296"/>
      <c r="O188" s="97"/>
      <c r="P188" s="58"/>
      <c r="Q188" s="69"/>
      <c r="R188" s="70"/>
      <c r="S188" s="66"/>
      <c r="T188" s="55"/>
      <c r="U188" s="55"/>
      <c r="V188" s="55"/>
      <c r="W188" s="98"/>
      <c r="X188" s="98"/>
      <c r="Y188" s="98"/>
      <c r="Z188" s="98"/>
      <c r="AA188" s="98"/>
      <c r="AB188" s="98"/>
      <c r="AC188" s="98"/>
      <c r="AD188" s="98"/>
      <c r="AE188" s="98"/>
      <c r="AF188" s="277"/>
      <c r="AG188" s="277"/>
      <c r="AH188" s="277"/>
      <c r="AI188" s="277"/>
    </row>
    <row r="189" spans="3:35" ht="65.099999999999994" customHeight="1">
      <c r="C189" s="90"/>
      <c r="D189" s="297"/>
      <c r="F189" s="92"/>
      <c r="G189" s="92"/>
      <c r="H189" s="92"/>
      <c r="I189" s="93"/>
      <c r="J189" s="94"/>
      <c r="K189" s="94"/>
      <c r="L189" s="95"/>
      <c r="M189" s="66"/>
      <c r="N189" s="296"/>
      <c r="O189" s="97"/>
      <c r="P189" s="58"/>
      <c r="Q189" s="69"/>
      <c r="R189" s="70"/>
      <c r="S189" s="66"/>
      <c r="T189" s="55"/>
      <c r="U189" s="55"/>
      <c r="V189" s="55"/>
      <c r="W189" s="98"/>
      <c r="X189" s="98"/>
      <c r="Y189" s="98"/>
      <c r="Z189" s="98"/>
      <c r="AA189" s="98"/>
      <c r="AB189" s="98"/>
      <c r="AC189" s="98"/>
      <c r="AD189" s="98"/>
      <c r="AE189" s="98"/>
      <c r="AF189" s="277"/>
      <c r="AG189" s="277"/>
      <c r="AH189" s="277"/>
      <c r="AI189" s="277"/>
    </row>
    <row r="190" spans="3:35" ht="65.099999999999994" customHeight="1">
      <c r="C190" s="90"/>
      <c r="D190" s="297"/>
      <c r="F190" s="92"/>
      <c r="G190" s="92"/>
      <c r="H190" s="92"/>
      <c r="I190" s="93"/>
      <c r="J190" s="94"/>
      <c r="K190" s="94"/>
      <c r="L190" s="95"/>
      <c r="M190" s="66"/>
      <c r="N190" s="296"/>
      <c r="O190" s="97"/>
      <c r="P190" s="58"/>
      <c r="Q190" s="69"/>
      <c r="R190" s="70"/>
      <c r="S190" s="66"/>
      <c r="T190" s="55"/>
      <c r="U190" s="55"/>
      <c r="V190" s="55"/>
      <c r="W190" s="98"/>
      <c r="X190" s="98"/>
      <c r="Y190" s="98"/>
      <c r="Z190" s="98"/>
      <c r="AA190" s="98"/>
      <c r="AB190" s="98"/>
      <c r="AC190" s="98"/>
      <c r="AD190" s="98"/>
      <c r="AE190" s="98"/>
      <c r="AF190" s="277"/>
      <c r="AG190" s="277"/>
      <c r="AH190" s="277"/>
      <c r="AI190" s="277"/>
    </row>
    <row r="191" spans="3:35" ht="65.099999999999994" customHeight="1">
      <c r="C191" s="90"/>
      <c r="D191" s="297"/>
      <c r="F191" s="92"/>
      <c r="G191" s="92"/>
      <c r="H191" s="92"/>
      <c r="I191" s="93"/>
      <c r="J191" s="94"/>
      <c r="K191" s="94"/>
      <c r="L191" s="95"/>
      <c r="M191" s="66"/>
      <c r="N191" s="296"/>
      <c r="O191" s="97"/>
      <c r="P191" s="58"/>
      <c r="Q191" s="69"/>
      <c r="R191" s="70"/>
      <c r="S191" s="66"/>
      <c r="T191" s="55"/>
      <c r="U191" s="55"/>
      <c r="V191" s="55"/>
      <c r="W191" s="98"/>
      <c r="X191" s="98"/>
      <c r="Y191" s="98"/>
      <c r="Z191" s="98"/>
      <c r="AA191" s="98"/>
      <c r="AB191" s="98"/>
      <c r="AC191" s="98"/>
      <c r="AD191" s="98"/>
      <c r="AE191" s="98"/>
      <c r="AF191" s="277"/>
      <c r="AG191" s="277"/>
      <c r="AH191" s="277"/>
      <c r="AI191" s="277"/>
    </row>
    <row r="192" spans="3:35" ht="65.099999999999994" customHeight="1">
      <c r="C192" s="90"/>
      <c r="D192" s="297"/>
      <c r="F192" s="92"/>
      <c r="G192" s="92"/>
      <c r="H192" s="92"/>
      <c r="I192" s="93"/>
      <c r="J192" s="94"/>
      <c r="K192" s="94"/>
      <c r="L192" s="95"/>
      <c r="M192" s="66"/>
      <c r="N192" s="296"/>
      <c r="O192" s="97"/>
      <c r="P192" s="58"/>
      <c r="Q192" s="69"/>
      <c r="R192" s="70"/>
      <c r="S192" s="66"/>
      <c r="T192" s="55"/>
      <c r="U192" s="55"/>
      <c r="V192" s="55"/>
      <c r="W192" s="98"/>
      <c r="X192" s="98"/>
      <c r="Y192" s="98"/>
      <c r="Z192" s="98"/>
      <c r="AA192" s="98"/>
      <c r="AB192" s="98"/>
      <c r="AC192" s="98"/>
      <c r="AD192" s="98"/>
      <c r="AE192" s="98"/>
      <c r="AF192" s="277"/>
      <c r="AG192" s="277"/>
      <c r="AH192" s="277"/>
      <c r="AI192" s="277"/>
    </row>
    <row r="193" spans="3:35" ht="65.099999999999994" customHeight="1">
      <c r="C193" s="90"/>
      <c r="D193" s="297"/>
      <c r="F193" s="92"/>
      <c r="G193" s="92"/>
      <c r="H193" s="92"/>
      <c r="I193" s="93"/>
      <c r="J193" s="94"/>
      <c r="K193" s="94"/>
      <c r="L193" s="95"/>
      <c r="M193" s="66"/>
      <c r="N193" s="296"/>
      <c r="O193" s="97"/>
      <c r="P193" s="58"/>
      <c r="Q193" s="69"/>
      <c r="R193" s="70"/>
      <c r="S193" s="66"/>
      <c r="T193" s="55"/>
      <c r="U193" s="55"/>
      <c r="V193" s="55"/>
      <c r="W193" s="98"/>
      <c r="X193" s="98"/>
      <c r="Y193" s="98"/>
      <c r="Z193" s="98"/>
      <c r="AA193" s="98"/>
      <c r="AB193" s="98"/>
      <c r="AC193" s="98"/>
      <c r="AD193" s="98"/>
      <c r="AE193" s="98"/>
      <c r="AF193" s="277"/>
      <c r="AG193" s="277"/>
      <c r="AH193" s="277"/>
      <c r="AI193" s="277"/>
    </row>
    <row r="194" spans="3:35" ht="65.099999999999994" customHeight="1">
      <c r="C194" s="90"/>
      <c r="D194" s="297"/>
      <c r="F194" s="92"/>
      <c r="G194" s="92"/>
      <c r="H194" s="92"/>
      <c r="I194" s="93"/>
      <c r="J194" s="94"/>
      <c r="K194" s="94"/>
      <c r="L194" s="95"/>
      <c r="M194" s="66"/>
      <c r="N194" s="296"/>
      <c r="O194" s="97"/>
      <c r="P194" s="58"/>
      <c r="Q194" s="69"/>
      <c r="R194" s="70"/>
      <c r="S194" s="66"/>
      <c r="T194" s="55"/>
      <c r="U194" s="55"/>
      <c r="V194" s="55"/>
      <c r="W194" s="98"/>
      <c r="X194" s="98"/>
      <c r="Y194" s="98"/>
      <c r="Z194" s="98"/>
      <c r="AA194" s="98"/>
      <c r="AB194" s="98"/>
      <c r="AC194" s="98"/>
      <c r="AD194" s="98"/>
      <c r="AE194" s="98"/>
      <c r="AF194" s="277"/>
      <c r="AG194" s="277"/>
      <c r="AH194" s="277"/>
      <c r="AI194" s="277"/>
    </row>
    <row r="195" spans="3:35" ht="65.099999999999994" customHeight="1">
      <c r="C195" s="90"/>
      <c r="D195" s="297"/>
      <c r="F195" s="92"/>
      <c r="G195" s="92"/>
      <c r="H195" s="92"/>
      <c r="I195" s="93"/>
      <c r="J195" s="94"/>
      <c r="K195" s="94"/>
      <c r="L195" s="95"/>
      <c r="M195" s="66"/>
      <c r="N195" s="296"/>
      <c r="O195" s="97"/>
      <c r="P195" s="58"/>
      <c r="Q195" s="69"/>
      <c r="R195" s="70"/>
      <c r="S195" s="66"/>
      <c r="T195" s="55"/>
      <c r="U195" s="55"/>
      <c r="V195" s="55"/>
      <c r="W195" s="98"/>
      <c r="X195" s="98"/>
      <c r="Y195" s="98"/>
      <c r="Z195" s="98"/>
      <c r="AA195" s="98"/>
      <c r="AB195" s="98"/>
      <c r="AC195" s="98"/>
      <c r="AD195" s="98"/>
      <c r="AE195" s="98"/>
      <c r="AF195" s="277"/>
      <c r="AG195" s="277"/>
      <c r="AH195" s="277"/>
      <c r="AI195" s="277"/>
    </row>
    <row r="196" spans="3:35" ht="65.099999999999994" customHeight="1">
      <c r="C196" s="90"/>
      <c r="D196" s="297"/>
      <c r="F196" s="92"/>
      <c r="G196" s="92"/>
      <c r="H196" s="92"/>
      <c r="I196" s="93"/>
      <c r="J196" s="94"/>
      <c r="K196" s="94"/>
      <c r="L196" s="95"/>
      <c r="M196" s="66"/>
      <c r="N196" s="296"/>
      <c r="O196" s="97"/>
      <c r="P196" s="58"/>
      <c r="Q196" s="69"/>
      <c r="R196" s="70"/>
      <c r="S196" s="66"/>
      <c r="T196" s="55"/>
      <c r="U196" s="55"/>
      <c r="V196" s="55"/>
      <c r="W196" s="98"/>
      <c r="X196" s="98"/>
      <c r="Y196" s="98"/>
      <c r="Z196" s="98"/>
      <c r="AA196" s="98"/>
      <c r="AB196" s="98"/>
      <c r="AC196" s="98"/>
      <c r="AD196" s="98"/>
      <c r="AE196" s="98"/>
      <c r="AF196" s="277"/>
      <c r="AG196" s="277"/>
      <c r="AH196" s="277"/>
      <c r="AI196" s="277"/>
    </row>
    <row r="197" spans="3:35" ht="65.099999999999994" customHeight="1">
      <c r="C197" s="90"/>
      <c r="D197" s="297"/>
      <c r="F197" s="92"/>
      <c r="G197" s="92"/>
      <c r="H197" s="92"/>
      <c r="I197" s="93"/>
      <c r="J197" s="94"/>
      <c r="K197" s="94"/>
      <c r="L197" s="95"/>
      <c r="M197" s="66"/>
      <c r="N197" s="296"/>
      <c r="O197" s="97"/>
      <c r="P197" s="58"/>
      <c r="Q197" s="69"/>
      <c r="R197" s="70"/>
      <c r="S197" s="66"/>
      <c r="T197" s="55"/>
      <c r="U197" s="55"/>
      <c r="V197" s="55"/>
      <c r="W197" s="98"/>
      <c r="X197" s="98"/>
      <c r="Y197" s="98"/>
      <c r="Z197" s="98"/>
      <c r="AA197" s="98"/>
      <c r="AB197" s="98"/>
      <c r="AC197" s="98"/>
      <c r="AD197" s="98"/>
      <c r="AE197" s="98"/>
      <c r="AF197" s="277"/>
      <c r="AG197" s="277"/>
      <c r="AH197" s="277"/>
      <c r="AI197" s="277"/>
    </row>
    <row r="198" spans="3:35" ht="65.099999999999994" customHeight="1">
      <c r="C198" s="90"/>
      <c r="D198" s="297"/>
      <c r="F198" s="92"/>
      <c r="G198" s="92"/>
      <c r="H198" s="92"/>
      <c r="I198" s="93"/>
      <c r="J198" s="94"/>
      <c r="K198" s="94"/>
      <c r="L198" s="95"/>
      <c r="M198" s="66"/>
      <c r="N198" s="296"/>
      <c r="O198" s="97"/>
      <c r="P198" s="58"/>
      <c r="Q198" s="69"/>
      <c r="R198" s="70"/>
      <c r="S198" s="66"/>
      <c r="T198" s="55"/>
      <c r="U198" s="55"/>
      <c r="V198" s="55"/>
      <c r="W198" s="98"/>
      <c r="X198" s="98"/>
      <c r="Y198" s="98"/>
      <c r="Z198" s="98"/>
      <c r="AA198" s="98"/>
      <c r="AB198" s="98"/>
      <c r="AC198" s="98"/>
      <c r="AD198" s="98"/>
      <c r="AE198" s="98"/>
      <c r="AF198" s="277"/>
      <c r="AG198" s="277"/>
      <c r="AH198" s="277"/>
      <c r="AI198" s="277"/>
    </row>
    <row r="199" spans="3:35" ht="65.099999999999994" customHeight="1">
      <c r="C199" s="90"/>
      <c r="D199" s="297"/>
      <c r="F199" s="92"/>
      <c r="G199" s="92"/>
      <c r="H199" s="92"/>
      <c r="I199" s="93"/>
      <c r="J199" s="94"/>
      <c r="K199" s="94"/>
      <c r="L199" s="95"/>
      <c r="M199" s="66"/>
      <c r="N199" s="296"/>
      <c r="O199" s="97"/>
      <c r="P199" s="58"/>
      <c r="Q199" s="69"/>
      <c r="R199" s="70"/>
      <c r="S199" s="66"/>
      <c r="T199" s="55"/>
      <c r="U199" s="55"/>
      <c r="V199" s="55"/>
      <c r="W199" s="98"/>
      <c r="X199" s="98"/>
      <c r="Y199" s="98"/>
      <c r="Z199" s="98"/>
      <c r="AA199" s="98"/>
      <c r="AB199" s="98"/>
      <c r="AC199" s="98"/>
      <c r="AD199" s="98"/>
      <c r="AE199" s="98"/>
      <c r="AF199" s="277"/>
      <c r="AG199" s="277"/>
      <c r="AH199" s="277"/>
      <c r="AI199" s="277"/>
    </row>
    <row r="200" spans="3:35" ht="65.099999999999994" customHeight="1">
      <c r="C200" s="90"/>
      <c r="D200" s="297"/>
      <c r="F200" s="92"/>
      <c r="G200" s="92"/>
      <c r="H200" s="92"/>
      <c r="I200" s="93"/>
      <c r="J200" s="94"/>
      <c r="K200" s="94"/>
      <c r="L200" s="95"/>
      <c r="M200" s="66"/>
      <c r="N200" s="296"/>
      <c r="O200" s="97"/>
      <c r="P200" s="58"/>
      <c r="Q200" s="69"/>
      <c r="R200" s="70"/>
      <c r="S200" s="66"/>
      <c r="T200" s="55"/>
      <c r="U200" s="55"/>
      <c r="V200" s="55"/>
      <c r="W200" s="98"/>
      <c r="X200" s="98"/>
      <c r="Y200" s="98"/>
      <c r="Z200" s="98"/>
      <c r="AA200" s="98"/>
      <c r="AB200" s="98"/>
      <c r="AC200" s="98"/>
      <c r="AD200" s="98"/>
      <c r="AE200" s="98"/>
      <c r="AF200" s="277"/>
      <c r="AG200" s="277"/>
      <c r="AH200" s="277"/>
      <c r="AI200" s="277"/>
    </row>
    <row r="201" spans="3:35" ht="65.099999999999994" customHeight="1">
      <c r="C201" s="90"/>
      <c r="D201" s="297"/>
      <c r="F201" s="92"/>
      <c r="G201" s="92"/>
      <c r="H201" s="92"/>
      <c r="I201" s="93"/>
      <c r="J201" s="94"/>
      <c r="K201" s="94"/>
      <c r="L201" s="95"/>
      <c r="M201" s="66"/>
      <c r="N201" s="296"/>
      <c r="O201" s="97"/>
      <c r="P201" s="58"/>
      <c r="Q201" s="69"/>
      <c r="R201" s="70"/>
      <c r="S201" s="66"/>
      <c r="T201" s="55"/>
      <c r="U201" s="55"/>
      <c r="V201" s="55"/>
      <c r="W201" s="98"/>
      <c r="X201" s="98"/>
      <c r="Y201" s="98"/>
      <c r="Z201" s="98"/>
      <c r="AA201" s="98"/>
      <c r="AB201" s="98"/>
      <c r="AC201" s="98"/>
      <c r="AD201" s="98"/>
      <c r="AE201" s="98"/>
      <c r="AF201" s="277"/>
      <c r="AG201" s="277"/>
      <c r="AH201" s="277"/>
      <c r="AI201" s="277"/>
    </row>
    <row r="202" spans="3:35" ht="65.099999999999994" customHeight="1">
      <c r="C202" s="90"/>
      <c r="D202" s="297"/>
      <c r="F202" s="92"/>
      <c r="G202" s="92"/>
      <c r="H202" s="92"/>
      <c r="I202" s="93"/>
      <c r="J202" s="94"/>
      <c r="K202" s="94"/>
      <c r="L202" s="95"/>
      <c r="M202" s="66"/>
      <c r="N202" s="296"/>
      <c r="O202" s="97"/>
      <c r="P202" s="58"/>
      <c r="Q202" s="69"/>
      <c r="R202" s="70"/>
      <c r="S202" s="66"/>
      <c r="T202" s="55"/>
      <c r="U202" s="55"/>
      <c r="V202" s="55"/>
      <c r="W202" s="98"/>
      <c r="X202" s="98"/>
      <c r="Y202" s="98"/>
      <c r="Z202" s="98"/>
      <c r="AA202" s="98"/>
      <c r="AB202" s="98"/>
      <c r="AC202" s="98"/>
      <c r="AD202" s="98"/>
      <c r="AE202" s="98"/>
      <c r="AF202" s="277"/>
      <c r="AG202" s="277"/>
      <c r="AH202" s="277"/>
      <c r="AI202" s="277"/>
    </row>
    <row r="203" spans="3:35" ht="65.099999999999994" customHeight="1">
      <c r="C203" s="90"/>
      <c r="D203" s="297"/>
      <c r="F203" s="92"/>
      <c r="G203" s="92"/>
      <c r="H203" s="92"/>
      <c r="I203" s="93"/>
      <c r="J203" s="94"/>
      <c r="K203" s="94"/>
      <c r="L203" s="95"/>
      <c r="M203" s="66"/>
      <c r="N203" s="296"/>
      <c r="O203" s="97"/>
      <c r="P203" s="58"/>
      <c r="Q203" s="69"/>
      <c r="R203" s="70"/>
      <c r="S203" s="66"/>
      <c r="T203" s="55"/>
      <c r="U203" s="55"/>
      <c r="V203" s="55"/>
      <c r="W203" s="98"/>
      <c r="X203" s="98"/>
      <c r="Y203" s="98"/>
      <c r="Z203" s="98"/>
      <c r="AA203" s="98"/>
      <c r="AB203" s="98"/>
      <c r="AC203" s="98"/>
      <c r="AD203" s="98"/>
      <c r="AE203" s="98"/>
      <c r="AF203" s="277"/>
      <c r="AG203" s="277"/>
      <c r="AH203" s="277"/>
      <c r="AI203" s="277"/>
    </row>
    <row r="204" spans="3:35" ht="65.099999999999994" customHeight="1">
      <c r="C204" s="90"/>
      <c r="D204" s="297"/>
      <c r="F204" s="92"/>
      <c r="G204" s="92"/>
      <c r="H204" s="92"/>
      <c r="I204" s="93"/>
      <c r="J204" s="94"/>
      <c r="K204" s="94"/>
      <c r="L204" s="95"/>
      <c r="M204" s="66"/>
      <c r="N204" s="296"/>
      <c r="O204" s="97"/>
      <c r="P204" s="58"/>
      <c r="Q204" s="69"/>
      <c r="R204" s="70"/>
      <c r="S204" s="66"/>
      <c r="T204" s="55"/>
      <c r="U204" s="55"/>
      <c r="V204" s="55"/>
      <c r="W204" s="98"/>
      <c r="X204" s="98"/>
      <c r="Y204" s="98"/>
      <c r="Z204" s="98"/>
      <c r="AA204" s="98"/>
      <c r="AB204" s="98"/>
      <c r="AC204" s="98"/>
      <c r="AD204" s="98"/>
      <c r="AE204" s="98"/>
      <c r="AF204" s="277"/>
      <c r="AG204" s="277"/>
      <c r="AH204" s="277"/>
      <c r="AI204" s="277"/>
    </row>
    <row r="205" spans="3:35" ht="65.099999999999994" customHeight="1">
      <c r="C205" s="90"/>
      <c r="D205" s="297"/>
      <c r="F205" s="92"/>
      <c r="G205" s="92"/>
      <c r="H205" s="92"/>
      <c r="I205" s="93"/>
      <c r="J205" s="94"/>
      <c r="K205" s="94"/>
      <c r="L205" s="95"/>
      <c r="M205" s="66"/>
      <c r="N205" s="296"/>
      <c r="O205" s="97"/>
      <c r="P205" s="58"/>
      <c r="Q205" s="69"/>
      <c r="R205" s="70"/>
      <c r="S205" s="66"/>
      <c r="T205" s="55"/>
      <c r="U205" s="55"/>
      <c r="V205" s="55"/>
      <c r="W205" s="98"/>
      <c r="X205" s="98"/>
      <c r="Y205" s="98"/>
      <c r="Z205" s="98"/>
      <c r="AA205" s="98"/>
      <c r="AB205" s="98"/>
      <c r="AC205" s="98"/>
      <c r="AD205" s="98"/>
      <c r="AE205" s="98"/>
      <c r="AF205" s="277"/>
      <c r="AG205" s="277"/>
      <c r="AH205" s="277"/>
      <c r="AI205" s="277"/>
    </row>
    <row r="206" spans="3:35" ht="65.099999999999994" customHeight="1">
      <c r="C206" s="90"/>
      <c r="D206" s="297"/>
      <c r="F206" s="92"/>
      <c r="G206" s="92"/>
      <c r="H206" s="92"/>
      <c r="I206" s="93"/>
      <c r="J206" s="94"/>
      <c r="K206" s="94"/>
      <c r="L206" s="95"/>
      <c r="M206" s="66"/>
      <c r="N206" s="296"/>
      <c r="O206" s="97"/>
      <c r="P206" s="58"/>
      <c r="Q206" s="69"/>
      <c r="R206" s="70"/>
      <c r="S206" s="66"/>
      <c r="T206" s="55"/>
      <c r="U206" s="55"/>
      <c r="V206" s="55"/>
      <c r="W206" s="98"/>
      <c r="X206" s="98"/>
      <c r="Y206" s="98"/>
      <c r="Z206" s="98"/>
      <c r="AA206" s="98"/>
      <c r="AB206" s="98"/>
      <c r="AC206" s="98"/>
      <c r="AD206" s="98"/>
      <c r="AE206" s="98"/>
      <c r="AF206" s="277"/>
      <c r="AG206" s="277"/>
      <c r="AH206" s="277"/>
      <c r="AI206" s="277"/>
    </row>
    <row r="207" spans="3:35" ht="65.099999999999994" customHeight="1">
      <c r="C207" s="90"/>
      <c r="D207" s="297"/>
      <c r="F207" s="92"/>
      <c r="G207" s="92"/>
      <c r="H207" s="92"/>
      <c r="I207" s="93"/>
      <c r="J207" s="94"/>
      <c r="K207" s="94"/>
      <c r="L207" s="95"/>
      <c r="M207" s="66"/>
      <c r="N207" s="296"/>
      <c r="O207" s="97"/>
      <c r="P207" s="58"/>
      <c r="Q207" s="69"/>
      <c r="R207" s="70"/>
      <c r="S207" s="66"/>
      <c r="T207" s="55"/>
      <c r="U207" s="55"/>
      <c r="V207" s="55"/>
      <c r="W207" s="98"/>
      <c r="X207" s="98"/>
      <c r="Y207" s="98"/>
      <c r="Z207" s="98"/>
      <c r="AA207" s="98"/>
      <c r="AB207" s="98"/>
      <c r="AC207" s="98"/>
      <c r="AD207" s="98"/>
      <c r="AE207" s="98"/>
      <c r="AF207" s="277"/>
      <c r="AG207" s="277"/>
      <c r="AH207" s="277"/>
      <c r="AI207" s="277"/>
    </row>
    <row r="208" spans="3:35" ht="65.099999999999994" customHeight="1">
      <c r="C208" s="90"/>
      <c r="D208" s="297"/>
      <c r="F208" s="92"/>
      <c r="G208" s="92"/>
      <c r="H208" s="92"/>
      <c r="I208" s="93"/>
      <c r="J208" s="94"/>
      <c r="K208" s="94"/>
      <c r="L208" s="95"/>
      <c r="M208" s="66"/>
      <c r="N208" s="296"/>
      <c r="O208" s="97"/>
      <c r="P208" s="58"/>
      <c r="Q208" s="69"/>
      <c r="R208" s="70"/>
      <c r="S208" s="66"/>
      <c r="T208" s="55"/>
      <c r="U208" s="55"/>
      <c r="V208" s="55"/>
      <c r="W208" s="98"/>
      <c r="X208" s="98"/>
      <c r="Y208" s="98"/>
      <c r="Z208" s="98"/>
      <c r="AA208" s="98"/>
      <c r="AB208" s="98"/>
      <c r="AC208" s="98"/>
      <c r="AD208" s="98"/>
      <c r="AE208" s="98"/>
      <c r="AF208" s="277"/>
      <c r="AG208" s="277"/>
      <c r="AH208" s="277"/>
      <c r="AI208" s="277"/>
    </row>
    <row r="209" spans="3:35" ht="65.099999999999994" customHeight="1">
      <c r="C209" s="90"/>
      <c r="D209" s="297"/>
      <c r="F209" s="92"/>
      <c r="G209" s="92"/>
      <c r="H209" s="92"/>
      <c r="I209" s="93"/>
      <c r="J209" s="94"/>
      <c r="K209" s="94"/>
      <c r="L209" s="95"/>
      <c r="M209" s="66"/>
      <c r="N209" s="296"/>
      <c r="O209" s="97"/>
      <c r="P209" s="58"/>
      <c r="Q209" s="69"/>
      <c r="R209" s="70"/>
      <c r="S209" s="66"/>
      <c r="T209" s="55"/>
      <c r="U209" s="55"/>
      <c r="V209" s="55"/>
      <c r="W209" s="98"/>
      <c r="X209" s="98"/>
      <c r="Y209" s="98"/>
      <c r="Z209" s="98"/>
      <c r="AA209" s="98"/>
      <c r="AB209" s="98"/>
      <c r="AC209" s="98"/>
      <c r="AD209" s="98"/>
      <c r="AE209" s="98"/>
      <c r="AF209" s="277"/>
      <c r="AG209" s="277"/>
      <c r="AH209" s="277"/>
      <c r="AI209" s="277"/>
    </row>
    <row r="210" spans="3:35" ht="65.099999999999994" customHeight="1">
      <c r="C210" s="90"/>
      <c r="D210" s="297"/>
      <c r="F210" s="92"/>
      <c r="G210" s="92"/>
      <c r="H210" s="92"/>
      <c r="I210" s="93"/>
      <c r="J210" s="94"/>
      <c r="K210" s="94"/>
      <c r="L210" s="95"/>
      <c r="M210" s="66"/>
      <c r="N210" s="296"/>
      <c r="O210" s="97"/>
      <c r="P210" s="58"/>
      <c r="Q210" s="69"/>
      <c r="R210" s="70"/>
      <c r="S210" s="66"/>
      <c r="T210" s="55"/>
      <c r="U210" s="55"/>
      <c r="V210" s="55"/>
      <c r="W210" s="98"/>
      <c r="X210" s="98"/>
      <c r="Y210" s="98"/>
      <c r="Z210" s="98"/>
      <c r="AA210" s="98"/>
      <c r="AB210" s="98"/>
      <c r="AC210" s="98"/>
      <c r="AD210" s="98"/>
      <c r="AE210" s="98"/>
      <c r="AF210" s="277"/>
      <c r="AG210" s="277"/>
      <c r="AH210" s="277"/>
      <c r="AI210" s="277"/>
    </row>
    <row r="211" spans="3:35" ht="65.099999999999994" customHeight="1">
      <c r="C211" s="90"/>
      <c r="D211" s="297"/>
      <c r="F211" s="92"/>
      <c r="G211" s="92"/>
      <c r="H211" s="92"/>
      <c r="I211" s="93"/>
      <c r="J211" s="94"/>
      <c r="K211" s="94"/>
      <c r="L211" s="95"/>
      <c r="M211" s="66"/>
      <c r="N211" s="296"/>
      <c r="O211" s="97"/>
      <c r="P211" s="58"/>
      <c r="Q211" s="69"/>
      <c r="R211" s="70"/>
      <c r="S211" s="66"/>
      <c r="T211" s="55"/>
      <c r="U211" s="55"/>
      <c r="V211" s="55"/>
      <c r="W211" s="98"/>
      <c r="X211" s="98"/>
      <c r="Y211" s="98"/>
      <c r="Z211" s="98"/>
      <c r="AA211" s="98"/>
      <c r="AB211" s="98"/>
      <c r="AC211" s="98"/>
      <c r="AD211" s="98"/>
      <c r="AE211" s="98"/>
      <c r="AF211" s="277"/>
      <c r="AG211" s="277"/>
      <c r="AH211" s="277"/>
      <c r="AI211" s="277"/>
    </row>
    <row r="212" spans="3:35" ht="65.099999999999994" customHeight="1">
      <c r="C212" s="90"/>
      <c r="D212" s="297"/>
      <c r="F212" s="92"/>
      <c r="G212" s="92"/>
      <c r="H212" s="92"/>
      <c r="I212" s="93"/>
      <c r="J212" s="94"/>
      <c r="K212" s="94"/>
      <c r="L212" s="95"/>
      <c r="M212" s="66"/>
      <c r="N212" s="296"/>
      <c r="O212" s="97"/>
      <c r="P212" s="58"/>
      <c r="Q212" s="69"/>
      <c r="R212" s="70"/>
      <c r="S212" s="66"/>
      <c r="T212" s="55"/>
      <c r="U212" s="55"/>
      <c r="V212" s="55"/>
      <c r="W212" s="98"/>
      <c r="X212" s="98"/>
      <c r="Y212" s="98"/>
      <c r="Z212" s="98"/>
      <c r="AA212" s="98"/>
      <c r="AB212" s="98"/>
      <c r="AC212" s="98"/>
      <c r="AD212" s="98"/>
      <c r="AE212" s="98"/>
      <c r="AF212" s="277"/>
      <c r="AG212" s="277"/>
      <c r="AH212" s="277"/>
      <c r="AI212" s="277"/>
    </row>
    <row r="213" spans="3:35" ht="65.099999999999994" customHeight="1">
      <c r="C213" s="90"/>
      <c r="D213" s="297"/>
      <c r="F213" s="92"/>
      <c r="G213" s="92"/>
      <c r="H213" s="92"/>
      <c r="I213" s="93"/>
      <c r="J213" s="94"/>
      <c r="K213" s="94"/>
      <c r="L213" s="95"/>
      <c r="M213" s="66"/>
      <c r="N213" s="296"/>
      <c r="O213" s="97"/>
      <c r="P213" s="58"/>
      <c r="Q213" s="69"/>
      <c r="R213" s="70"/>
      <c r="S213" s="66"/>
      <c r="T213" s="55"/>
      <c r="U213" s="55"/>
      <c r="V213" s="55"/>
      <c r="W213" s="98"/>
      <c r="X213" s="98"/>
      <c r="Y213" s="98"/>
      <c r="Z213" s="98"/>
      <c r="AA213" s="98"/>
      <c r="AB213" s="98"/>
      <c r="AC213" s="98"/>
      <c r="AD213" s="98"/>
      <c r="AE213" s="98"/>
      <c r="AF213" s="277"/>
      <c r="AG213" s="277"/>
      <c r="AH213" s="277"/>
      <c r="AI213" s="277"/>
    </row>
    <row r="214" spans="3:35" ht="65.099999999999994" customHeight="1">
      <c r="C214" s="90"/>
      <c r="D214" s="297"/>
      <c r="F214" s="92"/>
      <c r="G214" s="92"/>
      <c r="H214" s="92"/>
      <c r="I214" s="93"/>
      <c r="J214" s="94"/>
      <c r="K214" s="94"/>
      <c r="L214" s="95"/>
      <c r="M214" s="66"/>
      <c r="N214" s="296"/>
      <c r="O214" s="97"/>
      <c r="P214" s="58"/>
      <c r="Q214" s="69"/>
      <c r="R214" s="70"/>
      <c r="S214" s="66"/>
      <c r="T214" s="55"/>
      <c r="U214" s="55"/>
      <c r="V214" s="55"/>
      <c r="W214" s="98"/>
      <c r="X214" s="98"/>
      <c r="Y214" s="98"/>
      <c r="Z214" s="98"/>
      <c r="AA214" s="98"/>
      <c r="AB214" s="98"/>
      <c r="AC214" s="98"/>
      <c r="AD214" s="98"/>
      <c r="AE214" s="98"/>
      <c r="AF214" s="277"/>
      <c r="AG214" s="277"/>
      <c r="AH214" s="277"/>
      <c r="AI214" s="277"/>
    </row>
    <row r="215" spans="3:35" ht="65.099999999999994" customHeight="1">
      <c r="C215" s="90"/>
      <c r="D215" s="297"/>
      <c r="F215" s="92"/>
      <c r="G215" s="92"/>
      <c r="H215" s="92"/>
      <c r="I215" s="93"/>
      <c r="J215" s="94"/>
      <c r="K215" s="94"/>
      <c r="L215" s="95"/>
      <c r="M215" s="66"/>
      <c r="N215" s="296"/>
      <c r="O215" s="97"/>
      <c r="P215" s="58"/>
      <c r="Q215" s="69"/>
      <c r="R215" s="70"/>
      <c r="S215" s="66"/>
      <c r="T215" s="55"/>
      <c r="U215" s="55"/>
      <c r="V215" s="55"/>
      <c r="W215" s="98"/>
      <c r="X215" s="98"/>
      <c r="Y215" s="98"/>
      <c r="Z215" s="98"/>
      <c r="AA215" s="98"/>
      <c r="AB215" s="98"/>
      <c r="AC215" s="98"/>
      <c r="AD215" s="98"/>
      <c r="AE215" s="98"/>
      <c r="AF215" s="277"/>
      <c r="AG215" s="277"/>
      <c r="AH215" s="277"/>
      <c r="AI215" s="277"/>
    </row>
    <row r="216" spans="3:35" ht="65.099999999999994" customHeight="1">
      <c r="C216" s="90"/>
      <c r="D216" s="297"/>
      <c r="F216" s="92"/>
      <c r="G216" s="92"/>
      <c r="H216" s="92"/>
      <c r="I216" s="93"/>
      <c r="J216" s="94"/>
      <c r="K216" s="94"/>
      <c r="L216" s="95"/>
      <c r="M216" s="66"/>
      <c r="N216" s="296"/>
      <c r="O216" s="97"/>
      <c r="P216" s="58"/>
      <c r="Q216" s="69"/>
      <c r="R216" s="70"/>
      <c r="S216" s="66"/>
      <c r="T216" s="55"/>
      <c r="U216" s="55"/>
      <c r="V216" s="55"/>
      <c r="W216" s="98"/>
      <c r="X216" s="98"/>
      <c r="Y216" s="98"/>
      <c r="Z216" s="98"/>
      <c r="AA216" s="98"/>
      <c r="AB216" s="98"/>
      <c r="AC216" s="98"/>
      <c r="AD216" s="98"/>
      <c r="AE216" s="98"/>
      <c r="AF216" s="277"/>
      <c r="AG216" s="277"/>
      <c r="AH216" s="277"/>
      <c r="AI216" s="277"/>
    </row>
    <row r="217" spans="3:35" ht="65.099999999999994" customHeight="1">
      <c r="C217" s="90"/>
      <c r="D217" s="297"/>
      <c r="F217" s="92"/>
      <c r="G217" s="92"/>
      <c r="H217" s="92"/>
      <c r="I217" s="93"/>
      <c r="J217" s="94"/>
      <c r="K217" s="94"/>
      <c r="L217" s="95"/>
      <c r="M217" s="66"/>
      <c r="N217" s="296"/>
      <c r="O217" s="97"/>
      <c r="P217" s="58"/>
      <c r="Q217" s="69"/>
      <c r="R217" s="70"/>
      <c r="S217" s="66"/>
      <c r="T217" s="55"/>
      <c r="U217" s="55"/>
      <c r="V217" s="55"/>
      <c r="W217" s="98"/>
      <c r="X217" s="98"/>
      <c r="Y217" s="98"/>
      <c r="Z217" s="98"/>
      <c r="AA217" s="98"/>
      <c r="AB217" s="98"/>
      <c r="AC217" s="98"/>
      <c r="AD217" s="98"/>
      <c r="AE217" s="98"/>
      <c r="AF217" s="277"/>
      <c r="AG217" s="277"/>
      <c r="AH217" s="277"/>
      <c r="AI217" s="277"/>
    </row>
  </sheetData>
  <autoFilter ref="A1:AJ22">
    <filterColumn colId="22" showButton="0"/>
    <filterColumn colId="23" showButton="0"/>
    <filterColumn colId="25" showButton="0"/>
    <filterColumn colId="26" showButton="0"/>
  </autoFilter>
  <mergeCells count="282">
    <mergeCell ref="AC4:AE4"/>
    <mergeCell ref="AC5:AE5"/>
    <mergeCell ref="W5:Y5"/>
    <mergeCell ref="Z5:AB5"/>
    <mergeCell ref="AG9:AG14"/>
    <mergeCell ref="AH9:AH14"/>
    <mergeCell ref="AI1:AI2"/>
    <mergeCell ref="S1:S2"/>
    <mergeCell ref="AF1:AF2"/>
    <mergeCell ref="AG1:AG2"/>
    <mergeCell ref="AH1:AH2"/>
    <mergeCell ref="AC14:AE14"/>
    <mergeCell ref="W8:Y8"/>
    <mergeCell ref="Z8:AB8"/>
    <mergeCell ref="AC8:AE8"/>
    <mergeCell ref="A1:A2"/>
    <mergeCell ref="T1:T2"/>
    <mergeCell ref="U1:U2"/>
    <mergeCell ref="V1:V2"/>
    <mergeCell ref="W1:Y1"/>
    <mergeCell ref="Z1:AB1"/>
    <mergeCell ref="M1:M2"/>
    <mergeCell ref="G1:G2"/>
    <mergeCell ref="AC1:AE1"/>
    <mergeCell ref="H1:H2"/>
    <mergeCell ref="I1:I2"/>
    <mergeCell ref="J1:J2"/>
    <mergeCell ref="K1:K2"/>
    <mergeCell ref="L1:L2"/>
    <mergeCell ref="N1:N2"/>
    <mergeCell ref="AJ1:AJ2"/>
    <mergeCell ref="A3:A8"/>
    <mergeCell ref="W3:Y3"/>
    <mergeCell ref="Z3:AB3"/>
    <mergeCell ref="AC3:AE3"/>
    <mergeCell ref="AG3:AG8"/>
    <mergeCell ref="AH3:AH8"/>
    <mergeCell ref="B1:B2"/>
    <mergeCell ref="C1:C2"/>
    <mergeCell ref="D1:D2"/>
    <mergeCell ref="E1:E2"/>
    <mergeCell ref="F1:F2"/>
    <mergeCell ref="O1:O2"/>
    <mergeCell ref="P1:P2"/>
    <mergeCell ref="Q1:Q2"/>
    <mergeCell ref="W4:Y4"/>
    <mergeCell ref="Z4:AB4"/>
    <mergeCell ref="W6:Y6"/>
    <mergeCell ref="Z6:AB6"/>
    <mergeCell ref="R1:R2"/>
    <mergeCell ref="AC6:AE6"/>
    <mergeCell ref="W7:Y7"/>
    <mergeCell ref="Z7:AB7"/>
    <mergeCell ref="AC7:AE7"/>
    <mergeCell ref="A9:A14"/>
    <mergeCell ref="W9:Y9"/>
    <mergeCell ref="Z9:AB9"/>
    <mergeCell ref="AC9:AE9"/>
    <mergeCell ref="W12:Y12"/>
    <mergeCell ref="Z12:AB12"/>
    <mergeCell ref="W10:Y10"/>
    <mergeCell ref="Z10:AB10"/>
    <mergeCell ref="AC10:AE10"/>
    <mergeCell ref="W11:Y11"/>
    <mergeCell ref="Z11:AB11"/>
    <mergeCell ref="AC11:AE11"/>
    <mergeCell ref="W14:Y14"/>
    <mergeCell ref="Z14:AB14"/>
    <mergeCell ref="W13:Y13"/>
    <mergeCell ref="Z13:AB13"/>
    <mergeCell ref="AC13:AE13"/>
    <mergeCell ref="AC12:AE12"/>
    <mergeCell ref="A15:A19"/>
    <mergeCell ref="W15:Y15"/>
    <mergeCell ref="Z15:AB15"/>
    <mergeCell ref="AC15:AE15"/>
    <mergeCell ref="W18:Y18"/>
    <mergeCell ref="Z18:AB18"/>
    <mergeCell ref="AC18:AE18"/>
    <mergeCell ref="W19:Y19"/>
    <mergeCell ref="Z19:AB19"/>
    <mergeCell ref="AC19:AE19"/>
    <mergeCell ref="AG25:AG28"/>
    <mergeCell ref="W24:Y24"/>
    <mergeCell ref="Z24:AB24"/>
    <mergeCell ref="AC24:AE24"/>
    <mergeCell ref="AG15:AG19"/>
    <mergeCell ref="AH15:AH19"/>
    <mergeCell ref="W16:Y16"/>
    <mergeCell ref="Z16:AB16"/>
    <mergeCell ref="AC16:AE16"/>
    <mergeCell ref="W17:Y17"/>
    <mergeCell ref="Z17:AB17"/>
    <mergeCell ref="AC17:AE17"/>
    <mergeCell ref="Z22:AB22"/>
    <mergeCell ref="AC22:AE22"/>
    <mergeCell ref="AG20:AG24"/>
    <mergeCell ref="AH20:AH24"/>
    <mergeCell ref="W21:Y21"/>
    <mergeCell ref="Z21:AB21"/>
    <mergeCell ref="AC21:AE21"/>
    <mergeCell ref="W22:Y22"/>
    <mergeCell ref="W20:Y20"/>
    <mergeCell ref="Z20:AB20"/>
    <mergeCell ref="AC20:AE20"/>
    <mergeCell ref="W23:Y23"/>
    <mergeCell ref="AC35:AE35"/>
    <mergeCell ref="A25:A28"/>
    <mergeCell ref="W25:Y25"/>
    <mergeCell ref="Z25:AB25"/>
    <mergeCell ref="AC25:AE25"/>
    <mergeCell ref="W28:Y28"/>
    <mergeCell ref="Z28:AB28"/>
    <mergeCell ref="AC28:AE28"/>
    <mergeCell ref="A20:A24"/>
    <mergeCell ref="Z23:AB23"/>
    <mergeCell ref="AC23:AE23"/>
    <mergeCell ref="AH29:AH32"/>
    <mergeCell ref="W30:Y30"/>
    <mergeCell ref="Z30:AB30"/>
    <mergeCell ref="AC30:AE30"/>
    <mergeCell ref="W31:Y31"/>
    <mergeCell ref="Z31:AB31"/>
    <mergeCell ref="AC31:AE31"/>
    <mergeCell ref="A29:A32"/>
    <mergeCell ref="W29:Y29"/>
    <mergeCell ref="Z29:AB29"/>
    <mergeCell ref="AC29:AE29"/>
    <mergeCell ref="W32:Y32"/>
    <mergeCell ref="Z32:AB32"/>
    <mergeCell ref="AC32:AE32"/>
    <mergeCell ref="AG29:AG32"/>
    <mergeCell ref="AH25:AH28"/>
    <mergeCell ref="W26:Y26"/>
    <mergeCell ref="Z26:AB26"/>
    <mergeCell ref="AC26:AE26"/>
    <mergeCell ref="W27:Y27"/>
    <mergeCell ref="Z27:AB27"/>
    <mergeCell ref="AC27:AE27"/>
    <mergeCell ref="A33:A37"/>
    <mergeCell ref="W33:Y33"/>
    <mergeCell ref="Z33:AB33"/>
    <mergeCell ref="AC33:AE33"/>
    <mergeCell ref="W36:Y36"/>
    <mergeCell ref="Z36:AB36"/>
    <mergeCell ref="AC36:AE36"/>
    <mergeCell ref="W37:Y37"/>
    <mergeCell ref="Z37:AB37"/>
    <mergeCell ref="AC37:AE37"/>
    <mergeCell ref="AG33:AG37"/>
    <mergeCell ref="AH33:AH37"/>
    <mergeCell ref="W34:Y34"/>
    <mergeCell ref="Z34:AB34"/>
    <mergeCell ref="AC34:AE34"/>
    <mergeCell ref="W35:Y35"/>
    <mergeCell ref="Z35:AB35"/>
    <mergeCell ref="A50:A55"/>
    <mergeCell ref="W50:Y50"/>
    <mergeCell ref="Z50:AB50"/>
    <mergeCell ref="AC50:AE50"/>
    <mergeCell ref="W53:Y53"/>
    <mergeCell ref="Z53:AB53"/>
    <mergeCell ref="AG38:AG43"/>
    <mergeCell ref="AH38:AH43"/>
    <mergeCell ref="W39:Y39"/>
    <mergeCell ref="Z39:AB39"/>
    <mergeCell ref="AC39:AE39"/>
    <mergeCell ref="W40:Y40"/>
    <mergeCell ref="AG44:AG49"/>
    <mergeCell ref="AH44:AH49"/>
    <mergeCell ref="W45:Y45"/>
    <mergeCell ref="Z45:AB45"/>
    <mergeCell ref="AC45:AE45"/>
    <mergeCell ref="W46:Y46"/>
    <mergeCell ref="A38:A43"/>
    <mergeCell ref="W38:Y38"/>
    <mergeCell ref="Z38:AB38"/>
    <mergeCell ref="AC38:AE38"/>
    <mergeCell ref="W41:Y41"/>
    <mergeCell ref="Z41:AB41"/>
    <mergeCell ref="A44:A49"/>
    <mergeCell ref="W44:Y44"/>
    <mergeCell ref="Z44:AB44"/>
    <mergeCell ref="AC44:AE44"/>
    <mergeCell ref="W47:Y47"/>
    <mergeCell ref="Z47:AB47"/>
    <mergeCell ref="AC47:AE47"/>
    <mergeCell ref="W48:Y48"/>
    <mergeCell ref="Z48:AB48"/>
    <mergeCell ref="AC48:AE48"/>
    <mergeCell ref="Z46:AB46"/>
    <mergeCell ref="AC46:AE46"/>
    <mergeCell ref="W49:Y49"/>
    <mergeCell ref="Z49:AB49"/>
    <mergeCell ref="AC49:AE49"/>
    <mergeCell ref="Z40:AB40"/>
    <mergeCell ref="AC41:AE41"/>
    <mergeCell ref="W42:Y42"/>
    <mergeCell ref="Z42:AB42"/>
    <mergeCell ref="AC42:AE42"/>
    <mergeCell ref="AC40:AE40"/>
    <mergeCell ref="W43:Y43"/>
    <mergeCell ref="Z43:AB43"/>
    <mergeCell ref="AC53:AE53"/>
    <mergeCell ref="AC43:AE43"/>
    <mergeCell ref="W54:Y54"/>
    <mergeCell ref="Z54:AB54"/>
    <mergeCell ref="AC54:AE54"/>
    <mergeCell ref="AG50:AG55"/>
    <mergeCell ref="AH50:AH55"/>
    <mergeCell ref="W51:Y51"/>
    <mergeCell ref="Z51:AB51"/>
    <mergeCell ref="AC51:AE51"/>
    <mergeCell ref="W52:Y52"/>
    <mergeCell ref="Z52:AB52"/>
    <mergeCell ref="W55:Y55"/>
    <mergeCell ref="Z55:AB55"/>
    <mergeCell ref="AC55:AE55"/>
    <mergeCell ref="AC52:AE52"/>
    <mergeCell ref="A56:A61"/>
    <mergeCell ref="W56:Y56"/>
    <mergeCell ref="Z56:AB56"/>
    <mergeCell ref="AC56:AE56"/>
    <mergeCell ref="W59:Y59"/>
    <mergeCell ref="Z59:AB59"/>
    <mergeCell ref="AC59:AE59"/>
    <mergeCell ref="W60:Y60"/>
    <mergeCell ref="Z60:AB60"/>
    <mergeCell ref="AC60:AE60"/>
    <mergeCell ref="AG56:AG61"/>
    <mergeCell ref="AH56:AH61"/>
    <mergeCell ref="W57:Y57"/>
    <mergeCell ref="Z57:AB57"/>
    <mergeCell ref="AC57:AE57"/>
    <mergeCell ref="W58:Y58"/>
    <mergeCell ref="Z58:AB58"/>
    <mergeCell ref="AC58:AE58"/>
    <mergeCell ref="W61:Y61"/>
    <mergeCell ref="Z61:AB61"/>
    <mergeCell ref="AC61:AE61"/>
    <mergeCell ref="A62:A67"/>
    <mergeCell ref="W62:Y62"/>
    <mergeCell ref="Z62:AB62"/>
    <mergeCell ref="AC62:AE62"/>
    <mergeCell ref="W65:Y65"/>
    <mergeCell ref="Z65:AB65"/>
    <mergeCell ref="AC65:AE65"/>
    <mergeCell ref="W66:Y66"/>
    <mergeCell ref="Z66:AB66"/>
    <mergeCell ref="AC66:AE66"/>
    <mergeCell ref="AH68:AH73"/>
    <mergeCell ref="W69:Y69"/>
    <mergeCell ref="Z69:AB69"/>
    <mergeCell ref="AC69:AE69"/>
    <mergeCell ref="W70:Y70"/>
    <mergeCell ref="Z70:AB70"/>
    <mergeCell ref="AC70:AE70"/>
    <mergeCell ref="W73:Y73"/>
    <mergeCell ref="Z73:AB73"/>
    <mergeCell ref="AC73:AE73"/>
    <mergeCell ref="AG62:AG67"/>
    <mergeCell ref="AH62:AH67"/>
    <mergeCell ref="W63:Y63"/>
    <mergeCell ref="Z63:AB63"/>
    <mergeCell ref="AC63:AE63"/>
    <mergeCell ref="W64:Y64"/>
    <mergeCell ref="Z64:AB64"/>
    <mergeCell ref="AC64:AE64"/>
    <mergeCell ref="W67:Y67"/>
    <mergeCell ref="Z67:AB67"/>
    <mergeCell ref="AC67:AE67"/>
    <mergeCell ref="A68:A73"/>
    <mergeCell ref="W68:Y68"/>
    <mergeCell ref="Z68:AB68"/>
    <mergeCell ref="AC68:AE68"/>
    <mergeCell ref="W71:Y71"/>
    <mergeCell ref="AG68:AG73"/>
    <mergeCell ref="Z71:AB71"/>
    <mergeCell ref="AC71:AE71"/>
    <mergeCell ref="W72:Y72"/>
    <mergeCell ref="Z72:AB72"/>
    <mergeCell ref="AC72:AE72"/>
  </mergeCells>
  <conditionalFormatting sqref="G3:H73 AF4:AF73">
    <cfRule type="containsText" dxfId="45" priority="2" operator="containsText" text="NO">
      <formula>NOT(ISERROR(SEARCH("NO",G3)))</formula>
    </cfRule>
  </conditionalFormatting>
  <conditionalFormatting sqref="AF3:AH3 AG9:AH9 AG15:AH15 AG20:AH20 AG25:AH25 AG29:AH29 AG33:AH33 AG38:AH38 AG44:AH44 AG50:AH50 AG56:AH56 AG62:AH62 AG68:AH68">
    <cfRule type="containsText" dxfId="44" priority="1" operator="containsText" text="NO">
      <formula>NOT(ISERROR(SEARCH("NO",AF3)))</formula>
    </cfRule>
  </conditionalFormatting>
  <dataValidations count="1">
    <dataValidation type="list" allowBlank="1" showInputMessage="1" showErrorMessage="1" sqref="W3:Y8 G3:H73 Z3:AF73">
      <formula1>$AL$1:$AM$1</formula1>
    </dataValidation>
  </dataValidations>
  <pageMargins left="0.75" right="0.75" top="1" bottom="1" header="0.5" footer="0.5"/>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198"/>
  <sheetViews>
    <sheetView zoomScaleNormal="100" zoomScalePageLayoutView="75" workbookViewId="0">
      <pane xSplit="1" ySplit="2" topLeftCell="B27" activePane="bottomRight" state="frozen"/>
      <selection activeCell="AI46" sqref="AI46"/>
      <selection pane="topRight" activeCell="AI46" sqref="AI46"/>
      <selection pane="bottomLeft" activeCell="AI46" sqref="AI46"/>
      <selection pane="bottomRight" activeCell="A27" sqref="A27:A30"/>
    </sheetView>
  </sheetViews>
  <sheetFormatPr baseColWidth="10" defaultColWidth="10.875" defaultRowHeight="14.2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23.875" style="101" customWidth="1"/>
    <col min="9" max="10" width="18.875" style="101" customWidth="1"/>
    <col min="11" max="11" width="13.625" style="102" customWidth="1"/>
    <col min="12" max="12" width="10.625"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bestFit="1" customWidth="1"/>
    <col min="19" max="19" width="12.5" style="68" customWidth="1"/>
    <col min="20" max="20" width="9.625" style="68" bestFit="1" customWidth="1"/>
    <col min="21" max="22" width="15.5" style="68" customWidth="1"/>
    <col min="23" max="23" width="18.375" style="81" customWidth="1"/>
    <col min="24" max="24" width="19.5" style="58" customWidth="1"/>
    <col min="25" max="25" width="59.125" style="92" customWidth="1"/>
    <col min="26" max="28" width="10.875" style="99"/>
    <col min="29" max="30" width="15.125" style="99" bestFit="1" customWidth="1"/>
    <col min="31" max="16384" width="10.875" style="99"/>
  </cols>
  <sheetData>
    <row r="1" spans="1:28" s="56" customFormat="1" ht="15" customHeight="1">
      <c r="A1" s="776" t="s">
        <v>6</v>
      </c>
      <c r="B1" s="776" t="s">
        <v>5</v>
      </c>
      <c r="C1" s="776" t="s">
        <v>174</v>
      </c>
      <c r="D1" s="776" t="s">
        <v>12</v>
      </c>
      <c r="E1" s="776" t="s">
        <v>13</v>
      </c>
      <c r="F1" s="776" t="s">
        <v>14</v>
      </c>
      <c r="G1" s="780" t="s">
        <v>186</v>
      </c>
      <c r="H1" s="780" t="s">
        <v>483</v>
      </c>
      <c r="I1" s="781" t="s">
        <v>187</v>
      </c>
      <c r="J1" s="781" t="s">
        <v>484</v>
      </c>
      <c r="K1" s="782" t="s">
        <v>63</v>
      </c>
      <c r="L1" s="784" t="s">
        <v>15</v>
      </c>
      <c r="M1" s="784" t="s">
        <v>16</v>
      </c>
      <c r="N1" s="831" t="s">
        <v>69</v>
      </c>
      <c r="O1" s="776" t="s">
        <v>68</v>
      </c>
      <c r="P1" s="776" t="s">
        <v>17</v>
      </c>
      <c r="Q1" s="776" t="s">
        <v>18</v>
      </c>
      <c r="R1" s="780" t="s">
        <v>19</v>
      </c>
      <c r="S1" s="780" t="s">
        <v>20</v>
      </c>
      <c r="T1" s="780" t="s">
        <v>21</v>
      </c>
      <c r="U1" s="780" t="s">
        <v>22</v>
      </c>
      <c r="V1" s="776" t="s">
        <v>23</v>
      </c>
      <c r="W1" s="780" t="s">
        <v>485</v>
      </c>
      <c r="X1" s="780" t="s">
        <v>486</v>
      </c>
      <c r="Y1" s="776" t="s">
        <v>3</v>
      </c>
      <c r="AA1" s="57" t="s">
        <v>10</v>
      </c>
      <c r="AB1" s="57" t="s">
        <v>11</v>
      </c>
    </row>
    <row r="2" spans="1:28" s="56" customFormat="1" ht="105" customHeight="1" thickBot="1">
      <c r="A2" s="777"/>
      <c r="B2" s="777"/>
      <c r="C2" s="777"/>
      <c r="D2" s="777"/>
      <c r="E2" s="777"/>
      <c r="F2" s="777"/>
      <c r="G2" s="781"/>
      <c r="H2" s="781"/>
      <c r="I2" s="833"/>
      <c r="J2" s="833"/>
      <c r="K2" s="783"/>
      <c r="L2" s="785"/>
      <c r="M2" s="785"/>
      <c r="N2" s="832"/>
      <c r="O2" s="777"/>
      <c r="P2" s="777"/>
      <c r="Q2" s="777"/>
      <c r="R2" s="781"/>
      <c r="S2" s="781"/>
      <c r="T2" s="781"/>
      <c r="U2" s="781"/>
      <c r="V2" s="777"/>
      <c r="W2" s="781"/>
      <c r="X2" s="781"/>
      <c r="Y2" s="777"/>
    </row>
    <row r="3" spans="1:28" s="359" customFormat="1" ht="156" customHeight="1">
      <c r="A3" s="847" t="s">
        <v>279</v>
      </c>
      <c r="B3" s="123" t="s">
        <v>145</v>
      </c>
      <c r="C3" s="344">
        <v>11</v>
      </c>
      <c r="D3" s="345" t="str">
        <f>+IFERROR(INDEX([6]CONSOLIDADO!$D$4:$D$91,MATCH('EXP ESPEC. 27-33'!B3,[6]CONSOLIDADO!$C$4:$C$91,0)),"")</f>
        <v>INTERPRO SAS</v>
      </c>
      <c r="E3" s="346" t="s">
        <v>430</v>
      </c>
      <c r="F3" s="284" t="s">
        <v>487</v>
      </c>
      <c r="G3" s="347" t="s">
        <v>10</v>
      </c>
      <c r="H3" s="347" t="s">
        <v>10</v>
      </c>
      <c r="I3" s="347" t="s">
        <v>10</v>
      </c>
      <c r="J3" s="347" t="s">
        <v>11</v>
      </c>
      <c r="K3" s="348">
        <v>0.6</v>
      </c>
      <c r="L3" s="349">
        <v>41576</v>
      </c>
      <c r="M3" s="349">
        <v>42341</v>
      </c>
      <c r="N3" s="350">
        <f>IF(M3="","",YEAR(M3))</f>
        <v>2015</v>
      </c>
      <c r="O3" s="351">
        <f>+IFERROR(INDEX([6]PARÁMETROS!$B$11:$B$37,MATCH(N3,[6]PARÁMETROS!$A$11:$A$37,0)),"")</f>
        <v>644350</v>
      </c>
      <c r="P3" s="352">
        <f>3104766426+777673535+114783566</f>
        <v>3997223527</v>
      </c>
      <c r="Q3" s="353" t="s">
        <v>25</v>
      </c>
      <c r="R3" s="354" t="s">
        <v>346</v>
      </c>
      <c r="S3" s="355" t="s">
        <v>346</v>
      </c>
      <c r="T3" s="356">
        <v>1</v>
      </c>
      <c r="U3" s="351">
        <f>IF(T3&lt;&gt;"",P3*T3,"")</f>
        <v>3997223527</v>
      </c>
      <c r="V3" s="357">
        <f>+IFERROR(U3/O3,"")</f>
        <v>6203.4973647862189</v>
      </c>
      <c r="W3" s="357">
        <f>IFERROR(V3*K3,"")</f>
        <v>3722.0984188717312</v>
      </c>
      <c r="X3" s="347" t="str">
        <f>+IF(W3="","",IF(W3&gt;=[6]PARÁMETROS!$J$5,"CUMPLE","NO CUMPLE"))</f>
        <v>CUMPLE</v>
      </c>
      <c r="Y3" s="138" t="s">
        <v>744</v>
      </c>
      <c r="Z3" s="358"/>
    </row>
    <row r="4" spans="1:28" s="359" customFormat="1" ht="142.5">
      <c r="A4" s="848"/>
      <c r="B4" s="360" t="s">
        <v>145</v>
      </c>
      <c r="C4" s="361">
        <v>20</v>
      </c>
      <c r="D4" s="362" t="str">
        <f>+IFERROR(INDEX([6]CONSOLIDADO!$D$4:$D$91,MATCH('EXP ESPEC. 27-33'!B4,[6]CONSOLIDADO!$C$4:$C$91,0)),"")</f>
        <v>INTERPRO SAS</v>
      </c>
      <c r="E4" s="61" t="s">
        <v>478</v>
      </c>
      <c r="F4" s="62" t="s">
        <v>481</v>
      </c>
      <c r="G4" s="363" t="s">
        <v>10</v>
      </c>
      <c r="H4" s="363" t="s">
        <v>11</v>
      </c>
      <c r="I4" s="363" t="s">
        <v>10</v>
      </c>
      <c r="J4" s="363" t="s">
        <v>11</v>
      </c>
      <c r="K4" s="63">
        <v>0.5</v>
      </c>
      <c r="L4" s="64">
        <v>39004</v>
      </c>
      <c r="M4" s="64">
        <v>39667</v>
      </c>
      <c r="N4" s="65">
        <f>IF(M4="","",YEAR(M4))</f>
        <v>2008</v>
      </c>
      <c r="O4" s="66">
        <f>+IFERROR(INDEX([6]PARÁMETROS!$B$11:$B$37,MATCH(N4,[6]PARÁMETROS!$A$11:$A$37,0)),"")</f>
        <v>461500</v>
      </c>
      <c r="P4" s="67">
        <v>3848051306</v>
      </c>
      <c r="Q4" s="68" t="s">
        <v>25</v>
      </c>
      <c r="R4" s="58" t="s">
        <v>346</v>
      </c>
      <c r="S4" s="69" t="s">
        <v>346</v>
      </c>
      <c r="T4" s="70">
        <v>1</v>
      </c>
      <c r="U4" s="66">
        <f>IF(T4&lt;&gt;"",P4*T4,"")</f>
        <v>3848051306</v>
      </c>
      <c r="V4" s="55">
        <f>+IFERROR(U4/O4,"")</f>
        <v>8338.13934127844</v>
      </c>
      <c r="W4" s="55">
        <f>IFERROR(V4*K4,"")</f>
        <v>4169.06967063922</v>
      </c>
      <c r="X4" s="363" t="str">
        <f>+IF(W4="","",IF(W4&gt;=[6]PARÁMETROS!$J$5,"CUMPLE","NO CUMPLE"))</f>
        <v>CUMPLE</v>
      </c>
      <c r="Y4" s="364"/>
      <c r="Z4" s="358"/>
    </row>
    <row r="5" spans="1:28" s="359" customFormat="1" ht="65.099999999999994" customHeight="1">
      <c r="A5" s="848"/>
      <c r="B5" s="360" t="s">
        <v>146</v>
      </c>
      <c r="C5" s="361">
        <v>27</v>
      </c>
      <c r="D5" s="362" t="str">
        <f>+IFERROR(INDEX([6]CONSOLIDADO!$D$4:$D$91,MATCH('EXP ESPEC. 27-33'!B5,[6]CONSOLIDADO!$C$4:$C$91,0)),"")</f>
        <v>BAC ENGINEERING CONSULTANCY GROUP S.A.S.</v>
      </c>
      <c r="E5" s="61" t="s">
        <v>474</v>
      </c>
      <c r="F5" s="62" t="s">
        <v>473</v>
      </c>
      <c r="G5" s="363" t="s">
        <v>11</v>
      </c>
      <c r="H5" s="363" t="s">
        <v>11</v>
      </c>
      <c r="I5" s="363" t="s">
        <v>10</v>
      </c>
      <c r="J5" s="363" t="s">
        <v>11</v>
      </c>
      <c r="K5" s="63">
        <v>0.7</v>
      </c>
      <c r="L5" s="64">
        <v>37951</v>
      </c>
      <c r="M5" s="64">
        <v>39568</v>
      </c>
      <c r="N5" s="65">
        <f t="shared" ref="N5:N54" si="0">IF(M5="","",YEAR(M5))</f>
        <v>2008</v>
      </c>
      <c r="O5" s="66">
        <f>+IFERROR(INDEX([6]PARÁMETROS!$B$11:$B$37,MATCH(N5,[6]PARÁMETROS!$A$11:$A$37,0)),"")</f>
        <v>461500</v>
      </c>
      <c r="P5" s="67">
        <v>2224756</v>
      </c>
      <c r="Q5" s="68" t="s">
        <v>419</v>
      </c>
      <c r="R5" s="58">
        <v>1.5607500000000001</v>
      </c>
      <c r="S5" s="69">
        <f>+R5*P5</f>
        <v>3472287.9270000001</v>
      </c>
      <c r="T5" s="70">
        <v>1780.21</v>
      </c>
      <c r="U5" s="66">
        <f>IF(T5&lt;&gt;"",S5*T5,"")</f>
        <v>6181401690.5246706</v>
      </c>
      <c r="V5" s="55">
        <f t="shared" ref="V5:V54" si="1">+IFERROR(U5/O5,"")</f>
        <v>13394.153175568084</v>
      </c>
      <c r="W5" s="55">
        <f t="shared" ref="W5:W54" si="2">IFERROR(V5*K5,"")</f>
        <v>9375.9072228976584</v>
      </c>
      <c r="X5" s="363" t="str">
        <f>+IF(W5="","",IF(W5&gt;=[6]PARÁMETROS!$J$5,"CUMPLE","NO CUMPLE"))</f>
        <v>CUMPLE</v>
      </c>
      <c r="Y5" s="365"/>
      <c r="Z5" s="358"/>
    </row>
    <row r="6" spans="1:28" s="359" customFormat="1" ht="65.099999999999994" customHeight="1" thickBot="1">
      <c r="A6" s="849"/>
      <c r="B6" s="366" t="s">
        <v>146</v>
      </c>
      <c r="C6" s="367">
        <v>33</v>
      </c>
      <c r="D6" s="368" t="str">
        <f>+IFERROR(INDEX([6]CONSOLIDADO!$D$4:$D$91,MATCH('EXP ESPEC. 27-33'!B6,[6]CONSOLIDADO!$C$4:$C$91,0)),"")</f>
        <v>BAC ENGINEERING CONSULTANCY GROUP S.A.S.</v>
      </c>
      <c r="E6" s="144" t="s">
        <v>472</v>
      </c>
      <c r="F6" s="145" t="s">
        <v>471</v>
      </c>
      <c r="G6" s="369" t="s">
        <v>10</v>
      </c>
      <c r="H6" s="369" t="s">
        <v>11</v>
      </c>
      <c r="I6" s="369" t="s">
        <v>10</v>
      </c>
      <c r="J6" s="369" t="s">
        <v>11</v>
      </c>
      <c r="K6" s="146">
        <v>0.5</v>
      </c>
      <c r="L6" s="147">
        <v>39722</v>
      </c>
      <c r="M6" s="147">
        <v>41211</v>
      </c>
      <c r="N6" s="148">
        <f t="shared" si="0"/>
        <v>2012</v>
      </c>
      <c r="O6" s="149">
        <f>+IFERROR(INDEX([6]PARÁMETROS!$B$11:$B$37,MATCH(N6,[6]PARÁMETROS!$A$11:$A$37,0)),"")</f>
        <v>566700</v>
      </c>
      <c r="P6" s="150">
        <v>2738296</v>
      </c>
      <c r="Q6" s="151" t="s">
        <v>419</v>
      </c>
      <c r="R6" s="141">
        <v>1.29355</v>
      </c>
      <c r="S6" s="152">
        <f>+R6*P6</f>
        <v>3542122.7908000001</v>
      </c>
      <c r="T6" s="153">
        <v>1823.18</v>
      </c>
      <c r="U6" s="149">
        <f t="shared" ref="U6:U7" si="3">IF(T6&lt;&gt;"",P6*T6,"")</f>
        <v>4992406501.2799997</v>
      </c>
      <c r="V6" s="154">
        <f t="shared" si="1"/>
        <v>8809.6109074995584</v>
      </c>
      <c r="W6" s="154">
        <f t="shared" si="2"/>
        <v>4404.8054537497792</v>
      </c>
      <c r="X6" s="369" t="str">
        <f>+IF(W6="","",IF(W6&gt;=[6]PARÁMETROS!$J$5,"CUMPLE","NO CUMPLE"))</f>
        <v>CUMPLE</v>
      </c>
      <c r="Y6" s="370"/>
      <c r="Z6" s="358"/>
    </row>
    <row r="7" spans="1:28" s="72" customFormat="1" ht="57">
      <c r="A7" s="795" t="s">
        <v>282</v>
      </c>
      <c r="B7" s="123" t="s">
        <v>147</v>
      </c>
      <c r="C7" s="157">
        <v>6</v>
      </c>
      <c r="D7" s="303" t="str">
        <f>+IFERROR(INDEX([6]CONSOLIDADO!$D$4:$D$91,MATCH('EXP ESPEC. 27-33'!B7,[6]CONSOLIDADO!$C$4:$C$91,0)),"")</f>
        <v>CONCOL INGENIERIA SAS</v>
      </c>
      <c r="E7" s="371" t="s">
        <v>430</v>
      </c>
      <c r="F7" s="372" t="s">
        <v>470</v>
      </c>
      <c r="G7" s="279" t="s">
        <v>10</v>
      </c>
      <c r="H7" s="279" t="s">
        <v>10</v>
      </c>
      <c r="I7" s="279" t="s">
        <v>10</v>
      </c>
      <c r="J7" s="279" t="s">
        <v>11</v>
      </c>
      <c r="K7" s="373">
        <v>0.7</v>
      </c>
      <c r="L7" s="129">
        <v>39933</v>
      </c>
      <c r="M7" s="129">
        <v>41029</v>
      </c>
      <c r="N7" s="130">
        <f t="shared" si="0"/>
        <v>2012</v>
      </c>
      <c r="O7" s="131">
        <f>+IFERROR(INDEX([6]PARÁMETROS!$B$11:$B$37,MATCH(N7,[6]PARÁMETROS!$A$11:$A$37,0)),"")</f>
        <v>566700</v>
      </c>
      <c r="P7" s="374">
        <f>6196817512+1390157920+518272198+1127918102+175141200</f>
        <v>9408306932</v>
      </c>
      <c r="Q7" s="133" t="s">
        <v>25</v>
      </c>
      <c r="R7" s="123" t="s">
        <v>346</v>
      </c>
      <c r="S7" s="134" t="s">
        <v>346</v>
      </c>
      <c r="T7" s="135">
        <v>1</v>
      </c>
      <c r="U7" s="131">
        <f t="shared" si="3"/>
        <v>9408306932</v>
      </c>
      <c r="V7" s="136">
        <f t="shared" si="1"/>
        <v>16601.918002470444</v>
      </c>
      <c r="W7" s="136">
        <f t="shared" si="2"/>
        <v>11621.34260172931</v>
      </c>
      <c r="X7" s="347" t="str">
        <f>+IF(W7="","",IF(W7&gt;=[6]PARÁMETROS!$J$5,"CUMPLE","NO CUMPLE"))</f>
        <v>CUMPLE</v>
      </c>
      <c r="Y7" s="138"/>
      <c r="Z7" s="109"/>
    </row>
    <row r="8" spans="1:28" s="72" customFormat="1" ht="57">
      <c r="A8" s="796"/>
      <c r="B8" s="58" t="s">
        <v>147</v>
      </c>
      <c r="C8" s="75">
        <v>11</v>
      </c>
      <c r="D8" s="299" t="str">
        <f>+IFERROR(INDEX([6]CONSOLIDADO!$D$4:$D$91,MATCH('EXP ESPEC. 27-33'!B8,[6]CONSOLIDADO!$C$4:$C$91,0)),"")</f>
        <v>CONCOL INGENIERIA SAS</v>
      </c>
      <c r="E8" s="309" t="s">
        <v>430</v>
      </c>
      <c r="F8" s="375" t="s">
        <v>488</v>
      </c>
      <c r="G8" s="277" t="s">
        <v>10</v>
      </c>
      <c r="H8" s="277" t="s">
        <v>10</v>
      </c>
      <c r="I8" s="277" t="s">
        <v>10</v>
      </c>
      <c r="J8" s="277" t="s">
        <v>11</v>
      </c>
      <c r="K8" s="63">
        <v>0.7</v>
      </c>
      <c r="L8" s="64">
        <v>39822</v>
      </c>
      <c r="M8" s="64">
        <v>40916</v>
      </c>
      <c r="N8" s="65">
        <f t="shared" si="0"/>
        <v>2012</v>
      </c>
      <c r="O8" s="66">
        <f>+IFERROR(INDEX([6]PARÁMETROS!$B$11:$B$37,MATCH(N8,[6]PARÁMETROS!$A$11:$A$37,0)),"")</f>
        <v>566700</v>
      </c>
      <c r="P8" s="67">
        <v>4789659546</v>
      </c>
      <c r="Q8" s="68" t="s">
        <v>25</v>
      </c>
      <c r="R8" s="58" t="s">
        <v>346</v>
      </c>
      <c r="S8" s="69" t="s">
        <v>346</v>
      </c>
      <c r="T8" s="70">
        <v>1</v>
      </c>
      <c r="U8" s="66">
        <f>3214700088+1574090106</f>
        <v>4788790194</v>
      </c>
      <c r="V8" s="55">
        <f t="shared" si="1"/>
        <v>8450.3091476971949</v>
      </c>
      <c r="W8" s="55">
        <f t="shared" si="2"/>
        <v>5915.2164033880363</v>
      </c>
      <c r="X8" s="376" t="str">
        <f>+IF(W8="","",IF(W8&gt;=[6]PARÁMETROS!$J$5,"CUMPLE","NO CUMPLE"))</f>
        <v>CUMPLE</v>
      </c>
      <c r="Y8" s="139"/>
      <c r="Z8" s="109"/>
    </row>
    <row r="9" spans="1:28" s="72" customFormat="1" ht="42.75">
      <c r="A9" s="796"/>
      <c r="B9" s="58" t="s">
        <v>147</v>
      </c>
      <c r="C9" s="75">
        <v>15</v>
      </c>
      <c r="D9" s="299" t="str">
        <f>+IFERROR(INDEX([6]CONSOLIDADO!$D$4:$D$91,MATCH('EXP ESPEC. 27-33'!B9,[6]CONSOLIDADO!$C$4:$C$91,0)),"")</f>
        <v>CONCOL INGENIERIA SAS</v>
      </c>
      <c r="E9" s="309" t="s">
        <v>457</v>
      </c>
      <c r="F9" s="308" t="s">
        <v>456</v>
      </c>
      <c r="G9" s="277" t="s">
        <v>10</v>
      </c>
      <c r="H9" s="277" t="s">
        <v>10</v>
      </c>
      <c r="I9" s="277" t="s">
        <v>10</v>
      </c>
      <c r="J9" s="277" t="s">
        <v>11</v>
      </c>
      <c r="K9" s="327">
        <v>0.5</v>
      </c>
      <c r="L9" s="64">
        <v>35457</v>
      </c>
      <c r="M9" s="64">
        <v>37126</v>
      </c>
      <c r="N9" s="65">
        <f t="shared" si="0"/>
        <v>2001</v>
      </c>
      <c r="O9" s="66">
        <f>+IFERROR(INDEX([6]PARÁMETROS!$B$11:$B$37,MATCH(N9,[6]PARÁMETROS!$A$11:$A$37,0)),"")</f>
        <v>286000</v>
      </c>
      <c r="P9" s="334">
        <v>5240267062</v>
      </c>
      <c r="Q9" s="68" t="s">
        <v>25</v>
      </c>
      <c r="R9" s="58" t="s">
        <v>346</v>
      </c>
      <c r="S9" s="69" t="s">
        <v>346</v>
      </c>
      <c r="T9" s="70">
        <v>1</v>
      </c>
      <c r="U9" s="66">
        <f t="shared" ref="U9:U54" si="4">IF(T9&lt;&gt;"",P9*T9,"")</f>
        <v>5240267062</v>
      </c>
      <c r="V9" s="55">
        <f t="shared" si="1"/>
        <v>18322.612104895106</v>
      </c>
      <c r="W9" s="55">
        <f t="shared" si="2"/>
        <v>9161.3060524475532</v>
      </c>
      <c r="X9" s="376" t="str">
        <f>+IF(W9="","",IF(W9&gt;=[6]PARÁMETROS!$J$5,"CUMPLE","NO CUMPLE"))</f>
        <v>CUMPLE</v>
      </c>
      <c r="Y9" s="139"/>
      <c r="Z9" s="109"/>
    </row>
    <row r="10" spans="1:28" s="72" customFormat="1" ht="57.75" thickBot="1">
      <c r="A10" s="806"/>
      <c r="B10" s="141" t="s">
        <v>147</v>
      </c>
      <c r="C10" s="142">
        <v>22</v>
      </c>
      <c r="D10" s="301" t="str">
        <f>+IFERROR(INDEX([6]CONSOLIDADO!$D$4:$D$91,MATCH('EXP ESPEC. 27-33'!B10,[6]CONSOLIDADO!$C$4:$C$91,0)),"")</f>
        <v>CONCOL INGENIERIA SAS</v>
      </c>
      <c r="E10" s="377" t="s">
        <v>460</v>
      </c>
      <c r="F10" s="378" t="s">
        <v>468</v>
      </c>
      <c r="G10" s="379" t="s">
        <v>10</v>
      </c>
      <c r="H10" s="379" t="s">
        <v>10</v>
      </c>
      <c r="I10" s="379" t="s">
        <v>10</v>
      </c>
      <c r="J10" s="379" t="s">
        <v>11</v>
      </c>
      <c r="K10" s="380">
        <v>0.5</v>
      </c>
      <c r="L10" s="381">
        <v>36333</v>
      </c>
      <c r="M10" s="381">
        <v>38915</v>
      </c>
      <c r="N10" s="382">
        <f t="shared" si="0"/>
        <v>2006</v>
      </c>
      <c r="O10" s="383">
        <f>+IFERROR(INDEX([6]PARÁMETROS!$B$11:$B$37,MATCH(N10,[6]PARÁMETROS!$A$11:$A$37,0)),"")</f>
        <v>408000</v>
      </c>
      <c r="P10" s="384">
        <v>19941780178.779999</v>
      </c>
      <c r="Q10" s="385" t="s">
        <v>25</v>
      </c>
      <c r="R10" s="386" t="s">
        <v>346</v>
      </c>
      <c r="S10" s="387" t="s">
        <v>346</v>
      </c>
      <c r="T10" s="388">
        <v>1</v>
      </c>
      <c r="U10" s="383">
        <f t="shared" si="4"/>
        <v>19941780178.779999</v>
      </c>
      <c r="V10" s="389">
        <f t="shared" si="1"/>
        <v>48876.912202892156</v>
      </c>
      <c r="W10" s="389">
        <f t="shared" si="2"/>
        <v>24438.456101446078</v>
      </c>
      <c r="X10" s="369" t="str">
        <f>+IF(W10="","",IF(W10&gt;=[6]PARÁMETROS!$J$5,"CUMPLE","NO CUMPLE"))</f>
        <v>CUMPLE</v>
      </c>
      <c r="Y10" s="155"/>
      <c r="Z10" s="109"/>
    </row>
    <row r="11" spans="1:28" s="72" customFormat="1" ht="57">
      <c r="A11" s="795" t="s">
        <v>285</v>
      </c>
      <c r="B11" s="123" t="s">
        <v>149</v>
      </c>
      <c r="C11" s="390">
        <v>2</v>
      </c>
      <c r="D11" s="303" t="str">
        <f>+IFERROR(INDEX([6]CONSOLIDADO!$D$4:$D$91,MATCH('EXP ESPEC. 27-33'!B11,[6]CONSOLIDADO!$C$4:$C$91,0)),"")</f>
        <v>INGETEC GERENCIA &amp; SUPERVISION SA</v>
      </c>
      <c r="E11" s="391" t="s">
        <v>371</v>
      </c>
      <c r="F11" s="127" t="s">
        <v>453</v>
      </c>
      <c r="G11" s="279" t="s">
        <v>10</v>
      </c>
      <c r="H11" s="279" t="s">
        <v>10</v>
      </c>
      <c r="I11" s="279" t="s">
        <v>10</v>
      </c>
      <c r="J11" s="279" t="s">
        <v>11</v>
      </c>
      <c r="K11" s="392">
        <v>1</v>
      </c>
      <c r="L11" s="393">
        <v>36523</v>
      </c>
      <c r="M11" s="394">
        <v>37769</v>
      </c>
      <c r="N11" s="395">
        <f t="shared" si="0"/>
        <v>2003</v>
      </c>
      <c r="O11" s="396">
        <f>+IFERROR(INDEX([6]PARÁMETROS!$B$11:$B$37,MATCH(N11,[6]PARÁMETROS!$A$11:$A$37,0)),"")</f>
        <v>332000</v>
      </c>
      <c r="P11" s="397">
        <v>3291518374</v>
      </c>
      <c r="Q11" s="396" t="s">
        <v>25</v>
      </c>
      <c r="R11" s="398" t="s">
        <v>346</v>
      </c>
      <c r="S11" s="399" t="s">
        <v>346</v>
      </c>
      <c r="T11" s="400">
        <v>1</v>
      </c>
      <c r="U11" s="396">
        <f t="shared" si="4"/>
        <v>3291518374</v>
      </c>
      <c r="V11" s="401">
        <f t="shared" si="1"/>
        <v>9914.2119698795177</v>
      </c>
      <c r="W11" s="401">
        <f t="shared" si="2"/>
        <v>9914.2119698795177</v>
      </c>
      <c r="X11" s="347" t="str">
        <f>+IF(W11="","",IF(W11&gt;=[6]PARÁMETROS!$J$5,"CUMPLE","NO CUMPLE"))</f>
        <v>CUMPLE</v>
      </c>
      <c r="Y11" s="138"/>
      <c r="Z11" s="109"/>
    </row>
    <row r="12" spans="1:28" s="72" customFormat="1" ht="71.25">
      <c r="A12" s="796"/>
      <c r="B12" s="58" t="s">
        <v>149</v>
      </c>
      <c r="C12" s="402">
        <v>7</v>
      </c>
      <c r="D12" s="299" t="str">
        <f>+IFERROR(INDEX([6]CONSOLIDADO!$D$4:$D$91,MATCH('EXP ESPEC. 27-33'!B12,[6]CONSOLIDADO!$C$4:$C$91,0)),"")</f>
        <v>INGETEC GERENCIA &amp; SUPERVISION SA</v>
      </c>
      <c r="E12" s="403" t="s">
        <v>380</v>
      </c>
      <c r="F12" s="61" t="s">
        <v>454</v>
      </c>
      <c r="G12" s="277" t="s">
        <v>10</v>
      </c>
      <c r="H12" s="277" t="s">
        <v>10</v>
      </c>
      <c r="I12" s="277" t="s">
        <v>10</v>
      </c>
      <c r="J12" s="277" t="s">
        <v>11</v>
      </c>
      <c r="K12" s="329">
        <v>0.65</v>
      </c>
      <c r="L12" s="307">
        <v>37986</v>
      </c>
      <c r="M12" s="307">
        <v>40748</v>
      </c>
      <c r="N12" s="65">
        <f t="shared" si="0"/>
        <v>2011</v>
      </c>
      <c r="O12" s="66">
        <f>+IFERROR(INDEX([6]PARÁMETROS!$B$11:$B$37,MATCH(N12,[6]PARÁMETROS!$A$11:$A$37,0)),"")</f>
        <v>535600</v>
      </c>
      <c r="P12" s="326">
        <v>6087540759</v>
      </c>
      <c r="Q12" s="68" t="s">
        <v>25</v>
      </c>
      <c r="R12" s="58" t="s">
        <v>346</v>
      </c>
      <c r="S12" s="69" t="s">
        <v>346</v>
      </c>
      <c r="T12" s="70">
        <v>1</v>
      </c>
      <c r="U12" s="66">
        <f t="shared" si="4"/>
        <v>6087540759</v>
      </c>
      <c r="V12" s="55">
        <f t="shared" si="1"/>
        <v>11365.834128080658</v>
      </c>
      <c r="W12" s="55">
        <f t="shared" si="2"/>
        <v>7387.792183252428</v>
      </c>
      <c r="X12" s="376" t="str">
        <f>+IF(W12="","",IF(W12&gt;=[6]PARÁMETROS!$J$5,"CUMPLE","NO CUMPLE"))</f>
        <v>CUMPLE</v>
      </c>
      <c r="Y12" s="139"/>
      <c r="Z12" s="109"/>
    </row>
    <row r="13" spans="1:28" s="72" customFormat="1" ht="42.75">
      <c r="A13" s="796"/>
      <c r="B13" s="58" t="s">
        <v>148</v>
      </c>
      <c r="C13" s="402">
        <v>13</v>
      </c>
      <c r="D13" s="299" t="str">
        <f>+IFERROR(INDEX([6]CONSOLIDADO!$D$4:$D$91,MATCH('EXP ESPEC. 27-33'!B13,[6]CONSOLIDADO!$C$4:$C$91,0)),"")</f>
        <v>ING INGENIERIA SA</v>
      </c>
      <c r="E13" s="403" t="s">
        <v>451</v>
      </c>
      <c r="F13" s="62" t="s">
        <v>450</v>
      </c>
      <c r="G13" s="277" t="s">
        <v>10</v>
      </c>
      <c r="H13" s="277" t="s">
        <v>11</v>
      </c>
      <c r="I13" s="277" t="s">
        <v>10</v>
      </c>
      <c r="J13" s="277" t="s">
        <v>11</v>
      </c>
      <c r="K13" s="327">
        <v>1</v>
      </c>
      <c r="L13" s="307">
        <v>41018</v>
      </c>
      <c r="M13" s="307">
        <v>41486</v>
      </c>
      <c r="N13" s="65">
        <f t="shared" si="0"/>
        <v>2013</v>
      </c>
      <c r="O13" s="66">
        <f>+IFERROR(INDEX([6]PARÁMETROS!$B$11:$B$37,MATCH(N13,[6]PARÁMETROS!$A$11:$A$37,0)),"")</f>
        <v>589500</v>
      </c>
      <c r="P13" s="326">
        <v>2132195139</v>
      </c>
      <c r="Q13" s="68" t="s">
        <v>25</v>
      </c>
      <c r="R13" s="58" t="s">
        <v>346</v>
      </c>
      <c r="S13" s="69" t="s">
        <v>346</v>
      </c>
      <c r="T13" s="70">
        <v>1</v>
      </c>
      <c r="U13" s="66">
        <f t="shared" si="4"/>
        <v>2132195139</v>
      </c>
      <c r="V13" s="55">
        <f t="shared" si="1"/>
        <v>3616.9552824427483</v>
      </c>
      <c r="W13" s="55">
        <f t="shared" si="2"/>
        <v>3616.9552824427483</v>
      </c>
      <c r="X13" s="376" t="str">
        <f>+IF(W13="","",IF(W13&gt;=[6]PARÁMETROS!$J$5,"CUMPLE","NO CUMPLE"))</f>
        <v>CUMPLE</v>
      </c>
      <c r="Y13" s="139"/>
      <c r="Z13" s="109"/>
    </row>
    <row r="14" spans="1:28" s="72" customFormat="1" ht="57.75" thickBot="1">
      <c r="A14" s="806"/>
      <c r="B14" s="141" t="s">
        <v>149</v>
      </c>
      <c r="C14" s="404">
        <v>18</v>
      </c>
      <c r="D14" s="301" t="str">
        <f>+IFERROR(INDEX([6]CONSOLIDADO!$D$4:$D$91,MATCH('EXP ESPEC. 27-33'!B14,[6]CONSOLIDADO!$C$4:$C$91,0)),"")</f>
        <v>INGETEC GERENCIA &amp; SUPERVISION SA</v>
      </c>
      <c r="E14" s="405" t="s">
        <v>371</v>
      </c>
      <c r="F14" s="145" t="s">
        <v>452</v>
      </c>
      <c r="G14" s="278" t="s">
        <v>10</v>
      </c>
      <c r="H14" s="278" t="s">
        <v>11</v>
      </c>
      <c r="I14" s="278" t="s">
        <v>10</v>
      </c>
      <c r="J14" s="278" t="s">
        <v>11</v>
      </c>
      <c r="K14" s="406">
        <v>1</v>
      </c>
      <c r="L14" s="407">
        <v>38366</v>
      </c>
      <c r="M14" s="407">
        <v>39064</v>
      </c>
      <c r="N14" s="148">
        <f t="shared" si="0"/>
        <v>2006</v>
      </c>
      <c r="O14" s="149">
        <f>+IFERROR(INDEX([6]PARÁMETROS!$B$11:$B$37,MATCH(N14,[6]PARÁMETROS!$A$11:$A$37,0)),"")</f>
        <v>408000</v>
      </c>
      <c r="P14" s="408">
        <v>1473683024</v>
      </c>
      <c r="Q14" s="151" t="s">
        <v>25</v>
      </c>
      <c r="R14" s="141" t="s">
        <v>346</v>
      </c>
      <c r="S14" s="152" t="s">
        <v>346</v>
      </c>
      <c r="T14" s="153">
        <v>1</v>
      </c>
      <c r="U14" s="149">
        <f t="shared" si="4"/>
        <v>1473683024</v>
      </c>
      <c r="V14" s="154">
        <f t="shared" si="1"/>
        <v>3611.9681960784314</v>
      </c>
      <c r="W14" s="154">
        <f t="shared" si="2"/>
        <v>3611.9681960784314</v>
      </c>
      <c r="X14" s="369" t="str">
        <f>+IF(W14="","",IF(W14&gt;=[6]PARÁMETROS!$J$5,"CUMPLE","NO CUMPLE"))</f>
        <v>CUMPLE</v>
      </c>
      <c r="Y14" s="155"/>
      <c r="Z14" s="109"/>
    </row>
    <row r="15" spans="1:28" s="72" customFormat="1" ht="57">
      <c r="A15" s="795" t="s">
        <v>289</v>
      </c>
      <c r="B15" s="123" t="s">
        <v>150</v>
      </c>
      <c r="C15" s="390">
        <v>4</v>
      </c>
      <c r="D15" s="303" t="str">
        <f>+IFERROR(INDEX([6]CONSOLIDADO!$D$4:$D$91,MATCH('EXP ESPEC. 27-33'!B15,[6]CONSOLIDADO!$C$4:$C$91,0)),"")</f>
        <v>HMV CONSULTORIA SAS</v>
      </c>
      <c r="E15" s="346" t="s">
        <v>371</v>
      </c>
      <c r="F15" s="127" t="s">
        <v>448</v>
      </c>
      <c r="G15" s="279" t="s">
        <v>10</v>
      </c>
      <c r="H15" s="279" t="s">
        <v>11</v>
      </c>
      <c r="I15" s="279" t="s">
        <v>10</v>
      </c>
      <c r="J15" s="279" t="s">
        <v>11</v>
      </c>
      <c r="K15" s="128">
        <v>1</v>
      </c>
      <c r="L15" s="129">
        <v>38323</v>
      </c>
      <c r="M15" s="129">
        <v>40684</v>
      </c>
      <c r="N15" s="130">
        <f t="shared" si="0"/>
        <v>2011</v>
      </c>
      <c r="O15" s="131">
        <f>+IFERROR(INDEX([6]PARÁMETROS!$B$11:$B$37,MATCH(N15,[6]PARÁMETROS!$A$11:$A$37,0)),"")</f>
        <v>535600</v>
      </c>
      <c r="P15" s="132">
        <v>8415351165</v>
      </c>
      <c r="Q15" s="133" t="s">
        <v>25</v>
      </c>
      <c r="R15" s="123" t="s">
        <v>346</v>
      </c>
      <c r="S15" s="134" t="s">
        <v>346</v>
      </c>
      <c r="T15" s="135">
        <v>1</v>
      </c>
      <c r="U15" s="131">
        <f t="shared" si="4"/>
        <v>8415351165</v>
      </c>
      <c r="V15" s="136">
        <f t="shared" si="1"/>
        <v>15712.007402912621</v>
      </c>
      <c r="W15" s="136">
        <f t="shared" si="2"/>
        <v>15712.007402912621</v>
      </c>
      <c r="X15" s="347" t="str">
        <f>+IF(W15="","",IF(W15&gt;=[6]PARÁMETROS!$J$5,"CUMPLE","NO CUMPLE"))</f>
        <v>CUMPLE</v>
      </c>
      <c r="Y15" s="138"/>
      <c r="Z15" s="109"/>
    </row>
    <row r="16" spans="1:28" s="72" customFormat="1" ht="42.75">
      <c r="A16" s="796"/>
      <c r="B16" s="58" t="s">
        <v>150</v>
      </c>
      <c r="C16" s="402">
        <v>11</v>
      </c>
      <c r="D16" s="299" t="str">
        <f>+IFERROR(INDEX([6]CONSOLIDADO!$D$4:$D$91,MATCH('EXP ESPEC. 27-33'!B16,[6]CONSOLIDADO!$C$4:$C$91,0)),"")</f>
        <v>HMV CONSULTORIA SAS</v>
      </c>
      <c r="E16" s="264" t="s">
        <v>371</v>
      </c>
      <c r="F16" s="62" t="s">
        <v>447</v>
      </c>
      <c r="G16" s="277" t="s">
        <v>10</v>
      </c>
      <c r="H16" s="277" t="s">
        <v>11</v>
      </c>
      <c r="I16" s="277" t="s">
        <v>10</v>
      </c>
      <c r="J16" s="277" t="s">
        <v>11</v>
      </c>
      <c r="K16" s="63">
        <v>0.5</v>
      </c>
      <c r="L16" s="64">
        <v>36312</v>
      </c>
      <c r="M16" s="64">
        <v>37833</v>
      </c>
      <c r="N16" s="65">
        <f t="shared" si="0"/>
        <v>2003</v>
      </c>
      <c r="O16" s="66">
        <f>+IFERROR(INDEX([6]PARÁMETROS!$B$11:$B$37,MATCH(N16,[6]PARÁMETROS!$A$11:$A$37,0)),"")</f>
        <v>332000</v>
      </c>
      <c r="P16" s="67">
        <v>5331439397</v>
      </c>
      <c r="Q16" s="68" t="s">
        <v>25</v>
      </c>
      <c r="R16" s="58" t="s">
        <v>346</v>
      </c>
      <c r="S16" s="69" t="s">
        <v>346</v>
      </c>
      <c r="T16" s="70">
        <v>1</v>
      </c>
      <c r="U16" s="66">
        <f t="shared" si="4"/>
        <v>5331439397</v>
      </c>
      <c r="V16" s="55">
        <f t="shared" si="1"/>
        <v>16058.55240060241</v>
      </c>
      <c r="W16" s="55">
        <f t="shared" si="2"/>
        <v>8029.2762003012049</v>
      </c>
      <c r="X16" s="376" t="str">
        <f>+IF(W16="","",IF(W16&gt;=[6]PARÁMETROS!$J$5,"CUMPLE","NO CUMPLE"))</f>
        <v>CUMPLE</v>
      </c>
      <c r="Y16" s="139"/>
      <c r="Z16" s="109"/>
    </row>
    <row r="17" spans="1:34" s="72" customFormat="1" ht="57">
      <c r="A17" s="796"/>
      <c r="B17" s="58" t="s">
        <v>150</v>
      </c>
      <c r="C17" s="402">
        <v>17</v>
      </c>
      <c r="D17" s="299" t="str">
        <f>+IFERROR(INDEX([6]CONSOLIDADO!$D$4:$D$91,MATCH('EXP ESPEC. 27-33'!B17,[6]CONSOLIDADO!$C$4:$C$91,0)),"")</f>
        <v>HMV CONSULTORIA SAS</v>
      </c>
      <c r="E17" s="71" t="s">
        <v>489</v>
      </c>
      <c r="F17" s="62" t="s">
        <v>490</v>
      </c>
      <c r="G17" s="277" t="s">
        <v>10</v>
      </c>
      <c r="H17" s="277" t="s">
        <v>10</v>
      </c>
      <c r="I17" s="277" t="s">
        <v>10</v>
      </c>
      <c r="J17" s="277" t="s">
        <v>11</v>
      </c>
      <c r="K17" s="63">
        <v>1</v>
      </c>
      <c r="L17" s="64">
        <v>37204</v>
      </c>
      <c r="M17" s="64">
        <v>38299</v>
      </c>
      <c r="N17" s="65">
        <f t="shared" si="0"/>
        <v>2004</v>
      </c>
      <c r="O17" s="66">
        <f>+IFERROR(INDEX([6]PARÁMETROS!$B$11:$B$37,MATCH(N17,[6]PARÁMETROS!$A$11:$A$37,0)),"")</f>
        <v>358000</v>
      </c>
      <c r="P17" s="67">
        <v>1278307085</v>
      </c>
      <c r="Q17" s="68" t="s">
        <v>25</v>
      </c>
      <c r="R17" s="58" t="s">
        <v>346</v>
      </c>
      <c r="S17" s="69" t="s">
        <v>346</v>
      </c>
      <c r="T17" s="70">
        <v>1</v>
      </c>
      <c r="U17" s="66">
        <f t="shared" si="4"/>
        <v>1278307085</v>
      </c>
      <c r="V17" s="55">
        <f t="shared" si="1"/>
        <v>3570.6901815642459</v>
      </c>
      <c r="W17" s="55">
        <f t="shared" si="2"/>
        <v>3570.6901815642459</v>
      </c>
      <c r="X17" s="376" t="str">
        <f>+IF(W17="","",IF(W17&gt;=[6]PARÁMETROS!$J$5,"CUMPLE","NO CUMPLE"))</f>
        <v>CUMPLE</v>
      </c>
      <c r="Y17" s="139"/>
      <c r="Z17" s="109"/>
    </row>
    <row r="18" spans="1:34" s="72" customFormat="1" ht="57.75" thickBot="1">
      <c r="A18" s="806"/>
      <c r="B18" s="141" t="s">
        <v>150</v>
      </c>
      <c r="C18" s="367">
        <v>31</v>
      </c>
      <c r="D18" s="301" t="str">
        <f>+IFERROR(INDEX([6]CONSOLIDADO!$D$4:$D$91,MATCH('EXP ESPEC. 27-33'!B18,[6]CONSOLIDADO!$C$4:$C$91,0)),"")</f>
        <v>HMV CONSULTORIA SAS</v>
      </c>
      <c r="E18" s="322" t="s">
        <v>380</v>
      </c>
      <c r="F18" s="145" t="s">
        <v>443</v>
      </c>
      <c r="G18" s="278" t="s">
        <v>10</v>
      </c>
      <c r="H18" s="278" t="s">
        <v>11</v>
      </c>
      <c r="I18" s="278" t="s">
        <v>10</v>
      </c>
      <c r="J18" s="278" t="s">
        <v>11</v>
      </c>
      <c r="K18" s="146">
        <v>1</v>
      </c>
      <c r="L18" s="147">
        <v>39246</v>
      </c>
      <c r="M18" s="147">
        <v>40311</v>
      </c>
      <c r="N18" s="148">
        <f t="shared" si="0"/>
        <v>2010</v>
      </c>
      <c r="O18" s="149">
        <f>+IFERROR(INDEX([6]PARÁMETROS!$B$11:$B$37,MATCH(N18,[6]PARÁMETROS!$A$11:$A$37,0)),"")</f>
        <v>515000</v>
      </c>
      <c r="P18" s="150">
        <v>4653247126</v>
      </c>
      <c r="Q18" s="151" t="s">
        <v>25</v>
      </c>
      <c r="R18" s="141" t="s">
        <v>346</v>
      </c>
      <c r="S18" s="152" t="s">
        <v>346</v>
      </c>
      <c r="T18" s="153">
        <v>1</v>
      </c>
      <c r="U18" s="149">
        <f t="shared" si="4"/>
        <v>4653247126</v>
      </c>
      <c r="V18" s="154">
        <f t="shared" si="1"/>
        <v>9035.4313126213601</v>
      </c>
      <c r="W18" s="154">
        <f t="shared" si="2"/>
        <v>9035.4313126213601</v>
      </c>
      <c r="X18" s="369" t="str">
        <f>+IF(W18="","",IF(W18&gt;=[6]PARÁMETROS!$J$5,"CUMPLE","NO CUMPLE"))</f>
        <v>CUMPLE</v>
      </c>
      <c r="Y18" s="155"/>
      <c r="Z18" s="109"/>
    </row>
    <row r="19" spans="1:34" s="72" customFormat="1" ht="57">
      <c r="A19" s="795" t="s">
        <v>291</v>
      </c>
      <c r="B19" s="123" t="s">
        <v>151</v>
      </c>
      <c r="C19" s="157">
        <v>3</v>
      </c>
      <c r="D19" s="303" t="str">
        <f>+IFERROR(INDEX([6]CONSOLIDADO!$D$4:$D$91,MATCH('EXP ESPEC. 27-33'!B19,[6]CONSOLIDADO!$C$4:$C$91,0)),"")</f>
        <v>SERINCO COLOMBIA</v>
      </c>
      <c r="E19" s="126" t="s">
        <v>434</v>
      </c>
      <c r="F19" s="127" t="s">
        <v>491</v>
      </c>
      <c r="G19" s="279" t="s">
        <v>11</v>
      </c>
      <c r="H19" s="279" t="s">
        <v>11</v>
      </c>
      <c r="I19" s="279" t="s">
        <v>10</v>
      </c>
      <c r="J19" s="279" t="s">
        <v>11</v>
      </c>
      <c r="K19" s="128">
        <v>0.5</v>
      </c>
      <c r="L19" s="129">
        <v>36746</v>
      </c>
      <c r="M19" s="129">
        <v>38175</v>
      </c>
      <c r="N19" s="130">
        <f t="shared" si="0"/>
        <v>2004</v>
      </c>
      <c r="O19" s="131">
        <f>+IFERROR(INDEX([6]PARÁMETROS!$B$11:$B$37,MATCH(N19,[6]PARÁMETROS!$A$11:$A$37,0)),"")</f>
        <v>358000</v>
      </c>
      <c r="P19" s="132">
        <v>1913345.14</v>
      </c>
      <c r="Q19" s="133" t="s">
        <v>419</v>
      </c>
      <c r="R19" s="123">
        <v>1.2287999999999999</v>
      </c>
      <c r="S19" s="134">
        <f>+R19*P19</f>
        <v>2351118.5080319997</v>
      </c>
      <c r="T19" s="135">
        <v>2672.95</v>
      </c>
      <c r="U19" s="131">
        <f>IF(T19&lt;&gt;"",S19*T19,"")</f>
        <v>6284422216.0441332</v>
      </c>
      <c r="V19" s="136">
        <f t="shared" si="1"/>
        <v>17554.252000123277</v>
      </c>
      <c r="W19" s="136">
        <f t="shared" si="2"/>
        <v>8777.1260000616385</v>
      </c>
      <c r="X19" s="347" t="str">
        <f>+IF(W19="","",IF(W19&gt;=[6]PARÁMETROS!$J$5,"CUMPLE","NO CUMPLE"))</f>
        <v>CUMPLE</v>
      </c>
      <c r="Y19" s="138"/>
      <c r="Z19" s="109"/>
    </row>
    <row r="20" spans="1:34" s="72" customFormat="1" ht="28.5">
      <c r="A20" s="796"/>
      <c r="B20" s="58" t="s">
        <v>152</v>
      </c>
      <c r="C20" s="75">
        <v>7</v>
      </c>
      <c r="D20" s="299" t="str">
        <f>+IFERROR(INDEX([6]CONSOLIDADO!$D$4:$D$91,MATCH('EXP ESPEC. 27-33'!B20,[6]CONSOLIDADO!$C$4:$C$91,0)),"")</f>
        <v>DICONSULTORIA SA</v>
      </c>
      <c r="E20" s="61" t="s">
        <v>371</v>
      </c>
      <c r="F20" s="62" t="s">
        <v>492</v>
      </c>
      <c r="G20" s="277" t="s">
        <v>10</v>
      </c>
      <c r="H20" s="277" t="s">
        <v>11</v>
      </c>
      <c r="I20" s="277" t="s">
        <v>10</v>
      </c>
      <c r="J20" s="277" t="s">
        <v>11</v>
      </c>
      <c r="K20" s="63">
        <v>0.9</v>
      </c>
      <c r="L20" s="64">
        <v>35439</v>
      </c>
      <c r="M20" s="64">
        <v>36168</v>
      </c>
      <c r="N20" s="65">
        <f t="shared" si="0"/>
        <v>1999</v>
      </c>
      <c r="O20" s="66">
        <f>+IFERROR(INDEX([6]PARÁMETROS!$B$11:$B$37,MATCH(N20,[6]PARÁMETROS!$A$11:$A$37,0)),"")</f>
        <v>236460</v>
      </c>
      <c r="P20" s="67">
        <v>1159173414.03</v>
      </c>
      <c r="Q20" s="68" t="s">
        <v>25</v>
      </c>
      <c r="R20" s="58" t="s">
        <v>346</v>
      </c>
      <c r="S20" s="69" t="s">
        <v>346</v>
      </c>
      <c r="T20" s="70">
        <v>1</v>
      </c>
      <c r="U20" s="66">
        <f t="shared" si="4"/>
        <v>1159173414.03</v>
      </c>
      <c r="V20" s="55">
        <f t="shared" si="1"/>
        <v>4902.1966253488963</v>
      </c>
      <c r="W20" s="55">
        <f t="shared" si="2"/>
        <v>4411.9769628140066</v>
      </c>
      <c r="X20" s="376" t="str">
        <f>+IF(W20="","",IF(W20&gt;=[6]PARÁMETROS!$J$5,"CUMPLE","NO CUMPLE"))</f>
        <v>CUMPLE</v>
      </c>
      <c r="Y20" s="139"/>
      <c r="Z20" s="109"/>
    </row>
    <row r="21" spans="1:34" s="72" customFormat="1" ht="42.75">
      <c r="A21" s="796"/>
      <c r="B21" s="58" t="s">
        <v>152</v>
      </c>
      <c r="C21" s="75">
        <v>9</v>
      </c>
      <c r="D21" s="299" t="str">
        <f>+IFERROR(INDEX([6]CONSOLIDADO!$D$4:$D$91,MATCH('EXP ESPEC. 27-33'!B21,[6]CONSOLIDADO!$C$4:$C$91,0)),"")</f>
        <v>DICONSULTORIA SA</v>
      </c>
      <c r="E21" s="62" t="s">
        <v>371</v>
      </c>
      <c r="F21" s="62" t="s">
        <v>493</v>
      </c>
      <c r="G21" s="277" t="s">
        <v>10</v>
      </c>
      <c r="H21" s="277" t="s">
        <v>11</v>
      </c>
      <c r="I21" s="277" t="s">
        <v>10</v>
      </c>
      <c r="J21" s="277" t="s">
        <v>11</v>
      </c>
      <c r="K21" s="78">
        <v>0.5</v>
      </c>
      <c r="L21" s="64">
        <v>37411</v>
      </c>
      <c r="M21" s="64">
        <v>38776</v>
      </c>
      <c r="N21" s="65">
        <f t="shared" si="0"/>
        <v>2006</v>
      </c>
      <c r="O21" s="66">
        <f>+IFERROR(INDEX([6]PARÁMETROS!$B$11:$B$37,MATCH(N21,[6]PARÁMETROS!$A$11:$A$37,0)),"")</f>
        <v>408000</v>
      </c>
      <c r="P21" s="67">
        <v>3791186168</v>
      </c>
      <c r="Q21" s="68" t="s">
        <v>25</v>
      </c>
      <c r="R21" s="58" t="s">
        <v>346</v>
      </c>
      <c r="S21" s="69" t="s">
        <v>346</v>
      </c>
      <c r="T21" s="70">
        <v>1</v>
      </c>
      <c r="U21" s="66">
        <f t="shared" si="4"/>
        <v>3791186168</v>
      </c>
      <c r="V21" s="55">
        <f t="shared" si="1"/>
        <v>9292.1229607843143</v>
      </c>
      <c r="W21" s="55">
        <f t="shared" si="2"/>
        <v>4646.0614803921571</v>
      </c>
      <c r="X21" s="376" t="str">
        <f>+IF(W21="","",IF(W21&gt;=[6]PARÁMETROS!$J$5,"CUMPLE","NO CUMPLE"))</f>
        <v>CUMPLE</v>
      </c>
      <c r="Y21" s="139"/>
      <c r="Z21" s="109"/>
    </row>
    <row r="22" spans="1:34" s="72" customFormat="1" ht="43.5" thickBot="1">
      <c r="A22" s="806"/>
      <c r="B22" s="141" t="s">
        <v>152</v>
      </c>
      <c r="C22" s="323">
        <v>15</v>
      </c>
      <c r="D22" s="301" t="str">
        <f>+IFERROR(INDEX([6]CONSOLIDADO!$D$4:$D$91,MATCH('EXP ESPEC. 27-33'!B22,[6]CONSOLIDADO!$C$4:$C$91,0)),"")</f>
        <v>DICONSULTORIA SA</v>
      </c>
      <c r="E22" s="144" t="s">
        <v>494</v>
      </c>
      <c r="F22" s="145" t="s">
        <v>495</v>
      </c>
      <c r="G22" s="278" t="s">
        <v>10</v>
      </c>
      <c r="H22" s="278" t="s">
        <v>10</v>
      </c>
      <c r="I22" s="278" t="s">
        <v>10</v>
      </c>
      <c r="J22" s="278" t="s">
        <v>11</v>
      </c>
      <c r="K22" s="321">
        <v>1</v>
      </c>
      <c r="L22" s="320">
        <v>34373</v>
      </c>
      <c r="M22" s="319">
        <v>36439</v>
      </c>
      <c r="N22" s="148">
        <f t="shared" si="0"/>
        <v>1999</v>
      </c>
      <c r="O22" s="149">
        <f>+IFERROR(INDEX([6]PARÁMETROS!$B$11:$B$37,MATCH(N22,[6]PARÁMETROS!$A$11:$A$37,0)),"")</f>
        <v>236460</v>
      </c>
      <c r="P22" s="151"/>
      <c r="Q22" s="151" t="s">
        <v>25</v>
      </c>
      <c r="R22" s="151" t="s">
        <v>346</v>
      </c>
      <c r="S22" s="151" t="s">
        <v>346</v>
      </c>
      <c r="T22" s="153">
        <v>1</v>
      </c>
      <c r="U22" s="149"/>
      <c r="V22" s="154">
        <v>31850</v>
      </c>
      <c r="W22" s="154">
        <f t="shared" si="2"/>
        <v>31850</v>
      </c>
      <c r="X22" s="369" t="str">
        <f>+IF(W22="","",IF(W22&gt;=[6]PARÁMETROS!$J$5,"CUMPLE","NO CUMPLE"))</f>
        <v>CUMPLE</v>
      </c>
      <c r="Y22" s="155"/>
      <c r="Z22" s="109"/>
    </row>
    <row r="23" spans="1:34" s="72" customFormat="1" ht="83.25" customHeight="1">
      <c r="A23" s="795" t="s">
        <v>294</v>
      </c>
      <c r="B23" s="123" t="s">
        <v>154</v>
      </c>
      <c r="C23" s="157">
        <v>364</v>
      </c>
      <c r="D23" s="303" t="str">
        <f>+IFERROR(INDEX([6]CONSOLIDADO!$D$4:$D$91,MATCH('EXP ESPEC. 27-33'!B23,[6]CONSOLIDADO!$C$4:$C$91,0)),"")</f>
        <v>SONDEOS ESTRUCTURAS Y GEOTECNIA SUCURSAL S.A.</v>
      </c>
      <c r="E23" s="371" t="s">
        <v>496</v>
      </c>
      <c r="F23" s="371" t="s">
        <v>497</v>
      </c>
      <c r="G23" s="279" t="s">
        <v>10</v>
      </c>
      <c r="H23" s="279" t="s">
        <v>11</v>
      </c>
      <c r="I23" s="279" t="s">
        <v>10</v>
      </c>
      <c r="J23" s="279" t="s">
        <v>11</v>
      </c>
      <c r="K23" s="128">
        <v>0.25</v>
      </c>
      <c r="L23" s="129">
        <v>40487</v>
      </c>
      <c r="M23" s="129">
        <v>42389</v>
      </c>
      <c r="N23" s="130">
        <f t="shared" si="0"/>
        <v>2016</v>
      </c>
      <c r="O23" s="131">
        <f>+IFERROR(INDEX([6]PARÁMETROS!$B$11:$B$37,MATCH(N23,[6]PARÁMETROS!$A$11:$A$37,0)),"")</f>
        <v>689554</v>
      </c>
      <c r="P23" s="132">
        <v>25305101612</v>
      </c>
      <c r="Q23" s="133" t="s">
        <v>25</v>
      </c>
      <c r="R23" s="123" t="s">
        <v>346</v>
      </c>
      <c r="S23" s="134" t="s">
        <v>346</v>
      </c>
      <c r="T23" s="135">
        <v>1</v>
      </c>
      <c r="U23" s="131">
        <f t="shared" si="4"/>
        <v>25305101612</v>
      </c>
      <c r="V23" s="136">
        <f t="shared" si="1"/>
        <v>36697.780901858299</v>
      </c>
      <c r="W23" s="136">
        <f t="shared" si="2"/>
        <v>9174.4452254645748</v>
      </c>
      <c r="X23" s="347" t="str">
        <f>+IF(W23="","",IF(W23&gt;=[6]PARÁMETROS!$J$5,"CUMPLE","NO CUMPLE"))</f>
        <v>CUMPLE</v>
      </c>
      <c r="Y23" s="138"/>
      <c r="Z23" s="109"/>
    </row>
    <row r="24" spans="1:34" s="72" customFormat="1" ht="85.5">
      <c r="A24" s="796"/>
      <c r="B24" s="58" t="s">
        <v>154</v>
      </c>
      <c r="C24" s="75">
        <v>371</v>
      </c>
      <c r="D24" s="299" t="str">
        <f>+IFERROR(INDEX([6]CONSOLIDADO!$D$4:$D$91,MATCH('EXP ESPEC. 27-33'!B24,[6]CONSOLIDADO!$C$4:$C$91,0)),"")</f>
        <v>SONDEOS ESTRUCTURAS Y GEOTECNIA SUCURSAL S.A.</v>
      </c>
      <c r="E24" s="309" t="s">
        <v>434</v>
      </c>
      <c r="F24" s="309" t="s">
        <v>498</v>
      </c>
      <c r="G24" s="277" t="s">
        <v>10</v>
      </c>
      <c r="H24" s="277" t="s">
        <v>11</v>
      </c>
      <c r="I24" s="277" t="s">
        <v>10</v>
      </c>
      <c r="J24" s="277" t="s">
        <v>11</v>
      </c>
      <c r="K24" s="63">
        <v>0.5</v>
      </c>
      <c r="L24" s="64">
        <v>38811</v>
      </c>
      <c r="M24" s="64">
        <v>39792</v>
      </c>
      <c r="N24" s="65">
        <f t="shared" si="0"/>
        <v>2008</v>
      </c>
      <c r="O24" s="66">
        <f>+IFERROR(INDEX([6]PARÁMETROS!$B$11:$B$37,MATCH(N24,[6]PARÁMETROS!$A$11:$A$37,0)),"")</f>
        <v>461500</v>
      </c>
      <c r="P24" s="67">
        <v>1072056.71</v>
      </c>
      <c r="Q24" s="68" t="s">
        <v>419</v>
      </c>
      <c r="R24" s="58">
        <v>1.28904</v>
      </c>
      <c r="S24" s="69">
        <f>+R24*P24</f>
        <v>1381923.9814583999</v>
      </c>
      <c r="T24" s="70">
        <v>2311.6999999999998</v>
      </c>
      <c r="U24" s="66">
        <f>IF(T24&lt;&gt;"",S24*T24,"")</f>
        <v>3194593667.9373827</v>
      </c>
      <c r="V24" s="55">
        <f t="shared" si="1"/>
        <v>6922.1964635696268</v>
      </c>
      <c r="W24" s="55">
        <f t="shared" si="2"/>
        <v>3461.0982317848134</v>
      </c>
      <c r="X24" s="376" t="s">
        <v>747</v>
      </c>
      <c r="Y24" s="139"/>
      <c r="Z24" s="109"/>
    </row>
    <row r="25" spans="1:34" s="72" customFormat="1" ht="85.5">
      <c r="A25" s="796"/>
      <c r="B25" s="58" t="s">
        <v>154</v>
      </c>
      <c r="C25" s="75">
        <v>380</v>
      </c>
      <c r="D25" s="299" t="str">
        <f>+IFERROR(INDEX([6]CONSOLIDADO!$D$4:$D$91,MATCH('EXP ESPEC. 27-33'!B25,[6]CONSOLIDADO!$C$4:$C$91,0)),"")</f>
        <v>SONDEOS ESTRUCTURAS Y GEOTECNIA SUCURSAL S.A.</v>
      </c>
      <c r="E25" s="309" t="s">
        <v>434</v>
      </c>
      <c r="F25" s="309" t="s">
        <v>499</v>
      </c>
      <c r="G25" s="277" t="s">
        <v>10</v>
      </c>
      <c r="H25" s="277" t="s">
        <v>11</v>
      </c>
      <c r="I25" s="277" t="s">
        <v>10</v>
      </c>
      <c r="J25" s="277" t="s">
        <v>11</v>
      </c>
      <c r="K25" s="63">
        <v>0.5</v>
      </c>
      <c r="L25" s="64">
        <v>37966</v>
      </c>
      <c r="M25" s="64">
        <v>39352</v>
      </c>
      <c r="N25" s="65">
        <f t="shared" si="0"/>
        <v>2007</v>
      </c>
      <c r="O25" s="66">
        <f>+IFERROR(INDEX([6]PARÁMETROS!$B$11:$B$37,MATCH(N25,[6]PARÁMETROS!$A$11:$A$37,0)),"")</f>
        <v>433700</v>
      </c>
      <c r="P25" s="67">
        <v>2523923.36</v>
      </c>
      <c r="Q25" s="68" t="s">
        <v>419</v>
      </c>
      <c r="R25" s="58">
        <v>1.4132899999999999</v>
      </c>
      <c r="S25" s="69">
        <f>+R25*P25</f>
        <v>3567035.6454543998</v>
      </c>
      <c r="T25" s="70">
        <v>2009.46</v>
      </c>
      <c r="U25" s="66">
        <f>IF(T25&lt;&gt;"",S25*T25,"")</f>
        <v>7167815448.1147985</v>
      </c>
      <c r="V25" s="55">
        <f t="shared" si="1"/>
        <v>16527.128079582195</v>
      </c>
      <c r="W25" s="55">
        <f t="shared" si="2"/>
        <v>8263.5640397910975</v>
      </c>
      <c r="X25" s="376" t="s">
        <v>747</v>
      </c>
      <c r="Y25" s="139"/>
      <c r="Z25" s="109"/>
    </row>
    <row r="26" spans="1:34" s="72" customFormat="1" ht="143.25" thickBot="1">
      <c r="A26" s="806"/>
      <c r="B26" s="141" t="s">
        <v>153</v>
      </c>
      <c r="C26" s="142">
        <v>391</v>
      </c>
      <c r="D26" s="301" t="str">
        <f>+IFERROR(INDEX([6]CONSOLIDADO!$D$4:$D$91,MATCH('EXP ESPEC. 27-33'!B26,[6]CONSOLIDADO!$C$4:$C$91,0)),"")</f>
        <v>INGENIERIA CONSULTORIA Y PLANEACION S.A. INCOPLAN S.A</v>
      </c>
      <c r="E26" s="333" t="s">
        <v>430</v>
      </c>
      <c r="F26" s="333" t="s">
        <v>500</v>
      </c>
      <c r="G26" s="278" t="s">
        <v>11</v>
      </c>
      <c r="H26" s="278" t="s">
        <v>10</v>
      </c>
      <c r="I26" s="278" t="s">
        <v>10</v>
      </c>
      <c r="J26" s="278" t="s">
        <v>11</v>
      </c>
      <c r="K26" s="146">
        <v>0.45</v>
      </c>
      <c r="L26" s="147">
        <v>40954</v>
      </c>
      <c r="M26" s="147">
        <v>42331</v>
      </c>
      <c r="N26" s="148">
        <f t="shared" si="0"/>
        <v>2015</v>
      </c>
      <c r="O26" s="149">
        <f>+IFERROR(INDEX([6]PARÁMETROS!$B$11:$B$37,MATCH(N26,[6]PARÁMETROS!$A$11:$A$37,0)),"")</f>
        <v>644350</v>
      </c>
      <c r="P26" s="150">
        <v>6670475572</v>
      </c>
      <c r="Q26" s="151" t="s">
        <v>25</v>
      </c>
      <c r="R26" s="141" t="s">
        <v>346</v>
      </c>
      <c r="S26" s="152" t="s">
        <v>346</v>
      </c>
      <c r="T26" s="153">
        <v>1</v>
      </c>
      <c r="U26" s="149">
        <f t="shared" si="4"/>
        <v>6670475572</v>
      </c>
      <c r="V26" s="154">
        <f t="shared" si="1"/>
        <v>10352.255097384961</v>
      </c>
      <c r="W26" s="154">
        <f t="shared" si="2"/>
        <v>4658.514793823233</v>
      </c>
      <c r="X26" s="369" t="str">
        <f>+IF(W26="","",IF(W26&gt;=[6]PARÁMETROS!$J$5,"CUMPLE","NO CUMPLE"))</f>
        <v>CUMPLE</v>
      </c>
      <c r="Y26" s="155"/>
      <c r="Z26" s="109"/>
    </row>
    <row r="27" spans="1:34" s="72" customFormat="1" ht="57">
      <c r="A27" s="795" t="s">
        <v>297</v>
      </c>
      <c r="B27" s="123" t="s">
        <v>155</v>
      </c>
      <c r="C27" s="344">
        <v>3</v>
      </c>
      <c r="D27" s="345" t="str">
        <f>+IFERROR(INDEX([6]CONSOLIDADO!$D$4:$D$91,MATCH('EXP ESPEC. 27-33'!B27,[6]CONSOLIDADO!$C$4:$C$91,0)),"")</f>
        <v xml:space="preserve">INGENIERIA DE PROYECTOS SAS.  </v>
      </c>
      <c r="E27" s="346" t="s">
        <v>371</v>
      </c>
      <c r="F27" s="127" t="s">
        <v>428</v>
      </c>
      <c r="G27" s="409" t="s">
        <v>10</v>
      </c>
      <c r="H27" s="410" t="s">
        <v>11</v>
      </c>
      <c r="I27" s="409" t="s">
        <v>10</v>
      </c>
      <c r="J27" s="409" t="s">
        <v>11</v>
      </c>
      <c r="K27" s="128">
        <v>0.5</v>
      </c>
      <c r="L27" s="129">
        <v>38338</v>
      </c>
      <c r="M27" s="129">
        <v>40296</v>
      </c>
      <c r="N27" s="130">
        <f t="shared" si="0"/>
        <v>2010</v>
      </c>
      <c r="O27" s="131">
        <f>+IFERROR(INDEX([6]PARÁMETROS!$B$11:$B$37,MATCH(N27,[6]PARÁMETROS!$A$11:$A$37,0)),"")</f>
        <v>515000</v>
      </c>
      <c r="P27" s="305">
        <v>5611007434</v>
      </c>
      <c r="Q27" s="133" t="s">
        <v>25</v>
      </c>
      <c r="R27" s="123" t="s">
        <v>346</v>
      </c>
      <c r="S27" s="134" t="s">
        <v>346</v>
      </c>
      <c r="T27" s="135">
        <v>1</v>
      </c>
      <c r="U27" s="131">
        <f t="shared" si="4"/>
        <v>5611007434</v>
      </c>
      <c r="V27" s="136">
        <f t="shared" si="1"/>
        <v>10895.160066019418</v>
      </c>
      <c r="W27" s="136">
        <f t="shared" si="2"/>
        <v>5447.580033009709</v>
      </c>
      <c r="X27" s="347" t="str">
        <f>+IF(W27="","",IF(W27&gt;=[6]PARÁMETROS!$J$5,"CUMPLE","NO CUMPLE"))</f>
        <v>CUMPLE</v>
      </c>
      <c r="Y27" s="138"/>
      <c r="Z27" s="109"/>
    </row>
    <row r="28" spans="1:34" s="72" customFormat="1" ht="57">
      <c r="A28" s="796"/>
      <c r="B28" s="360" t="s">
        <v>156</v>
      </c>
      <c r="C28" s="361">
        <v>30</v>
      </c>
      <c r="D28" s="362" t="str">
        <f>+IFERROR(INDEX([6]CONSOLIDADO!$D$4:$D$91,MATCH('EXP ESPEC. 27-33'!B28,[6]CONSOLIDADO!$C$4:$C$91,0)),"")</f>
        <v>INGENIEROS CIVILES ESPECIALISTAS LTDA</v>
      </c>
      <c r="E28" s="411" t="s">
        <v>424</v>
      </c>
      <c r="F28" s="411" t="s">
        <v>501</v>
      </c>
      <c r="G28" s="363" t="s">
        <v>10</v>
      </c>
      <c r="H28" s="363" t="s">
        <v>10</v>
      </c>
      <c r="I28" s="363" t="s">
        <v>10</v>
      </c>
      <c r="J28" s="363" t="s">
        <v>11</v>
      </c>
      <c r="K28" s="85">
        <v>0.5</v>
      </c>
      <c r="L28" s="86">
        <v>37288</v>
      </c>
      <c r="M28" s="86">
        <v>42265</v>
      </c>
      <c r="N28" s="65">
        <f t="shared" si="0"/>
        <v>2015</v>
      </c>
      <c r="O28" s="66">
        <f>+IFERROR(INDEX([6]PARÁMETROS!$B$11:$B$37,MATCH(N28,[6]PARÁMETROS!$A$11:$A$37,0)),"")</f>
        <v>644350</v>
      </c>
      <c r="P28" s="306"/>
      <c r="Q28" s="88" t="s">
        <v>25</v>
      </c>
      <c r="R28" s="58" t="s">
        <v>346</v>
      </c>
      <c r="S28" s="69" t="s">
        <v>346</v>
      </c>
      <c r="T28" s="70">
        <v>1</v>
      </c>
      <c r="U28" s="66"/>
      <c r="V28" s="55">
        <v>16317.48</v>
      </c>
      <c r="W28" s="55">
        <f t="shared" si="2"/>
        <v>8158.74</v>
      </c>
      <c r="X28" s="363" t="str">
        <f>+IF(W28="","",IF(W28&gt;=[6]PARÁMETROS!$J$5,"CUMPLE","NO CUMPLE"))</f>
        <v>CUMPLE</v>
      </c>
      <c r="Y28" s="676"/>
      <c r="Z28" s="674"/>
      <c r="AA28" s="675"/>
      <c r="AB28" s="799"/>
      <c r="AC28" s="799"/>
      <c r="AD28" s="799"/>
      <c r="AE28" s="799"/>
      <c r="AF28" s="799"/>
      <c r="AG28" s="799"/>
      <c r="AH28" s="290"/>
    </row>
    <row r="29" spans="1:34" s="72" customFormat="1" ht="42.75">
      <c r="A29" s="796"/>
      <c r="B29" s="360" t="s">
        <v>300</v>
      </c>
      <c r="C29" s="361">
        <v>58</v>
      </c>
      <c r="D29" s="362" t="str">
        <f>+IFERROR(INDEX([6]CONSOLIDADO!$D$4:$D$91,MATCH('EXP ESPEC. 27-33'!B29,[6]CONSOLIDADO!$C$4:$C$91,0)),"")</f>
        <v>EGIS COLOMBIA SAS</v>
      </c>
      <c r="E29" s="61" t="s">
        <v>421</v>
      </c>
      <c r="F29" s="62" t="s">
        <v>502</v>
      </c>
      <c r="G29" s="363" t="s">
        <v>10</v>
      </c>
      <c r="H29" s="363" t="s">
        <v>11</v>
      </c>
      <c r="I29" s="363" t="s">
        <v>10</v>
      </c>
      <c r="J29" s="363" t="s">
        <v>11</v>
      </c>
      <c r="K29" s="63">
        <v>1</v>
      </c>
      <c r="L29" s="64">
        <v>39539</v>
      </c>
      <c r="M29" s="64">
        <v>41061</v>
      </c>
      <c r="N29" s="65">
        <f t="shared" si="0"/>
        <v>2012</v>
      </c>
      <c r="O29" s="66">
        <f>+IFERROR(INDEX([6]PARÁMETROS!$B$11:$B$37,MATCH(N29,[6]PARÁMETROS!$A$11:$A$37,0)),"")</f>
        <v>566700</v>
      </c>
      <c r="P29" s="304">
        <v>12427664</v>
      </c>
      <c r="Q29" s="68" t="s">
        <v>419</v>
      </c>
      <c r="R29" s="58">
        <v>1.23814</v>
      </c>
      <c r="S29" s="69">
        <f>+R29*P29</f>
        <v>15387187.904960001</v>
      </c>
      <c r="T29" s="70">
        <v>1833.8</v>
      </c>
      <c r="U29" s="66">
        <f>IF(T29&lt;&gt;"",S29*T29,"")</f>
        <v>28217025180.11565</v>
      </c>
      <c r="V29" s="55">
        <f t="shared" si="1"/>
        <v>49791.821387181313</v>
      </c>
      <c r="W29" s="55">
        <f t="shared" si="2"/>
        <v>49791.821387181313</v>
      </c>
      <c r="X29" s="376" t="s">
        <v>747</v>
      </c>
      <c r="Y29" s="365"/>
      <c r="Z29" s="109"/>
    </row>
    <row r="30" spans="1:34" s="72" customFormat="1" ht="43.5" thickBot="1">
      <c r="A30" s="806"/>
      <c r="B30" s="366" t="s">
        <v>300</v>
      </c>
      <c r="C30" s="367">
        <v>66</v>
      </c>
      <c r="D30" s="368" t="str">
        <f>+IFERROR(INDEX([6]CONSOLIDADO!$D$4:$D$91,MATCH('EXP ESPEC. 27-33'!B30,[6]CONSOLIDADO!$C$4:$C$91,0)),"")</f>
        <v>EGIS COLOMBIA SAS</v>
      </c>
      <c r="E30" s="412" t="s">
        <v>503</v>
      </c>
      <c r="F30" s="413" t="s">
        <v>504</v>
      </c>
      <c r="G30" s="369" t="s">
        <v>10</v>
      </c>
      <c r="H30" s="369" t="s">
        <v>11</v>
      </c>
      <c r="I30" s="369" t="s">
        <v>10</v>
      </c>
      <c r="J30" s="369" t="s">
        <v>11</v>
      </c>
      <c r="K30" s="414">
        <v>1</v>
      </c>
      <c r="L30" s="415">
        <v>38418</v>
      </c>
      <c r="M30" s="415">
        <v>40298</v>
      </c>
      <c r="N30" s="416">
        <f t="shared" si="0"/>
        <v>2010</v>
      </c>
      <c r="O30" s="417">
        <f>+IFERROR(INDEX([6]PARÁMETROS!$B$11:$B$37,MATCH(N30,[6]PARÁMETROS!$A$11:$A$37,0)),"")</f>
        <v>515000</v>
      </c>
      <c r="P30" s="418">
        <v>2815460</v>
      </c>
      <c r="Q30" s="419" t="s">
        <v>419</v>
      </c>
      <c r="R30" s="366">
        <v>1.3236300000000001</v>
      </c>
      <c r="S30" s="420">
        <f>+R30*P30</f>
        <v>3726627.3198000002</v>
      </c>
      <c r="T30" s="421">
        <v>1969.75</v>
      </c>
      <c r="U30" s="417">
        <f>IF(T30&lt;&gt;"",S30*T30,"")</f>
        <v>7340524163.1760502</v>
      </c>
      <c r="V30" s="422">
        <f t="shared" si="1"/>
        <v>14253.444977040874</v>
      </c>
      <c r="W30" s="422">
        <f t="shared" si="2"/>
        <v>14253.444977040874</v>
      </c>
      <c r="X30" s="369" t="s">
        <v>747</v>
      </c>
      <c r="Y30" s="370"/>
      <c r="Z30" s="109"/>
    </row>
    <row r="31" spans="1:34" s="72" customFormat="1">
      <c r="A31" s="795"/>
      <c r="B31" s="123"/>
      <c r="C31" s="157"/>
      <c r="D31" s="303"/>
      <c r="E31" s="264"/>
      <c r="F31" s="127"/>
      <c r="G31" s="279"/>
      <c r="H31" s="279"/>
      <c r="I31" s="279"/>
      <c r="J31" s="279"/>
      <c r="K31" s="128"/>
      <c r="L31" s="129"/>
      <c r="M31" s="129"/>
      <c r="N31" s="130"/>
      <c r="O31" s="131"/>
      <c r="P31" s="305"/>
      <c r="Q31" s="133"/>
      <c r="R31" s="123"/>
      <c r="S31" s="134"/>
      <c r="T31" s="135"/>
      <c r="U31" s="131"/>
      <c r="V31" s="136"/>
      <c r="W31" s="136"/>
      <c r="X31" s="168"/>
      <c r="Y31" s="138"/>
      <c r="Z31" s="109"/>
    </row>
    <row r="32" spans="1:34" s="72" customFormat="1">
      <c r="A32" s="796"/>
      <c r="B32" s="58"/>
      <c r="C32" s="75"/>
      <c r="D32" s="299"/>
      <c r="E32" s="83"/>
      <c r="F32" s="84"/>
      <c r="G32" s="277"/>
      <c r="H32" s="277"/>
      <c r="I32" s="277"/>
      <c r="J32" s="277"/>
      <c r="K32" s="85"/>
      <c r="L32" s="86"/>
      <c r="M32" s="86"/>
      <c r="N32" s="65"/>
      <c r="O32" s="66"/>
      <c r="P32" s="306"/>
      <c r="Q32" s="88"/>
      <c r="R32" s="58"/>
      <c r="S32" s="69"/>
      <c r="T32" s="70"/>
      <c r="U32" s="66"/>
      <c r="V32" s="55"/>
      <c r="W32" s="55"/>
      <c r="X32" s="277"/>
      <c r="Y32" s="139"/>
      <c r="Z32" s="109"/>
    </row>
    <row r="33" spans="1:26" s="72" customFormat="1">
      <c r="A33" s="796"/>
      <c r="B33" s="58"/>
      <c r="C33" s="75"/>
      <c r="D33" s="299"/>
      <c r="E33" s="61"/>
      <c r="F33" s="62"/>
      <c r="G33" s="277"/>
      <c r="H33" s="277"/>
      <c r="I33" s="277"/>
      <c r="J33" s="277"/>
      <c r="K33" s="63"/>
      <c r="L33" s="64"/>
      <c r="M33" s="64"/>
      <c r="N33" s="65"/>
      <c r="O33" s="66"/>
      <c r="P33" s="67"/>
      <c r="Q33" s="68"/>
      <c r="R33" s="58"/>
      <c r="S33" s="69"/>
      <c r="T33" s="70"/>
      <c r="U33" s="66"/>
      <c r="V33" s="55"/>
      <c r="W33" s="55"/>
      <c r="X33" s="277"/>
      <c r="Y33" s="139"/>
      <c r="Z33" s="109"/>
    </row>
    <row r="34" spans="1:26" s="72" customFormat="1" ht="15" thickBot="1">
      <c r="A34" s="796"/>
      <c r="B34" s="58"/>
      <c r="C34" s="75"/>
      <c r="D34" s="299"/>
      <c r="E34" s="61"/>
      <c r="F34" s="62"/>
      <c r="G34" s="277"/>
      <c r="H34" s="277"/>
      <c r="I34" s="277"/>
      <c r="J34" s="277"/>
      <c r="K34" s="63"/>
      <c r="L34" s="64"/>
      <c r="M34" s="64"/>
      <c r="N34" s="65"/>
      <c r="O34" s="66"/>
      <c r="P34" s="67"/>
      <c r="Q34" s="68"/>
      <c r="R34" s="58"/>
      <c r="S34" s="69"/>
      <c r="T34" s="70"/>
      <c r="U34" s="66"/>
      <c r="V34" s="55"/>
      <c r="W34" s="55"/>
      <c r="X34" s="278"/>
      <c r="Y34" s="139"/>
      <c r="Z34" s="109"/>
    </row>
    <row r="35" spans="1:26" s="72" customFormat="1" ht="30" customHeight="1">
      <c r="A35" s="795"/>
      <c r="B35" s="123"/>
      <c r="C35" s="157"/>
      <c r="D35" s="303" t="str">
        <f>+IFERROR(INDEX([6]CONSOLIDADO!$D$4:$D$91,MATCH('EXP ESPEC. 27-33'!B35,[6]CONSOLIDADO!$C$4:$C$91,0)),"")</f>
        <v/>
      </c>
      <c r="E35" s="126"/>
      <c r="F35" s="126"/>
      <c r="G35" s="279"/>
      <c r="H35" s="279"/>
      <c r="I35" s="279"/>
      <c r="J35" s="279"/>
      <c r="K35" s="162"/>
      <c r="L35" s="129"/>
      <c r="M35" s="129"/>
      <c r="N35" s="130" t="str">
        <f t="shared" si="0"/>
        <v/>
      </c>
      <c r="O35" s="131" t="str">
        <f>+IFERROR(INDEX([6]PARÁMETROS!$B$11:$B$37,MATCH(N35,[6]PARÁMETROS!$A$11:$A$37,0)),"")</f>
        <v/>
      </c>
      <c r="P35" s="163"/>
      <c r="Q35" s="131"/>
      <c r="R35" s="123"/>
      <c r="S35" s="134"/>
      <c r="T35" s="135"/>
      <c r="U35" s="131" t="str">
        <f t="shared" si="4"/>
        <v/>
      </c>
      <c r="V35" s="136" t="str">
        <f t="shared" si="1"/>
        <v/>
      </c>
      <c r="W35" s="136" t="str">
        <f t="shared" si="2"/>
        <v/>
      </c>
      <c r="X35" s="168" t="str">
        <f>+IF(W35="","",IF(W35&gt;=[6]PARÁMETROS!$D$5,"CUMPLE","NO CUMPLE"))</f>
        <v/>
      </c>
      <c r="Y35" s="138"/>
      <c r="Z35" s="109"/>
    </row>
    <row r="36" spans="1:26" s="72" customFormat="1" ht="30" customHeight="1">
      <c r="A36" s="796"/>
      <c r="B36" s="58"/>
      <c r="C36" s="75"/>
      <c r="D36" s="299" t="str">
        <f>+IFERROR(INDEX([6]CONSOLIDADO!$D$4:$D$91,MATCH('EXP ESPEC. 27-33'!B36,[6]CONSOLIDADO!$C$4:$C$91,0)),"")</f>
        <v/>
      </c>
      <c r="E36" s="61"/>
      <c r="F36" s="61"/>
      <c r="G36" s="277"/>
      <c r="H36" s="277"/>
      <c r="I36" s="277"/>
      <c r="J36" s="277"/>
      <c r="K36" s="73"/>
      <c r="L36" s="64"/>
      <c r="M36" s="64"/>
      <c r="N36" s="65" t="str">
        <f t="shared" si="0"/>
        <v/>
      </c>
      <c r="O36" s="66" t="str">
        <f>+IFERROR(INDEX([6]PARÁMETROS!$B$11:$B$37,MATCH(N36,[6]PARÁMETROS!$A$11:$A$37,0)),"")</f>
        <v/>
      </c>
      <c r="P36" s="74"/>
      <c r="Q36" s="66"/>
      <c r="R36" s="58"/>
      <c r="S36" s="69"/>
      <c r="T36" s="70"/>
      <c r="U36" s="66" t="str">
        <f t="shared" si="4"/>
        <v/>
      </c>
      <c r="V36" s="55" t="str">
        <f t="shared" si="1"/>
        <v/>
      </c>
      <c r="W36" s="55" t="str">
        <f t="shared" si="2"/>
        <v/>
      </c>
      <c r="X36" s="277" t="str">
        <f>+IF(W36="","",IF(W36&gt;=[6]PARÁMETROS!$D$5,"CUMPLE","NO CUMPLE"))</f>
        <v/>
      </c>
      <c r="Y36" s="139"/>
      <c r="Z36" s="109"/>
    </row>
    <row r="37" spans="1:26" s="72" customFormat="1" ht="30" customHeight="1">
      <c r="A37" s="796"/>
      <c r="B37" s="58"/>
      <c r="C37" s="75"/>
      <c r="D37" s="299" t="str">
        <f>+IFERROR(INDEX([6]CONSOLIDADO!$D$4:$D$91,MATCH('EXP ESPEC. 27-33'!B37,[6]CONSOLIDADO!$C$4:$C$91,0)),"")</f>
        <v/>
      </c>
      <c r="E37" s="61"/>
      <c r="F37" s="61"/>
      <c r="G37" s="277"/>
      <c r="H37" s="277"/>
      <c r="I37" s="277"/>
      <c r="J37" s="277"/>
      <c r="K37" s="73"/>
      <c r="L37" s="64"/>
      <c r="M37" s="64"/>
      <c r="N37" s="65" t="str">
        <f t="shared" si="0"/>
        <v/>
      </c>
      <c r="O37" s="66" t="str">
        <f>+IFERROR(INDEX([6]PARÁMETROS!$B$11:$B$37,MATCH(N37,[6]PARÁMETROS!$A$11:$A$37,0)),"")</f>
        <v/>
      </c>
      <c r="P37" s="74"/>
      <c r="Q37" s="66"/>
      <c r="R37" s="58"/>
      <c r="S37" s="69"/>
      <c r="T37" s="70"/>
      <c r="U37" s="66" t="str">
        <f t="shared" si="4"/>
        <v/>
      </c>
      <c r="V37" s="55" t="str">
        <f t="shared" si="1"/>
        <v/>
      </c>
      <c r="W37" s="55" t="str">
        <f t="shared" si="2"/>
        <v/>
      </c>
      <c r="X37" s="277" t="str">
        <f>+IF(W37="","",IF(W37&gt;=[6]PARÁMETROS!$D$5,"CUMPLE","NO CUMPLE"))</f>
        <v/>
      </c>
      <c r="Y37" s="139"/>
      <c r="Z37" s="109"/>
    </row>
    <row r="38" spans="1:26" s="72" customFormat="1" ht="30" customHeight="1" thickBot="1">
      <c r="A38" s="796"/>
      <c r="B38" s="58"/>
      <c r="C38" s="75"/>
      <c r="D38" s="299" t="str">
        <f>+IFERROR(INDEX([6]CONSOLIDADO!$D$4:$D$91,MATCH('EXP ESPEC. 27-33'!B38,[6]CONSOLIDADO!$C$4:$C$91,0)),"")</f>
        <v/>
      </c>
      <c r="E38" s="61"/>
      <c r="F38" s="61"/>
      <c r="G38" s="277"/>
      <c r="H38" s="277"/>
      <c r="I38" s="277"/>
      <c r="J38" s="277"/>
      <c r="K38" s="73"/>
      <c r="L38" s="64"/>
      <c r="M38" s="64"/>
      <c r="N38" s="65" t="str">
        <f t="shared" si="0"/>
        <v/>
      </c>
      <c r="O38" s="66" t="str">
        <f>+IFERROR(INDEX([6]PARÁMETROS!$B$11:$B$37,MATCH(N38,[6]PARÁMETROS!$A$11:$A$37,0)),"")</f>
        <v/>
      </c>
      <c r="P38" s="74"/>
      <c r="Q38" s="66"/>
      <c r="R38" s="58"/>
      <c r="S38" s="69"/>
      <c r="T38" s="70"/>
      <c r="U38" s="66" t="str">
        <f t="shared" si="4"/>
        <v/>
      </c>
      <c r="V38" s="55" t="str">
        <f t="shared" si="1"/>
        <v/>
      </c>
      <c r="W38" s="55" t="str">
        <f t="shared" si="2"/>
        <v/>
      </c>
      <c r="X38" s="278" t="str">
        <f>+IF(W38="","",IF(W38&gt;=[6]PARÁMETROS!$D$5,"CUMPLE","NO CUMPLE"))</f>
        <v/>
      </c>
      <c r="Y38" s="139"/>
      <c r="Z38" s="109"/>
    </row>
    <row r="39" spans="1:26" s="72" customFormat="1" ht="30" customHeight="1">
      <c r="A39" s="795"/>
      <c r="B39" s="123"/>
      <c r="C39" s="157"/>
      <c r="D39" s="303" t="str">
        <f>+IFERROR(INDEX([6]CONSOLIDADO!$D$4:$D$91,MATCH('EXP ESPEC. 27-33'!B39,[6]CONSOLIDADO!$C$4:$C$91,0)),"")</f>
        <v/>
      </c>
      <c r="E39" s="126"/>
      <c r="F39" s="126"/>
      <c r="G39" s="279"/>
      <c r="H39" s="279"/>
      <c r="I39" s="279"/>
      <c r="J39" s="279"/>
      <c r="K39" s="162"/>
      <c r="L39" s="129"/>
      <c r="M39" s="129"/>
      <c r="N39" s="130" t="str">
        <f t="shared" si="0"/>
        <v/>
      </c>
      <c r="O39" s="131" t="str">
        <f>+IFERROR(INDEX([6]PARÁMETROS!$B$11:$B$37,MATCH(N39,[6]PARÁMETROS!$A$11:$A$37,0)),"")</f>
        <v/>
      </c>
      <c r="P39" s="163"/>
      <c r="Q39" s="131"/>
      <c r="R39" s="123"/>
      <c r="S39" s="134"/>
      <c r="T39" s="135"/>
      <c r="U39" s="131" t="str">
        <f t="shared" si="4"/>
        <v/>
      </c>
      <c r="V39" s="136" t="str">
        <f t="shared" si="1"/>
        <v/>
      </c>
      <c r="W39" s="136" t="str">
        <f t="shared" si="2"/>
        <v/>
      </c>
      <c r="X39" s="168" t="str">
        <f>+IF(W39="","",IF(W39&gt;=[6]PARÁMETROS!$D$5,"CUMPLE","NO CUMPLE"))</f>
        <v/>
      </c>
      <c r="Y39" s="138"/>
      <c r="Z39" s="109"/>
    </row>
    <row r="40" spans="1:26" s="72" customFormat="1" ht="30" customHeight="1">
      <c r="A40" s="796"/>
      <c r="B40" s="58"/>
      <c r="C40" s="75"/>
      <c r="D40" s="299" t="str">
        <f>+IFERROR(INDEX([6]CONSOLIDADO!$D$4:$D$91,MATCH('EXP ESPEC. 27-33'!B40,[6]CONSOLIDADO!$C$4:$C$91,0)),"")</f>
        <v/>
      </c>
      <c r="E40" s="61"/>
      <c r="F40" s="61"/>
      <c r="G40" s="277"/>
      <c r="H40" s="277"/>
      <c r="I40" s="277"/>
      <c r="J40" s="277"/>
      <c r="K40" s="73"/>
      <c r="L40" s="64"/>
      <c r="M40" s="64"/>
      <c r="N40" s="65" t="str">
        <f t="shared" si="0"/>
        <v/>
      </c>
      <c r="O40" s="66" t="str">
        <f>+IFERROR(INDEX([6]PARÁMETROS!$B$11:$B$37,MATCH(N40,[6]PARÁMETROS!$A$11:$A$37,0)),"")</f>
        <v/>
      </c>
      <c r="P40" s="74"/>
      <c r="Q40" s="66"/>
      <c r="R40" s="58"/>
      <c r="S40" s="69"/>
      <c r="T40" s="70"/>
      <c r="U40" s="66" t="str">
        <f t="shared" si="4"/>
        <v/>
      </c>
      <c r="V40" s="55" t="str">
        <f t="shared" si="1"/>
        <v/>
      </c>
      <c r="W40" s="55" t="str">
        <f t="shared" si="2"/>
        <v/>
      </c>
      <c r="X40" s="277" t="str">
        <f>+IF(W40="","",IF(W40&gt;=[6]PARÁMETROS!$D$5,"CUMPLE","NO CUMPLE"))</f>
        <v/>
      </c>
      <c r="Y40" s="139"/>
      <c r="Z40" s="109"/>
    </row>
    <row r="41" spans="1:26" s="72" customFormat="1" ht="30" customHeight="1">
      <c r="A41" s="796"/>
      <c r="B41" s="58"/>
      <c r="C41" s="75"/>
      <c r="D41" s="299" t="str">
        <f>+IFERROR(INDEX([6]CONSOLIDADO!$D$4:$D$91,MATCH('EXP ESPEC. 27-33'!B41,[6]CONSOLIDADO!$C$4:$C$91,0)),"")</f>
        <v/>
      </c>
      <c r="E41" s="61"/>
      <c r="F41" s="61"/>
      <c r="G41" s="277"/>
      <c r="H41" s="277"/>
      <c r="I41" s="277"/>
      <c r="J41" s="277"/>
      <c r="K41" s="73"/>
      <c r="L41" s="64"/>
      <c r="M41" s="64"/>
      <c r="N41" s="65" t="str">
        <f t="shared" si="0"/>
        <v/>
      </c>
      <c r="O41" s="66" t="str">
        <f>+IFERROR(INDEX([6]PARÁMETROS!$B$11:$B$37,MATCH(N41,[6]PARÁMETROS!$A$11:$A$37,0)),"")</f>
        <v/>
      </c>
      <c r="P41" s="74"/>
      <c r="Q41" s="66"/>
      <c r="R41" s="58"/>
      <c r="S41" s="69"/>
      <c r="T41" s="70"/>
      <c r="U41" s="66" t="str">
        <f t="shared" si="4"/>
        <v/>
      </c>
      <c r="V41" s="55" t="str">
        <f t="shared" si="1"/>
        <v/>
      </c>
      <c r="W41" s="55" t="str">
        <f t="shared" si="2"/>
        <v/>
      </c>
      <c r="X41" s="277" t="str">
        <f>+IF(W41="","",IF(W41&gt;=[6]PARÁMETROS!$D$5,"CUMPLE","NO CUMPLE"))</f>
        <v/>
      </c>
      <c r="Y41" s="139"/>
      <c r="Z41" s="109"/>
    </row>
    <row r="42" spans="1:26" s="72" customFormat="1" ht="30" customHeight="1" thickBot="1">
      <c r="A42" s="796"/>
      <c r="B42" s="58"/>
      <c r="C42" s="75"/>
      <c r="D42" s="299" t="str">
        <f>+IFERROR(INDEX([6]CONSOLIDADO!$D$4:$D$91,MATCH('EXP ESPEC. 27-33'!B42,[6]CONSOLIDADO!$C$4:$C$91,0)),"")</f>
        <v/>
      </c>
      <c r="E42" s="61"/>
      <c r="F42" s="61"/>
      <c r="G42" s="277"/>
      <c r="H42" s="277"/>
      <c r="I42" s="277"/>
      <c r="J42" s="277"/>
      <c r="K42" s="73"/>
      <c r="L42" s="64"/>
      <c r="M42" s="64"/>
      <c r="N42" s="65" t="str">
        <f t="shared" si="0"/>
        <v/>
      </c>
      <c r="O42" s="66" t="str">
        <f>+IFERROR(INDEX([6]PARÁMETROS!$B$11:$B$37,MATCH(N42,[6]PARÁMETROS!$A$11:$A$37,0)),"")</f>
        <v/>
      </c>
      <c r="P42" s="74"/>
      <c r="Q42" s="66"/>
      <c r="R42" s="58"/>
      <c r="S42" s="69"/>
      <c r="T42" s="70"/>
      <c r="U42" s="66" t="str">
        <f t="shared" si="4"/>
        <v/>
      </c>
      <c r="V42" s="55" t="str">
        <f t="shared" si="1"/>
        <v/>
      </c>
      <c r="W42" s="55" t="str">
        <f t="shared" si="2"/>
        <v/>
      </c>
      <c r="X42" s="278" t="str">
        <f>+IF(W42="","",IF(W42&gt;=[6]PARÁMETROS!$D$5,"CUMPLE","NO CUMPLE"))</f>
        <v/>
      </c>
      <c r="Y42" s="139"/>
      <c r="Z42" s="109"/>
    </row>
    <row r="43" spans="1:26" s="72" customFormat="1" ht="30" customHeight="1">
      <c r="A43" s="795"/>
      <c r="B43" s="123"/>
      <c r="C43" s="157"/>
      <c r="D43" s="303" t="str">
        <f>+IFERROR(INDEX([6]CONSOLIDADO!$D$4:$D$91,MATCH('EXP ESPEC. 27-33'!B43,[6]CONSOLIDADO!$C$4:$C$91,0)),"")</f>
        <v/>
      </c>
      <c r="E43" s="126"/>
      <c r="F43" s="126"/>
      <c r="G43" s="279"/>
      <c r="H43" s="279"/>
      <c r="I43" s="279"/>
      <c r="J43" s="279"/>
      <c r="K43" s="162"/>
      <c r="L43" s="129"/>
      <c r="M43" s="129"/>
      <c r="N43" s="130" t="str">
        <f t="shared" si="0"/>
        <v/>
      </c>
      <c r="O43" s="131" t="str">
        <f>+IFERROR(INDEX([6]PARÁMETROS!$B$11:$B$37,MATCH(N43,[6]PARÁMETROS!$A$11:$A$37,0)),"")</f>
        <v/>
      </c>
      <c r="P43" s="163"/>
      <c r="Q43" s="131"/>
      <c r="R43" s="123"/>
      <c r="S43" s="134"/>
      <c r="T43" s="135"/>
      <c r="U43" s="131" t="str">
        <f t="shared" si="4"/>
        <v/>
      </c>
      <c r="V43" s="136" t="str">
        <f t="shared" si="1"/>
        <v/>
      </c>
      <c r="W43" s="136" t="str">
        <f t="shared" si="2"/>
        <v/>
      </c>
      <c r="X43" s="168" t="str">
        <f>+IF(W43="","",IF(W43&gt;=[6]PARÁMETROS!$D$5,"CUMPLE","NO CUMPLE"))</f>
        <v/>
      </c>
      <c r="Y43" s="138"/>
      <c r="Z43" s="109"/>
    </row>
    <row r="44" spans="1:26" s="72" customFormat="1" ht="30" customHeight="1">
      <c r="A44" s="796"/>
      <c r="B44" s="58"/>
      <c r="C44" s="75"/>
      <c r="D44" s="299" t="str">
        <f>+IFERROR(INDEX([6]CONSOLIDADO!$D$4:$D$91,MATCH('EXP ESPEC. 27-33'!B44,[6]CONSOLIDADO!$C$4:$C$91,0)),"")</f>
        <v/>
      </c>
      <c r="E44" s="61"/>
      <c r="F44" s="61"/>
      <c r="G44" s="277"/>
      <c r="H44" s="277"/>
      <c r="I44" s="277"/>
      <c r="J44" s="277"/>
      <c r="K44" s="73"/>
      <c r="L44" s="64"/>
      <c r="M44" s="64"/>
      <c r="N44" s="65" t="str">
        <f t="shared" si="0"/>
        <v/>
      </c>
      <c r="O44" s="66" t="str">
        <f>+IFERROR(INDEX([6]PARÁMETROS!$B$11:$B$37,MATCH(N44,[6]PARÁMETROS!$A$11:$A$37,0)),"")</f>
        <v/>
      </c>
      <c r="P44" s="74"/>
      <c r="Q44" s="66"/>
      <c r="R44" s="58"/>
      <c r="S44" s="69"/>
      <c r="T44" s="70"/>
      <c r="U44" s="66" t="str">
        <f t="shared" si="4"/>
        <v/>
      </c>
      <c r="V44" s="55" t="str">
        <f t="shared" si="1"/>
        <v/>
      </c>
      <c r="W44" s="55" t="str">
        <f t="shared" si="2"/>
        <v/>
      </c>
      <c r="X44" s="277" t="str">
        <f>+IF(W44="","",IF(W44&gt;=[6]PARÁMETROS!$D$5,"CUMPLE","NO CUMPLE"))</f>
        <v/>
      </c>
      <c r="Y44" s="139"/>
      <c r="Z44" s="109"/>
    </row>
    <row r="45" spans="1:26" s="72" customFormat="1" ht="30" customHeight="1">
      <c r="A45" s="796"/>
      <c r="B45" s="58"/>
      <c r="C45" s="75"/>
      <c r="D45" s="299" t="str">
        <f>+IFERROR(INDEX([6]CONSOLIDADO!$D$4:$D$91,MATCH('EXP ESPEC. 27-33'!B45,[6]CONSOLIDADO!$C$4:$C$91,0)),"")</f>
        <v/>
      </c>
      <c r="E45" s="61"/>
      <c r="F45" s="61"/>
      <c r="G45" s="277"/>
      <c r="H45" s="277"/>
      <c r="I45" s="277"/>
      <c r="J45" s="277"/>
      <c r="K45" s="73"/>
      <c r="L45" s="64"/>
      <c r="M45" s="64"/>
      <c r="N45" s="65" t="str">
        <f t="shared" si="0"/>
        <v/>
      </c>
      <c r="O45" s="66" t="str">
        <f>+IFERROR(INDEX([6]PARÁMETROS!$B$11:$B$37,MATCH(N45,[6]PARÁMETROS!$A$11:$A$37,0)),"")</f>
        <v/>
      </c>
      <c r="P45" s="74"/>
      <c r="Q45" s="66"/>
      <c r="R45" s="58"/>
      <c r="S45" s="69"/>
      <c r="T45" s="70"/>
      <c r="U45" s="66" t="str">
        <f t="shared" si="4"/>
        <v/>
      </c>
      <c r="V45" s="55" t="str">
        <f t="shared" si="1"/>
        <v/>
      </c>
      <c r="W45" s="55" t="str">
        <f t="shared" si="2"/>
        <v/>
      </c>
      <c r="X45" s="277" t="str">
        <f>+IF(W45="","",IF(W45&gt;=[6]PARÁMETROS!$D$5,"CUMPLE","NO CUMPLE"))</f>
        <v/>
      </c>
      <c r="Y45" s="139"/>
      <c r="Z45" s="109"/>
    </row>
    <row r="46" spans="1:26" s="72" customFormat="1" ht="30" customHeight="1" thickBot="1">
      <c r="A46" s="796"/>
      <c r="B46" s="58"/>
      <c r="C46" s="75"/>
      <c r="D46" s="299" t="str">
        <f>+IFERROR(INDEX([6]CONSOLIDADO!$D$4:$D$91,MATCH('EXP ESPEC. 27-33'!B46,[6]CONSOLIDADO!$C$4:$C$91,0)),"")</f>
        <v/>
      </c>
      <c r="E46" s="61"/>
      <c r="F46" s="61"/>
      <c r="G46" s="277"/>
      <c r="H46" s="277"/>
      <c r="I46" s="277"/>
      <c r="J46" s="277"/>
      <c r="K46" s="73"/>
      <c r="L46" s="64"/>
      <c r="M46" s="64"/>
      <c r="N46" s="65" t="str">
        <f t="shared" si="0"/>
        <v/>
      </c>
      <c r="O46" s="66" t="str">
        <f>+IFERROR(INDEX([6]PARÁMETROS!$B$11:$B$37,MATCH(N46,[6]PARÁMETROS!$A$11:$A$37,0)),"")</f>
        <v/>
      </c>
      <c r="P46" s="74"/>
      <c r="Q46" s="66"/>
      <c r="R46" s="58"/>
      <c r="S46" s="69"/>
      <c r="T46" s="70"/>
      <c r="U46" s="66" t="str">
        <f t="shared" si="4"/>
        <v/>
      </c>
      <c r="V46" s="55" t="str">
        <f t="shared" si="1"/>
        <v/>
      </c>
      <c r="W46" s="55" t="str">
        <f t="shared" si="2"/>
        <v/>
      </c>
      <c r="X46" s="278" t="str">
        <f>+IF(W46="","",IF(W46&gt;=[6]PARÁMETROS!$D$5,"CUMPLE","NO CUMPLE"))</f>
        <v/>
      </c>
      <c r="Y46" s="139"/>
      <c r="Z46" s="109"/>
    </row>
    <row r="47" spans="1:26" s="72" customFormat="1" ht="30" customHeight="1">
      <c r="A47" s="795"/>
      <c r="B47" s="123"/>
      <c r="C47" s="157"/>
      <c r="D47" s="303" t="str">
        <f>+IFERROR(INDEX([6]CONSOLIDADO!$D$4:$D$91,MATCH('EXP ESPEC. 27-33'!B47,[6]CONSOLIDADO!$C$4:$C$91,0)),"")</f>
        <v/>
      </c>
      <c r="E47" s="126"/>
      <c r="F47" s="126"/>
      <c r="G47" s="279"/>
      <c r="H47" s="279"/>
      <c r="I47" s="279"/>
      <c r="J47" s="279"/>
      <c r="K47" s="162"/>
      <c r="L47" s="129"/>
      <c r="M47" s="129"/>
      <c r="N47" s="130" t="str">
        <f t="shared" si="0"/>
        <v/>
      </c>
      <c r="O47" s="131" t="str">
        <f>+IFERROR(INDEX([6]PARÁMETROS!$B$11:$B$37,MATCH(N47,[6]PARÁMETROS!$A$11:$A$37,0)),"")</f>
        <v/>
      </c>
      <c r="P47" s="163"/>
      <c r="Q47" s="131"/>
      <c r="R47" s="123"/>
      <c r="S47" s="134"/>
      <c r="T47" s="135"/>
      <c r="U47" s="131" t="str">
        <f t="shared" si="4"/>
        <v/>
      </c>
      <c r="V47" s="136" t="str">
        <f t="shared" si="1"/>
        <v/>
      </c>
      <c r="W47" s="136" t="str">
        <f t="shared" si="2"/>
        <v/>
      </c>
      <c r="X47" s="168" t="str">
        <f>+IF(W47="","",IF(W47&gt;=[6]PARÁMETROS!$D$5,"CUMPLE","NO CUMPLE"))</f>
        <v/>
      </c>
      <c r="Y47" s="138"/>
      <c r="Z47" s="109"/>
    </row>
    <row r="48" spans="1:26" s="72" customFormat="1" ht="30" customHeight="1">
      <c r="A48" s="796"/>
      <c r="B48" s="58"/>
      <c r="C48" s="75"/>
      <c r="D48" s="299" t="str">
        <f>+IFERROR(INDEX([6]CONSOLIDADO!$D$4:$D$91,MATCH('EXP ESPEC. 27-33'!B48,[6]CONSOLIDADO!$C$4:$C$91,0)),"")</f>
        <v/>
      </c>
      <c r="E48" s="61"/>
      <c r="F48" s="61"/>
      <c r="G48" s="277"/>
      <c r="H48" s="277"/>
      <c r="I48" s="277"/>
      <c r="J48" s="277"/>
      <c r="K48" s="73"/>
      <c r="L48" s="64"/>
      <c r="M48" s="64"/>
      <c r="N48" s="65" t="str">
        <f t="shared" si="0"/>
        <v/>
      </c>
      <c r="O48" s="66" t="str">
        <f>+IFERROR(INDEX([6]PARÁMETROS!$B$11:$B$37,MATCH(N48,[6]PARÁMETROS!$A$11:$A$37,0)),"")</f>
        <v/>
      </c>
      <c r="P48" s="74"/>
      <c r="Q48" s="66"/>
      <c r="R48" s="58"/>
      <c r="S48" s="69"/>
      <c r="T48" s="70"/>
      <c r="U48" s="66" t="str">
        <f t="shared" si="4"/>
        <v/>
      </c>
      <c r="V48" s="55" t="str">
        <f t="shared" si="1"/>
        <v/>
      </c>
      <c r="W48" s="55" t="str">
        <f t="shared" si="2"/>
        <v/>
      </c>
      <c r="X48" s="277" t="str">
        <f>+IF(W48="","",IF(W48&gt;=[6]PARÁMETROS!$D$5,"CUMPLE","NO CUMPLE"))</f>
        <v/>
      </c>
      <c r="Y48" s="139"/>
      <c r="Z48" s="109"/>
    </row>
    <row r="49" spans="1:26" s="72" customFormat="1" ht="30" customHeight="1">
      <c r="A49" s="796"/>
      <c r="B49" s="58"/>
      <c r="C49" s="75"/>
      <c r="D49" s="299" t="str">
        <f>+IFERROR(INDEX([6]CONSOLIDADO!$D$4:$D$91,MATCH('EXP ESPEC. 27-33'!B49,[6]CONSOLIDADO!$C$4:$C$91,0)),"")</f>
        <v/>
      </c>
      <c r="E49" s="61"/>
      <c r="F49" s="61"/>
      <c r="G49" s="277"/>
      <c r="H49" s="277"/>
      <c r="I49" s="277"/>
      <c r="J49" s="277"/>
      <c r="K49" s="73"/>
      <c r="L49" s="64"/>
      <c r="M49" s="64"/>
      <c r="N49" s="65" t="str">
        <f t="shared" si="0"/>
        <v/>
      </c>
      <c r="O49" s="66" t="str">
        <f>+IFERROR(INDEX([6]PARÁMETROS!$B$11:$B$37,MATCH(N49,[6]PARÁMETROS!$A$11:$A$37,0)),"")</f>
        <v/>
      </c>
      <c r="P49" s="74"/>
      <c r="Q49" s="66"/>
      <c r="R49" s="58"/>
      <c r="S49" s="69"/>
      <c r="T49" s="70"/>
      <c r="U49" s="66" t="str">
        <f t="shared" si="4"/>
        <v/>
      </c>
      <c r="V49" s="55" t="str">
        <f t="shared" si="1"/>
        <v/>
      </c>
      <c r="W49" s="55" t="str">
        <f t="shared" si="2"/>
        <v/>
      </c>
      <c r="X49" s="277" t="str">
        <f>+IF(W49="","",IF(W49&gt;=[6]PARÁMETROS!$D$5,"CUMPLE","NO CUMPLE"))</f>
        <v/>
      </c>
      <c r="Y49" s="139"/>
      <c r="Z49" s="109"/>
    </row>
    <row r="50" spans="1:26" s="72" customFormat="1" ht="30" customHeight="1" thickBot="1">
      <c r="A50" s="796"/>
      <c r="B50" s="58"/>
      <c r="C50" s="75"/>
      <c r="D50" s="299" t="str">
        <f>+IFERROR(INDEX([6]CONSOLIDADO!$D$4:$D$91,MATCH('EXP ESPEC. 27-33'!B50,[6]CONSOLIDADO!$C$4:$C$91,0)),"")</f>
        <v/>
      </c>
      <c r="E50" s="61"/>
      <c r="F50" s="61"/>
      <c r="G50" s="277"/>
      <c r="H50" s="277"/>
      <c r="I50" s="277"/>
      <c r="J50" s="277"/>
      <c r="K50" s="73"/>
      <c r="L50" s="64"/>
      <c r="M50" s="64"/>
      <c r="N50" s="65" t="str">
        <f t="shared" si="0"/>
        <v/>
      </c>
      <c r="O50" s="66" t="str">
        <f>+IFERROR(INDEX([6]PARÁMETROS!$B$11:$B$37,MATCH(N50,[6]PARÁMETROS!$A$11:$A$37,0)),"")</f>
        <v/>
      </c>
      <c r="P50" s="74"/>
      <c r="Q50" s="66"/>
      <c r="R50" s="58"/>
      <c r="S50" s="69"/>
      <c r="T50" s="70"/>
      <c r="U50" s="66" t="str">
        <f t="shared" si="4"/>
        <v/>
      </c>
      <c r="V50" s="55" t="str">
        <f t="shared" si="1"/>
        <v/>
      </c>
      <c r="W50" s="55" t="str">
        <f t="shared" si="2"/>
        <v/>
      </c>
      <c r="X50" s="278" t="str">
        <f>+IF(W50="","",IF(W50&gt;=[6]PARÁMETROS!$D$5,"CUMPLE","NO CUMPLE"))</f>
        <v/>
      </c>
      <c r="Y50" s="139"/>
      <c r="Z50" s="109"/>
    </row>
    <row r="51" spans="1:26" s="72" customFormat="1" ht="30" customHeight="1">
      <c r="A51" s="795"/>
      <c r="B51" s="123"/>
      <c r="C51" s="157"/>
      <c r="D51" s="303" t="str">
        <f>+IFERROR(INDEX([6]CONSOLIDADO!$D$4:$D$91,MATCH('EXP ESPEC. 27-33'!B51,[6]CONSOLIDADO!$C$4:$C$91,0)),"")</f>
        <v/>
      </c>
      <c r="E51" s="126"/>
      <c r="F51" s="126"/>
      <c r="G51" s="279"/>
      <c r="H51" s="279"/>
      <c r="I51" s="279"/>
      <c r="J51" s="279"/>
      <c r="K51" s="162"/>
      <c r="L51" s="129"/>
      <c r="M51" s="129"/>
      <c r="N51" s="130" t="str">
        <f t="shared" si="0"/>
        <v/>
      </c>
      <c r="O51" s="131" t="str">
        <f>+IFERROR(INDEX([6]PARÁMETROS!$B$11:$B$37,MATCH(N51,[6]PARÁMETROS!$A$11:$A$37,0)),"")</f>
        <v/>
      </c>
      <c r="P51" s="163"/>
      <c r="Q51" s="131"/>
      <c r="R51" s="123"/>
      <c r="S51" s="134"/>
      <c r="T51" s="135"/>
      <c r="U51" s="131" t="str">
        <f t="shared" si="4"/>
        <v/>
      </c>
      <c r="V51" s="136" t="str">
        <f t="shared" si="1"/>
        <v/>
      </c>
      <c r="W51" s="136" t="str">
        <f t="shared" si="2"/>
        <v/>
      </c>
      <c r="X51" s="168" t="str">
        <f>+IF(W51="","",IF(W51&gt;=[6]PARÁMETROS!$D$5,"CUMPLE","NO CUMPLE"))</f>
        <v/>
      </c>
      <c r="Y51" s="138"/>
      <c r="Z51" s="109"/>
    </row>
    <row r="52" spans="1:26" s="72" customFormat="1" ht="30" customHeight="1">
      <c r="A52" s="796"/>
      <c r="B52" s="58"/>
      <c r="C52" s="75"/>
      <c r="D52" s="299" t="str">
        <f>+IFERROR(INDEX([6]CONSOLIDADO!$D$4:$D$91,MATCH('EXP ESPEC. 27-33'!B52,[6]CONSOLIDADO!$C$4:$C$91,0)),"")</f>
        <v/>
      </c>
      <c r="E52" s="61"/>
      <c r="F52" s="61"/>
      <c r="G52" s="277"/>
      <c r="H52" s="277"/>
      <c r="I52" s="277"/>
      <c r="J52" s="277"/>
      <c r="K52" s="73"/>
      <c r="L52" s="64"/>
      <c r="M52" s="64"/>
      <c r="N52" s="65" t="str">
        <f t="shared" si="0"/>
        <v/>
      </c>
      <c r="O52" s="66" t="str">
        <f>+IFERROR(INDEX([6]PARÁMETROS!$B$11:$B$37,MATCH(N52,[6]PARÁMETROS!$A$11:$A$37,0)),"")</f>
        <v/>
      </c>
      <c r="P52" s="74"/>
      <c r="Q52" s="66"/>
      <c r="R52" s="58"/>
      <c r="S52" s="69"/>
      <c r="T52" s="70"/>
      <c r="U52" s="66" t="str">
        <f t="shared" si="4"/>
        <v/>
      </c>
      <c r="V52" s="55" t="str">
        <f t="shared" si="1"/>
        <v/>
      </c>
      <c r="W52" s="55" t="str">
        <f t="shared" si="2"/>
        <v/>
      </c>
      <c r="X52" s="277" t="str">
        <f>+IF(W52="","",IF(W52&gt;=[6]PARÁMETROS!$D$5,"CUMPLE","NO CUMPLE"))</f>
        <v/>
      </c>
      <c r="Y52" s="139"/>
      <c r="Z52" s="109"/>
    </row>
    <row r="53" spans="1:26" s="72" customFormat="1" ht="30" customHeight="1">
      <c r="A53" s="796"/>
      <c r="B53" s="58"/>
      <c r="C53" s="75"/>
      <c r="D53" s="299" t="str">
        <f>+IFERROR(INDEX([6]CONSOLIDADO!$D$4:$D$91,MATCH('EXP ESPEC. 27-33'!B53,[6]CONSOLIDADO!$C$4:$C$91,0)),"")</f>
        <v/>
      </c>
      <c r="E53" s="61"/>
      <c r="F53" s="61"/>
      <c r="G53" s="277"/>
      <c r="H53" s="277"/>
      <c r="I53" s="277"/>
      <c r="J53" s="277"/>
      <c r="K53" s="73"/>
      <c r="L53" s="64"/>
      <c r="M53" s="64"/>
      <c r="N53" s="65" t="str">
        <f t="shared" si="0"/>
        <v/>
      </c>
      <c r="O53" s="66" t="str">
        <f>+IFERROR(INDEX([6]PARÁMETROS!$B$11:$B$37,MATCH(N53,[6]PARÁMETROS!$A$11:$A$37,0)),"")</f>
        <v/>
      </c>
      <c r="P53" s="74"/>
      <c r="Q53" s="66"/>
      <c r="R53" s="58"/>
      <c r="S53" s="69"/>
      <c r="T53" s="70"/>
      <c r="U53" s="66" t="str">
        <f t="shared" si="4"/>
        <v/>
      </c>
      <c r="V53" s="55" t="str">
        <f t="shared" si="1"/>
        <v/>
      </c>
      <c r="W53" s="55" t="str">
        <f t="shared" si="2"/>
        <v/>
      </c>
      <c r="X53" s="277" t="str">
        <f>+IF(W53="","",IF(W53&gt;=[6]PARÁMETROS!$D$5,"CUMPLE","NO CUMPLE"))</f>
        <v/>
      </c>
      <c r="Y53" s="139"/>
      <c r="Z53" s="109"/>
    </row>
    <row r="54" spans="1:26" s="72" customFormat="1" ht="30" customHeight="1" thickBot="1">
      <c r="A54" s="806"/>
      <c r="B54" s="141"/>
      <c r="C54" s="142"/>
      <c r="D54" s="301" t="str">
        <f>+IFERROR(INDEX([6]CONSOLIDADO!$D$4:$D$91,MATCH('EXP ESPEC. 27-33'!B54,[6]CONSOLIDADO!$C$4:$C$91,0)),"")</f>
        <v/>
      </c>
      <c r="E54" s="144"/>
      <c r="F54" s="144"/>
      <c r="G54" s="278"/>
      <c r="H54" s="278"/>
      <c r="I54" s="278"/>
      <c r="J54" s="278"/>
      <c r="K54" s="164"/>
      <c r="L54" s="147"/>
      <c r="M54" s="147"/>
      <c r="N54" s="148" t="str">
        <f t="shared" si="0"/>
        <v/>
      </c>
      <c r="O54" s="149" t="str">
        <f>+IFERROR(INDEX([6]PARÁMETROS!$B$11:$B$37,MATCH(N54,[6]PARÁMETROS!$A$11:$A$37,0)),"")</f>
        <v/>
      </c>
      <c r="P54" s="165"/>
      <c r="Q54" s="149"/>
      <c r="R54" s="141"/>
      <c r="S54" s="152"/>
      <c r="T54" s="153"/>
      <c r="U54" s="149" t="str">
        <f t="shared" si="4"/>
        <v/>
      </c>
      <c r="V54" s="154" t="str">
        <f t="shared" si="1"/>
        <v/>
      </c>
      <c r="W54" s="154" t="str">
        <f t="shared" si="2"/>
        <v/>
      </c>
      <c r="X54" s="278" t="str">
        <f>+IF(W54="","",IF(W54&gt;=[6]PARÁMETROS!$D$5,"CUMPLE","NO CUMPLE"))</f>
        <v/>
      </c>
      <c r="Y54" s="155"/>
      <c r="Z54" s="109"/>
    </row>
    <row r="55" spans="1:26" s="72" customFormat="1" ht="30" customHeight="1">
      <c r="A55" s="110"/>
      <c r="B55" s="110"/>
      <c r="C55" s="111"/>
      <c r="D55" s="316"/>
      <c r="E55" s="113"/>
      <c r="F55" s="113"/>
      <c r="G55" s="113"/>
      <c r="H55" s="113"/>
      <c r="I55" s="113"/>
      <c r="J55" s="113"/>
      <c r="K55" s="159"/>
      <c r="L55" s="116"/>
      <c r="M55" s="116"/>
      <c r="N55" s="160"/>
      <c r="O55" s="117"/>
      <c r="P55" s="161"/>
      <c r="Q55" s="117"/>
      <c r="R55" s="110"/>
      <c r="S55" s="120"/>
      <c r="T55" s="121"/>
      <c r="U55" s="117"/>
      <c r="V55" s="122"/>
      <c r="W55" s="122"/>
      <c r="X55" s="280"/>
      <c r="Y55" s="113"/>
    </row>
    <row r="56" spans="1:26" s="72" customFormat="1" ht="30" customHeight="1">
      <c r="A56" s="58"/>
      <c r="B56" s="58"/>
      <c r="C56" s="75"/>
      <c r="D56" s="299"/>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75"/>
      <c r="D57" s="299"/>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75"/>
      <c r="D58" s="299"/>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75"/>
      <c r="D59" s="299"/>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75"/>
      <c r="D60" s="299"/>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75"/>
      <c r="D61" s="299"/>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75"/>
      <c r="D62" s="299"/>
      <c r="E62" s="61"/>
      <c r="F62" s="61"/>
      <c r="G62" s="61"/>
      <c r="H62" s="61"/>
      <c r="I62" s="61"/>
      <c r="J62" s="61"/>
      <c r="K62" s="73"/>
      <c r="L62" s="64"/>
      <c r="M62" s="64"/>
      <c r="N62" s="65"/>
      <c r="O62" s="66"/>
      <c r="P62" s="74"/>
      <c r="Q62" s="66"/>
      <c r="R62" s="58"/>
      <c r="S62" s="69"/>
      <c r="T62" s="70"/>
      <c r="U62" s="66"/>
      <c r="V62" s="55"/>
      <c r="W62" s="55"/>
      <c r="X62" s="277"/>
      <c r="Y62" s="61"/>
    </row>
    <row r="63" spans="1:26" s="72" customFormat="1" ht="30" customHeight="1">
      <c r="A63" s="58"/>
      <c r="B63" s="58"/>
      <c r="C63" s="75"/>
      <c r="D63" s="299"/>
      <c r="E63" s="61"/>
      <c r="F63" s="61"/>
      <c r="G63" s="61"/>
      <c r="H63" s="61"/>
      <c r="I63" s="61"/>
      <c r="J63" s="61"/>
      <c r="K63" s="73"/>
      <c r="L63" s="64"/>
      <c r="M63" s="64"/>
      <c r="N63" s="65"/>
      <c r="O63" s="66"/>
      <c r="P63" s="74"/>
      <c r="Q63" s="66"/>
      <c r="R63" s="58"/>
      <c r="S63" s="69"/>
      <c r="T63" s="70"/>
      <c r="U63" s="66"/>
      <c r="V63" s="55"/>
      <c r="W63" s="55"/>
      <c r="X63" s="277"/>
      <c r="Y63" s="61"/>
    </row>
    <row r="64" spans="1:26" s="72" customFormat="1" ht="30" customHeight="1">
      <c r="A64" s="58"/>
      <c r="B64" s="58"/>
      <c r="C64" s="75"/>
      <c r="D64" s="299"/>
      <c r="E64" s="61"/>
      <c r="F64" s="61"/>
      <c r="G64" s="61"/>
      <c r="H64" s="61"/>
      <c r="I64" s="61"/>
      <c r="J64" s="61"/>
      <c r="K64" s="73"/>
      <c r="L64" s="64"/>
      <c r="M64" s="64"/>
      <c r="N64" s="65"/>
      <c r="O64" s="66"/>
      <c r="P64" s="74"/>
      <c r="Q64" s="66"/>
      <c r="R64" s="58"/>
      <c r="S64" s="69"/>
      <c r="T64" s="70"/>
      <c r="U64" s="66"/>
      <c r="V64" s="55"/>
      <c r="W64" s="55"/>
      <c r="X64" s="277"/>
      <c r="Y64" s="61"/>
    </row>
    <row r="65" spans="1:25" s="72" customFormat="1" ht="30" customHeight="1">
      <c r="A65" s="58"/>
      <c r="B65" s="58"/>
      <c r="C65" s="75"/>
      <c r="D65" s="299"/>
      <c r="E65" s="61"/>
      <c r="F65" s="61"/>
      <c r="G65" s="61"/>
      <c r="H65" s="61"/>
      <c r="I65" s="61"/>
      <c r="J65" s="61"/>
      <c r="K65" s="73"/>
      <c r="L65" s="64"/>
      <c r="M65" s="64"/>
      <c r="N65" s="65"/>
      <c r="O65" s="66"/>
      <c r="P65" s="74"/>
      <c r="Q65" s="66"/>
      <c r="R65" s="58"/>
      <c r="S65" s="69"/>
      <c r="T65" s="70"/>
      <c r="U65" s="66"/>
      <c r="V65" s="55"/>
      <c r="W65" s="55"/>
      <c r="X65" s="277"/>
      <c r="Y65" s="61"/>
    </row>
    <row r="66" spans="1:25" s="72" customFormat="1" ht="30" customHeight="1">
      <c r="A66" s="58"/>
      <c r="B66" s="58"/>
      <c r="C66" s="75"/>
      <c r="D66" s="299"/>
      <c r="E66" s="61"/>
      <c r="F66" s="61"/>
      <c r="G66" s="61"/>
      <c r="H66" s="61"/>
      <c r="I66" s="61"/>
      <c r="J66" s="61"/>
      <c r="K66" s="73"/>
      <c r="L66" s="64"/>
      <c r="M66" s="64"/>
      <c r="N66" s="65"/>
      <c r="O66" s="66"/>
      <c r="P66" s="74"/>
      <c r="Q66" s="66"/>
      <c r="R66" s="58"/>
      <c r="S66" s="69"/>
      <c r="T66" s="70"/>
      <c r="U66" s="66"/>
      <c r="V66" s="55"/>
      <c r="W66" s="55"/>
      <c r="X66" s="277"/>
      <c r="Y66" s="61"/>
    </row>
    <row r="67" spans="1:25" ht="30" customHeight="1">
      <c r="C67" s="90"/>
      <c r="D67" s="297"/>
      <c r="F67" s="92"/>
      <c r="G67" s="92"/>
      <c r="H67" s="92"/>
      <c r="I67" s="92"/>
      <c r="J67" s="92"/>
      <c r="K67" s="93"/>
      <c r="L67" s="94"/>
      <c r="M67" s="94"/>
      <c r="N67" s="95"/>
      <c r="O67" s="66"/>
      <c r="P67" s="96"/>
      <c r="Q67" s="97"/>
      <c r="R67" s="58"/>
      <c r="S67" s="69"/>
      <c r="T67" s="70"/>
      <c r="U67" s="66"/>
      <c r="V67" s="55"/>
      <c r="W67" s="55"/>
      <c r="X67" s="277"/>
    </row>
    <row r="68" spans="1:25" ht="30" customHeight="1">
      <c r="C68" s="90"/>
      <c r="D68" s="297"/>
      <c r="F68" s="92"/>
      <c r="G68" s="92"/>
      <c r="H68" s="92"/>
      <c r="I68" s="92"/>
      <c r="J68" s="92"/>
      <c r="K68" s="93"/>
      <c r="L68" s="94"/>
      <c r="M68" s="94"/>
      <c r="N68" s="95"/>
      <c r="O68" s="66"/>
      <c r="P68" s="96"/>
      <c r="Q68" s="97"/>
      <c r="R68" s="58"/>
      <c r="S68" s="69"/>
      <c r="T68" s="70"/>
      <c r="U68" s="66"/>
      <c r="V68" s="55"/>
      <c r="W68" s="55"/>
      <c r="X68" s="277"/>
    </row>
    <row r="69" spans="1:25" ht="30" customHeight="1">
      <c r="C69" s="90"/>
      <c r="D69" s="297"/>
      <c r="F69" s="92"/>
      <c r="G69" s="92"/>
      <c r="H69" s="92"/>
      <c r="I69" s="92"/>
      <c r="J69" s="92"/>
      <c r="K69" s="93"/>
      <c r="L69" s="94"/>
      <c r="M69" s="94"/>
      <c r="N69" s="95"/>
      <c r="O69" s="66"/>
      <c r="P69" s="96"/>
      <c r="Q69" s="97"/>
      <c r="R69" s="58"/>
      <c r="S69" s="69"/>
      <c r="T69" s="70"/>
      <c r="U69" s="66"/>
      <c r="V69" s="55"/>
      <c r="W69" s="55"/>
      <c r="X69" s="277"/>
    </row>
    <row r="70" spans="1:25" ht="30" customHeight="1">
      <c r="C70" s="90"/>
      <c r="D70" s="297"/>
      <c r="F70" s="92"/>
      <c r="G70" s="92"/>
      <c r="H70" s="92"/>
      <c r="I70" s="92"/>
      <c r="J70" s="92"/>
      <c r="K70" s="93"/>
      <c r="L70" s="94"/>
      <c r="M70" s="94"/>
      <c r="N70" s="95"/>
      <c r="O70" s="66"/>
      <c r="P70" s="96"/>
      <c r="Q70" s="97"/>
      <c r="R70" s="58"/>
      <c r="S70" s="69"/>
      <c r="T70" s="70"/>
      <c r="U70" s="66"/>
      <c r="V70" s="55"/>
      <c r="W70" s="55"/>
      <c r="X70" s="277"/>
    </row>
    <row r="71" spans="1:25" ht="30" customHeight="1">
      <c r="C71" s="90"/>
      <c r="D71" s="297"/>
      <c r="F71" s="92"/>
      <c r="G71" s="92"/>
      <c r="H71" s="92"/>
      <c r="I71" s="92"/>
      <c r="J71" s="92"/>
      <c r="K71" s="93"/>
      <c r="L71" s="94"/>
      <c r="M71" s="94"/>
      <c r="N71" s="95"/>
      <c r="O71" s="66"/>
      <c r="P71" s="96"/>
      <c r="Q71" s="97"/>
      <c r="R71" s="58"/>
      <c r="S71" s="69"/>
      <c r="T71" s="70"/>
      <c r="U71" s="66"/>
      <c r="V71" s="55"/>
      <c r="W71" s="55"/>
      <c r="X71" s="277"/>
    </row>
    <row r="72" spans="1:25" ht="30" customHeight="1">
      <c r="C72" s="90"/>
      <c r="D72" s="297"/>
      <c r="F72" s="92"/>
      <c r="G72" s="92"/>
      <c r="H72" s="92"/>
      <c r="I72" s="92"/>
      <c r="J72" s="92"/>
      <c r="K72" s="93"/>
      <c r="L72" s="94"/>
      <c r="M72" s="94"/>
      <c r="N72" s="95"/>
      <c r="O72" s="66"/>
      <c r="P72" s="96"/>
      <c r="Q72" s="97"/>
      <c r="R72" s="58"/>
      <c r="S72" s="69"/>
      <c r="T72" s="70"/>
      <c r="U72" s="66"/>
      <c r="V72" s="55"/>
      <c r="W72" s="55"/>
      <c r="X72" s="277"/>
    </row>
    <row r="73" spans="1:25" ht="30" customHeight="1">
      <c r="C73" s="90"/>
      <c r="D73" s="297"/>
      <c r="F73" s="92"/>
      <c r="G73" s="92"/>
      <c r="H73" s="92"/>
      <c r="I73" s="92"/>
      <c r="J73" s="92"/>
      <c r="K73" s="93"/>
      <c r="L73" s="94"/>
      <c r="M73" s="94"/>
      <c r="N73" s="95"/>
      <c r="O73" s="66"/>
      <c r="P73" s="96"/>
      <c r="Q73" s="97"/>
      <c r="R73" s="58"/>
      <c r="S73" s="69"/>
      <c r="T73" s="70"/>
      <c r="U73" s="66"/>
      <c r="V73" s="55"/>
      <c r="W73" s="55"/>
      <c r="X73" s="277"/>
    </row>
    <row r="74" spans="1:25" ht="30" customHeight="1">
      <c r="C74" s="90"/>
      <c r="D74" s="297"/>
      <c r="F74" s="92"/>
      <c r="G74" s="92"/>
      <c r="H74" s="92"/>
      <c r="I74" s="92"/>
      <c r="J74" s="92"/>
      <c r="K74" s="93"/>
      <c r="L74" s="94"/>
      <c r="M74" s="94"/>
      <c r="N74" s="95"/>
      <c r="O74" s="66"/>
      <c r="P74" s="96"/>
      <c r="Q74" s="97"/>
      <c r="R74" s="58"/>
      <c r="S74" s="69"/>
      <c r="T74" s="70"/>
      <c r="U74" s="66"/>
      <c r="V74" s="55"/>
      <c r="W74" s="55"/>
      <c r="X74" s="277"/>
    </row>
    <row r="75" spans="1:25" ht="30" customHeight="1">
      <c r="C75" s="90"/>
      <c r="D75" s="297"/>
      <c r="F75" s="92"/>
      <c r="G75" s="92"/>
      <c r="H75" s="92"/>
      <c r="I75" s="92"/>
      <c r="J75" s="92"/>
      <c r="K75" s="93"/>
      <c r="L75" s="94"/>
      <c r="M75" s="94"/>
      <c r="N75" s="95"/>
      <c r="O75" s="66"/>
      <c r="P75" s="96"/>
      <c r="Q75" s="97"/>
      <c r="R75" s="58"/>
      <c r="S75" s="69"/>
      <c r="T75" s="70"/>
      <c r="U75" s="66"/>
      <c r="V75" s="55"/>
      <c r="W75" s="55"/>
      <c r="X75" s="277"/>
    </row>
    <row r="76" spans="1:25" ht="30" customHeight="1">
      <c r="C76" s="90"/>
      <c r="D76" s="297"/>
      <c r="F76" s="92"/>
      <c r="G76" s="92"/>
      <c r="H76" s="92"/>
      <c r="I76" s="92"/>
      <c r="J76" s="92"/>
      <c r="K76" s="93"/>
      <c r="L76" s="94"/>
      <c r="M76" s="94"/>
      <c r="N76" s="95"/>
      <c r="O76" s="66"/>
      <c r="P76" s="96"/>
      <c r="Q76" s="97"/>
      <c r="R76" s="58"/>
      <c r="S76" s="69"/>
      <c r="T76" s="70"/>
      <c r="U76" s="66"/>
      <c r="V76" s="55"/>
      <c r="W76" s="55"/>
      <c r="X76" s="277"/>
    </row>
    <row r="77" spans="1:25" ht="30" customHeight="1">
      <c r="C77" s="90"/>
      <c r="D77" s="297"/>
      <c r="F77" s="92"/>
      <c r="G77" s="92"/>
      <c r="H77" s="92"/>
      <c r="I77" s="92"/>
      <c r="J77" s="92"/>
      <c r="K77" s="93"/>
      <c r="L77" s="94"/>
      <c r="M77" s="94"/>
      <c r="N77" s="95"/>
      <c r="O77" s="66"/>
      <c r="P77" s="96"/>
      <c r="Q77" s="97"/>
      <c r="R77" s="58"/>
      <c r="S77" s="69"/>
      <c r="T77" s="70"/>
      <c r="U77" s="66"/>
      <c r="V77" s="55"/>
      <c r="W77" s="55"/>
      <c r="X77" s="277"/>
    </row>
    <row r="78" spans="1:25" ht="30" customHeight="1">
      <c r="C78" s="90"/>
      <c r="D78" s="297"/>
      <c r="F78" s="92"/>
      <c r="G78" s="92"/>
      <c r="H78" s="92"/>
      <c r="I78" s="92"/>
      <c r="J78" s="92"/>
      <c r="K78" s="93"/>
      <c r="L78" s="94"/>
      <c r="M78" s="94"/>
      <c r="N78" s="95"/>
      <c r="O78" s="66"/>
      <c r="P78" s="96"/>
      <c r="Q78" s="97"/>
      <c r="R78" s="58"/>
      <c r="S78" s="69"/>
      <c r="T78" s="70"/>
      <c r="U78" s="66"/>
      <c r="V78" s="55"/>
      <c r="W78" s="55"/>
      <c r="X78" s="277"/>
    </row>
    <row r="79" spans="1:25" ht="30" customHeight="1">
      <c r="C79" s="90"/>
      <c r="D79" s="297"/>
      <c r="F79" s="92"/>
      <c r="G79" s="92"/>
      <c r="H79" s="92"/>
      <c r="I79" s="92"/>
      <c r="J79" s="92"/>
      <c r="K79" s="93"/>
      <c r="L79" s="94"/>
      <c r="M79" s="94"/>
      <c r="N79" s="95"/>
      <c r="O79" s="66"/>
      <c r="P79" s="96"/>
      <c r="Q79" s="97"/>
      <c r="R79" s="58"/>
      <c r="S79" s="69"/>
      <c r="T79" s="70"/>
      <c r="U79" s="66"/>
      <c r="V79" s="55"/>
      <c r="W79" s="55"/>
      <c r="X79" s="277"/>
    </row>
    <row r="80" spans="1:25" ht="30" customHeight="1">
      <c r="C80" s="90"/>
      <c r="D80" s="297"/>
      <c r="F80" s="92"/>
      <c r="G80" s="92"/>
      <c r="H80" s="92"/>
      <c r="I80" s="92"/>
      <c r="J80" s="92"/>
      <c r="K80" s="93"/>
      <c r="L80" s="94"/>
      <c r="M80" s="94"/>
      <c r="N80" s="95"/>
      <c r="O80" s="66"/>
      <c r="P80" s="96"/>
      <c r="Q80" s="97"/>
      <c r="R80" s="58"/>
      <c r="S80" s="69"/>
      <c r="T80" s="70"/>
      <c r="U80" s="66"/>
      <c r="V80" s="55"/>
      <c r="W80" s="55"/>
      <c r="X80" s="277"/>
    </row>
    <row r="81" spans="3:24" ht="30" customHeight="1">
      <c r="C81" s="90"/>
      <c r="D81" s="297"/>
      <c r="F81" s="92"/>
      <c r="G81" s="92"/>
      <c r="H81" s="92"/>
      <c r="I81" s="92"/>
      <c r="J81" s="92"/>
      <c r="K81" s="93"/>
      <c r="L81" s="94"/>
      <c r="M81" s="94"/>
      <c r="N81" s="95"/>
      <c r="O81" s="66"/>
      <c r="P81" s="96"/>
      <c r="Q81" s="97"/>
      <c r="R81" s="58"/>
      <c r="S81" s="69"/>
      <c r="T81" s="70"/>
      <c r="U81" s="66"/>
      <c r="V81" s="55"/>
      <c r="W81" s="55"/>
      <c r="X81" s="277"/>
    </row>
    <row r="82" spans="3:24" ht="30" customHeight="1">
      <c r="C82" s="90"/>
      <c r="D82" s="297"/>
      <c r="F82" s="92"/>
      <c r="G82" s="92"/>
      <c r="H82" s="92"/>
      <c r="I82" s="92"/>
      <c r="J82" s="92"/>
      <c r="K82" s="93"/>
      <c r="L82" s="94"/>
      <c r="M82" s="94"/>
      <c r="N82" s="95"/>
      <c r="O82" s="66"/>
      <c r="P82" s="96"/>
      <c r="Q82" s="97"/>
      <c r="R82" s="58"/>
      <c r="S82" s="69"/>
      <c r="T82" s="70"/>
      <c r="U82" s="66"/>
      <c r="V82" s="55"/>
      <c r="W82" s="55"/>
      <c r="X82" s="277"/>
    </row>
    <row r="83" spans="3:24" ht="30" customHeight="1">
      <c r="C83" s="90"/>
      <c r="D83" s="297"/>
      <c r="F83" s="92"/>
      <c r="G83" s="92"/>
      <c r="H83" s="92"/>
      <c r="I83" s="92"/>
      <c r="J83" s="92"/>
      <c r="K83" s="93"/>
      <c r="L83" s="94"/>
      <c r="M83" s="94"/>
      <c r="N83" s="95"/>
      <c r="O83" s="66"/>
      <c r="P83" s="96"/>
      <c r="Q83" s="97"/>
      <c r="R83" s="58"/>
      <c r="S83" s="69"/>
      <c r="T83" s="70"/>
      <c r="U83" s="66"/>
      <c r="V83" s="55"/>
      <c r="W83" s="55"/>
      <c r="X83" s="277"/>
    </row>
    <row r="84" spans="3:24" ht="30" customHeight="1">
      <c r="C84" s="90"/>
      <c r="D84" s="297"/>
      <c r="F84" s="92"/>
      <c r="G84" s="92"/>
      <c r="H84" s="92"/>
      <c r="I84" s="92"/>
      <c r="J84" s="92"/>
      <c r="K84" s="93"/>
      <c r="L84" s="94"/>
      <c r="M84" s="94"/>
      <c r="N84" s="95"/>
      <c r="O84" s="66"/>
      <c r="P84" s="96"/>
      <c r="Q84" s="97"/>
      <c r="R84" s="58"/>
      <c r="S84" s="69"/>
      <c r="T84" s="70"/>
      <c r="U84" s="66"/>
      <c r="V84" s="55"/>
      <c r="W84" s="55"/>
      <c r="X84" s="277"/>
    </row>
    <row r="85" spans="3:24" ht="30" customHeight="1">
      <c r="C85" s="90"/>
      <c r="D85" s="297"/>
      <c r="F85" s="92"/>
      <c r="G85" s="92"/>
      <c r="H85" s="92"/>
      <c r="I85" s="92"/>
      <c r="J85" s="92"/>
      <c r="K85" s="93"/>
      <c r="L85" s="94"/>
      <c r="M85" s="94"/>
      <c r="N85" s="95"/>
      <c r="O85" s="66"/>
      <c r="P85" s="96"/>
      <c r="Q85" s="97"/>
      <c r="R85" s="58"/>
      <c r="S85" s="69"/>
      <c r="T85" s="70"/>
      <c r="U85" s="66"/>
      <c r="V85" s="55"/>
      <c r="W85" s="55"/>
      <c r="X85" s="277"/>
    </row>
    <row r="86" spans="3:24" ht="30" customHeight="1">
      <c r="C86" s="90"/>
      <c r="D86" s="297"/>
      <c r="F86" s="92"/>
      <c r="G86" s="92"/>
      <c r="H86" s="92"/>
      <c r="I86" s="92"/>
      <c r="J86" s="92"/>
      <c r="K86" s="93"/>
      <c r="L86" s="94"/>
      <c r="M86" s="94"/>
      <c r="N86" s="95"/>
      <c r="O86" s="66"/>
      <c r="P86" s="96"/>
      <c r="Q86" s="97"/>
      <c r="R86" s="58"/>
      <c r="S86" s="69"/>
      <c r="T86" s="70"/>
      <c r="U86" s="66"/>
      <c r="V86" s="55"/>
      <c r="W86" s="55"/>
      <c r="X86" s="277"/>
    </row>
    <row r="87" spans="3:24" ht="30" customHeight="1">
      <c r="C87" s="90"/>
      <c r="D87" s="297"/>
      <c r="F87" s="92"/>
      <c r="G87" s="92"/>
      <c r="H87" s="92"/>
      <c r="I87" s="92"/>
      <c r="J87" s="92"/>
      <c r="K87" s="93"/>
      <c r="L87" s="94"/>
      <c r="M87" s="94"/>
      <c r="N87" s="95"/>
      <c r="O87" s="66"/>
      <c r="P87" s="96"/>
      <c r="Q87" s="97"/>
      <c r="R87" s="58"/>
      <c r="S87" s="69"/>
      <c r="T87" s="70"/>
      <c r="U87" s="66"/>
      <c r="V87" s="55"/>
      <c r="W87" s="55"/>
      <c r="X87" s="277"/>
    </row>
    <row r="88" spans="3:24" ht="30" customHeight="1">
      <c r="C88" s="90"/>
      <c r="D88" s="297"/>
      <c r="F88" s="92"/>
      <c r="G88" s="92"/>
      <c r="H88" s="92"/>
      <c r="I88" s="92"/>
      <c r="J88" s="92"/>
      <c r="K88" s="93"/>
      <c r="L88" s="94"/>
      <c r="M88" s="94"/>
      <c r="N88" s="95"/>
      <c r="O88" s="66"/>
      <c r="P88" s="96"/>
      <c r="Q88" s="97"/>
      <c r="R88" s="58"/>
      <c r="S88" s="69"/>
      <c r="T88" s="70"/>
      <c r="U88" s="66"/>
      <c r="V88" s="55"/>
      <c r="W88" s="55"/>
      <c r="X88" s="277"/>
    </row>
    <row r="89" spans="3:24" ht="30" customHeight="1">
      <c r="C89" s="90"/>
      <c r="D89" s="297"/>
      <c r="F89" s="92"/>
      <c r="G89" s="92"/>
      <c r="H89" s="92"/>
      <c r="I89" s="92"/>
      <c r="J89" s="92"/>
      <c r="K89" s="93"/>
      <c r="L89" s="94"/>
      <c r="M89" s="94"/>
      <c r="N89" s="95"/>
      <c r="O89" s="66"/>
      <c r="P89" s="96"/>
      <c r="Q89" s="97"/>
      <c r="R89" s="58"/>
      <c r="S89" s="69"/>
      <c r="T89" s="70"/>
      <c r="U89" s="66"/>
      <c r="V89" s="55"/>
      <c r="W89" s="55"/>
      <c r="X89" s="277"/>
    </row>
    <row r="90" spans="3:24" ht="30" customHeight="1">
      <c r="C90" s="90"/>
      <c r="D90" s="297"/>
      <c r="F90" s="92"/>
      <c r="G90" s="92"/>
      <c r="H90" s="92"/>
      <c r="I90" s="92"/>
      <c r="J90" s="92"/>
      <c r="K90" s="93"/>
      <c r="L90" s="94"/>
      <c r="M90" s="94"/>
      <c r="N90" s="95"/>
      <c r="O90" s="66"/>
      <c r="P90" s="96"/>
      <c r="Q90" s="97"/>
      <c r="R90" s="58"/>
      <c r="S90" s="69"/>
      <c r="T90" s="70"/>
      <c r="U90" s="66"/>
      <c r="V90" s="55"/>
      <c r="W90" s="55"/>
      <c r="X90" s="277"/>
    </row>
    <row r="91" spans="3:24" ht="30" customHeight="1">
      <c r="C91" s="90"/>
      <c r="D91" s="297"/>
      <c r="F91" s="92"/>
      <c r="G91" s="92"/>
      <c r="H91" s="92"/>
      <c r="I91" s="92"/>
      <c r="J91" s="92"/>
      <c r="K91" s="93"/>
      <c r="L91" s="94"/>
      <c r="M91" s="94"/>
      <c r="N91" s="95"/>
      <c r="O91" s="66"/>
      <c r="P91" s="96"/>
      <c r="Q91" s="97"/>
      <c r="R91" s="58"/>
      <c r="S91" s="69"/>
      <c r="T91" s="70"/>
      <c r="U91" s="66"/>
      <c r="V91" s="55"/>
      <c r="W91" s="55"/>
      <c r="X91" s="277"/>
    </row>
    <row r="92" spans="3:24" ht="30" customHeight="1">
      <c r="C92" s="90"/>
      <c r="D92" s="297"/>
      <c r="F92" s="92"/>
      <c r="G92" s="92"/>
      <c r="H92" s="92"/>
      <c r="I92" s="92"/>
      <c r="J92" s="92"/>
      <c r="K92" s="93"/>
      <c r="L92" s="94"/>
      <c r="M92" s="94"/>
      <c r="N92" s="95"/>
      <c r="O92" s="66"/>
      <c r="P92" s="96"/>
      <c r="Q92" s="97"/>
      <c r="R92" s="58"/>
      <c r="S92" s="69"/>
      <c r="T92" s="70"/>
      <c r="U92" s="66"/>
      <c r="V92" s="55"/>
      <c r="W92" s="55"/>
      <c r="X92" s="277"/>
    </row>
    <row r="93" spans="3:24" ht="30" customHeight="1">
      <c r="C93" s="90"/>
      <c r="D93" s="297"/>
      <c r="F93" s="92"/>
      <c r="G93" s="92"/>
      <c r="H93" s="92"/>
      <c r="I93" s="92"/>
      <c r="J93" s="92"/>
      <c r="K93" s="93"/>
      <c r="L93" s="94"/>
      <c r="M93" s="94"/>
      <c r="N93" s="95"/>
      <c r="O93" s="66"/>
      <c r="P93" s="96"/>
      <c r="Q93" s="97"/>
      <c r="R93" s="58"/>
      <c r="S93" s="69"/>
      <c r="T93" s="70"/>
      <c r="U93" s="66"/>
      <c r="V93" s="55"/>
      <c r="W93" s="55"/>
      <c r="X93" s="277"/>
    </row>
    <row r="94" spans="3:24" ht="30" customHeight="1">
      <c r="C94" s="90"/>
      <c r="D94" s="297"/>
      <c r="F94" s="92"/>
      <c r="G94" s="92"/>
      <c r="H94" s="92"/>
      <c r="I94" s="92"/>
      <c r="J94" s="92"/>
      <c r="K94" s="93"/>
      <c r="L94" s="94"/>
      <c r="M94" s="94"/>
      <c r="N94" s="95"/>
      <c r="O94" s="66"/>
      <c r="P94" s="96"/>
      <c r="Q94" s="97"/>
      <c r="R94" s="58"/>
      <c r="S94" s="69"/>
      <c r="T94" s="70"/>
      <c r="U94" s="66"/>
      <c r="V94" s="55"/>
      <c r="W94" s="55"/>
      <c r="X94" s="277"/>
    </row>
    <row r="95" spans="3:24" ht="30" customHeight="1">
      <c r="C95" s="90"/>
      <c r="D95" s="297"/>
      <c r="F95" s="92"/>
      <c r="G95" s="92"/>
      <c r="H95" s="92"/>
      <c r="I95" s="92"/>
      <c r="J95" s="92"/>
      <c r="K95" s="93"/>
      <c r="L95" s="94"/>
      <c r="M95" s="94"/>
      <c r="N95" s="95"/>
      <c r="O95" s="66"/>
      <c r="P95" s="96"/>
      <c r="Q95" s="97"/>
      <c r="R95" s="58"/>
      <c r="S95" s="69"/>
      <c r="T95" s="70"/>
      <c r="U95" s="66"/>
      <c r="V95" s="55"/>
      <c r="W95" s="55"/>
      <c r="X95" s="277"/>
    </row>
    <row r="96" spans="3:24" ht="30" customHeight="1">
      <c r="C96" s="90"/>
      <c r="D96" s="297"/>
      <c r="F96" s="92"/>
      <c r="G96" s="92"/>
      <c r="H96" s="92"/>
      <c r="I96" s="92"/>
      <c r="J96" s="92"/>
      <c r="K96" s="93"/>
      <c r="L96" s="94"/>
      <c r="M96" s="94"/>
      <c r="N96" s="95"/>
      <c r="O96" s="66"/>
      <c r="P96" s="96"/>
      <c r="Q96" s="97"/>
      <c r="R96" s="58"/>
      <c r="S96" s="69"/>
      <c r="T96" s="70"/>
      <c r="U96" s="66"/>
      <c r="V96" s="55"/>
      <c r="W96" s="55"/>
      <c r="X96" s="277"/>
    </row>
    <row r="97" spans="3:24" ht="30" customHeight="1">
      <c r="C97" s="90"/>
      <c r="D97" s="297"/>
      <c r="F97" s="92"/>
      <c r="G97" s="92"/>
      <c r="H97" s="92"/>
      <c r="I97" s="92"/>
      <c r="J97" s="92"/>
      <c r="K97" s="93"/>
      <c r="L97" s="94"/>
      <c r="M97" s="94"/>
      <c r="N97" s="95"/>
      <c r="O97" s="66"/>
      <c r="P97" s="96"/>
      <c r="Q97" s="97"/>
      <c r="R97" s="58"/>
      <c r="S97" s="69"/>
      <c r="T97" s="70"/>
      <c r="U97" s="66"/>
      <c r="V97" s="55"/>
      <c r="W97" s="55"/>
      <c r="X97" s="277"/>
    </row>
    <row r="98" spans="3:24" ht="30" customHeight="1">
      <c r="C98" s="90"/>
      <c r="D98" s="297"/>
      <c r="F98" s="92"/>
      <c r="G98" s="92"/>
      <c r="H98" s="92"/>
      <c r="I98" s="92"/>
      <c r="J98" s="92"/>
      <c r="K98" s="93"/>
      <c r="L98" s="94"/>
      <c r="M98" s="94"/>
      <c r="N98" s="95"/>
      <c r="O98" s="66"/>
      <c r="P98" s="96"/>
      <c r="Q98" s="97"/>
      <c r="R98" s="58"/>
      <c r="S98" s="69"/>
      <c r="T98" s="70"/>
      <c r="U98" s="66"/>
      <c r="V98" s="55"/>
      <c r="W98" s="55"/>
      <c r="X98" s="277"/>
    </row>
    <row r="99" spans="3:24" ht="30" customHeight="1">
      <c r="C99" s="90"/>
      <c r="D99" s="297"/>
      <c r="F99" s="92"/>
      <c r="G99" s="92"/>
      <c r="H99" s="92"/>
      <c r="I99" s="92"/>
      <c r="J99" s="92"/>
      <c r="K99" s="93"/>
      <c r="L99" s="94"/>
      <c r="M99" s="94"/>
      <c r="N99" s="95"/>
      <c r="O99" s="66"/>
      <c r="P99" s="96"/>
      <c r="Q99" s="97"/>
      <c r="R99" s="58"/>
      <c r="S99" s="69"/>
      <c r="T99" s="70"/>
      <c r="U99" s="66"/>
      <c r="V99" s="55"/>
      <c r="W99" s="55"/>
      <c r="X99" s="277"/>
    </row>
    <row r="100" spans="3:24" ht="30" customHeight="1">
      <c r="C100" s="90"/>
      <c r="D100" s="297"/>
      <c r="F100" s="92"/>
      <c r="G100" s="92"/>
      <c r="H100" s="92"/>
      <c r="I100" s="92"/>
      <c r="J100" s="92"/>
      <c r="K100" s="93"/>
      <c r="L100" s="94"/>
      <c r="M100" s="94"/>
      <c r="N100" s="95"/>
      <c r="O100" s="66"/>
      <c r="P100" s="96"/>
      <c r="Q100" s="97"/>
      <c r="R100" s="58"/>
      <c r="S100" s="69"/>
      <c r="T100" s="70"/>
      <c r="U100" s="66"/>
      <c r="V100" s="55"/>
      <c r="W100" s="55"/>
      <c r="X100" s="277"/>
    </row>
    <row r="101" spans="3:24" ht="30" customHeight="1">
      <c r="C101" s="90"/>
      <c r="D101" s="297"/>
      <c r="F101" s="92"/>
      <c r="G101" s="92"/>
      <c r="H101" s="92"/>
      <c r="I101" s="92"/>
      <c r="J101" s="92"/>
      <c r="K101" s="93"/>
      <c r="L101" s="94"/>
      <c r="M101" s="94"/>
      <c r="N101" s="95"/>
      <c r="O101" s="66"/>
      <c r="P101" s="96"/>
      <c r="Q101" s="97"/>
      <c r="R101" s="58"/>
      <c r="S101" s="69"/>
      <c r="T101" s="70"/>
      <c r="U101" s="66"/>
      <c r="V101" s="55"/>
      <c r="W101" s="55"/>
      <c r="X101" s="277"/>
    </row>
    <row r="102" spans="3:24" ht="30" customHeight="1">
      <c r="C102" s="90"/>
      <c r="D102" s="297"/>
      <c r="F102" s="92"/>
      <c r="G102" s="92"/>
      <c r="H102" s="92"/>
      <c r="I102" s="92"/>
      <c r="J102" s="92"/>
      <c r="K102" s="93"/>
      <c r="L102" s="94"/>
      <c r="M102" s="94"/>
      <c r="N102" s="95"/>
      <c r="O102" s="66"/>
      <c r="P102" s="96"/>
      <c r="Q102" s="97"/>
      <c r="R102" s="58"/>
      <c r="S102" s="69"/>
      <c r="T102" s="70"/>
      <c r="U102" s="66"/>
      <c r="V102" s="55"/>
      <c r="W102" s="55"/>
      <c r="X102" s="277"/>
    </row>
    <row r="103" spans="3:24" ht="30" customHeight="1">
      <c r="C103" s="90"/>
      <c r="D103" s="297"/>
      <c r="F103" s="92"/>
      <c r="G103" s="92"/>
      <c r="H103" s="92"/>
      <c r="I103" s="92"/>
      <c r="J103" s="92"/>
      <c r="K103" s="93"/>
      <c r="L103" s="94"/>
      <c r="M103" s="94"/>
      <c r="N103" s="95"/>
      <c r="O103" s="66"/>
      <c r="P103" s="96"/>
      <c r="Q103" s="97"/>
      <c r="R103" s="58"/>
      <c r="S103" s="69"/>
      <c r="T103" s="70"/>
      <c r="U103" s="66"/>
      <c r="V103" s="55"/>
      <c r="W103" s="55"/>
      <c r="X103" s="277"/>
    </row>
    <row r="104" spans="3:24" ht="30" customHeight="1">
      <c r="C104" s="90"/>
      <c r="D104" s="297"/>
      <c r="F104" s="92"/>
      <c r="G104" s="92"/>
      <c r="H104" s="92"/>
      <c r="I104" s="92"/>
      <c r="J104" s="92"/>
      <c r="K104" s="93"/>
      <c r="L104" s="94"/>
      <c r="M104" s="94"/>
      <c r="N104" s="95"/>
      <c r="O104" s="66"/>
      <c r="P104" s="96"/>
      <c r="Q104" s="97"/>
      <c r="R104" s="58"/>
      <c r="S104" s="69"/>
      <c r="T104" s="70"/>
      <c r="U104" s="66"/>
      <c r="V104" s="55"/>
      <c r="W104" s="55"/>
      <c r="X104" s="277"/>
    </row>
    <row r="105" spans="3:24" ht="30" customHeight="1">
      <c r="C105" s="90"/>
      <c r="D105" s="297"/>
      <c r="F105" s="92"/>
      <c r="G105" s="92"/>
      <c r="H105" s="92"/>
      <c r="I105" s="92"/>
      <c r="J105" s="92"/>
      <c r="K105" s="93"/>
      <c r="L105" s="94"/>
      <c r="M105" s="94"/>
      <c r="N105" s="95"/>
      <c r="O105" s="66"/>
      <c r="P105" s="96"/>
      <c r="Q105" s="97"/>
      <c r="R105" s="58"/>
      <c r="S105" s="69"/>
      <c r="T105" s="70"/>
      <c r="U105" s="66"/>
      <c r="V105" s="55"/>
      <c r="W105" s="55"/>
      <c r="X105" s="277"/>
    </row>
    <row r="106" spans="3:24" ht="30" customHeight="1">
      <c r="C106" s="90"/>
      <c r="D106" s="297"/>
      <c r="F106" s="92"/>
      <c r="G106" s="92"/>
      <c r="H106" s="92"/>
      <c r="I106" s="92"/>
      <c r="J106" s="92"/>
      <c r="K106" s="93"/>
      <c r="L106" s="94"/>
      <c r="M106" s="94"/>
      <c r="N106" s="95"/>
      <c r="O106" s="66"/>
      <c r="P106" s="96"/>
      <c r="Q106" s="97"/>
      <c r="R106" s="58"/>
      <c r="S106" s="69"/>
      <c r="T106" s="70"/>
      <c r="U106" s="66"/>
      <c r="V106" s="55"/>
      <c r="W106" s="55"/>
      <c r="X106" s="277"/>
    </row>
    <row r="107" spans="3:24" ht="30" customHeight="1">
      <c r="C107" s="90"/>
      <c r="D107" s="297"/>
      <c r="F107" s="92"/>
      <c r="G107" s="92"/>
      <c r="H107" s="92"/>
      <c r="I107" s="92"/>
      <c r="J107" s="92"/>
      <c r="K107" s="93"/>
      <c r="L107" s="94"/>
      <c r="M107" s="94"/>
      <c r="N107" s="95"/>
      <c r="O107" s="66"/>
      <c r="P107" s="96"/>
      <c r="Q107" s="97"/>
      <c r="R107" s="58"/>
      <c r="S107" s="69"/>
      <c r="T107" s="70"/>
      <c r="U107" s="66"/>
      <c r="V107" s="55"/>
      <c r="W107" s="55"/>
      <c r="X107" s="277"/>
    </row>
    <row r="108" spans="3:24" ht="30" customHeight="1">
      <c r="C108" s="90"/>
      <c r="D108" s="297"/>
      <c r="F108" s="92"/>
      <c r="G108" s="92"/>
      <c r="H108" s="92"/>
      <c r="I108" s="92"/>
      <c r="J108" s="92"/>
      <c r="K108" s="93"/>
      <c r="L108" s="94"/>
      <c r="M108" s="94"/>
      <c r="N108" s="95"/>
      <c r="O108" s="66"/>
      <c r="P108" s="96"/>
      <c r="Q108" s="97"/>
      <c r="R108" s="58"/>
      <c r="S108" s="69"/>
      <c r="T108" s="70"/>
      <c r="U108" s="66"/>
      <c r="V108" s="55"/>
      <c r="W108" s="55"/>
      <c r="X108" s="277"/>
    </row>
    <row r="109" spans="3:24" ht="30" customHeight="1">
      <c r="C109" s="90"/>
      <c r="D109" s="297"/>
      <c r="F109" s="92"/>
      <c r="G109" s="92"/>
      <c r="H109" s="92"/>
      <c r="I109" s="92"/>
      <c r="J109" s="92"/>
      <c r="K109" s="93"/>
      <c r="L109" s="94"/>
      <c r="M109" s="94"/>
      <c r="N109" s="95"/>
      <c r="O109" s="66"/>
      <c r="P109" s="96"/>
      <c r="Q109" s="97"/>
      <c r="R109" s="58"/>
      <c r="S109" s="69"/>
      <c r="T109" s="70"/>
      <c r="U109" s="66"/>
      <c r="V109" s="55"/>
      <c r="W109" s="55"/>
      <c r="X109" s="277"/>
    </row>
    <row r="110" spans="3:24" ht="65.099999999999994" customHeight="1">
      <c r="C110" s="90"/>
      <c r="D110" s="297"/>
      <c r="F110" s="92"/>
      <c r="G110" s="92"/>
      <c r="H110" s="92"/>
      <c r="I110" s="92"/>
      <c r="J110" s="92"/>
      <c r="K110" s="93"/>
      <c r="L110" s="94"/>
      <c r="M110" s="94"/>
      <c r="N110" s="95"/>
      <c r="O110" s="66"/>
      <c r="P110" s="96"/>
      <c r="Q110" s="97"/>
      <c r="R110" s="58"/>
      <c r="S110" s="69"/>
      <c r="T110" s="70"/>
      <c r="U110" s="66"/>
      <c r="V110" s="55"/>
      <c r="W110" s="55"/>
      <c r="X110" s="277"/>
    </row>
    <row r="111" spans="3:24" ht="65.099999999999994" customHeight="1">
      <c r="C111" s="90"/>
      <c r="D111" s="297"/>
      <c r="F111" s="92"/>
      <c r="G111" s="92"/>
      <c r="H111" s="92"/>
      <c r="I111" s="92"/>
      <c r="J111" s="92"/>
      <c r="K111" s="93"/>
      <c r="L111" s="94"/>
      <c r="M111" s="94"/>
      <c r="N111" s="95"/>
      <c r="O111" s="66"/>
      <c r="P111" s="96"/>
      <c r="Q111" s="97"/>
      <c r="R111" s="58"/>
      <c r="S111" s="69"/>
      <c r="T111" s="70"/>
      <c r="U111" s="66"/>
      <c r="V111" s="55"/>
      <c r="W111" s="55"/>
      <c r="X111" s="277"/>
    </row>
    <row r="112" spans="3:24" ht="65.099999999999994" customHeight="1">
      <c r="C112" s="90"/>
      <c r="D112" s="297"/>
      <c r="F112" s="92"/>
      <c r="G112" s="92"/>
      <c r="H112" s="92"/>
      <c r="I112" s="92"/>
      <c r="J112" s="92"/>
      <c r="K112" s="93"/>
      <c r="L112" s="94"/>
      <c r="M112" s="94"/>
      <c r="N112" s="95"/>
      <c r="O112" s="66"/>
      <c r="P112" s="96"/>
      <c r="Q112" s="97"/>
      <c r="R112" s="58"/>
      <c r="S112" s="69"/>
      <c r="T112" s="70"/>
      <c r="U112" s="66"/>
      <c r="V112" s="55"/>
      <c r="W112" s="55"/>
      <c r="X112" s="277"/>
    </row>
    <row r="113" spans="3:24" ht="65.099999999999994" customHeight="1">
      <c r="C113" s="90"/>
      <c r="D113" s="297"/>
      <c r="F113" s="92"/>
      <c r="G113" s="92"/>
      <c r="H113" s="92"/>
      <c r="I113" s="92"/>
      <c r="J113" s="92"/>
      <c r="K113" s="93"/>
      <c r="L113" s="94"/>
      <c r="M113" s="94"/>
      <c r="N113" s="95"/>
      <c r="O113" s="66"/>
      <c r="P113" s="96"/>
      <c r="Q113" s="97"/>
      <c r="R113" s="58"/>
      <c r="S113" s="69"/>
      <c r="T113" s="70"/>
      <c r="U113" s="66"/>
      <c r="V113" s="55"/>
      <c r="W113" s="55"/>
      <c r="X113" s="277"/>
    </row>
    <row r="114" spans="3:24" ht="65.099999999999994" customHeight="1">
      <c r="C114" s="90"/>
      <c r="D114" s="297"/>
      <c r="F114" s="92"/>
      <c r="G114" s="92"/>
      <c r="H114" s="92"/>
      <c r="I114" s="92"/>
      <c r="J114" s="92"/>
      <c r="K114" s="93"/>
      <c r="L114" s="94"/>
      <c r="M114" s="94"/>
      <c r="N114" s="95"/>
      <c r="O114" s="66"/>
      <c r="P114" s="96"/>
      <c r="Q114" s="97"/>
      <c r="R114" s="58"/>
      <c r="S114" s="69"/>
      <c r="T114" s="70"/>
      <c r="U114" s="66"/>
      <c r="V114" s="55"/>
      <c r="W114" s="55"/>
      <c r="X114" s="277"/>
    </row>
    <row r="115" spans="3:24" ht="65.099999999999994" customHeight="1">
      <c r="C115" s="90"/>
      <c r="D115" s="297"/>
      <c r="F115" s="92"/>
      <c r="G115" s="92"/>
      <c r="H115" s="92"/>
      <c r="I115" s="92"/>
      <c r="J115" s="92"/>
      <c r="K115" s="93"/>
      <c r="L115" s="94"/>
      <c r="M115" s="94"/>
      <c r="N115" s="95"/>
      <c r="O115" s="66"/>
      <c r="P115" s="96"/>
      <c r="Q115" s="97"/>
      <c r="R115" s="58"/>
      <c r="S115" s="69"/>
      <c r="T115" s="70"/>
      <c r="U115" s="66"/>
      <c r="V115" s="55"/>
      <c r="W115" s="55"/>
      <c r="X115" s="277"/>
    </row>
    <row r="116" spans="3:24" ht="65.099999999999994" customHeight="1">
      <c r="C116" s="90"/>
      <c r="D116" s="297"/>
      <c r="F116" s="92"/>
      <c r="G116" s="92"/>
      <c r="H116" s="92"/>
      <c r="I116" s="92"/>
      <c r="J116" s="92"/>
      <c r="K116" s="93"/>
      <c r="L116" s="94"/>
      <c r="M116" s="94"/>
      <c r="N116" s="95"/>
      <c r="O116" s="66"/>
      <c r="P116" s="96"/>
      <c r="Q116" s="97"/>
      <c r="R116" s="58"/>
      <c r="S116" s="69"/>
      <c r="T116" s="70"/>
      <c r="U116" s="66"/>
      <c r="V116" s="55"/>
      <c r="W116" s="55"/>
      <c r="X116" s="277"/>
    </row>
    <row r="117" spans="3:24" ht="65.099999999999994" customHeight="1">
      <c r="C117" s="90"/>
      <c r="D117" s="297"/>
      <c r="F117" s="92"/>
      <c r="G117" s="92"/>
      <c r="H117" s="92"/>
      <c r="I117" s="92"/>
      <c r="J117" s="92"/>
      <c r="K117" s="93"/>
      <c r="L117" s="94"/>
      <c r="M117" s="94"/>
      <c r="N117" s="95"/>
      <c r="O117" s="66"/>
      <c r="P117" s="96"/>
      <c r="Q117" s="97"/>
      <c r="R117" s="58"/>
      <c r="S117" s="69"/>
      <c r="T117" s="70"/>
      <c r="U117" s="66"/>
      <c r="V117" s="55"/>
      <c r="W117" s="55"/>
      <c r="X117" s="277"/>
    </row>
    <row r="118" spans="3:24" ht="65.099999999999994" customHeight="1">
      <c r="C118" s="90"/>
      <c r="D118" s="297"/>
      <c r="F118" s="92"/>
      <c r="G118" s="92"/>
      <c r="H118" s="92"/>
      <c r="I118" s="92"/>
      <c r="J118" s="92"/>
      <c r="K118" s="93"/>
      <c r="L118" s="94"/>
      <c r="M118" s="94"/>
      <c r="N118" s="95"/>
      <c r="O118" s="66"/>
      <c r="P118" s="96"/>
      <c r="Q118" s="97"/>
      <c r="R118" s="58"/>
      <c r="S118" s="69"/>
      <c r="T118" s="70"/>
      <c r="U118" s="66"/>
      <c r="V118" s="55"/>
      <c r="W118" s="55"/>
      <c r="X118" s="277"/>
    </row>
    <row r="119" spans="3:24" ht="65.099999999999994" customHeight="1">
      <c r="C119" s="90"/>
      <c r="D119" s="297"/>
      <c r="F119" s="92"/>
      <c r="G119" s="92"/>
      <c r="H119" s="92"/>
      <c r="I119" s="92"/>
      <c r="J119" s="92"/>
      <c r="K119" s="93"/>
      <c r="L119" s="94"/>
      <c r="M119" s="94"/>
      <c r="N119" s="95"/>
      <c r="O119" s="66"/>
      <c r="P119" s="96"/>
      <c r="Q119" s="97"/>
      <c r="R119" s="58"/>
      <c r="S119" s="69"/>
      <c r="T119" s="70"/>
      <c r="U119" s="66"/>
      <c r="V119" s="55"/>
      <c r="W119" s="55"/>
      <c r="X119" s="277"/>
    </row>
    <row r="120" spans="3:24" ht="65.099999999999994" customHeight="1">
      <c r="C120" s="90"/>
      <c r="D120" s="297"/>
      <c r="F120" s="92"/>
      <c r="G120" s="92"/>
      <c r="H120" s="92"/>
      <c r="I120" s="92"/>
      <c r="J120" s="92"/>
      <c r="K120" s="93"/>
      <c r="L120" s="94"/>
      <c r="M120" s="94"/>
      <c r="N120" s="95"/>
      <c r="O120" s="66"/>
      <c r="P120" s="96"/>
      <c r="Q120" s="97"/>
      <c r="R120" s="58"/>
      <c r="S120" s="69"/>
      <c r="T120" s="70"/>
      <c r="U120" s="66"/>
      <c r="V120" s="55"/>
      <c r="W120" s="55"/>
      <c r="X120" s="277"/>
    </row>
    <row r="121" spans="3:24" ht="65.099999999999994" customHeight="1">
      <c r="C121" s="90"/>
      <c r="D121" s="297"/>
      <c r="F121" s="92"/>
      <c r="G121" s="92"/>
      <c r="H121" s="92"/>
      <c r="I121" s="92"/>
      <c r="J121" s="92"/>
      <c r="K121" s="93"/>
      <c r="L121" s="94"/>
      <c r="M121" s="94"/>
      <c r="N121" s="95"/>
      <c r="O121" s="66"/>
      <c r="P121" s="96"/>
      <c r="Q121" s="97"/>
      <c r="R121" s="58"/>
      <c r="S121" s="69"/>
      <c r="T121" s="70"/>
      <c r="U121" s="66"/>
      <c r="V121" s="55"/>
      <c r="W121" s="55"/>
      <c r="X121" s="277"/>
    </row>
    <row r="122" spans="3:24" ht="65.099999999999994" customHeight="1">
      <c r="C122" s="90"/>
      <c r="D122" s="297"/>
      <c r="F122" s="92"/>
      <c r="G122" s="92"/>
      <c r="H122" s="92"/>
      <c r="I122" s="92"/>
      <c r="J122" s="92"/>
      <c r="K122" s="93"/>
      <c r="L122" s="94"/>
      <c r="M122" s="94"/>
      <c r="N122" s="95"/>
      <c r="O122" s="66"/>
      <c r="P122" s="96"/>
      <c r="Q122" s="97"/>
      <c r="R122" s="58"/>
      <c r="S122" s="69"/>
      <c r="T122" s="70"/>
      <c r="U122" s="66"/>
      <c r="V122" s="55"/>
      <c r="W122" s="55"/>
      <c r="X122" s="277"/>
    </row>
    <row r="123" spans="3:24" ht="65.099999999999994" customHeight="1">
      <c r="C123" s="90"/>
      <c r="D123" s="297"/>
      <c r="F123" s="92"/>
      <c r="G123" s="92"/>
      <c r="H123" s="92"/>
      <c r="I123" s="92"/>
      <c r="J123" s="92"/>
      <c r="K123" s="93"/>
      <c r="L123" s="94"/>
      <c r="M123" s="94"/>
      <c r="N123" s="95"/>
      <c r="O123" s="66"/>
      <c r="P123" s="96"/>
      <c r="Q123" s="97"/>
      <c r="R123" s="58"/>
      <c r="S123" s="69"/>
      <c r="T123" s="70"/>
      <c r="U123" s="66"/>
      <c r="V123" s="55"/>
      <c r="W123" s="55"/>
      <c r="X123" s="277"/>
    </row>
    <row r="124" spans="3:24" ht="65.099999999999994" customHeight="1">
      <c r="C124" s="90"/>
      <c r="D124" s="297"/>
      <c r="F124" s="92"/>
      <c r="G124" s="92"/>
      <c r="H124" s="92"/>
      <c r="I124" s="92"/>
      <c r="J124" s="92"/>
      <c r="K124" s="93"/>
      <c r="L124" s="94"/>
      <c r="M124" s="94"/>
      <c r="N124" s="95"/>
      <c r="O124" s="66"/>
      <c r="P124" s="96"/>
      <c r="Q124" s="97"/>
      <c r="R124" s="58"/>
      <c r="S124" s="69"/>
      <c r="T124" s="70"/>
      <c r="U124" s="66"/>
      <c r="V124" s="55"/>
      <c r="W124" s="55"/>
      <c r="X124" s="277"/>
    </row>
    <row r="125" spans="3:24" ht="65.099999999999994" customHeight="1">
      <c r="C125" s="90"/>
      <c r="D125" s="297"/>
      <c r="F125" s="92"/>
      <c r="G125" s="92"/>
      <c r="H125" s="92"/>
      <c r="I125" s="92"/>
      <c r="J125" s="92"/>
      <c r="K125" s="93"/>
      <c r="L125" s="94"/>
      <c r="M125" s="94"/>
      <c r="N125" s="95"/>
      <c r="O125" s="66"/>
      <c r="P125" s="96"/>
      <c r="Q125" s="97"/>
      <c r="R125" s="58"/>
      <c r="S125" s="69"/>
      <c r="T125" s="70"/>
      <c r="U125" s="66"/>
      <c r="V125" s="55"/>
      <c r="W125" s="55"/>
      <c r="X125" s="277"/>
    </row>
    <row r="126" spans="3:24" ht="65.099999999999994" customHeight="1">
      <c r="C126" s="90"/>
      <c r="D126" s="297"/>
      <c r="F126" s="92"/>
      <c r="G126" s="92"/>
      <c r="H126" s="92"/>
      <c r="I126" s="92"/>
      <c r="J126" s="92"/>
      <c r="K126" s="93"/>
      <c r="L126" s="94"/>
      <c r="M126" s="94"/>
      <c r="N126" s="95"/>
      <c r="O126" s="66"/>
      <c r="P126" s="96"/>
      <c r="Q126" s="97"/>
      <c r="R126" s="58"/>
      <c r="S126" s="69"/>
      <c r="T126" s="70"/>
      <c r="U126" s="66"/>
      <c r="V126" s="55"/>
      <c r="W126" s="55"/>
      <c r="X126" s="277"/>
    </row>
    <row r="127" spans="3:24" ht="65.099999999999994" customHeight="1">
      <c r="C127" s="90"/>
      <c r="D127" s="297"/>
      <c r="F127" s="92"/>
      <c r="G127" s="92"/>
      <c r="H127" s="92"/>
      <c r="I127" s="92"/>
      <c r="J127" s="92"/>
      <c r="K127" s="93"/>
      <c r="L127" s="94"/>
      <c r="M127" s="94"/>
      <c r="N127" s="95"/>
      <c r="O127" s="66"/>
      <c r="P127" s="96"/>
      <c r="Q127" s="97"/>
      <c r="R127" s="58"/>
      <c r="S127" s="69"/>
      <c r="T127" s="70"/>
      <c r="U127" s="66"/>
      <c r="V127" s="55"/>
      <c r="W127" s="55"/>
      <c r="X127" s="277"/>
    </row>
    <row r="128" spans="3:24" ht="65.099999999999994" customHeight="1">
      <c r="C128" s="90"/>
      <c r="D128" s="297"/>
      <c r="F128" s="92"/>
      <c r="G128" s="92"/>
      <c r="H128" s="92"/>
      <c r="I128" s="92"/>
      <c r="J128" s="92"/>
      <c r="K128" s="93"/>
      <c r="L128" s="94"/>
      <c r="M128" s="94"/>
      <c r="N128" s="95"/>
      <c r="O128" s="66"/>
      <c r="P128" s="96"/>
      <c r="Q128" s="97"/>
      <c r="R128" s="58"/>
      <c r="S128" s="69"/>
      <c r="T128" s="70"/>
      <c r="U128" s="66"/>
      <c r="V128" s="55"/>
      <c r="W128" s="55"/>
      <c r="X128" s="277"/>
    </row>
    <row r="129" spans="3:24" ht="65.099999999999994" customHeight="1">
      <c r="C129" s="90"/>
      <c r="D129" s="297"/>
      <c r="F129" s="92"/>
      <c r="G129" s="92"/>
      <c r="H129" s="92"/>
      <c r="I129" s="92"/>
      <c r="J129" s="92"/>
      <c r="K129" s="93"/>
      <c r="L129" s="94"/>
      <c r="M129" s="94"/>
      <c r="N129" s="95"/>
      <c r="O129" s="66"/>
      <c r="P129" s="96"/>
      <c r="Q129" s="97"/>
      <c r="R129" s="58"/>
      <c r="S129" s="69"/>
      <c r="T129" s="70"/>
      <c r="U129" s="66"/>
      <c r="V129" s="55"/>
      <c r="W129" s="55"/>
      <c r="X129" s="277"/>
    </row>
    <row r="130" spans="3:24" ht="65.099999999999994" customHeight="1">
      <c r="C130" s="90"/>
      <c r="D130" s="297"/>
      <c r="F130" s="92"/>
      <c r="G130" s="92"/>
      <c r="H130" s="92"/>
      <c r="I130" s="92"/>
      <c r="J130" s="92"/>
      <c r="K130" s="93"/>
      <c r="L130" s="94"/>
      <c r="M130" s="94"/>
      <c r="N130" s="95"/>
      <c r="O130" s="66"/>
      <c r="P130" s="96"/>
      <c r="Q130" s="97"/>
      <c r="R130" s="58"/>
      <c r="S130" s="69"/>
      <c r="T130" s="70"/>
      <c r="U130" s="66"/>
      <c r="V130" s="55"/>
      <c r="W130" s="55"/>
      <c r="X130" s="277"/>
    </row>
    <row r="131" spans="3:24" ht="65.099999999999994" customHeight="1">
      <c r="C131" s="90"/>
      <c r="D131" s="297"/>
      <c r="F131" s="92"/>
      <c r="G131" s="92"/>
      <c r="H131" s="92"/>
      <c r="I131" s="92"/>
      <c r="J131" s="92"/>
      <c r="K131" s="93"/>
      <c r="L131" s="94"/>
      <c r="M131" s="94"/>
      <c r="N131" s="95"/>
      <c r="O131" s="66"/>
      <c r="P131" s="96"/>
      <c r="Q131" s="97"/>
      <c r="R131" s="58"/>
      <c r="S131" s="69"/>
      <c r="T131" s="70"/>
      <c r="U131" s="66"/>
      <c r="V131" s="55"/>
      <c r="W131" s="55"/>
      <c r="X131" s="277"/>
    </row>
    <row r="132" spans="3:24" ht="65.099999999999994" customHeight="1">
      <c r="C132" s="90"/>
      <c r="D132" s="297"/>
      <c r="F132" s="92"/>
      <c r="G132" s="92"/>
      <c r="H132" s="92"/>
      <c r="I132" s="92"/>
      <c r="J132" s="92"/>
      <c r="K132" s="93"/>
      <c r="L132" s="94"/>
      <c r="M132" s="94"/>
      <c r="N132" s="95"/>
      <c r="O132" s="66"/>
      <c r="P132" s="96"/>
      <c r="Q132" s="97"/>
      <c r="R132" s="58"/>
      <c r="S132" s="69"/>
      <c r="T132" s="70"/>
      <c r="U132" s="66"/>
      <c r="V132" s="55"/>
      <c r="W132" s="55"/>
      <c r="X132" s="277"/>
    </row>
    <row r="133" spans="3:24" ht="65.099999999999994" customHeight="1">
      <c r="C133" s="90"/>
      <c r="D133" s="297"/>
      <c r="F133" s="92"/>
      <c r="G133" s="92"/>
      <c r="H133" s="92"/>
      <c r="I133" s="92"/>
      <c r="J133" s="92"/>
      <c r="K133" s="93"/>
      <c r="L133" s="94"/>
      <c r="M133" s="94"/>
      <c r="N133" s="95"/>
      <c r="O133" s="66"/>
      <c r="P133" s="96"/>
      <c r="Q133" s="97"/>
      <c r="R133" s="58"/>
      <c r="S133" s="69"/>
      <c r="T133" s="70"/>
      <c r="U133" s="66"/>
      <c r="V133" s="55"/>
      <c r="W133" s="55"/>
      <c r="X133" s="277"/>
    </row>
    <row r="134" spans="3:24" ht="65.099999999999994" customHeight="1">
      <c r="C134" s="90"/>
      <c r="D134" s="297"/>
      <c r="F134" s="92"/>
      <c r="G134" s="92"/>
      <c r="H134" s="92"/>
      <c r="I134" s="92"/>
      <c r="J134" s="92"/>
      <c r="K134" s="93"/>
      <c r="L134" s="94"/>
      <c r="M134" s="94"/>
      <c r="N134" s="95"/>
      <c r="O134" s="66"/>
      <c r="P134" s="96"/>
      <c r="Q134" s="97"/>
      <c r="R134" s="58"/>
      <c r="S134" s="69"/>
      <c r="T134" s="70"/>
      <c r="U134" s="66"/>
      <c r="V134" s="55"/>
      <c r="W134" s="55"/>
      <c r="X134" s="277"/>
    </row>
    <row r="135" spans="3:24" ht="65.099999999999994" customHeight="1">
      <c r="C135" s="90"/>
      <c r="D135" s="297"/>
      <c r="F135" s="92"/>
      <c r="G135" s="92"/>
      <c r="H135" s="92"/>
      <c r="I135" s="92"/>
      <c r="J135" s="92"/>
      <c r="K135" s="93"/>
      <c r="L135" s="94"/>
      <c r="M135" s="94"/>
      <c r="N135" s="95"/>
      <c r="O135" s="66"/>
      <c r="P135" s="96"/>
      <c r="Q135" s="97"/>
      <c r="R135" s="58"/>
      <c r="S135" s="69"/>
      <c r="T135" s="70"/>
      <c r="U135" s="66"/>
      <c r="V135" s="55"/>
      <c r="W135" s="55"/>
      <c r="X135" s="277"/>
    </row>
    <row r="136" spans="3:24" ht="65.099999999999994" customHeight="1">
      <c r="C136" s="90"/>
      <c r="D136" s="297"/>
      <c r="F136" s="92"/>
      <c r="G136" s="92"/>
      <c r="H136" s="92"/>
      <c r="I136" s="92"/>
      <c r="J136" s="92"/>
      <c r="K136" s="93"/>
      <c r="L136" s="94"/>
      <c r="M136" s="94"/>
      <c r="N136" s="95"/>
      <c r="O136" s="66"/>
      <c r="P136" s="96"/>
      <c r="Q136" s="97"/>
      <c r="R136" s="58"/>
      <c r="S136" s="69"/>
      <c r="T136" s="70"/>
      <c r="U136" s="66"/>
      <c r="V136" s="55"/>
      <c r="W136" s="55"/>
      <c r="X136" s="277"/>
    </row>
    <row r="137" spans="3:24" ht="65.099999999999994" customHeight="1">
      <c r="C137" s="90"/>
      <c r="D137" s="297"/>
      <c r="F137" s="92"/>
      <c r="G137" s="92"/>
      <c r="H137" s="92"/>
      <c r="I137" s="92"/>
      <c r="J137" s="92"/>
      <c r="K137" s="93"/>
      <c r="L137" s="94"/>
      <c r="M137" s="94"/>
      <c r="N137" s="95"/>
      <c r="O137" s="66"/>
      <c r="P137" s="96"/>
      <c r="Q137" s="97"/>
      <c r="R137" s="58"/>
      <c r="S137" s="69"/>
      <c r="T137" s="70"/>
      <c r="U137" s="66"/>
      <c r="V137" s="55"/>
      <c r="W137" s="55"/>
      <c r="X137" s="277"/>
    </row>
    <row r="138" spans="3:24" ht="65.099999999999994" customHeight="1">
      <c r="C138" s="90"/>
      <c r="D138" s="297"/>
      <c r="F138" s="92"/>
      <c r="G138" s="92"/>
      <c r="H138" s="92"/>
      <c r="I138" s="92"/>
      <c r="J138" s="92"/>
      <c r="K138" s="93"/>
      <c r="L138" s="94"/>
      <c r="M138" s="94"/>
      <c r="N138" s="95"/>
      <c r="O138" s="66"/>
      <c r="P138" s="96"/>
      <c r="Q138" s="97"/>
      <c r="R138" s="58"/>
      <c r="S138" s="69"/>
      <c r="T138" s="70"/>
      <c r="U138" s="66"/>
      <c r="V138" s="55"/>
      <c r="W138" s="55"/>
      <c r="X138" s="277"/>
    </row>
    <row r="139" spans="3:24" ht="65.099999999999994" customHeight="1">
      <c r="C139" s="90"/>
      <c r="D139" s="297"/>
      <c r="F139" s="92"/>
      <c r="G139" s="92"/>
      <c r="H139" s="92"/>
      <c r="I139" s="92"/>
      <c r="J139" s="92"/>
      <c r="K139" s="93"/>
      <c r="L139" s="94"/>
      <c r="M139" s="94"/>
      <c r="N139" s="95"/>
      <c r="O139" s="66"/>
      <c r="P139" s="96"/>
      <c r="Q139" s="97"/>
      <c r="R139" s="58"/>
      <c r="S139" s="69"/>
      <c r="T139" s="70"/>
      <c r="U139" s="66"/>
      <c r="V139" s="55"/>
      <c r="W139" s="55"/>
      <c r="X139" s="277"/>
    </row>
    <row r="140" spans="3:24" ht="65.099999999999994" customHeight="1">
      <c r="C140" s="90"/>
      <c r="D140" s="297"/>
      <c r="F140" s="92"/>
      <c r="G140" s="92"/>
      <c r="H140" s="92"/>
      <c r="I140" s="92"/>
      <c r="J140" s="92"/>
      <c r="K140" s="93"/>
      <c r="L140" s="94"/>
      <c r="M140" s="94"/>
      <c r="N140" s="95"/>
      <c r="O140" s="66"/>
      <c r="P140" s="96"/>
      <c r="Q140" s="97"/>
      <c r="R140" s="58"/>
      <c r="S140" s="69"/>
      <c r="T140" s="70"/>
      <c r="U140" s="66"/>
      <c r="V140" s="55"/>
      <c r="W140" s="55"/>
      <c r="X140" s="277"/>
    </row>
    <row r="141" spans="3:24" ht="65.099999999999994" customHeight="1">
      <c r="C141" s="90"/>
      <c r="D141" s="297"/>
      <c r="F141" s="92"/>
      <c r="G141" s="92"/>
      <c r="H141" s="92"/>
      <c r="I141" s="92"/>
      <c r="J141" s="92"/>
      <c r="K141" s="93"/>
      <c r="L141" s="94"/>
      <c r="M141" s="94"/>
      <c r="N141" s="95"/>
      <c r="O141" s="66"/>
      <c r="P141" s="96"/>
      <c r="Q141" s="97"/>
      <c r="R141" s="58"/>
      <c r="S141" s="69"/>
      <c r="T141" s="70"/>
      <c r="U141" s="66"/>
      <c r="V141" s="55"/>
      <c r="W141" s="55"/>
      <c r="X141" s="277"/>
    </row>
    <row r="142" spans="3:24" ht="65.099999999999994" customHeight="1">
      <c r="C142" s="90"/>
      <c r="D142" s="297"/>
      <c r="F142" s="92"/>
      <c r="G142" s="92"/>
      <c r="H142" s="92"/>
      <c r="I142" s="92"/>
      <c r="J142" s="92"/>
      <c r="K142" s="93"/>
      <c r="L142" s="94"/>
      <c r="M142" s="94"/>
      <c r="N142" s="95"/>
      <c r="O142" s="66"/>
      <c r="P142" s="96"/>
      <c r="Q142" s="97"/>
      <c r="R142" s="58"/>
      <c r="S142" s="69"/>
      <c r="T142" s="70"/>
      <c r="U142" s="66"/>
      <c r="V142" s="55"/>
      <c r="W142" s="55"/>
      <c r="X142" s="277"/>
    </row>
    <row r="143" spans="3:24" ht="65.099999999999994" customHeight="1">
      <c r="C143" s="90"/>
      <c r="D143" s="297"/>
      <c r="F143" s="92"/>
      <c r="G143" s="92"/>
      <c r="H143" s="92"/>
      <c r="I143" s="92"/>
      <c r="J143" s="92"/>
      <c r="K143" s="93"/>
      <c r="L143" s="94"/>
      <c r="M143" s="94"/>
      <c r="N143" s="95"/>
      <c r="O143" s="66"/>
      <c r="P143" s="96"/>
      <c r="Q143" s="97"/>
      <c r="R143" s="58"/>
      <c r="S143" s="69"/>
      <c r="T143" s="70"/>
      <c r="U143" s="66"/>
      <c r="V143" s="55"/>
      <c r="W143" s="55"/>
      <c r="X143" s="277"/>
    </row>
    <row r="144" spans="3:24" ht="65.099999999999994" customHeight="1">
      <c r="C144" s="90"/>
      <c r="D144" s="297"/>
      <c r="F144" s="92"/>
      <c r="G144" s="92"/>
      <c r="H144" s="92"/>
      <c r="I144" s="92"/>
      <c r="J144" s="92"/>
      <c r="K144" s="93"/>
      <c r="L144" s="94"/>
      <c r="M144" s="94"/>
      <c r="N144" s="95"/>
      <c r="O144" s="66"/>
      <c r="P144" s="96"/>
      <c r="Q144" s="97"/>
      <c r="R144" s="58"/>
      <c r="S144" s="69"/>
      <c r="T144" s="70"/>
      <c r="U144" s="66"/>
      <c r="V144" s="55"/>
      <c r="W144" s="55"/>
      <c r="X144" s="277"/>
    </row>
    <row r="145" spans="3:24" ht="65.099999999999994" customHeight="1">
      <c r="C145" s="90"/>
      <c r="D145" s="297"/>
      <c r="F145" s="92"/>
      <c r="G145" s="92"/>
      <c r="H145" s="92"/>
      <c r="I145" s="92"/>
      <c r="J145" s="92"/>
      <c r="K145" s="93"/>
      <c r="L145" s="94"/>
      <c r="M145" s="94"/>
      <c r="N145" s="95"/>
      <c r="O145" s="66"/>
      <c r="P145" s="96"/>
      <c r="Q145" s="97"/>
      <c r="R145" s="58"/>
      <c r="S145" s="69"/>
      <c r="T145" s="70"/>
      <c r="U145" s="66"/>
      <c r="V145" s="55"/>
      <c r="W145" s="55"/>
      <c r="X145" s="277"/>
    </row>
    <row r="146" spans="3:24" ht="65.099999999999994" customHeight="1">
      <c r="C146" s="90"/>
      <c r="D146" s="297"/>
      <c r="F146" s="92"/>
      <c r="G146" s="92"/>
      <c r="H146" s="92"/>
      <c r="I146" s="92"/>
      <c r="J146" s="92"/>
      <c r="K146" s="93"/>
      <c r="L146" s="94"/>
      <c r="M146" s="94"/>
      <c r="N146" s="95"/>
      <c r="O146" s="66"/>
      <c r="P146" s="96"/>
      <c r="Q146" s="97"/>
      <c r="R146" s="58"/>
      <c r="S146" s="69"/>
      <c r="T146" s="70"/>
      <c r="U146" s="66"/>
      <c r="V146" s="55"/>
      <c r="W146" s="55"/>
      <c r="X146" s="277"/>
    </row>
    <row r="147" spans="3:24" ht="65.099999999999994" customHeight="1">
      <c r="C147" s="90"/>
      <c r="D147" s="297"/>
      <c r="F147" s="92"/>
      <c r="G147" s="92"/>
      <c r="H147" s="92"/>
      <c r="I147" s="92"/>
      <c r="J147" s="92"/>
      <c r="K147" s="93"/>
      <c r="L147" s="94"/>
      <c r="M147" s="94"/>
      <c r="N147" s="95"/>
      <c r="O147" s="66"/>
      <c r="P147" s="96"/>
      <c r="Q147" s="97"/>
      <c r="R147" s="58"/>
      <c r="S147" s="69"/>
      <c r="T147" s="70"/>
      <c r="U147" s="66"/>
      <c r="V147" s="55"/>
      <c r="W147" s="55"/>
      <c r="X147" s="277"/>
    </row>
    <row r="148" spans="3:24" ht="65.099999999999994" customHeight="1">
      <c r="C148" s="90"/>
      <c r="D148" s="297"/>
      <c r="F148" s="92"/>
      <c r="G148" s="92"/>
      <c r="H148" s="92"/>
      <c r="I148" s="92"/>
      <c r="J148" s="92"/>
      <c r="K148" s="93"/>
      <c r="L148" s="94"/>
      <c r="M148" s="94"/>
      <c r="N148" s="95"/>
      <c r="O148" s="66"/>
      <c r="P148" s="96"/>
      <c r="Q148" s="97"/>
      <c r="R148" s="58"/>
      <c r="S148" s="69"/>
      <c r="T148" s="70"/>
      <c r="U148" s="66"/>
      <c r="V148" s="55"/>
      <c r="W148" s="55"/>
      <c r="X148" s="277"/>
    </row>
    <row r="149" spans="3:24" ht="65.099999999999994" customHeight="1">
      <c r="C149" s="90"/>
      <c r="D149" s="297"/>
      <c r="F149" s="92"/>
      <c r="G149" s="92"/>
      <c r="H149" s="92"/>
      <c r="I149" s="92"/>
      <c r="J149" s="92"/>
      <c r="K149" s="93"/>
      <c r="L149" s="94"/>
      <c r="M149" s="94"/>
      <c r="N149" s="95"/>
      <c r="O149" s="66"/>
      <c r="P149" s="96"/>
      <c r="Q149" s="97"/>
      <c r="R149" s="58"/>
      <c r="S149" s="69"/>
      <c r="T149" s="70"/>
      <c r="U149" s="66"/>
      <c r="V149" s="55"/>
      <c r="W149" s="55"/>
      <c r="X149" s="277"/>
    </row>
    <row r="150" spans="3:24" ht="65.099999999999994" customHeight="1">
      <c r="C150" s="90"/>
      <c r="D150" s="297"/>
      <c r="F150" s="92"/>
      <c r="G150" s="92"/>
      <c r="H150" s="92"/>
      <c r="I150" s="92"/>
      <c r="J150" s="92"/>
      <c r="K150" s="93"/>
      <c r="L150" s="94"/>
      <c r="M150" s="94"/>
      <c r="N150" s="95"/>
      <c r="O150" s="66"/>
      <c r="P150" s="96"/>
      <c r="Q150" s="97"/>
      <c r="R150" s="58"/>
      <c r="S150" s="69"/>
      <c r="T150" s="70"/>
      <c r="U150" s="66"/>
      <c r="V150" s="55"/>
      <c r="W150" s="55"/>
      <c r="X150" s="277"/>
    </row>
    <row r="151" spans="3:24" ht="65.099999999999994" customHeight="1">
      <c r="C151" s="90"/>
      <c r="D151" s="297"/>
      <c r="F151" s="92"/>
      <c r="G151" s="92"/>
      <c r="H151" s="92"/>
      <c r="I151" s="92"/>
      <c r="J151" s="92"/>
      <c r="K151" s="93"/>
      <c r="L151" s="94"/>
      <c r="M151" s="94"/>
      <c r="N151" s="95"/>
      <c r="O151" s="66"/>
      <c r="P151" s="96"/>
      <c r="Q151" s="97"/>
      <c r="R151" s="58"/>
      <c r="S151" s="69"/>
      <c r="T151" s="70"/>
      <c r="U151" s="66"/>
      <c r="V151" s="55"/>
      <c r="W151" s="55"/>
      <c r="X151" s="277"/>
    </row>
    <row r="152" spans="3:24" ht="65.099999999999994" customHeight="1">
      <c r="C152" s="90"/>
      <c r="D152" s="297"/>
      <c r="F152" s="92"/>
      <c r="G152" s="92"/>
      <c r="H152" s="92"/>
      <c r="I152" s="92"/>
      <c r="J152" s="92"/>
      <c r="K152" s="93"/>
      <c r="L152" s="94"/>
      <c r="M152" s="94"/>
      <c r="N152" s="95"/>
      <c r="O152" s="66"/>
      <c r="P152" s="96"/>
      <c r="Q152" s="97"/>
      <c r="R152" s="58"/>
      <c r="S152" s="69"/>
      <c r="T152" s="70"/>
      <c r="U152" s="66"/>
      <c r="V152" s="55"/>
      <c r="W152" s="55"/>
      <c r="X152" s="277"/>
    </row>
    <row r="153" spans="3:24" ht="65.099999999999994" customHeight="1">
      <c r="C153" s="90"/>
      <c r="D153" s="297"/>
      <c r="F153" s="92"/>
      <c r="G153" s="92"/>
      <c r="H153" s="92"/>
      <c r="I153" s="92"/>
      <c r="J153" s="92"/>
      <c r="K153" s="93"/>
      <c r="L153" s="94"/>
      <c r="M153" s="94"/>
      <c r="N153" s="95"/>
      <c r="O153" s="66"/>
      <c r="P153" s="96"/>
      <c r="Q153" s="97"/>
      <c r="R153" s="58"/>
      <c r="S153" s="69"/>
      <c r="T153" s="70"/>
      <c r="U153" s="66"/>
      <c r="V153" s="55"/>
      <c r="W153" s="55"/>
      <c r="X153" s="277"/>
    </row>
    <row r="154" spans="3:24" ht="65.099999999999994" customHeight="1">
      <c r="C154" s="90"/>
      <c r="D154" s="297"/>
      <c r="F154" s="92"/>
      <c r="G154" s="92"/>
      <c r="H154" s="92"/>
      <c r="I154" s="92"/>
      <c r="J154" s="92"/>
      <c r="K154" s="93"/>
      <c r="L154" s="94"/>
      <c r="M154" s="94"/>
      <c r="N154" s="95"/>
      <c r="O154" s="66"/>
      <c r="P154" s="96"/>
      <c r="Q154" s="97"/>
      <c r="R154" s="58"/>
      <c r="S154" s="69"/>
      <c r="T154" s="70"/>
      <c r="U154" s="66"/>
      <c r="V154" s="55"/>
      <c r="W154" s="55"/>
      <c r="X154" s="277"/>
    </row>
    <row r="155" spans="3:24" ht="65.099999999999994" customHeight="1">
      <c r="C155" s="90"/>
      <c r="D155" s="297"/>
      <c r="F155" s="92"/>
      <c r="G155" s="92"/>
      <c r="H155" s="92"/>
      <c r="I155" s="92"/>
      <c r="J155" s="92"/>
      <c r="K155" s="93"/>
      <c r="L155" s="94"/>
      <c r="M155" s="94"/>
      <c r="N155" s="95"/>
      <c r="O155" s="66"/>
      <c r="P155" s="96"/>
      <c r="Q155" s="97"/>
      <c r="R155" s="58"/>
      <c r="S155" s="69"/>
      <c r="T155" s="70"/>
      <c r="U155" s="66"/>
      <c r="V155" s="55"/>
      <c r="W155" s="55"/>
      <c r="X155" s="277"/>
    </row>
    <row r="156" spans="3:24" ht="65.099999999999994" customHeight="1">
      <c r="C156" s="90"/>
      <c r="D156" s="297"/>
      <c r="F156" s="92"/>
      <c r="G156" s="92"/>
      <c r="H156" s="92"/>
      <c r="I156" s="92"/>
      <c r="J156" s="92"/>
      <c r="K156" s="93"/>
      <c r="L156" s="94"/>
      <c r="M156" s="94"/>
      <c r="N156" s="95"/>
      <c r="O156" s="66"/>
      <c r="P156" s="96"/>
      <c r="Q156" s="97"/>
      <c r="R156" s="58"/>
      <c r="S156" s="69"/>
      <c r="T156" s="70"/>
      <c r="U156" s="66"/>
      <c r="V156" s="55"/>
      <c r="W156" s="55"/>
      <c r="X156" s="277"/>
    </row>
    <row r="157" spans="3:24" ht="65.099999999999994" customHeight="1">
      <c r="C157" s="90"/>
      <c r="D157" s="297"/>
      <c r="F157" s="92"/>
      <c r="G157" s="92"/>
      <c r="H157" s="92"/>
      <c r="I157" s="92"/>
      <c r="J157" s="92"/>
      <c r="K157" s="93"/>
      <c r="L157" s="94"/>
      <c r="M157" s="94"/>
      <c r="N157" s="95"/>
      <c r="O157" s="66"/>
      <c r="P157" s="96"/>
      <c r="Q157" s="97"/>
      <c r="R157" s="58"/>
      <c r="S157" s="69"/>
      <c r="T157" s="70"/>
      <c r="U157" s="66"/>
      <c r="V157" s="55"/>
      <c r="W157" s="55"/>
      <c r="X157" s="277"/>
    </row>
    <row r="158" spans="3:24" ht="65.099999999999994" customHeight="1">
      <c r="C158" s="90"/>
      <c r="D158" s="297"/>
      <c r="F158" s="92"/>
      <c r="G158" s="92"/>
      <c r="H158" s="92"/>
      <c r="I158" s="92"/>
      <c r="J158" s="92"/>
      <c r="K158" s="93"/>
      <c r="L158" s="94"/>
      <c r="M158" s="94"/>
      <c r="N158" s="95"/>
      <c r="O158" s="66"/>
      <c r="P158" s="96"/>
      <c r="Q158" s="97"/>
      <c r="R158" s="58"/>
      <c r="S158" s="69"/>
      <c r="T158" s="70"/>
      <c r="U158" s="66"/>
      <c r="V158" s="55"/>
      <c r="W158" s="55"/>
      <c r="X158" s="277"/>
    </row>
    <row r="159" spans="3:24" ht="65.099999999999994" customHeight="1">
      <c r="C159" s="90"/>
      <c r="D159" s="297"/>
      <c r="F159" s="92"/>
      <c r="G159" s="92"/>
      <c r="H159" s="92"/>
      <c r="I159" s="92"/>
      <c r="J159" s="92"/>
      <c r="K159" s="93"/>
      <c r="L159" s="94"/>
      <c r="M159" s="94"/>
      <c r="N159" s="95"/>
      <c r="O159" s="66"/>
      <c r="P159" s="96"/>
      <c r="Q159" s="97"/>
      <c r="R159" s="58"/>
      <c r="S159" s="69"/>
      <c r="T159" s="70"/>
      <c r="U159" s="66"/>
      <c r="V159" s="55"/>
      <c r="W159" s="55"/>
      <c r="X159" s="277"/>
    </row>
    <row r="160" spans="3:24" ht="65.099999999999994" customHeight="1">
      <c r="C160" s="90"/>
      <c r="D160" s="297"/>
      <c r="F160" s="92"/>
      <c r="G160" s="92"/>
      <c r="H160" s="92"/>
      <c r="I160" s="92"/>
      <c r="J160" s="92"/>
      <c r="K160" s="93"/>
      <c r="L160" s="94"/>
      <c r="M160" s="94"/>
      <c r="N160" s="95"/>
      <c r="O160" s="66"/>
      <c r="P160" s="96"/>
      <c r="Q160" s="97"/>
      <c r="R160" s="58"/>
      <c r="S160" s="69"/>
      <c r="T160" s="70"/>
      <c r="U160" s="66"/>
      <c r="V160" s="55"/>
      <c r="W160" s="55"/>
      <c r="X160" s="277"/>
    </row>
    <row r="161" spans="3:24" ht="65.099999999999994" customHeight="1">
      <c r="C161" s="90"/>
      <c r="D161" s="297"/>
      <c r="F161" s="92"/>
      <c r="G161" s="92"/>
      <c r="H161" s="92"/>
      <c r="I161" s="92"/>
      <c r="J161" s="92"/>
      <c r="K161" s="93"/>
      <c r="L161" s="94"/>
      <c r="M161" s="94"/>
      <c r="N161" s="95"/>
      <c r="O161" s="66"/>
      <c r="P161" s="96"/>
      <c r="Q161" s="97"/>
      <c r="R161" s="58"/>
      <c r="S161" s="69"/>
      <c r="T161" s="70"/>
      <c r="U161" s="66"/>
      <c r="V161" s="55"/>
      <c r="W161" s="55"/>
      <c r="X161" s="277"/>
    </row>
    <row r="162" spans="3:24" ht="65.099999999999994" customHeight="1">
      <c r="C162" s="90"/>
      <c r="D162" s="297"/>
      <c r="F162" s="92"/>
      <c r="G162" s="92"/>
      <c r="H162" s="92"/>
      <c r="I162" s="92"/>
      <c r="J162" s="92"/>
      <c r="K162" s="93"/>
      <c r="L162" s="94"/>
      <c r="M162" s="94"/>
      <c r="N162" s="95"/>
      <c r="O162" s="66"/>
      <c r="P162" s="96"/>
      <c r="Q162" s="97"/>
      <c r="R162" s="58"/>
      <c r="S162" s="69"/>
      <c r="T162" s="70"/>
      <c r="U162" s="66"/>
      <c r="V162" s="55"/>
      <c r="W162" s="55"/>
      <c r="X162" s="277"/>
    </row>
    <row r="163" spans="3:24" ht="65.099999999999994" customHeight="1">
      <c r="C163" s="90"/>
      <c r="D163" s="297"/>
      <c r="F163" s="92"/>
      <c r="G163" s="92"/>
      <c r="H163" s="92"/>
      <c r="I163" s="92"/>
      <c r="J163" s="92"/>
      <c r="K163" s="93"/>
      <c r="L163" s="94"/>
      <c r="M163" s="94"/>
      <c r="N163" s="95"/>
      <c r="O163" s="66"/>
      <c r="P163" s="96"/>
      <c r="Q163" s="97"/>
      <c r="R163" s="58"/>
      <c r="S163" s="69"/>
      <c r="T163" s="70"/>
      <c r="U163" s="66"/>
      <c r="V163" s="55"/>
      <c r="W163" s="55"/>
      <c r="X163" s="277"/>
    </row>
    <row r="164" spans="3:24" ht="65.099999999999994" customHeight="1">
      <c r="C164" s="90"/>
      <c r="D164" s="297"/>
      <c r="F164" s="92"/>
      <c r="G164" s="92"/>
      <c r="H164" s="92"/>
      <c r="I164" s="92"/>
      <c r="J164" s="92"/>
      <c r="K164" s="93"/>
      <c r="L164" s="94"/>
      <c r="M164" s="94"/>
      <c r="N164" s="95"/>
      <c r="O164" s="66"/>
      <c r="P164" s="96"/>
      <c r="Q164" s="97"/>
      <c r="R164" s="58"/>
      <c r="S164" s="69"/>
      <c r="T164" s="70"/>
      <c r="U164" s="66"/>
      <c r="V164" s="55"/>
      <c r="W164" s="55"/>
      <c r="X164" s="277"/>
    </row>
    <row r="165" spans="3:24" ht="65.099999999999994" customHeight="1">
      <c r="C165" s="90"/>
      <c r="D165" s="297"/>
      <c r="F165" s="92"/>
      <c r="G165" s="92"/>
      <c r="H165" s="92"/>
      <c r="I165" s="92"/>
      <c r="J165" s="92"/>
      <c r="K165" s="93"/>
      <c r="L165" s="94"/>
      <c r="M165" s="94"/>
      <c r="N165" s="95"/>
      <c r="O165" s="66"/>
      <c r="P165" s="96"/>
      <c r="Q165" s="97"/>
      <c r="R165" s="58"/>
      <c r="S165" s="69"/>
      <c r="T165" s="70"/>
      <c r="U165" s="66"/>
      <c r="V165" s="55"/>
      <c r="W165" s="55"/>
      <c r="X165" s="277"/>
    </row>
    <row r="166" spans="3:24" ht="65.099999999999994" customHeight="1">
      <c r="C166" s="90"/>
      <c r="D166" s="297"/>
      <c r="F166" s="92"/>
      <c r="G166" s="92"/>
      <c r="H166" s="92"/>
      <c r="I166" s="92"/>
      <c r="J166" s="92"/>
      <c r="K166" s="93"/>
      <c r="L166" s="94"/>
      <c r="M166" s="94"/>
      <c r="N166" s="95"/>
      <c r="O166" s="66"/>
      <c r="P166" s="96"/>
      <c r="Q166" s="97"/>
      <c r="R166" s="58"/>
      <c r="S166" s="69"/>
      <c r="T166" s="70"/>
      <c r="U166" s="66"/>
      <c r="V166" s="55"/>
      <c r="W166" s="55"/>
      <c r="X166" s="277"/>
    </row>
    <row r="167" spans="3:24" ht="65.099999999999994" customHeight="1">
      <c r="C167" s="90"/>
      <c r="D167" s="297"/>
      <c r="F167" s="92"/>
      <c r="G167" s="92"/>
      <c r="H167" s="92"/>
      <c r="I167" s="92"/>
      <c r="J167" s="92"/>
      <c r="K167" s="93"/>
      <c r="L167" s="94"/>
      <c r="M167" s="94"/>
      <c r="N167" s="95"/>
      <c r="O167" s="66"/>
      <c r="P167" s="96"/>
      <c r="Q167" s="97"/>
      <c r="R167" s="58"/>
      <c r="S167" s="69"/>
      <c r="T167" s="70"/>
      <c r="U167" s="66"/>
      <c r="V167" s="55"/>
      <c r="W167" s="55"/>
      <c r="X167" s="277"/>
    </row>
    <row r="168" spans="3:24" ht="65.099999999999994" customHeight="1">
      <c r="C168" s="90"/>
      <c r="D168" s="297"/>
      <c r="F168" s="92"/>
      <c r="G168" s="92"/>
      <c r="H168" s="92"/>
      <c r="I168" s="92"/>
      <c r="J168" s="92"/>
      <c r="K168" s="93"/>
      <c r="L168" s="94"/>
      <c r="M168" s="94"/>
      <c r="N168" s="95"/>
      <c r="O168" s="66"/>
      <c r="P168" s="96"/>
      <c r="Q168" s="97"/>
      <c r="R168" s="58"/>
      <c r="S168" s="69"/>
      <c r="T168" s="70"/>
      <c r="U168" s="66"/>
      <c r="V168" s="55"/>
      <c r="W168" s="55"/>
      <c r="X168" s="277"/>
    </row>
    <row r="169" spans="3:24" ht="65.099999999999994" customHeight="1">
      <c r="C169" s="90"/>
      <c r="D169" s="297"/>
      <c r="F169" s="92"/>
      <c r="G169" s="92"/>
      <c r="H169" s="92"/>
      <c r="I169" s="92"/>
      <c r="J169" s="92"/>
      <c r="K169" s="93"/>
      <c r="L169" s="94"/>
      <c r="M169" s="94"/>
      <c r="N169" s="95"/>
      <c r="O169" s="66"/>
      <c r="P169" s="96"/>
      <c r="Q169" s="97"/>
      <c r="R169" s="58"/>
      <c r="S169" s="69"/>
      <c r="T169" s="70"/>
      <c r="U169" s="66"/>
      <c r="V169" s="55"/>
      <c r="W169" s="55"/>
      <c r="X169" s="277"/>
    </row>
    <row r="170" spans="3:24" ht="65.099999999999994" customHeight="1">
      <c r="C170" s="90"/>
      <c r="D170" s="297"/>
      <c r="F170" s="92"/>
      <c r="G170" s="92"/>
      <c r="H170" s="92"/>
      <c r="I170" s="92"/>
      <c r="J170" s="92"/>
      <c r="K170" s="93"/>
      <c r="L170" s="94"/>
      <c r="M170" s="94"/>
      <c r="N170" s="95"/>
      <c r="O170" s="66"/>
      <c r="P170" s="96"/>
      <c r="Q170" s="97"/>
      <c r="R170" s="58"/>
      <c r="S170" s="69"/>
      <c r="T170" s="70"/>
      <c r="U170" s="66"/>
      <c r="V170" s="55"/>
      <c r="W170" s="55"/>
      <c r="X170" s="277"/>
    </row>
    <row r="171" spans="3:24" ht="65.099999999999994" customHeight="1">
      <c r="C171" s="90"/>
      <c r="D171" s="297"/>
      <c r="F171" s="92"/>
      <c r="G171" s="92"/>
      <c r="H171" s="92"/>
      <c r="I171" s="92"/>
      <c r="J171" s="92"/>
      <c r="K171" s="93"/>
      <c r="L171" s="94"/>
      <c r="M171" s="94"/>
      <c r="N171" s="95"/>
      <c r="O171" s="66"/>
      <c r="P171" s="96"/>
      <c r="Q171" s="97"/>
      <c r="R171" s="58"/>
      <c r="S171" s="69"/>
      <c r="T171" s="70"/>
      <c r="U171" s="66"/>
      <c r="V171" s="55"/>
      <c r="W171" s="55"/>
      <c r="X171" s="277"/>
    </row>
    <row r="172" spans="3:24" ht="65.099999999999994" customHeight="1">
      <c r="C172" s="90"/>
      <c r="D172" s="297"/>
      <c r="F172" s="92"/>
      <c r="G172" s="92"/>
      <c r="H172" s="92"/>
      <c r="I172" s="92"/>
      <c r="J172" s="92"/>
      <c r="K172" s="93"/>
      <c r="L172" s="94"/>
      <c r="M172" s="94"/>
      <c r="N172" s="95"/>
      <c r="O172" s="66"/>
      <c r="P172" s="96"/>
      <c r="Q172" s="97"/>
      <c r="R172" s="58"/>
      <c r="S172" s="69"/>
      <c r="T172" s="70"/>
      <c r="U172" s="66"/>
      <c r="V172" s="55"/>
      <c r="W172" s="55"/>
      <c r="X172" s="277"/>
    </row>
    <row r="173" spans="3:24" ht="65.099999999999994" customHeight="1">
      <c r="C173" s="90"/>
      <c r="D173" s="297"/>
      <c r="F173" s="92"/>
      <c r="G173" s="92"/>
      <c r="H173" s="92"/>
      <c r="I173" s="92"/>
      <c r="J173" s="92"/>
      <c r="K173" s="93"/>
      <c r="L173" s="94"/>
      <c r="M173" s="94"/>
      <c r="N173" s="95"/>
      <c r="O173" s="66"/>
      <c r="P173" s="96"/>
      <c r="Q173" s="97"/>
      <c r="R173" s="58"/>
      <c r="S173" s="69"/>
      <c r="T173" s="70"/>
      <c r="U173" s="66"/>
      <c r="V173" s="55"/>
      <c r="W173" s="55"/>
      <c r="X173" s="277"/>
    </row>
    <row r="174" spans="3:24" ht="65.099999999999994" customHeight="1">
      <c r="C174" s="90"/>
      <c r="D174" s="297"/>
      <c r="F174" s="92"/>
      <c r="G174" s="92"/>
      <c r="H174" s="92"/>
      <c r="I174" s="92"/>
      <c r="J174" s="92"/>
      <c r="K174" s="93"/>
      <c r="L174" s="94"/>
      <c r="M174" s="94"/>
      <c r="N174" s="95"/>
      <c r="O174" s="66"/>
      <c r="P174" s="96"/>
      <c r="Q174" s="97"/>
      <c r="R174" s="58"/>
      <c r="S174" s="69"/>
      <c r="T174" s="70"/>
      <c r="U174" s="66"/>
      <c r="V174" s="55"/>
      <c r="W174" s="55"/>
      <c r="X174" s="277"/>
    </row>
    <row r="175" spans="3:24" ht="65.099999999999994" customHeight="1">
      <c r="C175" s="90"/>
      <c r="D175" s="297"/>
      <c r="F175" s="92"/>
      <c r="G175" s="92"/>
      <c r="H175" s="92"/>
      <c r="I175" s="92"/>
      <c r="J175" s="92"/>
      <c r="K175" s="93"/>
      <c r="L175" s="94"/>
      <c r="M175" s="94"/>
      <c r="N175" s="95"/>
      <c r="O175" s="66"/>
      <c r="P175" s="96"/>
      <c r="Q175" s="97"/>
      <c r="R175" s="58"/>
      <c r="S175" s="69"/>
      <c r="T175" s="70"/>
      <c r="U175" s="66"/>
      <c r="V175" s="55"/>
      <c r="W175" s="55"/>
      <c r="X175" s="277"/>
    </row>
    <row r="176" spans="3:24" ht="65.099999999999994" customHeight="1">
      <c r="C176" s="90"/>
      <c r="D176" s="297"/>
      <c r="F176" s="92"/>
      <c r="G176" s="92"/>
      <c r="H176" s="92"/>
      <c r="I176" s="92"/>
      <c r="J176" s="92"/>
      <c r="K176" s="93"/>
      <c r="L176" s="94"/>
      <c r="M176" s="94"/>
      <c r="N176" s="95"/>
      <c r="O176" s="66"/>
      <c r="P176" s="96"/>
      <c r="Q176" s="97"/>
      <c r="R176" s="58"/>
      <c r="S176" s="69"/>
      <c r="T176" s="70"/>
      <c r="U176" s="66"/>
      <c r="V176" s="55"/>
      <c r="W176" s="55"/>
      <c r="X176" s="277"/>
    </row>
    <row r="177" spans="3:24" ht="65.099999999999994" customHeight="1">
      <c r="C177" s="90"/>
      <c r="D177" s="297"/>
      <c r="F177" s="92"/>
      <c r="G177" s="92"/>
      <c r="H177" s="92"/>
      <c r="I177" s="92"/>
      <c r="J177" s="92"/>
      <c r="K177" s="93"/>
      <c r="L177" s="94"/>
      <c r="M177" s="94"/>
      <c r="N177" s="95"/>
      <c r="O177" s="66"/>
      <c r="P177" s="96"/>
      <c r="Q177" s="97"/>
      <c r="R177" s="58"/>
      <c r="S177" s="69"/>
      <c r="T177" s="70"/>
      <c r="U177" s="66"/>
      <c r="V177" s="55"/>
      <c r="W177" s="55"/>
      <c r="X177" s="277"/>
    </row>
    <row r="178" spans="3:24" ht="65.099999999999994" customHeight="1">
      <c r="C178" s="90"/>
      <c r="D178" s="297"/>
      <c r="F178" s="92"/>
      <c r="G178" s="92"/>
      <c r="H178" s="92"/>
      <c r="I178" s="92"/>
      <c r="J178" s="92"/>
      <c r="K178" s="93"/>
      <c r="L178" s="94"/>
      <c r="M178" s="94"/>
      <c r="N178" s="95"/>
      <c r="O178" s="66"/>
      <c r="P178" s="96"/>
      <c r="Q178" s="97"/>
      <c r="R178" s="58"/>
      <c r="S178" s="69"/>
      <c r="T178" s="70"/>
      <c r="U178" s="66"/>
      <c r="V178" s="55"/>
      <c r="W178" s="55"/>
      <c r="X178" s="277"/>
    </row>
    <row r="179" spans="3:24" ht="65.099999999999994" customHeight="1">
      <c r="C179" s="90"/>
      <c r="D179" s="297"/>
      <c r="F179" s="92"/>
      <c r="G179" s="92"/>
      <c r="H179" s="92"/>
      <c r="I179" s="92"/>
      <c r="J179" s="92"/>
      <c r="K179" s="93"/>
      <c r="L179" s="94"/>
      <c r="M179" s="94"/>
      <c r="N179" s="95"/>
      <c r="O179" s="66"/>
      <c r="P179" s="96"/>
      <c r="Q179" s="97"/>
      <c r="R179" s="58"/>
      <c r="S179" s="69"/>
      <c r="T179" s="70"/>
      <c r="U179" s="66"/>
      <c r="V179" s="55"/>
      <c r="W179" s="55"/>
      <c r="X179" s="277"/>
    </row>
    <row r="180" spans="3:24" ht="65.099999999999994" customHeight="1">
      <c r="C180" s="90"/>
      <c r="D180" s="297"/>
      <c r="F180" s="92"/>
      <c r="G180" s="92"/>
      <c r="H180" s="92"/>
      <c r="I180" s="92"/>
      <c r="J180" s="92"/>
      <c r="K180" s="93"/>
      <c r="L180" s="94"/>
      <c r="M180" s="94"/>
      <c r="N180" s="95"/>
      <c r="O180" s="66"/>
      <c r="P180" s="96"/>
      <c r="Q180" s="97"/>
      <c r="R180" s="58"/>
      <c r="S180" s="69"/>
      <c r="T180" s="70"/>
      <c r="U180" s="66"/>
      <c r="V180" s="55"/>
      <c r="W180" s="55"/>
      <c r="X180" s="277"/>
    </row>
    <row r="181" spans="3:24" ht="65.099999999999994" customHeight="1">
      <c r="C181" s="90"/>
      <c r="D181" s="297"/>
      <c r="F181" s="92"/>
      <c r="G181" s="92"/>
      <c r="H181" s="92"/>
      <c r="I181" s="92"/>
      <c r="J181" s="92"/>
      <c r="K181" s="93"/>
      <c r="L181" s="94"/>
      <c r="M181" s="94"/>
      <c r="N181" s="95"/>
      <c r="O181" s="66"/>
      <c r="P181" s="96"/>
      <c r="Q181" s="97"/>
      <c r="R181" s="58"/>
      <c r="S181" s="69"/>
      <c r="T181" s="70"/>
      <c r="U181" s="66"/>
      <c r="V181" s="55"/>
      <c r="W181" s="55"/>
      <c r="X181" s="277"/>
    </row>
    <row r="182" spans="3:24" ht="65.099999999999994" customHeight="1">
      <c r="C182" s="90"/>
      <c r="D182" s="297"/>
      <c r="F182" s="92"/>
      <c r="G182" s="92"/>
      <c r="H182" s="92"/>
      <c r="I182" s="92"/>
      <c r="J182" s="92"/>
      <c r="K182" s="93"/>
      <c r="L182" s="94"/>
      <c r="M182" s="94"/>
      <c r="N182" s="95"/>
      <c r="O182" s="66"/>
      <c r="P182" s="96"/>
      <c r="Q182" s="97"/>
      <c r="R182" s="58"/>
      <c r="S182" s="69"/>
      <c r="T182" s="70"/>
      <c r="U182" s="66"/>
      <c r="V182" s="55"/>
      <c r="W182" s="55"/>
      <c r="X182" s="277"/>
    </row>
    <row r="183" spans="3:24" ht="65.099999999999994" customHeight="1">
      <c r="C183" s="90"/>
      <c r="D183" s="297"/>
      <c r="F183" s="92"/>
      <c r="G183" s="92"/>
      <c r="H183" s="92"/>
      <c r="I183" s="92"/>
      <c r="J183" s="92"/>
      <c r="K183" s="93"/>
      <c r="L183" s="94"/>
      <c r="M183" s="94"/>
      <c r="N183" s="95"/>
      <c r="O183" s="66"/>
      <c r="P183" s="96"/>
      <c r="Q183" s="97"/>
      <c r="R183" s="58"/>
      <c r="S183" s="69"/>
      <c r="T183" s="70"/>
      <c r="U183" s="66"/>
      <c r="V183" s="55"/>
      <c r="W183" s="55"/>
      <c r="X183" s="277"/>
    </row>
    <row r="184" spans="3:24" ht="65.099999999999994" customHeight="1">
      <c r="C184" s="90"/>
      <c r="D184" s="297"/>
      <c r="F184" s="92"/>
      <c r="G184" s="92"/>
      <c r="H184" s="92"/>
      <c r="I184" s="92"/>
      <c r="J184" s="92"/>
      <c r="K184" s="93"/>
      <c r="L184" s="94"/>
      <c r="M184" s="94"/>
      <c r="N184" s="95"/>
      <c r="O184" s="66"/>
      <c r="P184" s="96"/>
      <c r="Q184" s="97"/>
      <c r="R184" s="58"/>
      <c r="S184" s="69"/>
      <c r="T184" s="70"/>
      <c r="U184" s="66"/>
      <c r="V184" s="55"/>
      <c r="W184" s="55"/>
      <c r="X184" s="277"/>
    </row>
    <row r="185" spans="3:24" ht="65.099999999999994" customHeight="1">
      <c r="C185" s="90"/>
      <c r="D185" s="297"/>
      <c r="F185" s="92"/>
      <c r="G185" s="92"/>
      <c r="H185" s="92"/>
      <c r="I185" s="92"/>
      <c r="J185" s="92"/>
      <c r="K185" s="93"/>
      <c r="L185" s="94"/>
      <c r="M185" s="94"/>
      <c r="N185" s="95"/>
      <c r="O185" s="66"/>
      <c r="P185" s="96"/>
      <c r="Q185" s="97"/>
      <c r="R185" s="58"/>
      <c r="S185" s="69"/>
      <c r="T185" s="70"/>
      <c r="U185" s="66"/>
      <c r="V185" s="55"/>
      <c r="W185" s="55"/>
      <c r="X185" s="277"/>
    </row>
    <row r="186" spans="3:24" ht="65.099999999999994" customHeight="1">
      <c r="C186" s="90"/>
      <c r="D186" s="297"/>
      <c r="F186" s="92"/>
      <c r="G186" s="92"/>
      <c r="H186" s="92"/>
      <c r="I186" s="92"/>
      <c r="J186" s="92"/>
      <c r="K186" s="93"/>
      <c r="L186" s="94"/>
      <c r="M186" s="94"/>
      <c r="N186" s="95"/>
      <c r="O186" s="66"/>
      <c r="P186" s="96"/>
      <c r="Q186" s="97"/>
      <c r="R186" s="58"/>
      <c r="S186" s="69"/>
      <c r="T186" s="70"/>
      <c r="U186" s="66"/>
      <c r="V186" s="55"/>
      <c r="W186" s="55"/>
      <c r="X186" s="277"/>
    </row>
    <row r="187" spans="3:24" ht="65.099999999999994" customHeight="1">
      <c r="C187" s="90"/>
      <c r="D187" s="297"/>
      <c r="F187" s="92"/>
      <c r="G187" s="92"/>
      <c r="H187" s="92"/>
      <c r="I187" s="92"/>
      <c r="J187" s="92"/>
      <c r="K187" s="93"/>
      <c r="L187" s="94"/>
      <c r="M187" s="94"/>
      <c r="N187" s="95"/>
      <c r="O187" s="66"/>
      <c r="P187" s="96"/>
      <c r="Q187" s="97"/>
      <c r="R187" s="58"/>
      <c r="S187" s="69"/>
      <c r="T187" s="70"/>
      <c r="U187" s="66"/>
      <c r="V187" s="55"/>
      <c r="W187" s="55"/>
      <c r="X187" s="277"/>
    </row>
    <row r="188" spans="3:24" ht="65.099999999999994" customHeight="1">
      <c r="C188" s="90"/>
      <c r="D188" s="297"/>
      <c r="F188" s="92"/>
      <c r="G188" s="92"/>
      <c r="H188" s="92"/>
      <c r="I188" s="92"/>
      <c r="J188" s="92"/>
      <c r="K188" s="93"/>
      <c r="L188" s="94"/>
      <c r="M188" s="94"/>
      <c r="N188" s="95"/>
      <c r="O188" s="66"/>
      <c r="P188" s="96"/>
      <c r="Q188" s="97"/>
      <c r="R188" s="58"/>
      <c r="S188" s="69"/>
      <c r="T188" s="70"/>
      <c r="U188" s="66"/>
      <c r="V188" s="55"/>
      <c r="W188" s="55"/>
      <c r="X188" s="277"/>
    </row>
    <row r="189" spans="3:24" ht="65.099999999999994" customHeight="1">
      <c r="C189" s="90"/>
      <c r="D189" s="297"/>
      <c r="F189" s="92"/>
      <c r="G189" s="92"/>
      <c r="H189" s="92"/>
      <c r="I189" s="92"/>
      <c r="J189" s="92"/>
      <c r="K189" s="93"/>
      <c r="L189" s="94"/>
      <c r="M189" s="94"/>
      <c r="N189" s="95"/>
      <c r="O189" s="66"/>
      <c r="P189" s="96"/>
      <c r="Q189" s="97"/>
      <c r="R189" s="58"/>
      <c r="S189" s="69"/>
      <c r="T189" s="70"/>
      <c r="U189" s="66"/>
      <c r="V189" s="55"/>
      <c r="W189" s="55"/>
      <c r="X189" s="277"/>
    </row>
    <row r="190" spans="3:24" ht="65.099999999999994" customHeight="1">
      <c r="C190" s="90"/>
      <c r="D190" s="297"/>
      <c r="F190" s="92"/>
      <c r="G190" s="92"/>
      <c r="H190" s="92"/>
      <c r="I190" s="92"/>
      <c r="J190" s="92"/>
      <c r="K190" s="93"/>
      <c r="L190" s="94"/>
      <c r="M190" s="94"/>
      <c r="N190" s="95"/>
      <c r="O190" s="66"/>
      <c r="P190" s="96"/>
      <c r="Q190" s="97"/>
      <c r="R190" s="58"/>
      <c r="S190" s="69"/>
      <c r="T190" s="70"/>
      <c r="U190" s="66"/>
      <c r="V190" s="55"/>
      <c r="W190" s="55"/>
      <c r="X190" s="277"/>
    </row>
    <row r="191" spans="3:24" ht="65.099999999999994" customHeight="1">
      <c r="C191" s="90"/>
      <c r="D191" s="297"/>
      <c r="F191" s="92"/>
      <c r="G191" s="92"/>
      <c r="H191" s="92"/>
      <c r="I191" s="92"/>
      <c r="J191" s="92"/>
      <c r="K191" s="93"/>
      <c r="L191" s="94"/>
      <c r="M191" s="94"/>
      <c r="N191" s="95"/>
      <c r="O191" s="66"/>
      <c r="P191" s="96"/>
      <c r="Q191" s="97"/>
      <c r="R191" s="58"/>
      <c r="S191" s="69"/>
      <c r="T191" s="70"/>
      <c r="U191" s="66"/>
      <c r="V191" s="55"/>
      <c r="W191" s="55"/>
      <c r="X191" s="277"/>
    </row>
    <row r="192" spans="3:24" ht="65.099999999999994" customHeight="1">
      <c r="C192" s="90"/>
      <c r="D192" s="297"/>
      <c r="F192" s="92"/>
      <c r="G192" s="92"/>
      <c r="H192" s="92"/>
      <c r="I192" s="92"/>
      <c r="J192" s="92"/>
      <c r="K192" s="93"/>
      <c r="L192" s="94"/>
      <c r="M192" s="94"/>
      <c r="N192" s="95"/>
      <c r="O192" s="66"/>
      <c r="P192" s="96"/>
      <c r="Q192" s="97"/>
      <c r="R192" s="58"/>
      <c r="S192" s="69"/>
      <c r="T192" s="70"/>
      <c r="U192" s="66"/>
      <c r="V192" s="55"/>
      <c r="W192" s="55"/>
      <c r="X192" s="277"/>
    </row>
    <row r="193" spans="3:24" ht="65.099999999999994" customHeight="1">
      <c r="C193" s="90"/>
      <c r="D193" s="297"/>
      <c r="F193" s="92"/>
      <c r="G193" s="92"/>
      <c r="H193" s="92"/>
      <c r="I193" s="92"/>
      <c r="J193" s="92"/>
      <c r="K193" s="93"/>
      <c r="L193" s="94"/>
      <c r="M193" s="94"/>
      <c r="N193" s="95"/>
      <c r="O193" s="66"/>
      <c r="P193" s="96"/>
      <c r="Q193" s="97"/>
      <c r="R193" s="58"/>
      <c r="S193" s="69"/>
      <c r="T193" s="70"/>
      <c r="U193" s="66"/>
      <c r="V193" s="55"/>
      <c r="W193" s="55"/>
      <c r="X193" s="277"/>
    </row>
    <row r="194" spans="3:24" ht="65.099999999999994" customHeight="1">
      <c r="C194" s="90"/>
      <c r="D194" s="297"/>
      <c r="F194" s="92"/>
      <c r="G194" s="92"/>
      <c r="H194" s="92"/>
      <c r="I194" s="92"/>
      <c r="J194" s="92"/>
      <c r="K194" s="93"/>
      <c r="L194" s="94"/>
      <c r="M194" s="94"/>
      <c r="N194" s="95"/>
      <c r="O194" s="66"/>
      <c r="P194" s="96"/>
      <c r="Q194" s="97"/>
      <c r="R194" s="58"/>
      <c r="S194" s="69"/>
      <c r="T194" s="70"/>
      <c r="U194" s="66"/>
      <c r="V194" s="55"/>
      <c r="W194" s="55"/>
      <c r="X194" s="277"/>
    </row>
    <row r="195" spans="3:24" ht="65.099999999999994" customHeight="1">
      <c r="C195" s="90"/>
      <c r="D195" s="297"/>
      <c r="F195" s="92"/>
      <c r="G195" s="92"/>
      <c r="H195" s="92"/>
      <c r="I195" s="92"/>
      <c r="J195" s="92"/>
      <c r="K195" s="93"/>
      <c r="L195" s="94"/>
      <c r="M195" s="94"/>
      <c r="N195" s="95"/>
      <c r="O195" s="66"/>
      <c r="P195" s="96"/>
      <c r="Q195" s="97"/>
      <c r="R195" s="58"/>
      <c r="S195" s="69"/>
      <c r="T195" s="70"/>
      <c r="U195" s="66"/>
      <c r="V195" s="55"/>
      <c r="W195" s="55"/>
      <c r="X195" s="277"/>
    </row>
    <row r="196" spans="3:24" ht="65.099999999999994" customHeight="1">
      <c r="C196" s="90"/>
      <c r="D196" s="297"/>
      <c r="F196" s="92"/>
      <c r="G196" s="92"/>
      <c r="H196" s="92"/>
      <c r="I196" s="92"/>
      <c r="J196" s="92"/>
      <c r="K196" s="93"/>
      <c r="L196" s="94"/>
      <c r="M196" s="94"/>
      <c r="N196" s="95"/>
      <c r="O196" s="66"/>
      <c r="P196" s="96"/>
      <c r="Q196" s="97"/>
      <c r="R196" s="58"/>
      <c r="S196" s="69"/>
      <c r="T196" s="70"/>
      <c r="U196" s="66"/>
      <c r="V196" s="55"/>
      <c r="W196" s="55"/>
      <c r="X196" s="277"/>
    </row>
    <row r="197" spans="3:24" ht="65.099999999999994" customHeight="1">
      <c r="C197" s="90"/>
      <c r="D197" s="297"/>
      <c r="F197" s="92"/>
      <c r="G197" s="92"/>
      <c r="H197" s="92"/>
      <c r="I197" s="92"/>
      <c r="J197" s="92"/>
      <c r="K197" s="93"/>
      <c r="L197" s="94"/>
      <c r="M197" s="94"/>
      <c r="N197" s="95"/>
      <c r="O197" s="66"/>
      <c r="P197" s="96"/>
      <c r="Q197" s="97"/>
      <c r="R197" s="58"/>
      <c r="S197" s="69"/>
      <c r="T197" s="70"/>
      <c r="U197" s="66"/>
      <c r="V197" s="55"/>
      <c r="W197" s="55"/>
      <c r="X197" s="277"/>
    </row>
    <row r="198" spans="3:24" ht="65.099999999999994" customHeight="1">
      <c r="C198" s="90"/>
      <c r="D198" s="297"/>
      <c r="F198" s="92"/>
      <c r="G198" s="92"/>
      <c r="H198" s="92"/>
      <c r="I198" s="92"/>
      <c r="J198" s="92"/>
      <c r="K198" s="93"/>
      <c r="L198" s="94"/>
      <c r="M198" s="94"/>
      <c r="N198" s="95"/>
      <c r="O198" s="66"/>
      <c r="P198" s="96"/>
      <c r="Q198" s="97"/>
      <c r="R198" s="58"/>
      <c r="S198" s="69"/>
      <c r="T198" s="70"/>
      <c r="U198" s="66"/>
      <c r="V198" s="55"/>
      <c r="W198" s="55"/>
      <c r="X198" s="277"/>
    </row>
  </sheetData>
  <autoFilter ref="A1:Y17"/>
  <mergeCells count="40">
    <mergeCell ref="A47:A50"/>
    <mergeCell ref="A51:A54"/>
    <mergeCell ref="A23:A26"/>
    <mergeCell ref="A27:A30"/>
    <mergeCell ref="A31:A34"/>
    <mergeCell ref="A35:A38"/>
    <mergeCell ref="A39:A42"/>
    <mergeCell ref="A43:A46"/>
    <mergeCell ref="A11:A14"/>
    <mergeCell ref="A15:A18"/>
    <mergeCell ref="W1:W2"/>
    <mergeCell ref="X1:X2"/>
    <mergeCell ref="L1:L2"/>
    <mergeCell ref="A1:A2"/>
    <mergeCell ref="B1:B2"/>
    <mergeCell ref="C1:C2"/>
    <mergeCell ref="D1:D2"/>
    <mergeCell ref="E1:E2"/>
    <mergeCell ref="F1:F2"/>
    <mergeCell ref="J1:J2"/>
    <mergeCell ref="K1:K2"/>
    <mergeCell ref="G1:G2"/>
    <mergeCell ref="H1:H2"/>
    <mergeCell ref="I1:I2"/>
    <mergeCell ref="Y1:Y2"/>
    <mergeCell ref="A3:A6"/>
    <mergeCell ref="A7:A10"/>
    <mergeCell ref="AB28:AD28"/>
    <mergeCell ref="AE28:AG28"/>
    <mergeCell ref="A19:A22"/>
    <mergeCell ref="S1:S2"/>
    <mergeCell ref="T1:T2"/>
    <mergeCell ref="U1:U2"/>
    <mergeCell ref="V1:V2"/>
    <mergeCell ref="M1:M2"/>
    <mergeCell ref="N1:N2"/>
    <mergeCell ref="O1:O2"/>
    <mergeCell ref="P1:P2"/>
    <mergeCell ref="Q1:Q2"/>
    <mergeCell ref="R1:R2"/>
  </mergeCells>
  <conditionalFormatting sqref="G3:J22 G31:J54">
    <cfRule type="containsText" dxfId="43" priority="11" operator="containsText" text="NO">
      <formula>NOT(ISERROR(SEARCH("NO",G3)))</formula>
    </cfRule>
  </conditionalFormatting>
  <conditionalFormatting sqref="X3">
    <cfRule type="containsText" dxfId="42" priority="10" operator="containsText" text="NO CUMPLE">
      <formula>NOT(ISERROR(SEARCH("NO CUMPLE",X3)))</formula>
    </cfRule>
  </conditionalFormatting>
  <conditionalFormatting sqref="X4">
    <cfRule type="containsText" dxfId="41" priority="9" operator="containsText" text="NO CUMPLE">
      <formula>NOT(ISERROR(SEARCH("NO CUMPLE",X4)))</formula>
    </cfRule>
  </conditionalFormatting>
  <conditionalFormatting sqref="X5">
    <cfRule type="containsText" dxfId="40" priority="8" operator="containsText" text="NO CUMPLE">
      <formula>NOT(ISERROR(SEARCH("NO CUMPLE",X5)))</formula>
    </cfRule>
  </conditionalFormatting>
  <conditionalFormatting sqref="X6:X30">
    <cfRule type="containsText" dxfId="39" priority="7" operator="containsText" text="NO CUMPLE">
      <formula>NOT(ISERROR(SEARCH("NO CUMPLE",X6)))</formula>
    </cfRule>
  </conditionalFormatting>
  <conditionalFormatting sqref="X34 X38 X42 X46 X50 X54">
    <cfRule type="containsText" dxfId="38" priority="6" operator="containsText" text="NO CUMPLE">
      <formula>NOT(ISERROR(SEARCH("NO CUMPLE",X34)))</formula>
    </cfRule>
  </conditionalFormatting>
  <conditionalFormatting sqref="X32:X33 X36:X37 X40:X41 X44:X45 X48:X49 X52:X53">
    <cfRule type="containsText" dxfId="37" priority="5" operator="containsText" text="NO CUMPLE">
      <formula>NOT(ISERROR(SEARCH("NO CUMPLE",X32)))</formula>
    </cfRule>
  </conditionalFormatting>
  <conditionalFormatting sqref="X31 X35 X39 X43 X47 X51">
    <cfRule type="containsText" dxfId="36" priority="4" operator="containsText" text="NO CUMPLE">
      <formula>NOT(ISERROR(SEARCH("NO CUMPLE",X31)))</formula>
    </cfRule>
  </conditionalFormatting>
  <conditionalFormatting sqref="G27:J30">
    <cfRule type="containsText" dxfId="35" priority="3" operator="containsText" text="NO">
      <formula>NOT(ISERROR(SEARCH("NO",G27)))</formula>
    </cfRule>
  </conditionalFormatting>
  <conditionalFormatting sqref="G23:J26">
    <cfRule type="containsText" dxfId="34" priority="2" operator="containsText" text="NO">
      <formula>NOT(ISERROR(SEARCH("NO",G23)))</formula>
    </cfRule>
  </conditionalFormatting>
  <conditionalFormatting sqref="AH28">
    <cfRule type="containsText" dxfId="33" priority="1" operator="containsText" text="NO">
      <formula>NOT(ISERROR(SEARCH("NO",AH28)))</formula>
    </cfRule>
  </conditionalFormatting>
  <dataValidations count="2">
    <dataValidation type="list" allowBlank="1" showInputMessage="1" showErrorMessage="1" sqref="G3:J54">
      <formula1>$AA$1:$AB$1</formula1>
    </dataValidation>
    <dataValidation type="list" allowBlank="1" showInputMessage="1" showErrorMessage="1" sqref="AB28:AH28">
      <formula1>$AL$1:$AM$1</formula1>
    </dataValidation>
  </dataValidations>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M216"/>
  <sheetViews>
    <sheetView zoomScale="55" zoomScaleNormal="55" zoomScalePageLayoutView="75" workbookViewId="0">
      <pane xSplit="1" ySplit="2" topLeftCell="N29" activePane="bottomRight" state="frozen"/>
      <selection activeCell="F6" sqref="F6"/>
      <selection pane="topRight" activeCell="F6" sqref="F6"/>
      <selection pane="bottomLeft" activeCell="F6" sqref="F6"/>
      <selection pane="bottomRight" activeCell="AI32" sqref="AI32"/>
    </sheetView>
  </sheetViews>
  <sheetFormatPr baseColWidth="10" defaultColWidth="10.875" defaultRowHeight="15.75"/>
  <cols>
    <col min="1" max="1" width="10.875" style="89" bestFit="1" customWidth="1"/>
    <col min="2" max="2" width="8.875" style="89" customWidth="1"/>
    <col min="3" max="3" width="10.75" style="100" customWidth="1"/>
    <col min="4" max="4" width="23.125" style="92" customWidth="1"/>
    <col min="5" max="5" width="17.5" style="92" customWidth="1"/>
    <col min="6" max="6" width="66.125" style="101" customWidth="1"/>
    <col min="7" max="7" width="18.5" style="101" customWidth="1"/>
    <col min="8" max="8" width="12.5" style="101" customWidth="1"/>
    <col min="9" max="9" width="13.625" style="102" customWidth="1"/>
    <col min="10" max="10" width="10.625" style="103" customWidth="1"/>
    <col min="11" max="11" width="11" style="104" customWidth="1"/>
    <col min="12" max="12" width="11" style="105" customWidth="1"/>
    <col min="13" max="13" width="11" style="68" customWidth="1"/>
    <col min="14" max="14" width="18.5" style="106" customWidth="1"/>
    <col min="15" max="15" width="8.75" style="106" customWidth="1"/>
    <col min="16" max="16" width="9.5" style="68" bestFit="1" customWidth="1"/>
    <col min="17" max="17" width="12.5" style="68" customWidth="1"/>
    <col min="18" max="18" width="9.625" style="68" bestFit="1" customWidth="1"/>
    <col min="19"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89" customWidth="1"/>
    <col min="30" max="30" width="7.875" style="107" customWidth="1"/>
    <col min="31" max="31" width="8.875" style="107" customWidth="1"/>
    <col min="32" max="32" width="17.625" style="107" customWidth="1"/>
    <col min="33" max="35" width="19.5" style="58" customWidth="1"/>
    <col min="36" max="36" width="59.125" style="92" customWidth="1"/>
    <col min="37" max="39" width="10.875" style="108"/>
    <col min="40" max="41" width="15.125" style="108" bestFit="1" customWidth="1"/>
    <col min="42" max="16384" width="10.875" style="108"/>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845" t="s">
        <v>17</v>
      </c>
      <c r="O1" s="776" t="s">
        <v>18</v>
      </c>
      <c r="P1" s="780" t="s">
        <v>19</v>
      </c>
      <c r="Q1" s="780" t="s">
        <v>20</v>
      </c>
      <c r="R1" s="780" t="s">
        <v>21</v>
      </c>
      <c r="S1" s="778" t="s">
        <v>22</v>
      </c>
      <c r="T1" s="778" t="s">
        <v>23</v>
      </c>
      <c r="U1" s="778" t="s">
        <v>482</v>
      </c>
      <c r="V1" s="776" t="s">
        <v>62</v>
      </c>
      <c r="W1" s="776" t="s">
        <v>28</v>
      </c>
      <c r="X1" s="776"/>
      <c r="Y1" s="776"/>
      <c r="Z1" s="776" t="s">
        <v>29</v>
      </c>
      <c r="AA1" s="776"/>
      <c r="AB1" s="776"/>
      <c r="AC1" s="776" t="s">
        <v>30</v>
      </c>
      <c r="AD1" s="776"/>
      <c r="AE1" s="776"/>
      <c r="AF1" s="780" t="s">
        <v>31</v>
      </c>
      <c r="AG1" s="778" t="s">
        <v>339</v>
      </c>
      <c r="AH1" s="789" t="s">
        <v>175</v>
      </c>
      <c r="AI1" s="788" t="s">
        <v>736</v>
      </c>
      <c r="AJ1" s="791" t="s">
        <v>3</v>
      </c>
      <c r="AL1" s="57" t="s">
        <v>10</v>
      </c>
      <c r="AM1" s="57" t="s">
        <v>11</v>
      </c>
    </row>
    <row r="2" spans="1:39" s="56" customFormat="1" ht="62.25" customHeight="1" thickBot="1">
      <c r="A2" s="777"/>
      <c r="B2" s="777"/>
      <c r="C2" s="777"/>
      <c r="D2" s="779"/>
      <c r="E2" s="777"/>
      <c r="F2" s="777"/>
      <c r="G2" s="781"/>
      <c r="H2" s="781"/>
      <c r="I2" s="783"/>
      <c r="J2" s="785"/>
      <c r="K2" s="785"/>
      <c r="L2" s="787"/>
      <c r="M2" s="779"/>
      <c r="N2" s="846"/>
      <c r="O2" s="777"/>
      <c r="P2" s="781"/>
      <c r="Q2" s="781"/>
      <c r="R2" s="781"/>
      <c r="S2" s="779"/>
      <c r="T2" s="779"/>
      <c r="U2" s="779"/>
      <c r="V2" s="777"/>
      <c r="W2" s="281" t="s">
        <v>32</v>
      </c>
      <c r="X2" s="281" t="s">
        <v>33</v>
      </c>
      <c r="Y2" s="281" t="s">
        <v>34</v>
      </c>
      <c r="Z2" s="281" t="s">
        <v>35</v>
      </c>
      <c r="AA2" s="281" t="s">
        <v>33</v>
      </c>
      <c r="AB2" s="281" t="s">
        <v>36</v>
      </c>
      <c r="AC2" s="281" t="s">
        <v>35</v>
      </c>
      <c r="AD2" s="281" t="s">
        <v>33</v>
      </c>
      <c r="AE2" s="281" t="s">
        <v>37</v>
      </c>
      <c r="AF2" s="781"/>
      <c r="AG2" s="779"/>
      <c r="AH2" s="790"/>
      <c r="AI2" s="789"/>
      <c r="AJ2" s="792"/>
    </row>
    <row r="3" spans="1:39" s="72" customFormat="1" ht="71.25">
      <c r="A3" s="795" t="s">
        <v>173</v>
      </c>
      <c r="B3" s="123" t="s">
        <v>157</v>
      </c>
      <c r="C3" s="124">
        <v>87</v>
      </c>
      <c r="D3" s="125" t="str">
        <f>+IFERROR(INDEX([7]CONSOLIDADO!$D$4:$D$91,MATCH('EXP GEN. 34-40'!B3,[7]CONSOLIDADO!$C$4:$C$91,0)),"")</f>
        <v>CONSULTORES TECNICOS Y ECONOMICOS SA</v>
      </c>
      <c r="E3" s="126" t="s">
        <v>27</v>
      </c>
      <c r="F3" s="127" t="s">
        <v>622</v>
      </c>
      <c r="G3" s="279" t="s">
        <v>10</v>
      </c>
      <c r="H3" s="279" t="s">
        <v>10</v>
      </c>
      <c r="I3" s="128">
        <v>0.5</v>
      </c>
      <c r="J3" s="129">
        <v>38034</v>
      </c>
      <c r="K3" s="129">
        <v>40770</v>
      </c>
      <c r="L3" s="130">
        <f>IF(K3="","",YEAR(K3))</f>
        <v>2011</v>
      </c>
      <c r="M3" s="131">
        <f>+IFERROR(INDEX([7]PARÁMETROS!$B$11:$B$37,MATCH(L3,[7]PARÁMETROS!$A$11:$A$37,0)),"")</f>
        <v>535600</v>
      </c>
      <c r="N3" s="132">
        <v>9131630030</v>
      </c>
      <c r="O3" s="133" t="s">
        <v>25</v>
      </c>
      <c r="P3" s="123" t="s">
        <v>61</v>
      </c>
      <c r="Q3" s="134" t="s">
        <v>61</v>
      </c>
      <c r="R3" s="135">
        <v>1</v>
      </c>
      <c r="S3" s="131">
        <f>IF(R3&lt;&gt;"",N3*R3,"")</f>
        <v>9131630030</v>
      </c>
      <c r="T3" s="136">
        <f>+IFERROR(S3/M3,"")</f>
        <v>17049.346583271097</v>
      </c>
      <c r="U3" s="136">
        <f>IFERROR(T3*I3,"")</f>
        <v>8524.6732916355486</v>
      </c>
      <c r="V3" s="137">
        <v>37</v>
      </c>
      <c r="W3" s="798" t="s">
        <v>10</v>
      </c>
      <c r="X3" s="798"/>
      <c r="Y3" s="798"/>
      <c r="Z3" s="798" t="s">
        <v>10</v>
      </c>
      <c r="AA3" s="798"/>
      <c r="AB3" s="798"/>
      <c r="AC3" s="798" t="s">
        <v>10</v>
      </c>
      <c r="AD3" s="798"/>
      <c r="AE3" s="798"/>
      <c r="AF3" s="291" t="s">
        <v>10</v>
      </c>
      <c r="AG3" s="798" t="str">
        <f>IF(U3="","",IF(SUM(U3:U8)&gt;=[7]PARÁMETROS!$D$5,"HÁBIL","NO HÁBIL"))</f>
        <v>HÁBIL</v>
      </c>
      <c r="AH3" s="798" t="str">
        <f>IF(U3="","",IF((U3+U4+U5+U6+U7)&gt;=[7]PARÁMETROS!$H$5,"HÁBIL","NO HÁBIL"))</f>
        <v>HÁBIL</v>
      </c>
      <c r="AI3" s="279" t="str">
        <f>+IF(U3="","",IF(U3&gt;=[7]PARÁMETROS!$F$5,"CUMPLE","NO CUMPLE"))</f>
        <v>CUMPLE</v>
      </c>
      <c r="AJ3" s="138"/>
      <c r="AK3" s="109"/>
    </row>
    <row r="4" spans="1:39" s="72" customFormat="1" ht="71.25">
      <c r="A4" s="796"/>
      <c r="B4" s="58" t="s">
        <v>157</v>
      </c>
      <c r="C4" s="59">
        <v>92</v>
      </c>
      <c r="D4" s="60" t="str">
        <f>+IFERROR(INDEX([7]CONSOLIDADO!$D$4:$D$91,MATCH('EXP GEN. 34-40'!B4,[7]CONSOLIDADO!$C$4:$C$91,0)),"")</f>
        <v>CONSULTORES TECNICOS Y ECONOMICOS SA</v>
      </c>
      <c r="E4" s="61" t="s">
        <v>405</v>
      </c>
      <c r="F4" s="61" t="s">
        <v>623</v>
      </c>
      <c r="G4" s="277" t="s">
        <v>10</v>
      </c>
      <c r="H4" s="277" t="s">
        <v>10</v>
      </c>
      <c r="I4" s="73">
        <v>1</v>
      </c>
      <c r="J4" s="64">
        <v>38337</v>
      </c>
      <c r="K4" s="64">
        <v>39401</v>
      </c>
      <c r="L4" s="65">
        <f t="shared" ref="L4:L67" si="0">IF(K4="","",YEAR(K4))</f>
        <v>2007</v>
      </c>
      <c r="M4" s="66">
        <f>+IFERROR(INDEX([7]PARÁMETROS!$B$11:$B$37,MATCH(L4,[7]PARÁMETROS!$A$11:$A$37,0)),"")</f>
        <v>433700</v>
      </c>
      <c r="N4" s="74">
        <v>2544987926</v>
      </c>
      <c r="O4" s="66" t="s">
        <v>25</v>
      </c>
      <c r="P4" s="58" t="s">
        <v>61</v>
      </c>
      <c r="Q4" s="69" t="s">
        <v>61</v>
      </c>
      <c r="R4" s="70">
        <v>1</v>
      </c>
      <c r="S4" s="66">
        <f t="shared" ref="S4:S67" si="1">IF(R4&lt;&gt;"",N4*R4,"")</f>
        <v>2544987926</v>
      </c>
      <c r="T4" s="55">
        <f t="shared" ref="T4:T67" si="2">+IFERROR(S4/M4,"")</f>
        <v>5868.0837583583125</v>
      </c>
      <c r="U4" s="55">
        <f t="shared" ref="U4:U67" si="3">IFERROR(T4*I4,"")</f>
        <v>5868.0837583583125</v>
      </c>
      <c r="V4" s="71">
        <v>14</v>
      </c>
      <c r="W4" s="799" t="s">
        <v>11</v>
      </c>
      <c r="X4" s="799"/>
      <c r="Y4" s="799"/>
      <c r="Z4" s="799" t="s">
        <v>10</v>
      </c>
      <c r="AA4" s="799"/>
      <c r="AB4" s="799"/>
      <c r="AC4" s="799" t="s">
        <v>10</v>
      </c>
      <c r="AD4" s="799"/>
      <c r="AE4" s="799"/>
      <c r="AF4" s="290" t="s">
        <v>10</v>
      </c>
      <c r="AG4" s="799"/>
      <c r="AH4" s="799"/>
      <c r="AI4" s="277" t="str">
        <f>+IF(U4="","",IF(U4&gt;=[7]PARÁMETROS!$F$5,"CUMPLE","NO CUMPLE"))</f>
        <v>CUMPLE</v>
      </c>
      <c r="AJ4" s="139"/>
      <c r="AK4" s="109"/>
    </row>
    <row r="5" spans="1:39" s="72" customFormat="1" ht="85.5">
      <c r="A5" s="796"/>
      <c r="B5" s="58" t="s">
        <v>157</v>
      </c>
      <c r="C5" s="59">
        <v>96</v>
      </c>
      <c r="D5" s="60" t="str">
        <f>+IFERROR(INDEX([7]CONSOLIDADO!$D$4:$D$91,MATCH('EXP GEN. 34-40'!B5,[7]CONSOLIDADO!$C$4:$C$91,0)),"")</f>
        <v>CONSULTORES TECNICOS Y ECONOMICOS SA</v>
      </c>
      <c r="E5" s="61" t="s">
        <v>397</v>
      </c>
      <c r="F5" s="62" t="s">
        <v>624</v>
      </c>
      <c r="G5" s="277" t="s">
        <v>10</v>
      </c>
      <c r="H5" s="277" t="s">
        <v>10</v>
      </c>
      <c r="I5" s="63">
        <v>0.75</v>
      </c>
      <c r="J5" s="64">
        <v>38177</v>
      </c>
      <c r="K5" s="64">
        <v>39760</v>
      </c>
      <c r="L5" s="65">
        <f t="shared" si="0"/>
        <v>2008</v>
      </c>
      <c r="M5" s="66">
        <f>+IFERROR(INDEX([7]PARÁMETROS!$B$11:$B$37,MATCH(L5,[7]PARÁMETROS!$A$11:$A$37,0)),"")</f>
        <v>461500</v>
      </c>
      <c r="N5" s="67">
        <v>2288853386.96</v>
      </c>
      <c r="O5" s="68" t="s">
        <v>25</v>
      </c>
      <c r="P5" s="58" t="s">
        <v>61</v>
      </c>
      <c r="Q5" s="69" t="s">
        <v>61</v>
      </c>
      <c r="R5" s="70">
        <v>1</v>
      </c>
      <c r="S5" s="66">
        <f t="shared" si="1"/>
        <v>2288853386.96</v>
      </c>
      <c r="T5" s="55">
        <f t="shared" si="2"/>
        <v>4959.5956380498374</v>
      </c>
      <c r="U5" s="55">
        <f t="shared" si="3"/>
        <v>3719.696728537378</v>
      </c>
      <c r="V5" s="71">
        <v>25</v>
      </c>
      <c r="W5" s="799" t="s">
        <v>10</v>
      </c>
      <c r="X5" s="799"/>
      <c r="Y5" s="799"/>
      <c r="Z5" s="799" t="s">
        <v>10</v>
      </c>
      <c r="AA5" s="799"/>
      <c r="AB5" s="799"/>
      <c r="AC5" s="799" t="s">
        <v>10</v>
      </c>
      <c r="AD5" s="799"/>
      <c r="AE5" s="799"/>
      <c r="AF5" s="290" t="s">
        <v>10</v>
      </c>
      <c r="AG5" s="799"/>
      <c r="AH5" s="799"/>
      <c r="AI5" s="277" t="str">
        <f>+IF(U5="","",IF(U5&gt;=[7]PARÁMETROS!$F$5,"CUMPLE","NO CUMPLE"))</f>
        <v>CUMPLE</v>
      </c>
      <c r="AJ5" s="140"/>
      <c r="AK5" s="109"/>
    </row>
    <row r="6" spans="1:39" s="72" customFormat="1" ht="85.5">
      <c r="A6" s="796"/>
      <c r="B6" s="58" t="s">
        <v>157</v>
      </c>
      <c r="C6" s="59">
        <v>107</v>
      </c>
      <c r="D6" s="60" t="str">
        <f>+IFERROR(INDEX([7]CONSOLIDADO!$D$4:$D$91,MATCH('EXP GEN. 34-40'!B6,[7]CONSOLIDADO!$C$4:$C$91,0)),"")</f>
        <v>CONSULTORES TECNICOS Y ECONOMICOS SA</v>
      </c>
      <c r="E6" s="61" t="s">
        <v>397</v>
      </c>
      <c r="F6" s="62" t="s">
        <v>625</v>
      </c>
      <c r="G6" s="277" t="s">
        <v>10</v>
      </c>
      <c r="H6" s="277" t="s">
        <v>10</v>
      </c>
      <c r="I6" s="63">
        <v>0.75</v>
      </c>
      <c r="J6" s="64">
        <v>38374</v>
      </c>
      <c r="K6" s="64">
        <v>39512</v>
      </c>
      <c r="L6" s="65">
        <f t="shared" si="0"/>
        <v>2008</v>
      </c>
      <c r="M6" s="66">
        <f>+IFERROR(INDEX([7]PARÁMETROS!$B$11:$B$37,MATCH(L6,[7]PARÁMETROS!$A$11:$A$37,0)),"")</f>
        <v>461500</v>
      </c>
      <c r="N6" s="67">
        <v>4505935152</v>
      </c>
      <c r="O6" s="68" t="s">
        <v>25</v>
      </c>
      <c r="P6" s="58" t="s">
        <v>61</v>
      </c>
      <c r="Q6" s="69" t="s">
        <v>61</v>
      </c>
      <c r="R6" s="70">
        <v>1</v>
      </c>
      <c r="S6" s="66">
        <f t="shared" si="1"/>
        <v>4505935152</v>
      </c>
      <c r="T6" s="55">
        <f t="shared" si="2"/>
        <v>9763.6731354279527</v>
      </c>
      <c r="U6" s="55">
        <f t="shared" si="3"/>
        <v>7322.7548515709641</v>
      </c>
      <c r="V6" s="71">
        <v>26</v>
      </c>
      <c r="W6" s="799" t="s">
        <v>10</v>
      </c>
      <c r="X6" s="799"/>
      <c r="Y6" s="799"/>
      <c r="Z6" s="799" t="s">
        <v>10</v>
      </c>
      <c r="AA6" s="799"/>
      <c r="AB6" s="799"/>
      <c r="AC6" s="799" t="s">
        <v>10</v>
      </c>
      <c r="AD6" s="799"/>
      <c r="AE6" s="799"/>
      <c r="AF6" s="290" t="s">
        <v>10</v>
      </c>
      <c r="AG6" s="799"/>
      <c r="AH6" s="799"/>
      <c r="AI6" s="277" t="str">
        <f>+IF(U6="","",IF(U6&gt;=[7]PARÁMETROS!$F$5,"CUMPLE","NO CUMPLE"))</f>
        <v>CUMPLE</v>
      </c>
      <c r="AJ6" s="140"/>
      <c r="AK6" s="109"/>
    </row>
    <row r="7" spans="1:39" s="72" customFormat="1" ht="31.5">
      <c r="A7" s="796"/>
      <c r="B7" s="58" t="s">
        <v>157</v>
      </c>
      <c r="C7" s="59">
        <v>114</v>
      </c>
      <c r="D7" s="60" t="str">
        <f>+IFERROR(INDEX([7]CONSOLIDADO!$D$4:$D$91,MATCH('EXP GEN. 34-40'!B7,[7]CONSOLIDADO!$C$4:$C$91,0)),"")</f>
        <v>CONSULTORES TECNICOS Y ECONOMICOS SA</v>
      </c>
      <c r="E7" s="61" t="s">
        <v>626</v>
      </c>
      <c r="F7" s="62" t="s">
        <v>627</v>
      </c>
      <c r="G7" s="277" t="s">
        <v>10</v>
      </c>
      <c r="H7" s="277" t="s">
        <v>10</v>
      </c>
      <c r="I7" s="63">
        <v>0.5</v>
      </c>
      <c r="J7" s="64">
        <v>40329</v>
      </c>
      <c r="K7" s="64">
        <v>41076</v>
      </c>
      <c r="L7" s="65">
        <f t="shared" si="0"/>
        <v>2012</v>
      </c>
      <c r="M7" s="66">
        <f>+IFERROR(INDEX([7]PARÁMETROS!$B$11:$B$37,MATCH(L7,[7]PARÁMETROS!$A$11:$A$37,0)),"")</f>
        <v>566700</v>
      </c>
      <c r="N7" s="67">
        <v>4660189234</v>
      </c>
      <c r="O7" s="68" t="s">
        <v>25</v>
      </c>
      <c r="P7" s="58" t="s">
        <v>61</v>
      </c>
      <c r="Q7" s="69" t="s">
        <v>61</v>
      </c>
      <c r="R7" s="70">
        <v>1</v>
      </c>
      <c r="S7" s="66">
        <f t="shared" si="1"/>
        <v>4660189234</v>
      </c>
      <c r="T7" s="55">
        <f t="shared" si="2"/>
        <v>8223.3796259043593</v>
      </c>
      <c r="U7" s="55">
        <f t="shared" si="3"/>
        <v>4111.6898129521796</v>
      </c>
      <c r="V7" s="71">
        <v>46</v>
      </c>
      <c r="W7" s="799" t="s">
        <v>11</v>
      </c>
      <c r="X7" s="799"/>
      <c r="Y7" s="799"/>
      <c r="Z7" s="799" t="s">
        <v>10</v>
      </c>
      <c r="AA7" s="799"/>
      <c r="AB7" s="799"/>
      <c r="AC7" s="799" t="s">
        <v>10</v>
      </c>
      <c r="AD7" s="799"/>
      <c r="AE7" s="799"/>
      <c r="AF7" s="290" t="s">
        <v>10</v>
      </c>
      <c r="AG7" s="799"/>
      <c r="AH7" s="799"/>
      <c r="AI7" s="277" t="str">
        <f>+IF(U7="","",IF(U7&gt;=[7]PARÁMETROS!$F$5,"CUMPLE","NO CUMPLE"))</f>
        <v>CUMPLE</v>
      </c>
      <c r="AJ7" s="140"/>
      <c r="AK7" s="109"/>
    </row>
    <row r="8" spans="1:39" s="72" customFormat="1" ht="72" thickBot="1">
      <c r="A8" s="806"/>
      <c r="B8" s="141" t="s">
        <v>158</v>
      </c>
      <c r="C8" s="169">
        <v>138</v>
      </c>
      <c r="D8" s="143" t="str">
        <f>+IFERROR(INDEX([7]CONSOLIDADO!$D$4:$D$91,MATCH('EXP GEN. 34-40'!B8,[7]CONSOLIDADO!$C$4:$C$91,0)),"")</f>
        <v>CONSULTORES E INTERVENTORES TECNICOS SAS</v>
      </c>
      <c r="E8" s="144" t="s">
        <v>405</v>
      </c>
      <c r="F8" s="145" t="s">
        <v>628</v>
      </c>
      <c r="G8" s="278" t="s">
        <v>10</v>
      </c>
      <c r="H8" s="278" t="s">
        <v>10</v>
      </c>
      <c r="I8" s="146">
        <v>0.4</v>
      </c>
      <c r="J8" s="147">
        <v>41109</v>
      </c>
      <c r="K8" s="147" t="s">
        <v>629</v>
      </c>
      <c r="L8" s="148">
        <v>2015</v>
      </c>
      <c r="M8" s="149">
        <f>+IFERROR(INDEX([7]PARÁMETROS!$B$11:$B$37,MATCH(L8,[7]PARÁMETROS!$A$11:$A$37,0)),"")</f>
        <v>644350</v>
      </c>
      <c r="N8" s="150">
        <v>5281678857</v>
      </c>
      <c r="O8" s="151" t="s">
        <v>25</v>
      </c>
      <c r="P8" s="141" t="s">
        <v>61</v>
      </c>
      <c r="Q8" s="152" t="s">
        <v>61</v>
      </c>
      <c r="R8" s="153">
        <v>1</v>
      </c>
      <c r="S8" s="149">
        <f t="shared" si="1"/>
        <v>5281678857</v>
      </c>
      <c r="T8" s="154">
        <f t="shared" si="2"/>
        <v>8196.9098424769145</v>
      </c>
      <c r="U8" s="154">
        <f t="shared" si="3"/>
        <v>3278.7639369907661</v>
      </c>
      <c r="V8" s="154" t="s">
        <v>629</v>
      </c>
      <c r="W8" s="801"/>
      <c r="X8" s="801"/>
      <c r="Y8" s="801"/>
      <c r="Z8" s="801"/>
      <c r="AA8" s="801"/>
      <c r="AB8" s="801"/>
      <c r="AC8" s="801"/>
      <c r="AD8" s="801"/>
      <c r="AE8" s="801"/>
      <c r="AF8" s="289"/>
      <c r="AG8" s="801"/>
      <c r="AH8" s="801"/>
      <c r="AI8" s="278" t="str">
        <f>+IF(U8="","",IF(U8&gt;=[7]PARÁMETROS!$F$5,"CUMPLE","NO CUMPLE"))</f>
        <v>CUMPLE</v>
      </c>
      <c r="AJ8" s="155"/>
      <c r="AK8" s="109"/>
    </row>
    <row r="9" spans="1:39" s="72" customFormat="1" ht="47.25">
      <c r="A9" s="795" t="s">
        <v>176</v>
      </c>
      <c r="B9" s="123" t="s">
        <v>160</v>
      </c>
      <c r="C9" s="466">
        <v>123</v>
      </c>
      <c r="D9" s="125" t="str">
        <f>+IFERROR(INDEX([7]CONSOLIDADO!$D$4:$D$91,MATCH('EXP GEN. 34-40'!B9,[7]CONSOLIDADO!$C$4:$C$91,0)),"")</f>
        <v>CONSULTORES DE INGENIERIA UG21 SL SUCURSAL COLOMBIA</v>
      </c>
      <c r="E9" s="126" t="s">
        <v>505</v>
      </c>
      <c r="F9" s="127" t="s">
        <v>630</v>
      </c>
      <c r="G9" s="279" t="s">
        <v>10</v>
      </c>
      <c r="H9" s="279" t="s">
        <v>10</v>
      </c>
      <c r="I9" s="128">
        <v>1</v>
      </c>
      <c r="J9" s="129">
        <v>38338</v>
      </c>
      <c r="K9" s="129">
        <v>39082</v>
      </c>
      <c r="L9" s="130">
        <f t="shared" si="0"/>
        <v>2006</v>
      </c>
      <c r="M9" s="131">
        <f>+IFERROR(INDEX([7]PARÁMETROS!$B$11:$B$37,MATCH(L9,[7]PARÁMETROS!$A$11:$A$37,0)),"")</f>
        <v>408000</v>
      </c>
      <c r="N9" s="132">
        <v>449899.22</v>
      </c>
      <c r="O9" s="133" t="s">
        <v>419</v>
      </c>
      <c r="P9" s="123">
        <v>1.3192999999999999</v>
      </c>
      <c r="Q9" s="134">
        <f>+N9*P9</f>
        <v>593552.04094599991</v>
      </c>
      <c r="R9" s="135">
        <v>2238.79</v>
      </c>
      <c r="S9" s="131">
        <f>+Q9*R9</f>
        <v>1328838373.749495</v>
      </c>
      <c r="T9" s="136">
        <f t="shared" si="2"/>
        <v>3256.9567984056252</v>
      </c>
      <c r="U9" s="136">
        <f t="shared" si="3"/>
        <v>3256.9567984056252</v>
      </c>
      <c r="V9" s="502">
        <v>3</v>
      </c>
      <c r="W9" s="798" t="s">
        <v>11</v>
      </c>
      <c r="X9" s="798"/>
      <c r="Y9" s="798"/>
      <c r="Z9" s="798" t="s">
        <v>11</v>
      </c>
      <c r="AA9" s="798"/>
      <c r="AB9" s="798"/>
      <c r="AC9" s="798" t="s">
        <v>10</v>
      </c>
      <c r="AD9" s="798"/>
      <c r="AE9" s="798"/>
      <c r="AF9" s="291" t="s">
        <v>10</v>
      </c>
      <c r="AG9" s="798" t="str">
        <f>IF(U9="","",IF(SUM(U9:U12)&gt;=[7]PARÁMETROS!$D$5,"HÁBIL","NO HÁBIL"))</f>
        <v>HÁBIL</v>
      </c>
      <c r="AH9" s="798" t="str">
        <f>IF(U9="","",IF((U9+U10)&gt;=[7]PARÁMETROS!$H$5,"HÁBIL","NO HÁBIL"))</f>
        <v>HÁBIL</v>
      </c>
      <c r="AI9" s="279" t="str">
        <f>+IF(U9="","",IF(U9&gt;=[7]PARÁMETROS!$F$5,"CUMPLE","NO CUMPLE"))</f>
        <v>CUMPLE</v>
      </c>
      <c r="AJ9" s="138"/>
      <c r="AK9" s="109"/>
    </row>
    <row r="10" spans="1:39" s="72" customFormat="1" ht="57">
      <c r="A10" s="796"/>
      <c r="B10" s="58" t="s">
        <v>160</v>
      </c>
      <c r="C10" s="464">
        <v>125</v>
      </c>
      <c r="D10" s="60" t="str">
        <f>+IFERROR(INDEX([7]CONSOLIDADO!$D$4:$D$91,MATCH('EXP GEN. 34-40'!B10,[7]CONSOLIDADO!$C$4:$C$91,0)),"")</f>
        <v>CONSULTORES DE INGENIERIA UG21 SL SUCURSAL COLOMBIA</v>
      </c>
      <c r="E10" s="61" t="s">
        <v>631</v>
      </c>
      <c r="F10" s="62" t="s">
        <v>632</v>
      </c>
      <c r="G10" s="277" t="s">
        <v>10</v>
      </c>
      <c r="H10" s="277" t="s">
        <v>10</v>
      </c>
      <c r="I10" s="63">
        <v>0.4</v>
      </c>
      <c r="J10" s="64">
        <v>41282</v>
      </c>
      <c r="K10" s="64" t="s">
        <v>629</v>
      </c>
      <c r="L10" s="65">
        <v>2015</v>
      </c>
      <c r="M10" s="66">
        <f>+IFERROR(INDEX([7]PARÁMETROS!$B$11:$B$37,MATCH(L10,[7]PARÁMETROS!$A$11:$A$37,0)),"")</f>
        <v>644350</v>
      </c>
      <c r="N10" s="67">
        <v>16123259108</v>
      </c>
      <c r="O10" s="68" t="s">
        <v>25</v>
      </c>
      <c r="P10" s="58" t="s">
        <v>61</v>
      </c>
      <c r="Q10" s="69" t="s">
        <v>61</v>
      </c>
      <c r="R10" s="70">
        <v>1</v>
      </c>
      <c r="S10" s="66">
        <f t="shared" si="1"/>
        <v>16123259108</v>
      </c>
      <c r="T10" s="55">
        <f t="shared" si="2"/>
        <v>25022.517433072087</v>
      </c>
      <c r="U10" s="55">
        <f t="shared" si="3"/>
        <v>10009.006973228836</v>
      </c>
      <c r="V10" s="55" t="s">
        <v>629</v>
      </c>
      <c r="W10" s="799" t="s">
        <v>11</v>
      </c>
      <c r="X10" s="799"/>
      <c r="Y10" s="799"/>
      <c r="Z10" s="799" t="s">
        <v>11</v>
      </c>
      <c r="AA10" s="799"/>
      <c r="AB10" s="799"/>
      <c r="AC10" s="799" t="s">
        <v>11</v>
      </c>
      <c r="AD10" s="799"/>
      <c r="AE10" s="799"/>
      <c r="AF10" s="290" t="s">
        <v>11</v>
      </c>
      <c r="AG10" s="799"/>
      <c r="AH10" s="799"/>
      <c r="AI10" s="277" t="str">
        <f>+IF(U10="","",IF(U10&gt;=[7]PARÁMETROS!$F$5,"CUMPLE","NO CUMPLE"))</f>
        <v>CUMPLE</v>
      </c>
      <c r="AJ10" s="139"/>
      <c r="AK10" s="109"/>
    </row>
    <row r="11" spans="1:39" s="72" customFormat="1" ht="42.75">
      <c r="A11" s="796"/>
      <c r="B11" s="58" t="s">
        <v>159</v>
      </c>
      <c r="C11" s="464">
        <v>145</v>
      </c>
      <c r="D11" s="60" t="str">
        <f>+IFERROR(INDEX([7]CONSOLIDADO!$D$4:$D$91,MATCH('EXP GEN. 34-40'!B11,[7]CONSOLIDADO!$C$4:$C$91,0)),"")</f>
        <v>PROINTEC COLOMBIA</v>
      </c>
      <c r="E11" s="61" t="s">
        <v>633</v>
      </c>
      <c r="F11" s="62" t="s">
        <v>634</v>
      </c>
      <c r="G11" s="277" t="s">
        <v>10</v>
      </c>
      <c r="H11" s="277" t="s">
        <v>10</v>
      </c>
      <c r="I11" s="63">
        <v>1</v>
      </c>
      <c r="J11" s="64">
        <v>39001</v>
      </c>
      <c r="K11" s="64">
        <v>40354</v>
      </c>
      <c r="L11" s="65">
        <f t="shared" si="0"/>
        <v>2010</v>
      </c>
      <c r="M11" s="66">
        <f>+IFERROR(INDEX([7]PARÁMETROS!$B$11:$B$37,MATCH(L11,[7]PARÁMETROS!$A$11:$A$37,0)),"")</f>
        <v>515000</v>
      </c>
      <c r="N11" s="67">
        <v>6389802.9699999997</v>
      </c>
      <c r="O11" s="68" t="s">
        <v>419</v>
      </c>
      <c r="P11" s="58">
        <v>1.23166</v>
      </c>
      <c r="Q11" s="69">
        <f>+N11*P11</f>
        <v>7870064.7260301998</v>
      </c>
      <c r="R11" s="70">
        <v>1896.87</v>
      </c>
      <c r="S11" s="66">
        <f>+Q11*R11</f>
        <v>14928489676.864904</v>
      </c>
      <c r="T11" s="55">
        <f t="shared" si="2"/>
        <v>28987.358595854184</v>
      </c>
      <c r="U11" s="55">
        <f t="shared" si="3"/>
        <v>28987.358595854184</v>
      </c>
      <c r="V11" s="432">
        <v>63</v>
      </c>
      <c r="W11" s="799" t="s">
        <v>10</v>
      </c>
      <c r="X11" s="799"/>
      <c r="Y11" s="799"/>
      <c r="Z11" s="799" t="s">
        <v>10</v>
      </c>
      <c r="AA11" s="799"/>
      <c r="AB11" s="799"/>
      <c r="AC11" s="799" t="s">
        <v>10</v>
      </c>
      <c r="AD11" s="799"/>
      <c r="AE11" s="799"/>
      <c r="AF11" s="290" t="s">
        <v>10</v>
      </c>
      <c r="AG11" s="799"/>
      <c r="AH11" s="799"/>
      <c r="AI11" s="277" t="str">
        <f>+IF(U11="","",IF(U11&gt;=[7]PARÁMETROS!$F$5,"CUMPLE","NO CUMPLE"))</f>
        <v>CUMPLE</v>
      </c>
      <c r="AJ11" s="139"/>
      <c r="AK11" s="109"/>
    </row>
    <row r="12" spans="1:39" s="72" customFormat="1" ht="43.5" thickBot="1">
      <c r="A12" s="806"/>
      <c r="B12" s="141" t="s">
        <v>159</v>
      </c>
      <c r="C12" s="404">
        <v>150</v>
      </c>
      <c r="D12" s="143" t="str">
        <f>+IFERROR(INDEX([7]CONSOLIDADO!$D$4:$D$91,MATCH('EXP GEN. 34-40'!B12,[7]CONSOLIDADO!$C$4:$C$91,0)),"")</f>
        <v>PROINTEC COLOMBIA</v>
      </c>
      <c r="E12" s="144" t="s">
        <v>505</v>
      </c>
      <c r="F12" s="145" t="s">
        <v>635</v>
      </c>
      <c r="G12" s="278" t="s">
        <v>10</v>
      </c>
      <c r="H12" s="278" t="s">
        <v>10</v>
      </c>
      <c r="I12" s="146">
        <v>1</v>
      </c>
      <c r="J12" s="147">
        <v>38051</v>
      </c>
      <c r="K12" s="147">
        <v>41071</v>
      </c>
      <c r="L12" s="148">
        <f t="shared" si="0"/>
        <v>2012</v>
      </c>
      <c r="M12" s="149">
        <f>+IFERROR(INDEX([7]PARÁMETROS!$B$11:$B$37,MATCH(L12,[7]PARÁMETROS!$A$11:$A$37,0)),"")</f>
        <v>566700</v>
      </c>
      <c r="N12" s="150">
        <v>4711321.91</v>
      </c>
      <c r="O12" s="151" t="s">
        <v>419</v>
      </c>
      <c r="P12" s="141">
        <v>1.2534400000000001</v>
      </c>
      <c r="Q12" s="152">
        <f>+N12*P12</f>
        <v>5905359.3348704008</v>
      </c>
      <c r="R12" s="153">
        <v>1776.26</v>
      </c>
      <c r="S12" s="149">
        <f>+Q12*R12</f>
        <v>10489453572.156898</v>
      </c>
      <c r="T12" s="154">
        <f t="shared" si="2"/>
        <v>18509.711614887769</v>
      </c>
      <c r="U12" s="154">
        <f t="shared" si="3"/>
        <v>18509.711614887769</v>
      </c>
      <c r="V12" s="503">
        <v>4</v>
      </c>
      <c r="W12" s="801" t="s">
        <v>10</v>
      </c>
      <c r="X12" s="801"/>
      <c r="Y12" s="801"/>
      <c r="Z12" s="801" t="s">
        <v>10</v>
      </c>
      <c r="AA12" s="801"/>
      <c r="AB12" s="801"/>
      <c r="AC12" s="801" t="s">
        <v>10</v>
      </c>
      <c r="AD12" s="801"/>
      <c r="AE12" s="801"/>
      <c r="AF12" s="289" t="s">
        <v>10</v>
      </c>
      <c r="AG12" s="801"/>
      <c r="AH12" s="801"/>
      <c r="AI12" s="278" t="str">
        <f>+IF(U12="","",IF(U12&gt;=[7]PARÁMETROS!$F$5,"CUMPLE","NO CUMPLE"))</f>
        <v>CUMPLE</v>
      </c>
      <c r="AJ12" s="155"/>
      <c r="AK12" s="109"/>
    </row>
    <row r="13" spans="1:39" s="72" customFormat="1" ht="85.5">
      <c r="A13" s="795" t="s">
        <v>177</v>
      </c>
      <c r="B13" s="123" t="s">
        <v>161</v>
      </c>
      <c r="C13" s="466">
        <v>141</v>
      </c>
      <c r="D13" s="125" t="str">
        <f>+IFERROR(INDEX([7]CONSOLIDADO!$D$4:$D$91,MATCH('EXP GEN. 34-40'!B13,[7]CONSOLIDADO!$C$4:$C$91,0)),"")</f>
        <v>ETA SA</v>
      </c>
      <c r="E13" s="126" t="s">
        <v>27</v>
      </c>
      <c r="F13" s="127" t="s">
        <v>636</v>
      </c>
      <c r="G13" s="279" t="s">
        <v>10</v>
      </c>
      <c r="H13" s="279" t="s">
        <v>10</v>
      </c>
      <c r="I13" s="128">
        <v>1</v>
      </c>
      <c r="J13" s="129">
        <v>39211</v>
      </c>
      <c r="K13" s="129">
        <v>40227</v>
      </c>
      <c r="L13" s="130">
        <f t="shared" si="0"/>
        <v>2010</v>
      </c>
      <c r="M13" s="131">
        <f>+IFERROR(INDEX([7]PARÁMETROS!$B$11:$B$37,MATCH(L13,[7]PARÁMETROS!$A$11:$A$37,0)),"")</f>
        <v>515000</v>
      </c>
      <c r="N13" s="132">
        <v>4313621278</v>
      </c>
      <c r="O13" s="133" t="s">
        <v>25</v>
      </c>
      <c r="P13" s="123" t="s">
        <v>61</v>
      </c>
      <c r="Q13" s="134" t="s">
        <v>61</v>
      </c>
      <c r="R13" s="135">
        <v>1</v>
      </c>
      <c r="S13" s="131">
        <f t="shared" si="1"/>
        <v>4313621278</v>
      </c>
      <c r="T13" s="136">
        <f t="shared" si="2"/>
        <v>8375.9636466019419</v>
      </c>
      <c r="U13" s="136">
        <f t="shared" si="3"/>
        <v>8375.9636466019419</v>
      </c>
      <c r="V13" s="502">
        <v>5</v>
      </c>
      <c r="W13" s="798" t="s">
        <v>11</v>
      </c>
      <c r="X13" s="798"/>
      <c r="Y13" s="798"/>
      <c r="Z13" s="798" t="s">
        <v>10</v>
      </c>
      <c r="AA13" s="798"/>
      <c r="AB13" s="798"/>
      <c r="AC13" s="798" t="s">
        <v>10</v>
      </c>
      <c r="AD13" s="798"/>
      <c r="AE13" s="798"/>
      <c r="AF13" s="291" t="s">
        <v>10</v>
      </c>
      <c r="AG13" s="798" t="str">
        <f>IF(U13="","",IF(SUM(U13:U18)&gt;=[7]PARÁMETROS!$D$5,"HÁBIL","NO HÁBIL"))</f>
        <v>HÁBIL</v>
      </c>
      <c r="AH13" s="798" t="str">
        <f>IF(U13="","",IF((U13+U14+U15)&gt;=[7]PARÁMETROS!$H$5,"HÁBIL","NO HÁBIL"))</f>
        <v>HÁBIL</v>
      </c>
      <c r="AI13" s="279" t="str">
        <f>+IF(U13="","",IF(U13&gt;=[7]PARÁMETROS!$F$5,"CUMPLE","NO CUMPLE"))</f>
        <v>CUMPLE</v>
      </c>
      <c r="AJ13" s="138"/>
      <c r="AK13" s="109"/>
    </row>
    <row r="14" spans="1:39" s="72" customFormat="1" ht="71.25">
      <c r="A14" s="796"/>
      <c r="B14" s="58" t="s">
        <v>161</v>
      </c>
      <c r="C14" s="464">
        <v>188</v>
      </c>
      <c r="D14" s="60" t="str">
        <f>+IFERROR(INDEX([7]CONSOLIDADO!$D$4:$D$91,MATCH('EXP GEN. 34-40'!B14,[7]CONSOLIDADO!$C$4:$C$91,0)),"")</f>
        <v>ETA SA</v>
      </c>
      <c r="E14" s="61" t="s">
        <v>637</v>
      </c>
      <c r="F14" s="61" t="s">
        <v>638</v>
      </c>
      <c r="G14" s="277" t="s">
        <v>10</v>
      </c>
      <c r="H14" s="277" t="s">
        <v>10</v>
      </c>
      <c r="I14" s="73">
        <v>1</v>
      </c>
      <c r="J14" s="64">
        <v>39776</v>
      </c>
      <c r="K14" s="64">
        <v>40809</v>
      </c>
      <c r="L14" s="65">
        <f t="shared" si="0"/>
        <v>2011</v>
      </c>
      <c r="M14" s="66">
        <f>+IFERROR(INDEX([7]PARÁMETROS!$B$11:$B$37,MATCH(L14,[7]PARÁMETROS!$A$11:$A$37,0)),"")</f>
        <v>535600</v>
      </c>
      <c r="N14" s="74">
        <v>3888865854</v>
      </c>
      <c r="O14" s="66" t="s">
        <v>25</v>
      </c>
      <c r="P14" s="58" t="s">
        <v>61</v>
      </c>
      <c r="Q14" s="69" t="s">
        <v>61</v>
      </c>
      <c r="R14" s="70">
        <v>1</v>
      </c>
      <c r="S14" s="66">
        <f t="shared" si="1"/>
        <v>3888865854</v>
      </c>
      <c r="T14" s="55">
        <f t="shared" si="2"/>
        <v>7260.7652240477964</v>
      </c>
      <c r="U14" s="55">
        <f t="shared" si="3"/>
        <v>7260.7652240477964</v>
      </c>
      <c r="V14" s="432">
        <v>6</v>
      </c>
      <c r="W14" s="799" t="s">
        <v>11</v>
      </c>
      <c r="X14" s="799"/>
      <c r="Y14" s="799"/>
      <c r="Z14" s="799" t="s">
        <v>10</v>
      </c>
      <c r="AA14" s="799"/>
      <c r="AB14" s="799"/>
      <c r="AC14" s="799" t="s">
        <v>10</v>
      </c>
      <c r="AD14" s="799"/>
      <c r="AE14" s="799"/>
      <c r="AF14" s="290" t="s">
        <v>10</v>
      </c>
      <c r="AG14" s="799"/>
      <c r="AH14" s="799"/>
      <c r="AI14" s="277" t="str">
        <f>+IF(U14="","",IF(U14&gt;=[7]PARÁMETROS!$F$5,"CUMPLE","NO CUMPLE"))</f>
        <v>CUMPLE</v>
      </c>
      <c r="AJ14" s="139"/>
      <c r="AK14" s="109"/>
    </row>
    <row r="15" spans="1:39" s="72" customFormat="1" ht="57">
      <c r="A15" s="796"/>
      <c r="B15" s="58" t="s">
        <v>161</v>
      </c>
      <c r="C15" s="464">
        <v>226</v>
      </c>
      <c r="D15" s="60" t="str">
        <f>+IFERROR(INDEX([7]CONSOLIDADO!$D$4:$D$91,MATCH('EXP GEN. 34-40'!B15,[7]CONSOLIDADO!$C$4:$C$91,0)),"")</f>
        <v>ETA SA</v>
      </c>
      <c r="E15" s="61" t="s">
        <v>27</v>
      </c>
      <c r="F15" s="62" t="s">
        <v>639</v>
      </c>
      <c r="G15" s="277" t="s">
        <v>10</v>
      </c>
      <c r="H15" s="277" t="s">
        <v>10</v>
      </c>
      <c r="I15" s="63">
        <v>0.6</v>
      </c>
      <c r="J15" s="64">
        <v>37432</v>
      </c>
      <c r="K15" s="64">
        <v>38352</v>
      </c>
      <c r="L15" s="65">
        <f t="shared" si="0"/>
        <v>2004</v>
      </c>
      <c r="M15" s="66">
        <f>+IFERROR(INDEX([7]PARÁMETROS!$B$11:$B$37,MATCH(L15,[7]PARÁMETROS!$A$11:$A$37,0)),"")</f>
        <v>358000</v>
      </c>
      <c r="N15" s="67">
        <v>2437834762</v>
      </c>
      <c r="O15" s="68" t="s">
        <v>25</v>
      </c>
      <c r="P15" s="58" t="s">
        <v>61</v>
      </c>
      <c r="Q15" s="69" t="s">
        <v>61</v>
      </c>
      <c r="R15" s="70">
        <v>1</v>
      </c>
      <c r="S15" s="66">
        <f t="shared" si="1"/>
        <v>2437834762</v>
      </c>
      <c r="T15" s="55">
        <f t="shared" si="2"/>
        <v>6809.5943072625696</v>
      </c>
      <c r="U15" s="55">
        <f t="shared" si="3"/>
        <v>4085.7565843575417</v>
      </c>
      <c r="V15" s="432">
        <v>12</v>
      </c>
      <c r="W15" s="799" t="s">
        <v>11</v>
      </c>
      <c r="X15" s="799"/>
      <c r="Y15" s="799"/>
      <c r="Z15" s="799" t="s">
        <v>10</v>
      </c>
      <c r="AA15" s="799"/>
      <c r="AB15" s="799"/>
      <c r="AC15" s="799" t="s">
        <v>10</v>
      </c>
      <c r="AD15" s="799"/>
      <c r="AE15" s="799"/>
      <c r="AF15" s="290" t="s">
        <v>10</v>
      </c>
      <c r="AG15" s="799"/>
      <c r="AH15" s="799"/>
      <c r="AI15" s="277" t="str">
        <f>+IF(U15="","",IF(U15&gt;=[7]PARÁMETROS!$F$5,"CUMPLE","NO CUMPLE"))</f>
        <v>CUMPLE</v>
      </c>
      <c r="AJ15" s="139"/>
      <c r="AK15" s="109"/>
    </row>
    <row r="16" spans="1:39" s="72" customFormat="1" ht="85.5">
      <c r="A16" s="796"/>
      <c r="B16" s="58" t="s">
        <v>162</v>
      </c>
      <c r="C16" s="464">
        <v>248</v>
      </c>
      <c r="D16" s="60" t="str">
        <f>+IFERROR(INDEX([7]CONSOLIDADO!$D$4:$D$91,MATCH('EXP GEN. 34-40'!B16,[7]CONSOLIDADO!$C$4:$C$91,0)),"")</f>
        <v xml:space="preserve">GC&amp;Q INGENIEROS CONSULTORES SAS. </v>
      </c>
      <c r="E16" s="61" t="s">
        <v>640</v>
      </c>
      <c r="F16" s="62" t="s">
        <v>641</v>
      </c>
      <c r="G16" s="277" t="s">
        <v>10</v>
      </c>
      <c r="H16" s="277" t="s">
        <v>10</v>
      </c>
      <c r="I16" s="63">
        <v>0.6</v>
      </c>
      <c r="J16" s="64">
        <v>41075</v>
      </c>
      <c r="K16" s="64" t="s">
        <v>629</v>
      </c>
      <c r="L16" s="65">
        <v>2015</v>
      </c>
      <c r="M16" s="66">
        <f>+IFERROR(INDEX([7]PARÁMETROS!$B$11:$B$37,MATCH(L16,[7]PARÁMETROS!$A$11:$A$37,0)),"")</f>
        <v>644350</v>
      </c>
      <c r="N16" s="67">
        <v>20766942881</v>
      </c>
      <c r="O16" s="68" t="s">
        <v>25</v>
      </c>
      <c r="P16" s="58" t="s">
        <v>61</v>
      </c>
      <c r="Q16" s="69" t="s">
        <v>61</v>
      </c>
      <c r="R16" s="70">
        <v>1</v>
      </c>
      <c r="S16" s="66">
        <f t="shared" si="1"/>
        <v>20766942881</v>
      </c>
      <c r="T16" s="55">
        <f t="shared" si="2"/>
        <v>32229.289797470319</v>
      </c>
      <c r="U16" s="55">
        <f t="shared" si="3"/>
        <v>19337.573878482192</v>
      </c>
      <c r="V16" s="55" t="s">
        <v>629</v>
      </c>
      <c r="W16" s="799" t="s">
        <v>11</v>
      </c>
      <c r="X16" s="799"/>
      <c r="Y16" s="799"/>
      <c r="Z16" s="799" t="s">
        <v>11</v>
      </c>
      <c r="AA16" s="799"/>
      <c r="AB16" s="799"/>
      <c r="AC16" s="799" t="s">
        <v>10</v>
      </c>
      <c r="AD16" s="799"/>
      <c r="AE16" s="799"/>
      <c r="AF16" s="290" t="s">
        <v>11</v>
      </c>
      <c r="AG16" s="799"/>
      <c r="AH16" s="799"/>
      <c r="AI16" s="277" t="str">
        <f>+IF(U16="","",IF(U16&gt;=[7]PARÁMETROS!$F$5,"CUMPLE","NO CUMPLE"))</f>
        <v>CUMPLE</v>
      </c>
      <c r="AJ16" s="139"/>
      <c r="AK16" s="109"/>
    </row>
    <row r="17" spans="1:37" s="72" customFormat="1" ht="42.75">
      <c r="A17" s="796"/>
      <c r="B17" s="58" t="s">
        <v>162</v>
      </c>
      <c r="C17" s="464">
        <v>253</v>
      </c>
      <c r="D17" s="60" t="str">
        <f>+IFERROR(INDEX([7]CONSOLIDADO!$D$4:$D$91,MATCH('EXP GEN. 34-40'!B17,[7]CONSOLIDADO!$C$4:$C$91,0)),"")</f>
        <v xml:space="preserve">GC&amp;Q INGENIEROS CONSULTORES SAS. </v>
      </c>
      <c r="E17" s="61" t="s">
        <v>642</v>
      </c>
      <c r="F17" s="62" t="s">
        <v>643</v>
      </c>
      <c r="G17" s="277" t="s">
        <v>10</v>
      </c>
      <c r="H17" s="277" t="s">
        <v>10</v>
      </c>
      <c r="I17" s="63">
        <v>1</v>
      </c>
      <c r="J17" s="64">
        <v>39548</v>
      </c>
      <c r="K17" s="64">
        <v>40317</v>
      </c>
      <c r="L17" s="65">
        <f t="shared" si="0"/>
        <v>2010</v>
      </c>
      <c r="M17" s="66">
        <f>+IFERROR(INDEX([7]PARÁMETROS!$B$11:$B$37,MATCH(L17,[7]PARÁMETROS!$A$11:$A$37,0)),"")</f>
        <v>515000</v>
      </c>
      <c r="N17" s="67">
        <v>529800000</v>
      </c>
      <c r="O17" s="68" t="s">
        <v>644</v>
      </c>
      <c r="P17" s="58">
        <v>1.81E-3</v>
      </c>
      <c r="Q17" s="69">
        <v>986957</v>
      </c>
      <c r="R17" s="70">
        <v>1976.46</v>
      </c>
      <c r="S17" s="69">
        <f>+Q17*R17</f>
        <v>1950681032.22</v>
      </c>
      <c r="T17" s="55">
        <f t="shared" si="2"/>
        <v>3787.7301596504853</v>
      </c>
      <c r="U17" s="55">
        <f t="shared" si="3"/>
        <v>3787.7301596504853</v>
      </c>
      <c r="V17" s="55" t="s">
        <v>743</v>
      </c>
      <c r="W17" s="799"/>
      <c r="X17" s="799"/>
      <c r="Y17" s="799"/>
      <c r="Z17" s="799"/>
      <c r="AA17" s="799"/>
      <c r="AB17" s="799"/>
      <c r="AC17" s="799"/>
      <c r="AD17" s="799"/>
      <c r="AE17" s="799"/>
      <c r="AF17" s="290"/>
      <c r="AG17" s="799"/>
      <c r="AH17" s="799"/>
      <c r="AI17" s="277" t="str">
        <f>+IF(U17="","",IF(U17&gt;=[7]PARÁMETROS!$F$5,"CUMPLE","NO CUMPLE"))</f>
        <v>CUMPLE</v>
      </c>
      <c r="AJ17" s="139"/>
      <c r="AK17" s="109"/>
    </row>
    <row r="18" spans="1:37" s="72" customFormat="1" ht="43.5" thickBot="1">
      <c r="A18" s="806"/>
      <c r="B18" s="141" t="s">
        <v>162</v>
      </c>
      <c r="C18" s="404">
        <v>258</v>
      </c>
      <c r="D18" s="143" t="str">
        <f>+IFERROR(INDEX([7]CONSOLIDADO!$D$4:$D$91,MATCH('EXP GEN. 34-40'!B18,[7]CONSOLIDADO!$C$4:$C$91,0)),"")</f>
        <v xml:space="preserve">GC&amp;Q INGENIEROS CONSULTORES SAS. </v>
      </c>
      <c r="E18" s="144" t="s">
        <v>642</v>
      </c>
      <c r="F18" s="145" t="s">
        <v>645</v>
      </c>
      <c r="G18" s="278" t="s">
        <v>10</v>
      </c>
      <c r="H18" s="278" t="s">
        <v>10</v>
      </c>
      <c r="I18" s="146">
        <v>1</v>
      </c>
      <c r="J18" s="147">
        <v>39671</v>
      </c>
      <c r="K18" s="147">
        <v>40273</v>
      </c>
      <c r="L18" s="148">
        <f t="shared" si="0"/>
        <v>2010</v>
      </c>
      <c r="M18" s="149">
        <f>+IFERROR(INDEX([7]PARÁMETROS!$B$11:$B$37,MATCH(L18,[7]PARÁMETROS!$A$11:$A$37,0)),"")</f>
        <v>515000</v>
      </c>
      <c r="N18" s="150">
        <v>612800000</v>
      </c>
      <c r="O18" s="151" t="s">
        <v>644</v>
      </c>
      <c r="P18" s="141">
        <v>1.83E-3</v>
      </c>
      <c r="Q18" s="152">
        <v>1184567</v>
      </c>
      <c r="R18" s="153">
        <v>1921.88</v>
      </c>
      <c r="S18" s="152">
        <f>+Q18*R18</f>
        <v>2276595625.96</v>
      </c>
      <c r="T18" s="154">
        <f t="shared" si="2"/>
        <v>4420.5740309902912</v>
      </c>
      <c r="U18" s="154">
        <f t="shared" si="3"/>
        <v>4420.5740309902912</v>
      </c>
      <c r="V18" s="154" t="s">
        <v>743</v>
      </c>
      <c r="W18" s="801"/>
      <c r="X18" s="801"/>
      <c r="Y18" s="801"/>
      <c r="Z18" s="801"/>
      <c r="AA18" s="801"/>
      <c r="AB18" s="801"/>
      <c r="AC18" s="801"/>
      <c r="AD18" s="801"/>
      <c r="AE18" s="801"/>
      <c r="AF18" s="289"/>
      <c r="AG18" s="801"/>
      <c r="AH18" s="801"/>
      <c r="AI18" s="278" t="str">
        <f>+IF(U18="","",IF(U18&gt;=[7]PARÁMETROS!$F$5,"CUMPLE","NO CUMPLE"))</f>
        <v>CUMPLE</v>
      </c>
      <c r="AJ18" s="155"/>
      <c r="AK18" s="109"/>
    </row>
    <row r="19" spans="1:37" s="72" customFormat="1" ht="57">
      <c r="A19" s="795" t="s">
        <v>178</v>
      </c>
      <c r="B19" s="123" t="s">
        <v>163</v>
      </c>
      <c r="C19" s="466">
        <v>234</v>
      </c>
      <c r="D19" s="125" t="str">
        <f>+IFERROR(INDEX([7]CONSOLIDADO!$D$4:$D$91,MATCH('EXP GEN. 34-40'!B19,[7]CONSOLIDADO!$C$4:$C$91,0)),"")</f>
        <v>BATEMAN INGENIERIA S.A.</v>
      </c>
      <c r="E19" s="126" t="s">
        <v>397</v>
      </c>
      <c r="F19" s="127" t="s">
        <v>646</v>
      </c>
      <c r="G19" s="279" t="s">
        <v>10</v>
      </c>
      <c r="H19" s="279" t="s">
        <v>10</v>
      </c>
      <c r="I19" s="128">
        <v>0.75</v>
      </c>
      <c r="J19" s="129">
        <v>38343</v>
      </c>
      <c r="K19" s="129">
        <v>39804</v>
      </c>
      <c r="L19" s="130">
        <f t="shared" si="0"/>
        <v>2008</v>
      </c>
      <c r="M19" s="131">
        <f>+IFERROR(INDEX([7]PARÁMETROS!$B$11:$B$37,MATCH(L19,[7]PARÁMETROS!$A$11:$A$37,0)),"")</f>
        <v>461500</v>
      </c>
      <c r="N19" s="132">
        <v>2538978678</v>
      </c>
      <c r="O19" s="133" t="s">
        <v>25</v>
      </c>
      <c r="P19" s="123" t="s">
        <v>61</v>
      </c>
      <c r="Q19" s="134" t="s">
        <v>61</v>
      </c>
      <c r="R19" s="135">
        <v>1</v>
      </c>
      <c r="S19" s="131">
        <f t="shared" si="1"/>
        <v>2538978678</v>
      </c>
      <c r="T19" s="136">
        <f t="shared" si="2"/>
        <v>5501.5789339111589</v>
      </c>
      <c r="U19" s="136">
        <f t="shared" si="3"/>
        <v>4126.1842004333694</v>
      </c>
      <c r="V19" s="502">
        <v>66</v>
      </c>
      <c r="W19" s="798" t="s">
        <v>10</v>
      </c>
      <c r="X19" s="798"/>
      <c r="Y19" s="798"/>
      <c r="Z19" s="798" t="s">
        <v>10</v>
      </c>
      <c r="AA19" s="798"/>
      <c r="AB19" s="798"/>
      <c r="AC19" s="798" t="s">
        <v>10</v>
      </c>
      <c r="AD19" s="798"/>
      <c r="AE19" s="798"/>
      <c r="AF19" s="291" t="s">
        <v>10</v>
      </c>
      <c r="AG19" s="798" t="str">
        <f>IF(U19="","",IF(SUM(U19:U23)&gt;=[7]PARÁMETROS!$D$5,"HÁBIL","NO HÁBIL"))</f>
        <v>HÁBIL</v>
      </c>
      <c r="AH19" s="798" t="str">
        <f>IF(U19="","",IF((U19+U20)&gt;=[7]PARÁMETROS!$H$5,"HÁBIL","NO HÁBIL"))</f>
        <v>HÁBIL</v>
      </c>
      <c r="AI19" s="279" t="str">
        <f>+IF(U19="","",IF(U19&gt;=[7]PARÁMETROS!$F$5,"CUMPLE","NO CUMPLE"))</f>
        <v>CUMPLE</v>
      </c>
      <c r="AJ19" s="138"/>
      <c r="AK19" s="109"/>
    </row>
    <row r="20" spans="1:37" s="72" customFormat="1" ht="99.75">
      <c r="A20" s="796"/>
      <c r="B20" s="58" t="s">
        <v>163</v>
      </c>
      <c r="C20" s="464">
        <v>251</v>
      </c>
      <c r="D20" s="60" t="str">
        <f>+IFERROR(INDEX([7]CONSOLIDADO!$D$4:$D$91,MATCH('EXP GEN. 34-40'!B20,[7]CONSOLIDADO!$C$4:$C$91,0)),"")</f>
        <v>BATEMAN INGENIERIA S.A.</v>
      </c>
      <c r="E20" s="61" t="s">
        <v>647</v>
      </c>
      <c r="F20" s="62" t="s">
        <v>648</v>
      </c>
      <c r="G20" s="277" t="s">
        <v>10</v>
      </c>
      <c r="H20" s="277" t="s">
        <v>10</v>
      </c>
      <c r="I20" s="63">
        <v>0.5</v>
      </c>
      <c r="J20" s="64">
        <v>40099</v>
      </c>
      <c r="K20" s="64">
        <v>40558</v>
      </c>
      <c r="L20" s="65">
        <f t="shared" si="0"/>
        <v>2011</v>
      </c>
      <c r="M20" s="66">
        <f>+IFERROR(INDEX([7]PARÁMETROS!$B$11:$B$37,MATCH(L20,[7]PARÁMETROS!$A$11:$A$37,0)),"")</f>
        <v>535600</v>
      </c>
      <c r="N20" s="67">
        <v>4561047955</v>
      </c>
      <c r="O20" s="68" t="s">
        <v>25</v>
      </c>
      <c r="P20" s="58" t="s">
        <v>61</v>
      </c>
      <c r="Q20" s="69" t="s">
        <v>61</v>
      </c>
      <c r="R20" s="70">
        <v>1</v>
      </c>
      <c r="S20" s="66">
        <f t="shared" si="1"/>
        <v>4561047955</v>
      </c>
      <c r="T20" s="55">
        <f t="shared" si="2"/>
        <v>8515.7728808812553</v>
      </c>
      <c r="U20" s="55">
        <f t="shared" si="3"/>
        <v>4257.8864404406277</v>
      </c>
      <c r="V20" s="432">
        <v>20</v>
      </c>
      <c r="W20" s="799" t="s">
        <v>10</v>
      </c>
      <c r="X20" s="799"/>
      <c r="Y20" s="799"/>
      <c r="Z20" s="799" t="s">
        <v>10</v>
      </c>
      <c r="AA20" s="799"/>
      <c r="AB20" s="799"/>
      <c r="AC20" s="799" t="s">
        <v>10</v>
      </c>
      <c r="AD20" s="799"/>
      <c r="AE20" s="799"/>
      <c r="AF20" s="290" t="s">
        <v>10</v>
      </c>
      <c r="AG20" s="799"/>
      <c r="AH20" s="799"/>
      <c r="AI20" s="277" t="str">
        <f>+IF(U20="","",IF(U20&gt;=[7]PARÁMETROS!$F$5,"CUMPLE","NO CUMPLE"))</f>
        <v>CUMPLE</v>
      </c>
      <c r="AJ20" s="139"/>
      <c r="AK20" s="109"/>
    </row>
    <row r="21" spans="1:37" s="72" customFormat="1" ht="68.25" customHeight="1">
      <c r="A21" s="796"/>
      <c r="B21" s="58" t="s">
        <v>164</v>
      </c>
      <c r="C21" s="464">
        <v>263</v>
      </c>
      <c r="D21" s="60" t="str">
        <f>+IFERROR(INDEX([7]CONSOLIDADO!$D$4:$D$91,MATCH('EXP GEN. 34-40'!B21,[7]CONSOLIDADO!$C$4:$C$91,0)),"")</f>
        <v>IAR PROYECTOS SAS</v>
      </c>
      <c r="E21" s="61" t="s">
        <v>649</v>
      </c>
      <c r="F21" s="62" t="s">
        <v>650</v>
      </c>
      <c r="G21" s="277" t="s">
        <v>10</v>
      </c>
      <c r="H21" s="277" t="s">
        <v>10</v>
      </c>
      <c r="I21" s="63">
        <v>1</v>
      </c>
      <c r="J21" s="64">
        <v>40548</v>
      </c>
      <c r="K21" s="64">
        <v>40896</v>
      </c>
      <c r="L21" s="65">
        <f t="shared" si="0"/>
        <v>2011</v>
      </c>
      <c r="M21" s="66">
        <f>+IFERROR(INDEX([7]PARÁMETROS!$B$11:$B$37,MATCH(L21,[7]PARÁMETROS!$A$11:$A$37,0)),"")</f>
        <v>535600</v>
      </c>
      <c r="N21" s="67">
        <v>1030651395</v>
      </c>
      <c r="O21" s="68" t="s">
        <v>25</v>
      </c>
      <c r="P21" s="58" t="s">
        <v>61</v>
      </c>
      <c r="Q21" s="69" t="s">
        <v>61</v>
      </c>
      <c r="R21" s="70">
        <v>1</v>
      </c>
      <c r="S21" s="66">
        <f t="shared" si="1"/>
        <v>1030651395</v>
      </c>
      <c r="T21" s="55">
        <f t="shared" si="2"/>
        <v>1924.2931198655713</v>
      </c>
      <c r="U21" s="55">
        <f t="shared" si="3"/>
        <v>1924.2931198655713</v>
      </c>
      <c r="V21" s="432">
        <v>2</v>
      </c>
      <c r="W21" s="799" t="s">
        <v>11</v>
      </c>
      <c r="X21" s="799"/>
      <c r="Y21" s="799"/>
      <c r="Z21" s="799" t="s">
        <v>10</v>
      </c>
      <c r="AA21" s="799"/>
      <c r="AB21" s="799"/>
      <c r="AC21" s="799" t="s">
        <v>10</v>
      </c>
      <c r="AD21" s="799"/>
      <c r="AE21" s="799"/>
      <c r="AF21" s="290" t="s">
        <v>10</v>
      </c>
      <c r="AG21" s="799"/>
      <c r="AH21" s="799"/>
      <c r="AI21" s="277" t="str">
        <f>+IF(U21="","",IF(U21&gt;=[7]PARÁMETROS!$F$5,"CUMPLE","NO CUMPLE"))</f>
        <v>CUMPLE</v>
      </c>
      <c r="AJ21" s="139"/>
      <c r="AK21" s="109"/>
    </row>
    <row r="22" spans="1:37" s="72" customFormat="1" ht="57">
      <c r="A22" s="796"/>
      <c r="B22" s="58" t="s">
        <v>164</v>
      </c>
      <c r="C22" s="464">
        <v>283</v>
      </c>
      <c r="D22" s="60" t="str">
        <f>+IFERROR(INDEX([7]CONSOLIDADO!$D$4:$D$91,MATCH('EXP GEN. 34-40'!B22,[7]CONSOLIDADO!$C$4:$C$91,0)),"")</f>
        <v>IAR PROYECTOS SAS</v>
      </c>
      <c r="E22" s="61" t="s">
        <v>27</v>
      </c>
      <c r="F22" s="62" t="s">
        <v>651</v>
      </c>
      <c r="G22" s="277" t="s">
        <v>10</v>
      </c>
      <c r="H22" s="277" t="s">
        <v>10</v>
      </c>
      <c r="I22" s="63">
        <v>1</v>
      </c>
      <c r="J22" s="64">
        <v>39153</v>
      </c>
      <c r="K22" s="64">
        <v>39743</v>
      </c>
      <c r="L22" s="65">
        <f t="shared" si="0"/>
        <v>2008</v>
      </c>
      <c r="M22" s="66">
        <f>+IFERROR(INDEX([7]PARÁMETROS!$B$11:$B$37,MATCH(L22,[7]PARÁMETROS!$A$11:$A$37,0)),"")</f>
        <v>461500</v>
      </c>
      <c r="N22" s="67">
        <v>1467948717</v>
      </c>
      <c r="O22" s="68" t="s">
        <v>25</v>
      </c>
      <c r="P22" s="58" t="s">
        <v>61</v>
      </c>
      <c r="Q22" s="69" t="s">
        <v>61</v>
      </c>
      <c r="R22" s="70">
        <v>1</v>
      </c>
      <c r="S22" s="66">
        <f t="shared" si="1"/>
        <v>1467948717</v>
      </c>
      <c r="T22" s="55">
        <f t="shared" si="2"/>
        <v>3180.8206218851569</v>
      </c>
      <c r="U22" s="55">
        <f t="shared" si="3"/>
        <v>3180.8206218851569</v>
      </c>
      <c r="V22" s="432">
        <v>1</v>
      </c>
      <c r="W22" s="799" t="s">
        <v>11</v>
      </c>
      <c r="X22" s="799"/>
      <c r="Y22" s="799"/>
      <c r="Z22" s="799" t="s">
        <v>10</v>
      </c>
      <c r="AA22" s="799"/>
      <c r="AB22" s="799"/>
      <c r="AC22" s="799" t="s">
        <v>10</v>
      </c>
      <c r="AD22" s="799"/>
      <c r="AE22" s="799"/>
      <c r="AF22" s="290" t="s">
        <v>10</v>
      </c>
      <c r="AG22" s="799"/>
      <c r="AH22" s="799"/>
      <c r="AI22" s="277" t="str">
        <f>+IF(U22="","",IF(U22&gt;=[7]PARÁMETROS!$F$5,"CUMPLE","NO CUMPLE"))</f>
        <v>CUMPLE</v>
      </c>
      <c r="AJ22" s="139"/>
      <c r="AK22" s="109"/>
    </row>
    <row r="23" spans="1:37" s="72" customFormat="1" ht="57.75" thickBot="1">
      <c r="A23" s="806"/>
      <c r="B23" s="141" t="s">
        <v>164</v>
      </c>
      <c r="C23" s="404">
        <v>294</v>
      </c>
      <c r="D23" s="143" t="str">
        <f>+IFERROR(INDEX([7]CONSOLIDADO!$D$4:$D$91,MATCH('EXP GEN. 34-40'!B23,[7]CONSOLIDADO!$C$4:$C$91,0)),"")</f>
        <v>IAR PROYECTOS SAS</v>
      </c>
      <c r="E23" s="144" t="s">
        <v>649</v>
      </c>
      <c r="F23" s="145" t="s">
        <v>652</v>
      </c>
      <c r="G23" s="278" t="s">
        <v>10</v>
      </c>
      <c r="H23" s="278" t="s">
        <v>10</v>
      </c>
      <c r="I23" s="146">
        <v>0.95</v>
      </c>
      <c r="J23" s="147">
        <v>41799</v>
      </c>
      <c r="K23" s="147" t="s">
        <v>629</v>
      </c>
      <c r="L23" s="148">
        <v>2015</v>
      </c>
      <c r="M23" s="149">
        <f>+IFERROR(INDEX([7]PARÁMETROS!$B$11:$B$37,MATCH(L23,[7]PARÁMETROS!$A$11:$A$37,0)),"")</f>
        <v>644350</v>
      </c>
      <c r="N23" s="150">
        <v>1834324974</v>
      </c>
      <c r="O23" s="151" t="s">
        <v>25</v>
      </c>
      <c r="P23" s="141" t="s">
        <v>61</v>
      </c>
      <c r="Q23" s="152" t="s">
        <v>61</v>
      </c>
      <c r="R23" s="153">
        <v>1</v>
      </c>
      <c r="S23" s="149">
        <f t="shared" si="1"/>
        <v>1834324974</v>
      </c>
      <c r="T23" s="154">
        <f t="shared" si="2"/>
        <v>2846.783540001552</v>
      </c>
      <c r="U23" s="154">
        <f t="shared" si="3"/>
        <v>2704.4443630014744</v>
      </c>
      <c r="V23" s="503" t="s">
        <v>61</v>
      </c>
      <c r="W23" s="801"/>
      <c r="X23" s="801"/>
      <c r="Y23" s="801"/>
      <c r="Z23" s="801"/>
      <c r="AA23" s="801"/>
      <c r="AB23" s="801"/>
      <c r="AC23" s="801"/>
      <c r="AD23" s="801"/>
      <c r="AE23" s="801"/>
      <c r="AF23" s="289"/>
      <c r="AG23" s="801"/>
      <c r="AH23" s="801"/>
      <c r="AI23" s="278" t="str">
        <f>+IF(U23="","",IF(U23&gt;=[7]PARÁMETROS!$F$5,"CUMPLE","NO CUMPLE"))</f>
        <v>CUMPLE</v>
      </c>
      <c r="AJ23" s="155"/>
      <c r="AK23" s="109"/>
    </row>
    <row r="24" spans="1:37" s="72" customFormat="1" ht="57">
      <c r="A24" s="795" t="s">
        <v>179</v>
      </c>
      <c r="B24" s="123" t="s">
        <v>165</v>
      </c>
      <c r="C24" s="466">
        <v>163</v>
      </c>
      <c r="D24" s="125" t="str">
        <f>+IFERROR(INDEX([7]CONSOLIDADO!$D$4:$D$91,MATCH('EXP GEN. 34-40'!B24,[7]CONSOLIDADO!$C$4:$C$91,0)),"")</f>
        <v>IV INGENIEROS CONSULTORES SUCURSAL COLOMBIA</v>
      </c>
      <c r="E24" s="126" t="s">
        <v>653</v>
      </c>
      <c r="F24" s="127" t="s">
        <v>654</v>
      </c>
      <c r="G24" s="279" t="s">
        <v>10</v>
      </c>
      <c r="H24" s="279" t="s">
        <v>10</v>
      </c>
      <c r="I24" s="128">
        <v>1</v>
      </c>
      <c r="J24" s="129">
        <v>37774</v>
      </c>
      <c r="K24" s="129">
        <v>38597</v>
      </c>
      <c r="L24" s="130">
        <v>2005</v>
      </c>
      <c r="M24" s="131">
        <f>+IFERROR(INDEX([7]PARÁMETROS!$B$11:$B$37,MATCH(L24,[7]PARÁMETROS!$A$11:$A$37,0)),"")</f>
        <v>381500</v>
      </c>
      <c r="N24" s="132">
        <v>1207476.71</v>
      </c>
      <c r="O24" s="133" t="s">
        <v>419</v>
      </c>
      <c r="P24" s="123">
        <v>1.2487999999999999</v>
      </c>
      <c r="Q24" s="134">
        <f>+P24*N24</f>
        <v>1507896.915448</v>
      </c>
      <c r="R24" s="135">
        <v>2298.85</v>
      </c>
      <c r="S24" s="131">
        <f>IF(R24&lt;&gt;"",Q24*R24,"")</f>
        <v>3466428824.0776343</v>
      </c>
      <c r="T24" s="136">
        <f t="shared" si="2"/>
        <v>9086.3140867041529</v>
      </c>
      <c r="U24" s="136">
        <f t="shared" si="3"/>
        <v>9086.3140867041529</v>
      </c>
      <c r="V24" s="502">
        <v>23</v>
      </c>
      <c r="W24" s="798" t="s">
        <v>10</v>
      </c>
      <c r="X24" s="798"/>
      <c r="Y24" s="798"/>
      <c r="Z24" s="798" t="s">
        <v>10</v>
      </c>
      <c r="AA24" s="798"/>
      <c r="AB24" s="798"/>
      <c r="AC24" s="798" t="s">
        <v>10</v>
      </c>
      <c r="AD24" s="798"/>
      <c r="AE24" s="798"/>
      <c r="AF24" s="291" t="s">
        <v>10</v>
      </c>
      <c r="AG24" s="798" t="str">
        <f>IF(U24="","",IF(SUM(U24:U29)&gt;=[7]PARÁMETROS!$D$5,"HÁBIL","NO HÁBIL"))</f>
        <v>HÁBIL</v>
      </c>
      <c r="AH24" s="798" t="str">
        <f>IF(U24="","",IF((U24+U25)&gt;=[7]PARÁMETROS!$H$5,"HÁBIL","NO HÁBIL"))</f>
        <v>HÁBIL</v>
      </c>
      <c r="AI24" s="279" t="s">
        <v>750</v>
      </c>
      <c r="AJ24" s="138"/>
      <c r="AK24" s="109"/>
    </row>
    <row r="25" spans="1:37" s="72" customFormat="1" ht="57">
      <c r="A25" s="796"/>
      <c r="B25" s="58" t="s">
        <v>165</v>
      </c>
      <c r="C25" s="464">
        <v>168</v>
      </c>
      <c r="D25" s="60" t="str">
        <f>+IFERROR(INDEX([7]CONSOLIDADO!$D$4:$D$91,MATCH('EXP GEN. 34-40'!B25,[7]CONSOLIDADO!$C$4:$C$91,0)),"")</f>
        <v>IV INGENIEROS CONSULTORES SUCURSAL COLOMBIA</v>
      </c>
      <c r="E25" s="61" t="s">
        <v>653</v>
      </c>
      <c r="F25" s="62" t="s">
        <v>655</v>
      </c>
      <c r="G25" s="277" t="s">
        <v>10</v>
      </c>
      <c r="H25" s="277" t="s">
        <v>10</v>
      </c>
      <c r="I25" s="63">
        <v>1</v>
      </c>
      <c r="J25" s="64">
        <v>39329</v>
      </c>
      <c r="K25" s="64">
        <v>40578</v>
      </c>
      <c r="L25" s="65">
        <v>2011</v>
      </c>
      <c r="M25" s="66">
        <f>+IFERROR(INDEX([7]PARÁMETROS!$B$11:$B$37,MATCH(L25,[7]PARÁMETROS!$A$11:$A$37,0)),"")</f>
        <v>535600</v>
      </c>
      <c r="N25" s="67">
        <v>1551350.29</v>
      </c>
      <c r="O25" s="68" t="s">
        <v>419</v>
      </c>
      <c r="P25" s="58">
        <v>1.3747400000000001</v>
      </c>
      <c r="Q25" s="69">
        <f>+P25*N25</f>
        <v>2132703.2976746</v>
      </c>
      <c r="R25" s="70">
        <v>1863.03</v>
      </c>
      <c r="S25" s="66">
        <f>IF(R25&lt;&gt;"",Q25*R25,"")</f>
        <v>3973290224.6667099</v>
      </c>
      <c r="T25" s="55">
        <f t="shared" si="2"/>
        <v>7418.3910094598768</v>
      </c>
      <c r="U25" s="55">
        <f t="shared" si="3"/>
        <v>7418.3910094598768</v>
      </c>
      <c r="V25" s="432">
        <v>21</v>
      </c>
      <c r="W25" s="799" t="s">
        <v>10</v>
      </c>
      <c r="X25" s="799"/>
      <c r="Y25" s="799"/>
      <c r="Z25" s="799" t="s">
        <v>10</v>
      </c>
      <c r="AA25" s="799"/>
      <c r="AB25" s="799"/>
      <c r="AC25" s="799" t="s">
        <v>10</v>
      </c>
      <c r="AD25" s="799"/>
      <c r="AE25" s="799"/>
      <c r="AF25" s="290" t="s">
        <v>10</v>
      </c>
      <c r="AG25" s="799"/>
      <c r="AH25" s="799"/>
      <c r="AI25" s="277" t="s">
        <v>750</v>
      </c>
      <c r="AJ25" s="139"/>
      <c r="AK25" s="109"/>
    </row>
    <row r="26" spans="1:37" s="72" customFormat="1" ht="85.5">
      <c r="A26" s="796"/>
      <c r="B26" s="58" t="s">
        <v>320</v>
      </c>
      <c r="C26" s="464">
        <v>209</v>
      </c>
      <c r="D26" s="60" t="str">
        <f>+IFERROR(INDEX([7]CONSOLIDADO!$D$4:$D$91,MATCH('EXP GEN. 34-40'!B26,[7]CONSOLIDADO!$C$4:$C$91,0)),"")</f>
        <v>CELQO SAS</v>
      </c>
      <c r="E26" s="61" t="s">
        <v>26</v>
      </c>
      <c r="F26" s="62" t="s">
        <v>656</v>
      </c>
      <c r="G26" s="277" t="s">
        <v>10</v>
      </c>
      <c r="H26" s="277" t="s">
        <v>10</v>
      </c>
      <c r="I26" s="63">
        <v>0.75</v>
      </c>
      <c r="J26" s="64">
        <v>38684</v>
      </c>
      <c r="K26" s="64">
        <v>39690</v>
      </c>
      <c r="L26" s="65">
        <v>2008</v>
      </c>
      <c r="M26" s="66">
        <v>461500</v>
      </c>
      <c r="N26" s="67">
        <v>1688370055.5</v>
      </c>
      <c r="O26" s="68" t="s">
        <v>395</v>
      </c>
      <c r="P26" s="58" t="s">
        <v>61</v>
      </c>
      <c r="Q26" s="69" t="s">
        <v>61</v>
      </c>
      <c r="R26" s="70">
        <v>1</v>
      </c>
      <c r="S26" s="66">
        <v>1688370055.5</v>
      </c>
      <c r="T26" s="55">
        <v>3658.4399902491873</v>
      </c>
      <c r="U26" s="55">
        <v>2743.8299926868904</v>
      </c>
      <c r="V26" s="432">
        <v>5</v>
      </c>
      <c r="W26" s="799" t="s">
        <v>10</v>
      </c>
      <c r="X26" s="799"/>
      <c r="Y26" s="799"/>
      <c r="Z26" s="799" t="s">
        <v>10</v>
      </c>
      <c r="AA26" s="799"/>
      <c r="AB26" s="799"/>
      <c r="AC26" s="799" t="s">
        <v>10</v>
      </c>
      <c r="AD26" s="799"/>
      <c r="AE26" s="799"/>
      <c r="AF26" s="290" t="s">
        <v>10</v>
      </c>
      <c r="AG26" s="799"/>
      <c r="AH26" s="799"/>
      <c r="AI26" s="277" t="str">
        <f>+IF(U26="","",IF(U26&gt;=[7]PARÁMETROS!$F$5,"CUMPLE","NO CUMPLE"))</f>
        <v>CUMPLE</v>
      </c>
      <c r="AJ26" s="166"/>
      <c r="AK26" s="109"/>
    </row>
    <row r="27" spans="1:37" s="82" customFormat="1" ht="99.75">
      <c r="A27" s="796"/>
      <c r="B27" s="58" t="s">
        <v>167</v>
      </c>
      <c r="C27" s="464">
        <v>255</v>
      </c>
      <c r="D27" s="60" t="str">
        <f>+IFERROR(INDEX([7]CONSOLIDADO!$D$4:$D$91,MATCH('EXP GEN. 34-40'!B27,[7]CONSOLIDADO!$C$4:$C$91,0)),"")</f>
        <v>ALPHA GRUPO CONSULTOR E INTERVENTOR SAS</v>
      </c>
      <c r="E27" s="61" t="s">
        <v>657</v>
      </c>
      <c r="F27" s="62" t="s">
        <v>658</v>
      </c>
      <c r="G27" s="277" t="s">
        <v>10</v>
      </c>
      <c r="H27" s="277" t="s">
        <v>10</v>
      </c>
      <c r="I27" s="63">
        <v>0.51</v>
      </c>
      <c r="J27" s="64">
        <v>38770</v>
      </c>
      <c r="K27" s="64">
        <v>39778</v>
      </c>
      <c r="L27" s="65">
        <v>2008</v>
      </c>
      <c r="M27" s="66">
        <v>461500</v>
      </c>
      <c r="N27" s="67">
        <v>3501850677</v>
      </c>
      <c r="O27" s="68" t="s">
        <v>395</v>
      </c>
      <c r="P27" s="58" t="s">
        <v>61</v>
      </c>
      <c r="Q27" s="69" t="s">
        <v>61</v>
      </c>
      <c r="R27" s="70">
        <v>1</v>
      </c>
      <c r="S27" s="66">
        <v>3501850677</v>
      </c>
      <c r="T27" s="55">
        <v>7587.9754647887321</v>
      </c>
      <c r="U27" s="55">
        <v>3869.8674870422533</v>
      </c>
      <c r="V27" s="432">
        <v>3</v>
      </c>
      <c r="W27" s="799" t="s">
        <v>10</v>
      </c>
      <c r="X27" s="799"/>
      <c r="Y27" s="799"/>
      <c r="Z27" s="799" t="s">
        <v>10</v>
      </c>
      <c r="AA27" s="799"/>
      <c r="AB27" s="799"/>
      <c r="AC27" s="799" t="s">
        <v>10</v>
      </c>
      <c r="AD27" s="799"/>
      <c r="AE27" s="799"/>
      <c r="AF27" s="290" t="s">
        <v>10</v>
      </c>
      <c r="AG27" s="799"/>
      <c r="AH27" s="799"/>
      <c r="AI27" s="277" t="str">
        <f>+IF(U27="","",IF(U27&gt;=[7]PARÁMETROS!$F$5,"CUMPLE","NO CUMPLE"))</f>
        <v>CUMPLE</v>
      </c>
      <c r="AJ27" s="139"/>
      <c r="AK27" s="158"/>
    </row>
    <row r="28" spans="1:37" s="72" customFormat="1" ht="99.75">
      <c r="A28" s="796"/>
      <c r="B28" s="58" t="s">
        <v>167</v>
      </c>
      <c r="C28" s="464">
        <v>321</v>
      </c>
      <c r="D28" s="60" t="str">
        <f>+IFERROR(INDEX([7]CONSOLIDADO!$D$4:$D$91,MATCH('EXP GEN. 34-40'!B28,[7]CONSOLIDADO!$C$4:$C$91,0)),"")</f>
        <v>ALPHA GRUPO CONSULTOR E INTERVENTOR SAS</v>
      </c>
      <c r="E28" s="61" t="s">
        <v>659</v>
      </c>
      <c r="F28" s="62" t="s">
        <v>660</v>
      </c>
      <c r="G28" s="277" t="s">
        <v>10</v>
      </c>
      <c r="H28" s="277" t="s">
        <v>10</v>
      </c>
      <c r="I28" s="63">
        <v>1</v>
      </c>
      <c r="J28" s="64">
        <v>40444</v>
      </c>
      <c r="K28" s="64">
        <v>41173</v>
      </c>
      <c r="L28" s="65">
        <v>2012</v>
      </c>
      <c r="M28" s="66">
        <v>566700</v>
      </c>
      <c r="N28" s="67">
        <v>3241542005</v>
      </c>
      <c r="O28" s="68" t="s">
        <v>395</v>
      </c>
      <c r="P28" s="58" t="s">
        <v>61</v>
      </c>
      <c r="Q28" s="69" t="s">
        <v>61</v>
      </c>
      <c r="R28" s="70">
        <v>1</v>
      </c>
      <c r="S28" s="66">
        <v>3241542005</v>
      </c>
      <c r="T28" s="55">
        <v>5720.0317716604904</v>
      </c>
      <c r="U28" s="55">
        <v>5720.0317716604904</v>
      </c>
      <c r="V28" s="432">
        <v>32</v>
      </c>
      <c r="W28" s="799" t="s">
        <v>10</v>
      </c>
      <c r="X28" s="799"/>
      <c r="Y28" s="799"/>
      <c r="Z28" s="799" t="s">
        <v>10</v>
      </c>
      <c r="AA28" s="799"/>
      <c r="AB28" s="799"/>
      <c r="AC28" s="799" t="s">
        <v>10</v>
      </c>
      <c r="AD28" s="799"/>
      <c r="AE28" s="799"/>
      <c r="AF28" s="290" t="s">
        <v>10</v>
      </c>
      <c r="AG28" s="799"/>
      <c r="AH28" s="799"/>
      <c r="AI28" s="277" t="str">
        <f>+IF(U28="","",IF(U28&gt;=[7]PARÁMETROS!$F$5,"CUMPLE","NO CUMPLE"))</f>
        <v>CUMPLE</v>
      </c>
      <c r="AJ28" s="139"/>
      <c r="AK28" s="109"/>
    </row>
    <row r="29" spans="1:37" s="72" customFormat="1" ht="86.25" thickBot="1">
      <c r="A29" s="806"/>
      <c r="B29" s="141" t="s">
        <v>167</v>
      </c>
      <c r="C29" s="404">
        <v>387</v>
      </c>
      <c r="D29" s="143" t="str">
        <f>+IFERROR(INDEX([7]CONSOLIDADO!$D$4:$D$91,MATCH('EXP GEN. 34-40'!B29,[7]CONSOLIDADO!$C$4:$C$91,0)),"")</f>
        <v>ALPHA GRUPO CONSULTOR E INTERVENTOR SAS</v>
      </c>
      <c r="E29" s="144" t="s">
        <v>661</v>
      </c>
      <c r="F29" s="145" t="s">
        <v>662</v>
      </c>
      <c r="G29" s="278" t="s">
        <v>10</v>
      </c>
      <c r="H29" s="278" t="s">
        <v>10</v>
      </c>
      <c r="I29" s="146">
        <v>1</v>
      </c>
      <c r="J29" s="147">
        <v>36910</v>
      </c>
      <c r="K29" s="147">
        <v>38050</v>
      </c>
      <c r="L29" s="148">
        <v>2004</v>
      </c>
      <c r="M29" s="149">
        <v>358000</v>
      </c>
      <c r="N29" s="150">
        <v>913974294</v>
      </c>
      <c r="O29" s="151" t="s">
        <v>395</v>
      </c>
      <c r="P29" s="141" t="s">
        <v>61</v>
      </c>
      <c r="Q29" s="152" t="s">
        <v>61</v>
      </c>
      <c r="R29" s="153">
        <v>1</v>
      </c>
      <c r="S29" s="149">
        <v>913974294</v>
      </c>
      <c r="T29" s="154">
        <v>2553.0008212290504</v>
      </c>
      <c r="U29" s="154">
        <v>2553.0008212290504</v>
      </c>
      <c r="V29" s="503">
        <v>14</v>
      </c>
      <c r="W29" s="801" t="s">
        <v>10</v>
      </c>
      <c r="X29" s="801"/>
      <c r="Y29" s="801"/>
      <c r="Z29" s="801" t="s">
        <v>10</v>
      </c>
      <c r="AA29" s="801"/>
      <c r="AB29" s="801"/>
      <c r="AC29" s="801" t="s">
        <v>10</v>
      </c>
      <c r="AD29" s="801"/>
      <c r="AE29" s="801"/>
      <c r="AF29" s="289" t="s">
        <v>10</v>
      </c>
      <c r="AG29" s="801"/>
      <c r="AH29" s="801"/>
      <c r="AI29" s="278" t="str">
        <f>+IF(U29="","",IF(U29&gt;=[7]PARÁMETROS!$F$5,"CUMPLE","NO CUMPLE"))</f>
        <v>CUMPLE</v>
      </c>
      <c r="AJ29" s="155"/>
      <c r="AK29" s="109"/>
    </row>
    <row r="30" spans="1:37" s="72" customFormat="1" ht="71.25">
      <c r="A30" s="795" t="s">
        <v>180</v>
      </c>
      <c r="B30" s="123" t="s">
        <v>166</v>
      </c>
      <c r="C30" s="466">
        <v>127</v>
      </c>
      <c r="D30" s="125" t="str">
        <f>+IFERROR(INDEX([7]CONSOLIDADO!$D$4:$D$91,MATCH('EXP GEN. 34-40'!B30,[7]CONSOLIDADO!$C$4:$C$91,0)),"")</f>
        <v xml:space="preserve">                                         CEMOSA</v>
      </c>
      <c r="E30" s="126" t="s">
        <v>663</v>
      </c>
      <c r="F30" s="127" t="s">
        <v>664</v>
      </c>
      <c r="G30" s="279" t="s">
        <v>10</v>
      </c>
      <c r="H30" s="279" t="s">
        <v>10</v>
      </c>
      <c r="I30" s="128">
        <v>1</v>
      </c>
      <c r="J30" s="129">
        <v>37201</v>
      </c>
      <c r="K30" s="129">
        <v>38173</v>
      </c>
      <c r="L30" s="130">
        <f t="shared" si="0"/>
        <v>2004</v>
      </c>
      <c r="M30" s="131">
        <f>+IFERROR(INDEX([7]PARÁMETROS!$B$11:$B$37,MATCH(L30,[7]PARÁMETROS!$A$11:$A$37,0)),"")</f>
        <v>358000</v>
      </c>
      <c r="N30" s="132">
        <v>1561333.21</v>
      </c>
      <c r="O30" s="133" t="s">
        <v>419</v>
      </c>
      <c r="P30" s="123">
        <v>1.2318</v>
      </c>
      <c r="Q30" s="134">
        <f>+P30*N30</f>
        <v>1923250.248078</v>
      </c>
      <c r="R30" s="135">
        <v>2674.1</v>
      </c>
      <c r="S30" s="131">
        <f>+Q30*R30</f>
        <v>5142963488.3853798</v>
      </c>
      <c r="T30" s="136">
        <f t="shared" si="2"/>
        <v>14365.819799959161</v>
      </c>
      <c r="U30" s="136">
        <f t="shared" si="3"/>
        <v>14365.819799959161</v>
      </c>
      <c r="V30" s="502">
        <v>70</v>
      </c>
      <c r="W30" s="798" t="s">
        <v>10</v>
      </c>
      <c r="X30" s="798"/>
      <c r="Y30" s="798"/>
      <c r="Z30" s="798" t="s">
        <v>10</v>
      </c>
      <c r="AA30" s="798"/>
      <c r="AB30" s="798"/>
      <c r="AC30" s="798" t="s">
        <v>10</v>
      </c>
      <c r="AD30" s="798"/>
      <c r="AE30" s="798"/>
      <c r="AF30" s="291" t="s">
        <v>10</v>
      </c>
      <c r="AG30" s="798" t="str">
        <f>IF(U30="","",IF(SUM(U30:U32)&gt;=[7]PARÁMETROS!$D$5,"HÁBIL","NO HÁBIL"))</f>
        <v>HÁBIL</v>
      </c>
      <c r="AH30" s="798" t="str">
        <f>IF(U30="","",IF((U30+U31)&gt;=[7]PARÁMETROS!$H$5,"HÁBIL","NO HÁBIL"))</f>
        <v>HÁBIL</v>
      </c>
      <c r="AI30" s="279" t="str">
        <f>+IF(U30="","",IF(U30&gt;=[7]PARÁMETROS!$F$5,"CUMPLE","NO CUMPLE"))</f>
        <v>CUMPLE</v>
      </c>
      <c r="AJ30" s="138"/>
      <c r="AK30" s="109"/>
    </row>
    <row r="31" spans="1:37" s="72" customFormat="1" ht="71.25">
      <c r="A31" s="796"/>
      <c r="B31" s="58" t="s">
        <v>166</v>
      </c>
      <c r="C31" s="464">
        <v>138</v>
      </c>
      <c r="D31" s="60" t="str">
        <f>+IFERROR(INDEX([7]CONSOLIDADO!$D$4:$D$91,MATCH('EXP GEN. 34-40'!B31,[7]CONSOLIDADO!$C$4:$C$91,0)),"")</f>
        <v xml:space="preserve">                                         CEMOSA</v>
      </c>
      <c r="E31" s="61" t="s">
        <v>663</v>
      </c>
      <c r="F31" s="62" t="s">
        <v>665</v>
      </c>
      <c r="G31" s="277" t="s">
        <v>10</v>
      </c>
      <c r="H31" s="277" t="s">
        <v>10</v>
      </c>
      <c r="I31" s="63">
        <v>1</v>
      </c>
      <c r="J31" s="64">
        <v>39525</v>
      </c>
      <c r="K31" s="64">
        <v>41580</v>
      </c>
      <c r="L31" s="65">
        <f t="shared" si="0"/>
        <v>2013</v>
      </c>
      <c r="M31" s="66">
        <f>+IFERROR(INDEX([7]PARÁMETROS!$B$11:$B$37,MATCH(L31,[7]PARÁMETROS!$A$11:$A$37,0)),"")</f>
        <v>589500</v>
      </c>
      <c r="N31" s="67">
        <v>1562052.61</v>
      </c>
      <c r="O31" s="68" t="s">
        <v>419</v>
      </c>
      <c r="P31" s="58">
        <v>1.3530599999999999</v>
      </c>
      <c r="Q31" s="69">
        <f>+P31*N31</f>
        <v>2113550.9044865998</v>
      </c>
      <c r="R31" s="70">
        <v>1901.22</v>
      </c>
      <c r="S31" s="66">
        <f>+Q31*R31</f>
        <v>4018325250.6280136</v>
      </c>
      <c r="T31" s="55">
        <f t="shared" si="2"/>
        <v>6816.4974565360708</v>
      </c>
      <c r="U31" s="55">
        <f t="shared" si="3"/>
        <v>6816.4974565360708</v>
      </c>
      <c r="V31" s="432">
        <v>5</v>
      </c>
      <c r="W31" s="799" t="s">
        <v>10</v>
      </c>
      <c r="X31" s="799"/>
      <c r="Y31" s="799"/>
      <c r="Z31" s="799" t="s">
        <v>10</v>
      </c>
      <c r="AA31" s="799"/>
      <c r="AB31" s="799"/>
      <c r="AC31" s="799" t="s">
        <v>10</v>
      </c>
      <c r="AD31" s="799"/>
      <c r="AE31" s="799"/>
      <c r="AF31" s="290" t="s">
        <v>10</v>
      </c>
      <c r="AG31" s="799"/>
      <c r="AH31" s="799"/>
      <c r="AI31" s="277" t="str">
        <f>+IF(U31="","",IF(U31&gt;=[7]PARÁMETROS!$F$5,"CUMPLE","NO CUMPLE"))</f>
        <v>CUMPLE</v>
      </c>
      <c r="AJ31" s="139"/>
      <c r="AK31" s="109"/>
    </row>
    <row r="32" spans="1:37" s="72" customFormat="1" ht="72" thickBot="1">
      <c r="A32" s="806"/>
      <c r="B32" s="141" t="s">
        <v>168</v>
      </c>
      <c r="C32" s="404">
        <v>145</v>
      </c>
      <c r="D32" s="143" t="str">
        <f>+IFERROR(INDEX([7]CONSOLIDADO!$D$4:$D$91,MATCH('EXP GEN. 34-40'!B32,[7]CONSOLIDADO!$C$4:$C$91,0)),"")</f>
        <v>INGENIERIA Y DESARROLLO XIMA DE COLOMBIA SAS</v>
      </c>
      <c r="E32" s="144" t="s">
        <v>663</v>
      </c>
      <c r="F32" s="145" t="s">
        <v>666</v>
      </c>
      <c r="G32" s="278" t="s">
        <v>10</v>
      </c>
      <c r="H32" s="278" t="s">
        <v>10</v>
      </c>
      <c r="I32" s="146">
        <v>0.5</v>
      </c>
      <c r="J32" s="147">
        <v>35586</v>
      </c>
      <c r="K32" s="147">
        <v>37053</v>
      </c>
      <c r="L32" s="148">
        <f t="shared" si="0"/>
        <v>2001</v>
      </c>
      <c r="M32" s="149">
        <f>+IFERROR(INDEX([7]PARÁMETROS!$B$11:$B$37,MATCH(L32,[7]PARÁMETROS!$A$11:$A$37,0)),"")</f>
        <v>286000</v>
      </c>
      <c r="N32" s="150">
        <v>2678981.1</v>
      </c>
      <c r="O32" s="151" t="s">
        <v>419</v>
      </c>
      <c r="P32" s="141">
        <v>0.84975000000000001</v>
      </c>
      <c r="Q32" s="152">
        <f>+P32*N32</f>
        <v>2276464.1897249999</v>
      </c>
      <c r="R32" s="153">
        <v>2296.31</v>
      </c>
      <c r="S32" s="149">
        <f>IF(R32&lt;&gt;"",Q32*R32,"")</f>
        <v>5227467483.5074148</v>
      </c>
      <c r="T32" s="154">
        <f>+IFERROR(S32/M32,"")</f>
        <v>18277.858333942011</v>
      </c>
      <c r="U32" s="154">
        <f t="shared" si="3"/>
        <v>9138.9291669710055</v>
      </c>
      <c r="V32" s="503">
        <v>1</v>
      </c>
      <c r="W32" s="801" t="s">
        <v>10</v>
      </c>
      <c r="X32" s="801"/>
      <c r="Y32" s="801"/>
      <c r="Z32" s="801" t="s">
        <v>10</v>
      </c>
      <c r="AA32" s="801"/>
      <c r="AB32" s="801"/>
      <c r="AC32" s="801" t="s">
        <v>10</v>
      </c>
      <c r="AD32" s="801"/>
      <c r="AE32" s="801"/>
      <c r="AF32" s="289" t="s">
        <v>10</v>
      </c>
      <c r="AG32" s="801"/>
      <c r="AH32" s="801"/>
      <c r="AI32" s="278" t="s">
        <v>747</v>
      </c>
      <c r="AJ32" s="155"/>
      <c r="AK32" s="109"/>
    </row>
    <row r="33" spans="1:37" s="72" customFormat="1" ht="57">
      <c r="A33" s="795" t="s">
        <v>181</v>
      </c>
      <c r="B33" s="123" t="s">
        <v>169</v>
      </c>
      <c r="C33" s="466">
        <v>111</v>
      </c>
      <c r="D33" s="125" t="str">
        <f>+IFERROR(INDEX([7]CONSOLIDADO!$D$4:$D$91,MATCH('EXP GEN. 34-40'!B33,[7]CONSOLIDADO!$C$4:$C$91,0)),"")</f>
        <v xml:space="preserve">JOSE MANUEL GUARDO POLO </v>
      </c>
      <c r="E33" s="126" t="s">
        <v>667</v>
      </c>
      <c r="F33" s="127" t="s">
        <v>668</v>
      </c>
      <c r="G33" s="279" t="s">
        <v>10</v>
      </c>
      <c r="H33" s="279" t="s">
        <v>10</v>
      </c>
      <c r="I33" s="128">
        <v>1</v>
      </c>
      <c r="J33" s="129">
        <v>34743</v>
      </c>
      <c r="K33" s="129">
        <v>35291</v>
      </c>
      <c r="L33" s="130">
        <f t="shared" si="0"/>
        <v>1996</v>
      </c>
      <c r="M33" s="131">
        <f>+IFERROR(INDEX([7]PARÁMETROS!$B$11:$B$37,MATCH(L33,[7]PARÁMETROS!$A$11:$A$37,0)),"")</f>
        <v>142125</v>
      </c>
      <c r="N33" s="132">
        <v>602820317.29999995</v>
      </c>
      <c r="O33" s="133" t="s">
        <v>395</v>
      </c>
      <c r="P33" s="123" t="s">
        <v>61</v>
      </c>
      <c r="Q33" s="134" t="s">
        <v>61</v>
      </c>
      <c r="R33" s="135">
        <v>1</v>
      </c>
      <c r="S33" s="131">
        <f t="shared" si="1"/>
        <v>602820317.29999995</v>
      </c>
      <c r="T33" s="136">
        <f t="shared" si="2"/>
        <v>4241.479805101143</v>
      </c>
      <c r="U33" s="136">
        <f t="shared" si="3"/>
        <v>4241.479805101143</v>
      </c>
      <c r="V33" s="502">
        <v>1</v>
      </c>
      <c r="W33" s="798" t="s">
        <v>10</v>
      </c>
      <c r="X33" s="798"/>
      <c r="Y33" s="798"/>
      <c r="Z33" s="798" t="s">
        <v>11</v>
      </c>
      <c r="AA33" s="798"/>
      <c r="AB33" s="798"/>
      <c r="AC33" s="798" t="s">
        <v>10</v>
      </c>
      <c r="AD33" s="798"/>
      <c r="AE33" s="798"/>
      <c r="AF33" s="291" t="s">
        <v>10</v>
      </c>
      <c r="AG33" s="798" t="str">
        <f>IF(U33="","",IF(SUM(U33:U36)&gt;=[7]PARÁMETROS!$D$5,"HÁBIL","NO HÁBIL"))</f>
        <v>HÁBIL</v>
      </c>
      <c r="AH33" s="798" t="str">
        <f>IF(U33="","",IF((U33+U34+U35)&gt;=[7]PARÁMETROS!$H$5,"HÁBIL","NO HÁBIL"))</f>
        <v>HÁBIL</v>
      </c>
      <c r="AI33" s="279" t="str">
        <f>+IF(U33="","",IF(U33&gt;=[7]PARÁMETROS!$F$5,"CUMPLE","NO CUMPLE"))</f>
        <v>CUMPLE</v>
      </c>
      <c r="AJ33" s="138"/>
      <c r="AK33" s="109"/>
    </row>
    <row r="34" spans="1:37" s="72" customFormat="1" ht="57">
      <c r="A34" s="796"/>
      <c r="B34" s="58" t="s">
        <v>169</v>
      </c>
      <c r="C34" s="464">
        <v>119</v>
      </c>
      <c r="D34" s="60" t="str">
        <f>+IFERROR(INDEX([7]CONSOLIDADO!$D$4:$D$91,MATCH('EXP GEN. 34-40'!B34,[7]CONSOLIDADO!$C$4:$C$91,0)),"")</f>
        <v xml:space="preserve">JOSE MANUEL GUARDO POLO </v>
      </c>
      <c r="E34" s="61" t="s">
        <v>667</v>
      </c>
      <c r="F34" s="62" t="s">
        <v>669</v>
      </c>
      <c r="G34" s="277" t="s">
        <v>10</v>
      </c>
      <c r="H34" s="277" t="s">
        <v>10</v>
      </c>
      <c r="I34" s="63">
        <v>1</v>
      </c>
      <c r="J34" s="64">
        <v>34355</v>
      </c>
      <c r="K34" s="64">
        <v>34610</v>
      </c>
      <c r="L34" s="65">
        <f t="shared" si="0"/>
        <v>1994</v>
      </c>
      <c r="M34" s="66">
        <f>+IFERROR(INDEX([7]PARÁMETROS!$B$11:$B$37,MATCH(L34,[7]PARÁMETROS!$A$11:$A$37,0)),"")</f>
        <v>98700</v>
      </c>
      <c r="N34" s="67">
        <v>320063303</v>
      </c>
      <c r="O34" s="68" t="s">
        <v>395</v>
      </c>
      <c r="P34" s="58" t="s">
        <v>61</v>
      </c>
      <c r="Q34" s="69" t="s">
        <v>61</v>
      </c>
      <c r="R34" s="70">
        <v>1</v>
      </c>
      <c r="S34" s="66">
        <f t="shared" si="1"/>
        <v>320063303</v>
      </c>
      <c r="T34" s="55">
        <f t="shared" si="2"/>
        <v>3242.789290780142</v>
      </c>
      <c r="U34" s="55">
        <f t="shared" si="3"/>
        <v>3242.789290780142</v>
      </c>
      <c r="V34" s="432">
        <v>2</v>
      </c>
      <c r="W34" s="799" t="s">
        <v>10</v>
      </c>
      <c r="X34" s="799"/>
      <c r="Y34" s="799"/>
      <c r="Z34" s="799" t="s">
        <v>11</v>
      </c>
      <c r="AA34" s="799"/>
      <c r="AB34" s="799"/>
      <c r="AC34" s="799" t="s">
        <v>10</v>
      </c>
      <c r="AD34" s="799"/>
      <c r="AE34" s="799"/>
      <c r="AF34" s="290" t="s">
        <v>10</v>
      </c>
      <c r="AG34" s="799"/>
      <c r="AH34" s="799"/>
      <c r="AI34" s="277" t="str">
        <f>+IF(U34="","",IF(U34&gt;=[7]PARÁMETROS!$F$5,"CUMPLE","NO CUMPLE"))</f>
        <v>CUMPLE</v>
      </c>
      <c r="AJ34" s="139"/>
      <c r="AK34" s="109"/>
    </row>
    <row r="35" spans="1:37" s="72" customFormat="1" ht="57">
      <c r="A35" s="796"/>
      <c r="B35" s="58" t="s">
        <v>169</v>
      </c>
      <c r="C35" s="464">
        <v>128</v>
      </c>
      <c r="D35" s="60" t="str">
        <f>+IFERROR(INDEX([7]CONSOLIDADO!$D$4:$D$91,MATCH('EXP GEN. 34-40'!B35,[7]CONSOLIDADO!$C$4:$C$91,0)),"")</f>
        <v xml:space="preserve">JOSE MANUEL GUARDO POLO </v>
      </c>
      <c r="E35" s="61" t="s">
        <v>670</v>
      </c>
      <c r="F35" s="62" t="s">
        <v>671</v>
      </c>
      <c r="G35" s="277" t="s">
        <v>10</v>
      </c>
      <c r="H35" s="277" t="s">
        <v>10</v>
      </c>
      <c r="I35" s="63">
        <v>0.5</v>
      </c>
      <c r="J35" s="64">
        <v>38338</v>
      </c>
      <c r="K35" s="64">
        <v>40296</v>
      </c>
      <c r="L35" s="65">
        <f t="shared" si="0"/>
        <v>2010</v>
      </c>
      <c r="M35" s="66">
        <f>+IFERROR(INDEX([7]PARÁMETROS!$B$11:$B$37,MATCH(L35,[7]PARÁMETROS!$A$11:$A$37,0)),"")</f>
        <v>515000</v>
      </c>
      <c r="N35" s="67">
        <v>5611997439</v>
      </c>
      <c r="O35" s="68" t="s">
        <v>395</v>
      </c>
      <c r="P35" s="58" t="s">
        <v>61</v>
      </c>
      <c r="Q35" s="69" t="s">
        <v>61</v>
      </c>
      <c r="R35" s="70">
        <v>1</v>
      </c>
      <c r="S35" s="66">
        <f t="shared" si="1"/>
        <v>5611997439</v>
      </c>
      <c r="T35" s="55">
        <f t="shared" si="2"/>
        <v>10897.082405825242</v>
      </c>
      <c r="U35" s="55">
        <f t="shared" si="3"/>
        <v>5448.541202912621</v>
      </c>
      <c r="V35" s="432">
        <v>11</v>
      </c>
      <c r="W35" s="799" t="s">
        <v>10</v>
      </c>
      <c r="X35" s="799"/>
      <c r="Y35" s="799"/>
      <c r="Z35" s="799" t="s">
        <v>11</v>
      </c>
      <c r="AA35" s="799"/>
      <c r="AB35" s="799"/>
      <c r="AC35" s="799" t="s">
        <v>10</v>
      </c>
      <c r="AD35" s="799"/>
      <c r="AE35" s="799"/>
      <c r="AF35" s="290" t="s">
        <v>10</v>
      </c>
      <c r="AG35" s="799"/>
      <c r="AH35" s="799"/>
      <c r="AI35" s="277" t="str">
        <f>+IF(U35="","",IF(U35&gt;=[7]PARÁMETROS!$F$5,"CUMPLE","NO CUMPLE"))</f>
        <v>CUMPLE</v>
      </c>
      <c r="AJ35" s="139"/>
      <c r="AK35" s="109"/>
    </row>
    <row r="36" spans="1:37" s="72" customFormat="1" ht="57.75" thickBot="1">
      <c r="A36" s="806"/>
      <c r="B36" s="141" t="s">
        <v>171</v>
      </c>
      <c r="C36" s="404">
        <v>134</v>
      </c>
      <c r="D36" s="143" t="str">
        <f>+IFERROR(INDEX([7]CONSOLIDADO!$D$4:$D$91,MATCH('EXP GEN. 34-40'!B36,[7]CONSOLIDADO!$C$4:$C$91,0)),"")</f>
        <v>GRUPO POSSO SAS</v>
      </c>
      <c r="E36" s="144" t="s">
        <v>672</v>
      </c>
      <c r="F36" s="145" t="s">
        <v>673</v>
      </c>
      <c r="G36" s="278" t="s">
        <v>10</v>
      </c>
      <c r="H36" s="278" t="s">
        <v>10</v>
      </c>
      <c r="I36" s="146">
        <v>0.95</v>
      </c>
      <c r="J36" s="147">
        <v>41815</v>
      </c>
      <c r="K36" s="147" t="s">
        <v>674</v>
      </c>
      <c r="L36" s="148">
        <v>2015</v>
      </c>
      <c r="M36" s="149">
        <v>644350</v>
      </c>
      <c r="N36" s="150">
        <v>10736226648</v>
      </c>
      <c r="O36" s="151" t="s">
        <v>25</v>
      </c>
      <c r="P36" s="141" t="s">
        <v>61</v>
      </c>
      <c r="Q36" s="152" t="s">
        <v>61</v>
      </c>
      <c r="R36" s="153">
        <v>1</v>
      </c>
      <c r="S36" s="149">
        <v>10736226648</v>
      </c>
      <c r="T36" s="154">
        <v>16662.103900054317</v>
      </c>
      <c r="U36" s="154">
        <v>15828.998705051601</v>
      </c>
      <c r="V36" s="154" t="s">
        <v>61</v>
      </c>
      <c r="W36" s="801"/>
      <c r="X36" s="801"/>
      <c r="Y36" s="801"/>
      <c r="Z36" s="801"/>
      <c r="AA36" s="801"/>
      <c r="AB36" s="801"/>
      <c r="AC36" s="801"/>
      <c r="AD36" s="801"/>
      <c r="AE36" s="801"/>
      <c r="AF36" s="289"/>
      <c r="AG36" s="801"/>
      <c r="AH36" s="801"/>
      <c r="AI36" s="278" t="str">
        <f>+IF(U36="","",IF(U36&gt;=[7]PARÁMETROS!$F$5,"CUMPLE","NO CUMPLE"))</f>
        <v>CUMPLE</v>
      </c>
      <c r="AJ36" s="170"/>
      <c r="AK36" s="109"/>
    </row>
    <row r="37" spans="1:37" s="72" customFormat="1" ht="30" customHeight="1" thickBot="1">
      <c r="A37" s="808"/>
      <c r="B37" s="110"/>
      <c r="C37" s="111"/>
      <c r="D37" s="112" t="str">
        <f>+IFERROR(INDEX([7]CONSOLIDADO!$D$4:$D$91,MATCH('EXP GEN. 34-40'!B37,[7]CONSOLIDADO!$C$4:$C$91,0)),"")</f>
        <v/>
      </c>
      <c r="E37" s="113"/>
      <c r="F37" s="114"/>
      <c r="G37" s="280"/>
      <c r="H37" s="280"/>
      <c r="I37" s="115"/>
      <c r="J37" s="116"/>
      <c r="K37" s="116"/>
      <c r="L37" s="160" t="str">
        <f t="shared" si="0"/>
        <v/>
      </c>
      <c r="M37" s="117" t="str">
        <f>+IFERROR(INDEX([7]PARÁMETROS!$B$11:$B$37,MATCH(L37,[7]PARÁMETROS!$A$11:$A$37,0)),"")</f>
        <v/>
      </c>
      <c r="N37" s="118"/>
      <c r="O37" s="119"/>
      <c r="P37" s="110"/>
      <c r="Q37" s="120"/>
      <c r="R37" s="121"/>
      <c r="S37" s="117" t="str">
        <f t="shared" si="1"/>
        <v/>
      </c>
      <c r="T37" s="122" t="str">
        <f t="shared" si="2"/>
        <v/>
      </c>
      <c r="U37" s="122" t="str">
        <f t="shared" si="3"/>
        <v/>
      </c>
      <c r="V37" s="122"/>
      <c r="W37" s="809"/>
      <c r="X37" s="809"/>
      <c r="Y37" s="809"/>
      <c r="Z37" s="809"/>
      <c r="AA37" s="809"/>
      <c r="AB37" s="809"/>
      <c r="AC37" s="809"/>
      <c r="AD37" s="809"/>
      <c r="AE37" s="809"/>
      <c r="AF37" s="292"/>
      <c r="AG37" s="809" t="str">
        <f>IF(U37="","",IF(SUM(U37:U39)&gt;=[7]PARÁMETROS!$D$5,"HÁBIL","NO HÁBIL"))</f>
        <v/>
      </c>
      <c r="AH37" s="809" t="str">
        <f>IF(U37="","",IF(U37&gt;=[7]PARÁMETROS!$H$5,"HÁBIL","NO HÁBIL"))</f>
        <v/>
      </c>
      <c r="AI37" s="280" t="str">
        <f>+IF(U37="","",IF(U37&gt;=[7]PARÁMETROS!$F$5,"CUMPLE","NO CUMPLE"))</f>
        <v/>
      </c>
      <c r="AJ37" s="167"/>
      <c r="AK37" s="109"/>
    </row>
    <row r="38" spans="1:37" s="72" customFormat="1" ht="30" customHeight="1" thickBot="1">
      <c r="A38" s="796"/>
      <c r="B38" s="58"/>
      <c r="C38" s="75"/>
      <c r="D38" s="60" t="str">
        <f>+IFERROR(INDEX([7]CONSOLIDADO!$D$4:$D$91,MATCH('EXP GEN. 34-40'!B38,[7]CONSOLIDADO!$C$4:$C$91,0)),"")</f>
        <v/>
      </c>
      <c r="E38" s="61"/>
      <c r="F38" s="62"/>
      <c r="G38" s="277"/>
      <c r="H38" s="277"/>
      <c r="I38" s="63"/>
      <c r="J38" s="64"/>
      <c r="K38" s="64"/>
      <c r="L38" s="65" t="str">
        <f t="shared" si="0"/>
        <v/>
      </c>
      <c r="M38" s="66" t="str">
        <f>+IFERROR(INDEX([7]PARÁMETROS!$B$11:$B$37,MATCH(L38,[7]PARÁMETROS!$A$11:$A$37,0)),"")</f>
        <v/>
      </c>
      <c r="N38" s="67"/>
      <c r="O38" s="68"/>
      <c r="P38" s="58"/>
      <c r="Q38" s="69"/>
      <c r="R38" s="70"/>
      <c r="S38" s="66" t="str">
        <f t="shared" si="1"/>
        <v/>
      </c>
      <c r="T38" s="55" t="str">
        <f t="shared" si="2"/>
        <v/>
      </c>
      <c r="U38" s="55" t="str">
        <f t="shared" si="3"/>
        <v/>
      </c>
      <c r="V38" s="55"/>
      <c r="W38" s="799"/>
      <c r="X38" s="799"/>
      <c r="Y38" s="799"/>
      <c r="Z38" s="799"/>
      <c r="AA38" s="799"/>
      <c r="AB38" s="799"/>
      <c r="AC38" s="799"/>
      <c r="AD38" s="799"/>
      <c r="AE38" s="799"/>
      <c r="AF38" s="290"/>
      <c r="AG38" s="799"/>
      <c r="AH38" s="799"/>
      <c r="AI38" s="279" t="str">
        <f>+IF(U38="","",IF(U38&gt;=[7]PARÁMETROS!$F$5,"CUMPLE","NO CUMPLE"))</f>
        <v/>
      </c>
      <c r="AJ38" s="139"/>
      <c r="AK38" s="109"/>
    </row>
    <row r="39" spans="1:37" s="72" customFormat="1" ht="30" customHeight="1" thickBot="1">
      <c r="A39" s="796"/>
      <c r="B39" s="58"/>
      <c r="C39" s="75"/>
      <c r="D39" s="60" t="str">
        <f>+IFERROR(INDEX([7]CONSOLIDADO!$D$4:$D$91,MATCH('EXP GEN. 34-40'!B39,[7]CONSOLIDADO!$C$4:$C$91,0)),"")</f>
        <v/>
      </c>
      <c r="E39" s="61"/>
      <c r="F39" s="62"/>
      <c r="G39" s="277"/>
      <c r="H39" s="277"/>
      <c r="I39" s="63"/>
      <c r="J39" s="64"/>
      <c r="K39" s="64"/>
      <c r="L39" s="65" t="str">
        <f t="shared" si="0"/>
        <v/>
      </c>
      <c r="M39" s="66" t="str">
        <f>+IFERROR(INDEX([7]PARÁMETROS!$B$11:$B$37,MATCH(L39,[7]PARÁMETROS!$A$11:$A$37,0)),"")</f>
        <v/>
      </c>
      <c r="N39" s="67"/>
      <c r="O39" s="68"/>
      <c r="P39" s="58"/>
      <c r="Q39" s="69"/>
      <c r="R39" s="70"/>
      <c r="S39" s="66" t="str">
        <f t="shared" si="1"/>
        <v/>
      </c>
      <c r="T39" s="55" t="str">
        <f t="shared" si="2"/>
        <v/>
      </c>
      <c r="U39" s="55" t="str">
        <f t="shared" si="3"/>
        <v/>
      </c>
      <c r="V39" s="55"/>
      <c r="W39" s="799"/>
      <c r="X39" s="799"/>
      <c r="Y39" s="799"/>
      <c r="Z39" s="799"/>
      <c r="AA39" s="799"/>
      <c r="AB39" s="799"/>
      <c r="AC39" s="799"/>
      <c r="AD39" s="799"/>
      <c r="AE39" s="799"/>
      <c r="AF39" s="290"/>
      <c r="AG39" s="799"/>
      <c r="AH39" s="799"/>
      <c r="AI39" s="279" t="str">
        <f>+IF(U39="","",IF(U39&gt;=[7]PARÁMETROS!$F$5,"CUMPLE","NO CUMPLE"))</f>
        <v/>
      </c>
      <c r="AJ39" s="139"/>
      <c r="AK39" s="109"/>
    </row>
    <row r="40" spans="1:37" s="72" customFormat="1" ht="30" customHeight="1" thickBot="1">
      <c r="A40" s="796"/>
      <c r="B40" s="58"/>
      <c r="C40" s="75"/>
      <c r="D40" s="60" t="str">
        <f>+IFERROR(INDEX([7]CONSOLIDADO!$D$4:$D$91,MATCH('EXP GEN. 34-40'!B40,[7]CONSOLIDADO!$C$4:$C$91,0)),"")</f>
        <v/>
      </c>
      <c r="E40" s="61"/>
      <c r="F40" s="62"/>
      <c r="G40" s="277"/>
      <c r="H40" s="277"/>
      <c r="I40" s="63"/>
      <c r="J40" s="64"/>
      <c r="K40" s="64"/>
      <c r="L40" s="65" t="str">
        <f t="shared" si="0"/>
        <v/>
      </c>
      <c r="M40" s="66" t="str">
        <f>+IFERROR(INDEX([7]PARÁMETROS!$B$11:$B$37,MATCH(L40,[7]PARÁMETROS!$A$11:$A$37,0)),"")</f>
        <v/>
      </c>
      <c r="N40" s="67"/>
      <c r="O40" s="68"/>
      <c r="P40" s="58"/>
      <c r="Q40" s="69"/>
      <c r="R40" s="70"/>
      <c r="S40" s="66" t="str">
        <f t="shared" si="1"/>
        <v/>
      </c>
      <c r="T40" s="55" t="str">
        <f t="shared" si="2"/>
        <v/>
      </c>
      <c r="U40" s="55" t="str">
        <f t="shared" si="3"/>
        <v/>
      </c>
      <c r="V40" s="55"/>
      <c r="W40" s="799"/>
      <c r="X40" s="799"/>
      <c r="Y40" s="799"/>
      <c r="Z40" s="799"/>
      <c r="AA40" s="799"/>
      <c r="AB40" s="799"/>
      <c r="AC40" s="799"/>
      <c r="AD40" s="799"/>
      <c r="AE40" s="799"/>
      <c r="AF40" s="290"/>
      <c r="AG40" s="799"/>
      <c r="AH40" s="799"/>
      <c r="AI40" s="279" t="str">
        <f>+IF(U40="","",IF(U40&gt;=[7]PARÁMETROS!$F$5,"CUMPLE","NO CUMPLE"))</f>
        <v/>
      </c>
      <c r="AJ40" s="139"/>
      <c r="AK40" s="109"/>
    </row>
    <row r="41" spans="1:37" s="72" customFormat="1" ht="30" customHeight="1" thickBot="1">
      <c r="A41" s="796"/>
      <c r="B41" s="58"/>
      <c r="C41" s="75"/>
      <c r="D41" s="60" t="str">
        <f>+IFERROR(INDEX([7]CONSOLIDADO!$D$4:$D$91,MATCH('EXP GEN. 34-40'!B41,[7]CONSOLIDADO!$C$4:$C$91,0)),"")</f>
        <v/>
      </c>
      <c r="E41" s="61"/>
      <c r="F41" s="61"/>
      <c r="G41" s="277"/>
      <c r="H41" s="277"/>
      <c r="I41" s="73"/>
      <c r="J41" s="64"/>
      <c r="K41" s="64"/>
      <c r="L41" s="65" t="str">
        <f t="shared" si="0"/>
        <v/>
      </c>
      <c r="M41" s="66" t="str">
        <f>+IFERROR(INDEX([7]PARÁMETROS!$B$11:$B$37,MATCH(L41,[7]PARÁMETROS!$A$11:$A$37,0)),"")</f>
        <v/>
      </c>
      <c r="N41" s="74"/>
      <c r="O41" s="66"/>
      <c r="P41" s="58"/>
      <c r="Q41" s="69"/>
      <c r="R41" s="70"/>
      <c r="S41" s="66" t="str">
        <f t="shared" si="1"/>
        <v/>
      </c>
      <c r="T41" s="55" t="str">
        <f t="shared" si="2"/>
        <v/>
      </c>
      <c r="U41" s="55" t="str">
        <f t="shared" si="3"/>
        <v/>
      </c>
      <c r="V41" s="55"/>
      <c r="W41" s="799"/>
      <c r="X41" s="799"/>
      <c r="Y41" s="799"/>
      <c r="Z41" s="799"/>
      <c r="AA41" s="799"/>
      <c r="AB41" s="799"/>
      <c r="AC41" s="799"/>
      <c r="AD41" s="799"/>
      <c r="AE41" s="799"/>
      <c r="AF41" s="290"/>
      <c r="AG41" s="799"/>
      <c r="AH41" s="799"/>
      <c r="AI41" s="279" t="str">
        <f>+IF(U41="","",IF(U41&gt;=[7]PARÁMETROS!$F$5,"CUMPLE","NO CUMPLE"))</f>
        <v/>
      </c>
      <c r="AJ41" s="139"/>
      <c r="AK41" s="109"/>
    </row>
    <row r="42" spans="1:37" s="72" customFormat="1" ht="30" customHeight="1" thickBot="1">
      <c r="A42" s="806"/>
      <c r="B42" s="141"/>
      <c r="C42" s="142"/>
      <c r="D42" s="143" t="str">
        <f>+IFERROR(INDEX([7]CONSOLIDADO!$D$4:$D$91,MATCH('EXP GEN. 34-40'!B42,[7]CONSOLIDADO!$C$4:$C$91,0)),"")</f>
        <v/>
      </c>
      <c r="E42" s="144"/>
      <c r="F42" s="144"/>
      <c r="G42" s="278"/>
      <c r="H42" s="278"/>
      <c r="I42" s="164"/>
      <c r="J42" s="147"/>
      <c r="K42" s="147"/>
      <c r="L42" s="148" t="str">
        <f t="shared" si="0"/>
        <v/>
      </c>
      <c r="M42" s="149" t="str">
        <f>+IFERROR(INDEX([7]PARÁMETROS!$B$11:$B$37,MATCH(L42,[7]PARÁMETROS!$A$11:$A$37,0)),"")</f>
        <v/>
      </c>
      <c r="N42" s="165"/>
      <c r="O42" s="149"/>
      <c r="P42" s="141"/>
      <c r="Q42" s="152"/>
      <c r="R42" s="153"/>
      <c r="S42" s="149" t="str">
        <f t="shared" si="1"/>
        <v/>
      </c>
      <c r="T42" s="154" t="str">
        <f t="shared" si="2"/>
        <v/>
      </c>
      <c r="U42" s="154" t="str">
        <f t="shared" si="3"/>
        <v/>
      </c>
      <c r="V42" s="154"/>
      <c r="W42" s="801"/>
      <c r="X42" s="801"/>
      <c r="Y42" s="801"/>
      <c r="Z42" s="801"/>
      <c r="AA42" s="801"/>
      <c r="AB42" s="801"/>
      <c r="AC42" s="801"/>
      <c r="AD42" s="801"/>
      <c r="AE42" s="801"/>
      <c r="AF42" s="289"/>
      <c r="AG42" s="801"/>
      <c r="AH42" s="801"/>
      <c r="AI42" s="279" t="str">
        <f>+IF(U42="","",IF(U42&gt;=[7]PARÁMETROS!$F$5,"CUMPLE","NO CUMPLE"))</f>
        <v/>
      </c>
      <c r="AJ42" s="155"/>
      <c r="AK42" s="109"/>
    </row>
    <row r="43" spans="1:37" s="72" customFormat="1" ht="30" customHeight="1" thickBot="1">
      <c r="A43" s="795"/>
      <c r="B43" s="123"/>
      <c r="C43" s="157"/>
      <c r="D43" s="125" t="str">
        <f>+IFERROR(INDEX([7]CONSOLIDADO!$D$4:$D$91,MATCH('EXP GEN. 34-40'!B43,[7]CONSOLIDADO!$C$4:$C$91,0)),"")</f>
        <v/>
      </c>
      <c r="E43" s="126"/>
      <c r="F43" s="126"/>
      <c r="G43" s="279"/>
      <c r="H43" s="279"/>
      <c r="I43" s="162"/>
      <c r="J43" s="129"/>
      <c r="K43" s="129"/>
      <c r="L43" s="130" t="str">
        <f t="shared" si="0"/>
        <v/>
      </c>
      <c r="M43" s="131" t="str">
        <f>+IFERROR(INDEX([7]PARÁMETROS!$B$11:$B$37,MATCH(L43,[7]PARÁMETROS!$A$11:$A$37,0)),"")</f>
        <v/>
      </c>
      <c r="N43" s="163"/>
      <c r="O43" s="131"/>
      <c r="P43" s="123"/>
      <c r="Q43" s="134"/>
      <c r="R43" s="135"/>
      <c r="S43" s="131" t="str">
        <f t="shared" si="1"/>
        <v/>
      </c>
      <c r="T43" s="136" t="str">
        <f t="shared" si="2"/>
        <v/>
      </c>
      <c r="U43" s="136" t="str">
        <f t="shared" si="3"/>
        <v/>
      </c>
      <c r="V43" s="136"/>
      <c r="W43" s="798"/>
      <c r="X43" s="798"/>
      <c r="Y43" s="798"/>
      <c r="Z43" s="798"/>
      <c r="AA43" s="798"/>
      <c r="AB43" s="798"/>
      <c r="AC43" s="798"/>
      <c r="AD43" s="798"/>
      <c r="AE43" s="798"/>
      <c r="AF43" s="291"/>
      <c r="AG43" s="798" t="str">
        <f>IF(U43="","",IF(SUM(U43:U45)&gt;=[7]PARÁMETROS!$H$5,"HÁBIL","NO HÁBIL"))</f>
        <v/>
      </c>
      <c r="AH43" s="798" t="str">
        <f>IF(U43="","",IF(U43&gt;=[7]PARÁMETROS!$F$5,"HÁBIL","NO HÁBIL"))</f>
        <v/>
      </c>
      <c r="AI43" s="279" t="str">
        <f>+IF(U43="","",IF(U43&gt;=[7]PARÁMETROS!$F$5,"CUMPLE","NO CUMPLE"))</f>
        <v/>
      </c>
      <c r="AJ43" s="138"/>
      <c r="AK43" s="109"/>
    </row>
    <row r="44" spans="1:37" s="72" customFormat="1" ht="30" customHeight="1" thickBot="1">
      <c r="A44" s="796"/>
      <c r="B44" s="58"/>
      <c r="C44" s="75"/>
      <c r="D44" s="60" t="str">
        <f>+IFERROR(INDEX([7]CONSOLIDADO!$D$4:$D$91,MATCH('EXP GEN. 34-40'!B44,[7]CONSOLIDADO!$C$4:$C$91,0)),"")</f>
        <v/>
      </c>
      <c r="E44" s="61"/>
      <c r="F44" s="61"/>
      <c r="G44" s="277"/>
      <c r="H44" s="277"/>
      <c r="I44" s="73"/>
      <c r="J44" s="64"/>
      <c r="K44" s="64"/>
      <c r="L44" s="65" t="str">
        <f t="shared" si="0"/>
        <v/>
      </c>
      <c r="M44" s="66" t="str">
        <f>+IFERROR(INDEX([7]PARÁMETROS!$B$11:$B$37,MATCH(L44,[7]PARÁMETROS!$A$11:$A$37,0)),"")</f>
        <v/>
      </c>
      <c r="N44" s="74"/>
      <c r="O44" s="66"/>
      <c r="P44" s="58"/>
      <c r="Q44" s="69"/>
      <c r="R44" s="70"/>
      <c r="S44" s="66" t="str">
        <f t="shared" si="1"/>
        <v/>
      </c>
      <c r="T44" s="55" t="str">
        <f t="shared" si="2"/>
        <v/>
      </c>
      <c r="U44" s="55" t="str">
        <f t="shared" si="3"/>
        <v/>
      </c>
      <c r="V44" s="55"/>
      <c r="W44" s="799"/>
      <c r="X44" s="799"/>
      <c r="Y44" s="799"/>
      <c r="Z44" s="799"/>
      <c r="AA44" s="799"/>
      <c r="AB44" s="799"/>
      <c r="AC44" s="799"/>
      <c r="AD44" s="799"/>
      <c r="AE44" s="799"/>
      <c r="AF44" s="290"/>
      <c r="AG44" s="799"/>
      <c r="AH44" s="799"/>
      <c r="AI44" s="279" t="str">
        <f>+IF(U44="","",IF(U44&gt;=[7]PARÁMETROS!$F$5,"CUMPLE","NO CUMPLE"))</f>
        <v/>
      </c>
      <c r="AJ44" s="139"/>
      <c r="AK44" s="109"/>
    </row>
    <row r="45" spans="1:37" s="72" customFormat="1" ht="30" customHeight="1" thickBot="1">
      <c r="A45" s="796"/>
      <c r="B45" s="58"/>
      <c r="C45" s="75"/>
      <c r="D45" s="60" t="str">
        <f>+IFERROR(INDEX([7]CONSOLIDADO!$D$4:$D$91,MATCH('EXP GEN. 34-40'!B45,[7]CONSOLIDADO!$C$4:$C$91,0)),"")</f>
        <v/>
      </c>
      <c r="E45" s="61"/>
      <c r="F45" s="61"/>
      <c r="G45" s="277"/>
      <c r="H45" s="277"/>
      <c r="I45" s="73"/>
      <c r="J45" s="64"/>
      <c r="K45" s="64"/>
      <c r="L45" s="65" t="str">
        <f t="shared" si="0"/>
        <v/>
      </c>
      <c r="M45" s="66" t="str">
        <f>+IFERROR(INDEX([7]PARÁMETROS!$B$11:$B$37,MATCH(L45,[7]PARÁMETROS!$A$11:$A$37,0)),"")</f>
        <v/>
      </c>
      <c r="N45" s="74"/>
      <c r="O45" s="66"/>
      <c r="P45" s="58"/>
      <c r="Q45" s="69"/>
      <c r="R45" s="70"/>
      <c r="S45" s="66" t="str">
        <f t="shared" si="1"/>
        <v/>
      </c>
      <c r="T45" s="55" t="str">
        <f t="shared" si="2"/>
        <v/>
      </c>
      <c r="U45" s="55" t="str">
        <f t="shared" si="3"/>
        <v/>
      </c>
      <c r="V45" s="55"/>
      <c r="W45" s="799"/>
      <c r="X45" s="799"/>
      <c r="Y45" s="799"/>
      <c r="Z45" s="799"/>
      <c r="AA45" s="799"/>
      <c r="AB45" s="799"/>
      <c r="AC45" s="799"/>
      <c r="AD45" s="799"/>
      <c r="AE45" s="799"/>
      <c r="AF45" s="290"/>
      <c r="AG45" s="799"/>
      <c r="AH45" s="799"/>
      <c r="AI45" s="279" t="str">
        <f>+IF(U45="","",IF(U45&gt;=[7]PARÁMETROS!$F$5,"CUMPLE","NO CUMPLE"))</f>
        <v/>
      </c>
      <c r="AJ45" s="139"/>
      <c r="AK45" s="109"/>
    </row>
    <row r="46" spans="1:37" s="72" customFormat="1" ht="30" customHeight="1" thickBot="1">
      <c r="A46" s="796"/>
      <c r="B46" s="58"/>
      <c r="C46" s="75"/>
      <c r="D46" s="60" t="str">
        <f>+IFERROR(INDEX([7]CONSOLIDADO!$D$4:$D$91,MATCH('EXP GEN. 34-40'!B46,[7]CONSOLIDADO!$C$4:$C$91,0)),"")</f>
        <v/>
      </c>
      <c r="E46" s="61"/>
      <c r="F46" s="61"/>
      <c r="G46" s="277"/>
      <c r="H46" s="277"/>
      <c r="I46" s="73"/>
      <c r="J46" s="64"/>
      <c r="K46" s="64"/>
      <c r="L46" s="65" t="str">
        <f t="shared" si="0"/>
        <v/>
      </c>
      <c r="M46" s="66" t="str">
        <f>+IFERROR(INDEX([7]PARÁMETROS!$B$11:$B$37,MATCH(L46,[7]PARÁMETROS!$A$11:$A$37,0)),"")</f>
        <v/>
      </c>
      <c r="N46" s="74"/>
      <c r="O46" s="66"/>
      <c r="P46" s="58"/>
      <c r="Q46" s="69"/>
      <c r="R46" s="70"/>
      <c r="S46" s="66" t="str">
        <f t="shared" si="1"/>
        <v/>
      </c>
      <c r="T46" s="55" t="str">
        <f t="shared" si="2"/>
        <v/>
      </c>
      <c r="U46" s="55" t="str">
        <f t="shared" si="3"/>
        <v/>
      </c>
      <c r="V46" s="55"/>
      <c r="W46" s="799"/>
      <c r="X46" s="799"/>
      <c r="Y46" s="799"/>
      <c r="Z46" s="799"/>
      <c r="AA46" s="799"/>
      <c r="AB46" s="799"/>
      <c r="AC46" s="799"/>
      <c r="AD46" s="799"/>
      <c r="AE46" s="799"/>
      <c r="AF46" s="290"/>
      <c r="AG46" s="799"/>
      <c r="AH46" s="799"/>
      <c r="AI46" s="279" t="str">
        <f>+IF(U46="","",IF(U46&gt;=[7]PARÁMETROS!$F$5,"CUMPLE","NO CUMPLE"))</f>
        <v/>
      </c>
      <c r="AJ46" s="139"/>
      <c r="AK46" s="109"/>
    </row>
    <row r="47" spans="1:37" s="72" customFormat="1" ht="30" customHeight="1" thickBot="1">
      <c r="A47" s="796"/>
      <c r="B47" s="58"/>
      <c r="C47" s="75"/>
      <c r="D47" s="60" t="str">
        <f>+IFERROR(INDEX([7]CONSOLIDADO!$D$4:$D$91,MATCH('EXP GEN. 34-40'!B47,[7]CONSOLIDADO!$C$4:$C$91,0)),"")</f>
        <v/>
      </c>
      <c r="E47" s="61"/>
      <c r="F47" s="61"/>
      <c r="G47" s="277"/>
      <c r="H47" s="277"/>
      <c r="I47" s="73"/>
      <c r="J47" s="64"/>
      <c r="K47" s="64"/>
      <c r="L47" s="65" t="str">
        <f t="shared" si="0"/>
        <v/>
      </c>
      <c r="M47" s="66" t="str">
        <f>+IFERROR(INDEX([7]PARÁMETROS!$B$11:$B$37,MATCH(L47,[7]PARÁMETROS!$A$11:$A$37,0)),"")</f>
        <v/>
      </c>
      <c r="N47" s="74"/>
      <c r="O47" s="66"/>
      <c r="P47" s="58"/>
      <c r="Q47" s="69"/>
      <c r="R47" s="70"/>
      <c r="S47" s="66" t="str">
        <f t="shared" si="1"/>
        <v/>
      </c>
      <c r="T47" s="55" t="str">
        <f t="shared" si="2"/>
        <v/>
      </c>
      <c r="U47" s="55" t="str">
        <f t="shared" si="3"/>
        <v/>
      </c>
      <c r="V47" s="55"/>
      <c r="W47" s="799"/>
      <c r="X47" s="799"/>
      <c r="Y47" s="799"/>
      <c r="Z47" s="799"/>
      <c r="AA47" s="799"/>
      <c r="AB47" s="799"/>
      <c r="AC47" s="799"/>
      <c r="AD47" s="799"/>
      <c r="AE47" s="799"/>
      <c r="AF47" s="290"/>
      <c r="AG47" s="799"/>
      <c r="AH47" s="799"/>
      <c r="AI47" s="279" t="str">
        <f>+IF(U47="","",IF(U47&gt;=[7]PARÁMETROS!$F$5,"CUMPLE","NO CUMPLE"))</f>
        <v/>
      </c>
      <c r="AJ47" s="139"/>
      <c r="AK47" s="109"/>
    </row>
    <row r="48" spans="1:37" s="72" customFormat="1" ht="30" customHeight="1" thickBot="1">
      <c r="A48" s="806"/>
      <c r="B48" s="141"/>
      <c r="C48" s="142"/>
      <c r="D48" s="143" t="str">
        <f>+IFERROR(INDEX([7]CONSOLIDADO!$D$4:$D$91,MATCH('EXP GEN. 34-40'!B48,[7]CONSOLIDADO!$C$4:$C$91,0)),"")</f>
        <v/>
      </c>
      <c r="E48" s="144"/>
      <c r="F48" s="144"/>
      <c r="G48" s="278"/>
      <c r="H48" s="278"/>
      <c r="I48" s="164"/>
      <c r="J48" s="147"/>
      <c r="K48" s="147"/>
      <c r="L48" s="148" t="str">
        <f t="shared" si="0"/>
        <v/>
      </c>
      <c r="M48" s="149" t="str">
        <f>+IFERROR(INDEX([7]PARÁMETROS!$B$11:$B$37,MATCH(L48,[7]PARÁMETROS!$A$11:$A$37,0)),"")</f>
        <v/>
      </c>
      <c r="N48" s="165"/>
      <c r="O48" s="149"/>
      <c r="P48" s="141"/>
      <c r="Q48" s="152"/>
      <c r="R48" s="153"/>
      <c r="S48" s="149" t="str">
        <f t="shared" si="1"/>
        <v/>
      </c>
      <c r="T48" s="154" t="str">
        <f t="shared" si="2"/>
        <v/>
      </c>
      <c r="U48" s="154" t="str">
        <f t="shared" si="3"/>
        <v/>
      </c>
      <c r="V48" s="154"/>
      <c r="W48" s="801"/>
      <c r="X48" s="801"/>
      <c r="Y48" s="801"/>
      <c r="Z48" s="801"/>
      <c r="AA48" s="801"/>
      <c r="AB48" s="801"/>
      <c r="AC48" s="801"/>
      <c r="AD48" s="801"/>
      <c r="AE48" s="801"/>
      <c r="AF48" s="289"/>
      <c r="AG48" s="801"/>
      <c r="AH48" s="801"/>
      <c r="AI48" s="279" t="str">
        <f>+IF(U48="","",IF(U48&gt;=[7]PARÁMETROS!$F$5,"CUMPLE","NO CUMPLE"))</f>
        <v/>
      </c>
      <c r="AJ48" s="155"/>
      <c r="AK48" s="109"/>
    </row>
    <row r="49" spans="1:37" s="72" customFormat="1" ht="30" customHeight="1" thickBot="1">
      <c r="A49" s="795"/>
      <c r="B49" s="123"/>
      <c r="C49" s="157"/>
      <c r="D49" s="125" t="str">
        <f>+IFERROR(INDEX([7]CONSOLIDADO!$D$4:$D$91,MATCH('EXP GEN. 34-40'!B49,[7]CONSOLIDADO!$C$4:$C$91,0)),"")</f>
        <v/>
      </c>
      <c r="E49" s="126"/>
      <c r="F49" s="126"/>
      <c r="G49" s="279"/>
      <c r="H49" s="279"/>
      <c r="I49" s="162"/>
      <c r="J49" s="129"/>
      <c r="K49" s="129"/>
      <c r="L49" s="130" t="str">
        <f t="shared" si="0"/>
        <v/>
      </c>
      <c r="M49" s="131" t="str">
        <f>+IFERROR(INDEX([7]PARÁMETROS!$B$11:$B$37,MATCH(L49,[7]PARÁMETROS!$A$11:$A$37,0)),"")</f>
        <v/>
      </c>
      <c r="N49" s="163"/>
      <c r="O49" s="131"/>
      <c r="P49" s="123"/>
      <c r="Q49" s="134"/>
      <c r="R49" s="135"/>
      <c r="S49" s="131" t="str">
        <f t="shared" si="1"/>
        <v/>
      </c>
      <c r="T49" s="136" t="str">
        <f t="shared" si="2"/>
        <v/>
      </c>
      <c r="U49" s="136" t="str">
        <f t="shared" si="3"/>
        <v/>
      </c>
      <c r="V49" s="136"/>
      <c r="W49" s="798"/>
      <c r="X49" s="798"/>
      <c r="Y49" s="798"/>
      <c r="Z49" s="798"/>
      <c r="AA49" s="798"/>
      <c r="AB49" s="798"/>
      <c r="AC49" s="798"/>
      <c r="AD49" s="798"/>
      <c r="AE49" s="798"/>
      <c r="AF49" s="291"/>
      <c r="AG49" s="798" t="str">
        <f>IF(U49="","",IF(SUM(U49:U51)&gt;=[7]PARÁMETROS!$H$5,"HÁBIL","NO HÁBIL"))</f>
        <v/>
      </c>
      <c r="AH49" s="798" t="str">
        <f>IF(U49="","",IF(U49&gt;=[7]PARÁMETROS!$F$5,"HÁBIL","NO HÁBIL"))</f>
        <v/>
      </c>
      <c r="AI49" s="279" t="str">
        <f>+IF(U49="","",IF(U49&gt;=[7]PARÁMETROS!$F$5,"CUMPLE","NO CUMPLE"))</f>
        <v/>
      </c>
      <c r="AJ49" s="138"/>
      <c r="AK49" s="109"/>
    </row>
    <row r="50" spans="1:37" s="72" customFormat="1" ht="30" customHeight="1" thickBot="1">
      <c r="A50" s="796"/>
      <c r="B50" s="58"/>
      <c r="C50" s="75"/>
      <c r="D50" s="60" t="str">
        <f>+IFERROR(INDEX([7]CONSOLIDADO!$D$4:$D$91,MATCH('EXP GEN. 34-40'!B50,[7]CONSOLIDADO!$C$4:$C$91,0)),"")</f>
        <v/>
      </c>
      <c r="E50" s="61"/>
      <c r="F50" s="61"/>
      <c r="G50" s="277"/>
      <c r="H50" s="277"/>
      <c r="I50" s="73"/>
      <c r="J50" s="64"/>
      <c r="K50" s="64"/>
      <c r="L50" s="65" t="str">
        <f t="shared" si="0"/>
        <v/>
      </c>
      <c r="M50" s="66" t="str">
        <f>+IFERROR(INDEX([7]PARÁMETROS!$B$11:$B$37,MATCH(L50,[7]PARÁMETROS!$A$11:$A$37,0)),"")</f>
        <v/>
      </c>
      <c r="N50" s="74"/>
      <c r="O50" s="66"/>
      <c r="P50" s="58"/>
      <c r="Q50" s="69"/>
      <c r="R50" s="70"/>
      <c r="S50" s="66" t="str">
        <f t="shared" si="1"/>
        <v/>
      </c>
      <c r="T50" s="55" t="str">
        <f t="shared" si="2"/>
        <v/>
      </c>
      <c r="U50" s="55" t="str">
        <f t="shared" si="3"/>
        <v/>
      </c>
      <c r="V50" s="55"/>
      <c r="W50" s="799"/>
      <c r="X50" s="799"/>
      <c r="Y50" s="799"/>
      <c r="Z50" s="799"/>
      <c r="AA50" s="799"/>
      <c r="AB50" s="799"/>
      <c r="AC50" s="799"/>
      <c r="AD50" s="799"/>
      <c r="AE50" s="799"/>
      <c r="AF50" s="290"/>
      <c r="AG50" s="799"/>
      <c r="AH50" s="799"/>
      <c r="AI50" s="279" t="str">
        <f>+IF(U50="","",IF(U50&gt;=[7]PARÁMETROS!$F$5,"CUMPLE","NO CUMPLE"))</f>
        <v/>
      </c>
      <c r="AJ50" s="139"/>
      <c r="AK50" s="109"/>
    </row>
    <row r="51" spans="1:37" s="72" customFormat="1" ht="30" customHeight="1" thickBot="1">
      <c r="A51" s="796"/>
      <c r="B51" s="58"/>
      <c r="C51" s="75"/>
      <c r="D51" s="60" t="str">
        <f>+IFERROR(INDEX([7]CONSOLIDADO!$D$4:$D$91,MATCH('EXP GEN. 34-40'!B51,[7]CONSOLIDADO!$C$4:$C$91,0)),"")</f>
        <v/>
      </c>
      <c r="E51" s="61"/>
      <c r="F51" s="61"/>
      <c r="G51" s="277"/>
      <c r="H51" s="277"/>
      <c r="I51" s="73"/>
      <c r="J51" s="64"/>
      <c r="K51" s="64"/>
      <c r="L51" s="65" t="str">
        <f t="shared" si="0"/>
        <v/>
      </c>
      <c r="M51" s="66" t="str">
        <f>+IFERROR(INDEX([7]PARÁMETROS!$B$11:$B$37,MATCH(L51,[7]PARÁMETROS!$A$11:$A$37,0)),"")</f>
        <v/>
      </c>
      <c r="N51" s="74"/>
      <c r="O51" s="66"/>
      <c r="P51" s="58"/>
      <c r="Q51" s="69"/>
      <c r="R51" s="70"/>
      <c r="S51" s="66" t="str">
        <f t="shared" si="1"/>
        <v/>
      </c>
      <c r="T51" s="55" t="str">
        <f t="shared" si="2"/>
        <v/>
      </c>
      <c r="U51" s="55" t="str">
        <f t="shared" si="3"/>
        <v/>
      </c>
      <c r="V51" s="55"/>
      <c r="W51" s="799"/>
      <c r="X51" s="799"/>
      <c r="Y51" s="799"/>
      <c r="Z51" s="799"/>
      <c r="AA51" s="799"/>
      <c r="AB51" s="799"/>
      <c r="AC51" s="799"/>
      <c r="AD51" s="799"/>
      <c r="AE51" s="799"/>
      <c r="AF51" s="290"/>
      <c r="AG51" s="799"/>
      <c r="AH51" s="799"/>
      <c r="AI51" s="279" t="str">
        <f>+IF(U51="","",IF(U51&gt;=[7]PARÁMETROS!$F$5,"CUMPLE","NO CUMPLE"))</f>
        <v/>
      </c>
      <c r="AJ51" s="139"/>
      <c r="AK51" s="109"/>
    </row>
    <row r="52" spans="1:37" s="72" customFormat="1" ht="30" customHeight="1" thickBot="1">
      <c r="A52" s="796"/>
      <c r="B52" s="58"/>
      <c r="C52" s="75"/>
      <c r="D52" s="60" t="str">
        <f>+IFERROR(INDEX([7]CONSOLIDADO!$D$4:$D$91,MATCH('EXP GEN. 34-40'!B52,[7]CONSOLIDADO!$C$4:$C$91,0)),"")</f>
        <v/>
      </c>
      <c r="E52" s="61"/>
      <c r="F52" s="61"/>
      <c r="G52" s="277"/>
      <c r="H52" s="277"/>
      <c r="I52" s="73"/>
      <c r="J52" s="64"/>
      <c r="K52" s="64"/>
      <c r="L52" s="65" t="str">
        <f t="shared" si="0"/>
        <v/>
      </c>
      <c r="M52" s="66" t="str">
        <f>+IFERROR(INDEX([7]PARÁMETROS!$B$11:$B$37,MATCH(L52,[7]PARÁMETROS!$A$11:$A$37,0)),"")</f>
        <v/>
      </c>
      <c r="N52" s="74"/>
      <c r="O52" s="66"/>
      <c r="P52" s="58"/>
      <c r="Q52" s="69"/>
      <c r="R52" s="70"/>
      <c r="S52" s="66" t="str">
        <f t="shared" si="1"/>
        <v/>
      </c>
      <c r="T52" s="55" t="str">
        <f t="shared" si="2"/>
        <v/>
      </c>
      <c r="U52" s="55" t="str">
        <f t="shared" si="3"/>
        <v/>
      </c>
      <c r="V52" s="55"/>
      <c r="W52" s="799"/>
      <c r="X52" s="799"/>
      <c r="Y52" s="799"/>
      <c r="Z52" s="799"/>
      <c r="AA52" s="799"/>
      <c r="AB52" s="799"/>
      <c r="AC52" s="799"/>
      <c r="AD52" s="799"/>
      <c r="AE52" s="799"/>
      <c r="AF52" s="290"/>
      <c r="AG52" s="799"/>
      <c r="AH52" s="799"/>
      <c r="AI52" s="279" t="str">
        <f>+IF(U52="","",IF(U52&gt;=[7]PARÁMETROS!$F$5,"CUMPLE","NO CUMPLE"))</f>
        <v/>
      </c>
      <c r="AJ52" s="139"/>
      <c r="AK52" s="109"/>
    </row>
    <row r="53" spans="1:37" s="72" customFormat="1" ht="30" customHeight="1" thickBot="1">
      <c r="A53" s="796"/>
      <c r="B53" s="58"/>
      <c r="C53" s="75"/>
      <c r="D53" s="60" t="str">
        <f>+IFERROR(INDEX([7]CONSOLIDADO!$D$4:$D$91,MATCH('EXP GEN. 34-40'!B53,[7]CONSOLIDADO!$C$4:$C$91,0)),"")</f>
        <v/>
      </c>
      <c r="E53" s="61"/>
      <c r="F53" s="61"/>
      <c r="G53" s="277"/>
      <c r="H53" s="277"/>
      <c r="I53" s="73"/>
      <c r="J53" s="64"/>
      <c r="K53" s="64"/>
      <c r="L53" s="65" t="str">
        <f t="shared" si="0"/>
        <v/>
      </c>
      <c r="M53" s="66" t="str">
        <f>+IFERROR(INDEX([7]PARÁMETROS!$B$11:$B$37,MATCH(L53,[7]PARÁMETROS!$A$11:$A$37,0)),"")</f>
        <v/>
      </c>
      <c r="N53" s="74"/>
      <c r="O53" s="66"/>
      <c r="P53" s="58"/>
      <c r="Q53" s="69"/>
      <c r="R53" s="70"/>
      <c r="S53" s="66" t="str">
        <f t="shared" si="1"/>
        <v/>
      </c>
      <c r="T53" s="55" t="str">
        <f t="shared" si="2"/>
        <v/>
      </c>
      <c r="U53" s="55" t="str">
        <f t="shared" si="3"/>
        <v/>
      </c>
      <c r="V53" s="55"/>
      <c r="W53" s="799"/>
      <c r="X53" s="799"/>
      <c r="Y53" s="799"/>
      <c r="Z53" s="799"/>
      <c r="AA53" s="799"/>
      <c r="AB53" s="799"/>
      <c r="AC53" s="799"/>
      <c r="AD53" s="799"/>
      <c r="AE53" s="799"/>
      <c r="AF53" s="290"/>
      <c r="AG53" s="799"/>
      <c r="AH53" s="799"/>
      <c r="AI53" s="279" t="str">
        <f>+IF(U53="","",IF(U53&gt;=[7]PARÁMETROS!$F$5,"CUMPLE","NO CUMPLE"))</f>
        <v/>
      </c>
      <c r="AJ53" s="139"/>
      <c r="AK53" s="109"/>
    </row>
    <row r="54" spans="1:37" s="72" customFormat="1" ht="30" customHeight="1" thickBot="1">
      <c r="A54" s="806"/>
      <c r="B54" s="141"/>
      <c r="C54" s="142"/>
      <c r="D54" s="143" t="str">
        <f>+IFERROR(INDEX([7]CONSOLIDADO!$D$4:$D$91,MATCH('EXP GEN. 34-40'!B54,[7]CONSOLIDADO!$C$4:$C$91,0)),"")</f>
        <v/>
      </c>
      <c r="E54" s="144"/>
      <c r="F54" s="144"/>
      <c r="G54" s="278"/>
      <c r="H54" s="278"/>
      <c r="I54" s="164"/>
      <c r="J54" s="147"/>
      <c r="K54" s="147"/>
      <c r="L54" s="148" t="str">
        <f t="shared" si="0"/>
        <v/>
      </c>
      <c r="M54" s="149" t="str">
        <f>+IFERROR(INDEX([7]PARÁMETROS!$B$11:$B$37,MATCH(L54,[7]PARÁMETROS!$A$11:$A$37,0)),"")</f>
        <v/>
      </c>
      <c r="N54" s="165"/>
      <c r="O54" s="149"/>
      <c r="P54" s="141"/>
      <c r="Q54" s="152"/>
      <c r="R54" s="153"/>
      <c r="S54" s="149" t="str">
        <f t="shared" si="1"/>
        <v/>
      </c>
      <c r="T54" s="154" t="str">
        <f t="shared" si="2"/>
        <v/>
      </c>
      <c r="U54" s="154" t="str">
        <f t="shared" si="3"/>
        <v/>
      </c>
      <c r="V54" s="154"/>
      <c r="W54" s="801"/>
      <c r="X54" s="801"/>
      <c r="Y54" s="801"/>
      <c r="Z54" s="801"/>
      <c r="AA54" s="801"/>
      <c r="AB54" s="801"/>
      <c r="AC54" s="801"/>
      <c r="AD54" s="801"/>
      <c r="AE54" s="801"/>
      <c r="AF54" s="289"/>
      <c r="AG54" s="801"/>
      <c r="AH54" s="801"/>
      <c r="AI54" s="279" t="str">
        <f>+IF(U54="","",IF(U54&gt;=[7]PARÁMETROS!$F$5,"CUMPLE","NO CUMPLE"))</f>
        <v/>
      </c>
      <c r="AJ54" s="155"/>
      <c r="AK54" s="109"/>
    </row>
    <row r="55" spans="1:37" s="72" customFormat="1" ht="30" customHeight="1" thickBot="1">
      <c r="A55" s="795"/>
      <c r="B55" s="123"/>
      <c r="C55" s="157"/>
      <c r="D55" s="125" t="str">
        <f>+IFERROR(INDEX([7]CONSOLIDADO!$D$4:$D$91,MATCH('EXP GEN. 34-40'!B55,[7]CONSOLIDADO!$C$4:$C$91,0)),"")</f>
        <v/>
      </c>
      <c r="E55" s="126"/>
      <c r="F55" s="126"/>
      <c r="G55" s="279"/>
      <c r="H55" s="279"/>
      <c r="I55" s="162"/>
      <c r="J55" s="129"/>
      <c r="K55" s="129"/>
      <c r="L55" s="130" t="str">
        <f t="shared" si="0"/>
        <v/>
      </c>
      <c r="M55" s="131" t="str">
        <f>+IFERROR(INDEX([7]PARÁMETROS!$B$11:$B$37,MATCH(L55,[7]PARÁMETROS!$A$11:$A$37,0)),"")</f>
        <v/>
      </c>
      <c r="N55" s="163"/>
      <c r="O55" s="131"/>
      <c r="P55" s="123"/>
      <c r="Q55" s="134"/>
      <c r="R55" s="135"/>
      <c r="S55" s="131" t="str">
        <f t="shared" si="1"/>
        <v/>
      </c>
      <c r="T55" s="136" t="str">
        <f t="shared" si="2"/>
        <v/>
      </c>
      <c r="U55" s="136" t="str">
        <f t="shared" si="3"/>
        <v/>
      </c>
      <c r="V55" s="136"/>
      <c r="W55" s="798"/>
      <c r="X55" s="798"/>
      <c r="Y55" s="798"/>
      <c r="Z55" s="798"/>
      <c r="AA55" s="798"/>
      <c r="AB55" s="798"/>
      <c r="AC55" s="798"/>
      <c r="AD55" s="798"/>
      <c r="AE55" s="798"/>
      <c r="AF55" s="291"/>
      <c r="AG55" s="798" t="str">
        <f>IF(U55="","",IF(SUM(U55:U57)&gt;=[7]PARÁMETROS!$H$5,"HÁBIL","NO HÁBIL"))</f>
        <v/>
      </c>
      <c r="AH55" s="798" t="str">
        <f>IF(U55="","",IF(U55&gt;=[7]PARÁMETROS!$F$5,"HÁBIL","NO HÁBIL"))</f>
        <v/>
      </c>
      <c r="AI55" s="279" t="str">
        <f>+IF(U55="","",IF(U55&gt;=[7]PARÁMETROS!$F$5,"CUMPLE","NO CUMPLE"))</f>
        <v/>
      </c>
      <c r="AJ55" s="138"/>
      <c r="AK55" s="109"/>
    </row>
    <row r="56" spans="1:37" s="72" customFormat="1" ht="30" customHeight="1" thickBot="1">
      <c r="A56" s="796"/>
      <c r="B56" s="58"/>
      <c r="C56" s="75"/>
      <c r="D56" s="60" t="str">
        <f>+IFERROR(INDEX([7]CONSOLIDADO!$D$4:$D$91,MATCH('EXP GEN. 34-40'!B56,[7]CONSOLIDADO!$C$4:$C$91,0)),"")</f>
        <v/>
      </c>
      <c r="E56" s="61"/>
      <c r="F56" s="61"/>
      <c r="G56" s="277"/>
      <c r="H56" s="277"/>
      <c r="I56" s="73"/>
      <c r="J56" s="64"/>
      <c r="K56" s="64"/>
      <c r="L56" s="65" t="str">
        <f t="shared" si="0"/>
        <v/>
      </c>
      <c r="M56" s="66" t="str">
        <f>+IFERROR(INDEX([7]PARÁMETROS!$B$11:$B$37,MATCH(L56,[7]PARÁMETROS!$A$11:$A$37,0)),"")</f>
        <v/>
      </c>
      <c r="N56" s="74"/>
      <c r="O56" s="66"/>
      <c r="P56" s="58"/>
      <c r="Q56" s="69"/>
      <c r="R56" s="70"/>
      <c r="S56" s="66" t="str">
        <f t="shared" si="1"/>
        <v/>
      </c>
      <c r="T56" s="55" t="str">
        <f t="shared" si="2"/>
        <v/>
      </c>
      <c r="U56" s="55" t="str">
        <f t="shared" si="3"/>
        <v/>
      </c>
      <c r="V56" s="55"/>
      <c r="W56" s="799"/>
      <c r="X56" s="799"/>
      <c r="Y56" s="799"/>
      <c r="Z56" s="799"/>
      <c r="AA56" s="799"/>
      <c r="AB56" s="799"/>
      <c r="AC56" s="799"/>
      <c r="AD56" s="799"/>
      <c r="AE56" s="799"/>
      <c r="AF56" s="290"/>
      <c r="AG56" s="799"/>
      <c r="AH56" s="799"/>
      <c r="AI56" s="279" t="str">
        <f>+IF(U56="","",IF(U56&gt;=[7]PARÁMETROS!$F$5,"CUMPLE","NO CUMPLE"))</f>
        <v/>
      </c>
      <c r="AJ56" s="139"/>
      <c r="AK56" s="109"/>
    </row>
    <row r="57" spans="1:37" s="72" customFormat="1" ht="30" customHeight="1" thickBot="1">
      <c r="A57" s="796"/>
      <c r="B57" s="58"/>
      <c r="C57" s="75"/>
      <c r="D57" s="60" t="str">
        <f>+IFERROR(INDEX([7]CONSOLIDADO!$D$4:$D$91,MATCH('EXP GEN. 34-40'!B57,[7]CONSOLIDADO!$C$4:$C$91,0)),"")</f>
        <v/>
      </c>
      <c r="E57" s="61"/>
      <c r="F57" s="61"/>
      <c r="G57" s="277"/>
      <c r="H57" s="277"/>
      <c r="I57" s="73"/>
      <c r="J57" s="64"/>
      <c r="K57" s="64"/>
      <c r="L57" s="65" t="str">
        <f t="shared" si="0"/>
        <v/>
      </c>
      <c r="M57" s="66" t="str">
        <f>+IFERROR(INDEX([7]PARÁMETROS!$B$11:$B$37,MATCH(L57,[7]PARÁMETROS!$A$11:$A$37,0)),"")</f>
        <v/>
      </c>
      <c r="N57" s="74"/>
      <c r="O57" s="66"/>
      <c r="P57" s="58"/>
      <c r="Q57" s="69"/>
      <c r="R57" s="70"/>
      <c r="S57" s="66" t="str">
        <f t="shared" si="1"/>
        <v/>
      </c>
      <c r="T57" s="55" t="str">
        <f t="shared" si="2"/>
        <v/>
      </c>
      <c r="U57" s="55" t="str">
        <f t="shared" si="3"/>
        <v/>
      </c>
      <c r="V57" s="55"/>
      <c r="W57" s="799"/>
      <c r="X57" s="799"/>
      <c r="Y57" s="799"/>
      <c r="Z57" s="799"/>
      <c r="AA57" s="799"/>
      <c r="AB57" s="799"/>
      <c r="AC57" s="799"/>
      <c r="AD57" s="799"/>
      <c r="AE57" s="799"/>
      <c r="AF57" s="290"/>
      <c r="AG57" s="799"/>
      <c r="AH57" s="799"/>
      <c r="AI57" s="279" t="str">
        <f>+IF(U57="","",IF(U57&gt;=[7]PARÁMETROS!$F$5,"CUMPLE","NO CUMPLE"))</f>
        <v/>
      </c>
      <c r="AJ57" s="139"/>
      <c r="AK57" s="109"/>
    </row>
    <row r="58" spans="1:37" s="72" customFormat="1" ht="30" customHeight="1" thickBot="1">
      <c r="A58" s="796"/>
      <c r="B58" s="58"/>
      <c r="C58" s="75"/>
      <c r="D58" s="60" t="str">
        <f>+IFERROR(INDEX([7]CONSOLIDADO!$D$4:$D$91,MATCH('EXP GEN. 34-40'!B58,[7]CONSOLIDADO!$C$4:$C$91,0)),"")</f>
        <v/>
      </c>
      <c r="E58" s="61"/>
      <c r="F58" s="61"/>
      <c r="G58" s="277"/>
      <c r="H58" s="277"/>
      <c r="I58" s="73"/>
      <c r="J58" s="64"/>
      <c r="K58" s="64"/>
      <c r="L58" s="65" t="str">
        <f t="shared" si="0"/>
        <v/>
      </c>
      <c r="M58" s="66" t="str">
        <f>+IFERROR(INDEX([7]PARÁMETROS!$B$11:$B$37,MATCH(L58,[7]PARÁMETROS!$A$11:$A$37,0)),"")</f>
        <v/>
      </c>
      <c r="N58" s="74"/>
      <c r="O58" s="66"/>
      <c r="P58" s="58"/>
      <c r="Q58" s="69"/>
      <c r="R58" s="70"/>
      <c r="S58" s="66" t="str">
        <f t="shared" si="1"/>
        <v/>
      </c>
      <c r="T58" s="55" t="str">
        <f t="shared" si="2"/>
        <v/>
      </c>
      <c r="U58" s="55" t="str">
        <f t="shared" si="3"/>
        <v/>
      </c>
      <c r="V58" s="55"/>
      <c r="W58" s="799"/>
      <c r="X58" s="799"/>
      <c r="Y58" s="799"/>
      <c r="Z58" s="799"/>
      <c r="AA58" s="799"/>
      <c r="AB58" s="799"/>
      <c r="AC58" s="799"/>
      <c r="AD58" s="799"/>
      <c r="AE58" s="799"/>
      <c r="AF58" s="290"/>
      <c r="AG58" s="799"/>
      <c r="AH58" s="799"/>
      <c r="AI58" s="279" t="str">
        <f>+IF(U58="","",IF(U58&gt;=[7]PARÁMETROS!$F$5,"CUMPLE","NO CUMPLE"))</f>
        <v/>
      </c>
      <c r="AJ58" s="139"/>
      <c r="AK58" s="109"/>
    </row>
    <row r="59" spans="1:37" s="72" customFormat="1" ht="30" customHeight="1" thickBot="1">
      <c r="A59" s="796"/>
      <c r="B59" s="58"/>
      <c r="C59" s="75"/>
      <c r="D59" s="60" t="str">
        <f>+IFERROR(INDEX([7]CONSOLIDADO!$D$4:$D$91,MATCH('EXP GEN. 34-40'!B59,[7]CONSOLIDADO!$C$4:$C$91,0)),"")</f>
        <v/>
      </c>
      <c r="E59" s="61"/>
      <c r="F59" s="61"/>
      <c r="G59" s="277"/>
      <c r="H59" s="277"/>
      <c r="I59" s="73"/>
      <c r="J59" s="64"/>
      <c r="K59" s="64"/>
      <c r="L59" s="65" t="str">
        <f t="shared" si="0"/>
        <v/>
      </c>
      <c r="M59" s="66" t="str">
        <f>+IFERROR(INDEX([7]PARÁMETROS!$B$11:$B$37,MATCH(L59,[7]PARÁMETROS!$A$11:$A$37,0)),"")</f>
        <v/>
      </c>
      <c r="N59" s="74"/>
      <c r="O59" s="66"/>
      <c r="P59" s="58"/>
      <c r="Q59" s="69"/>
      <c r="R59" s="70"/>
      <c r="S59" s="66" t="str">
        <f t="shared" si="1"/>
        <v/>
      </c>
      <c r="T59" s="55" t="str">
        <f t="shared" si="2"/>
        <v/>
      </c>
      <c r="U59" s="55" t="str">
        <f t="shared" si="3"/>
        <v/>
      </c>
      <c r="V59" s="55"/>
      <c r="W59" s="799"/>
      <c r="X59" s="799"/>
      <c r="Y59" s="799"/>
      <c r="Z59" s="799"/>
      <c r="AA59" s="799"/>
      <c r="AB59" s="799"/>
      <c r="AC59" s="799"/>
      <c r="AD59" s="799"/>
      <c r="AE59" s="799"/>
      <c r="AF59" s="290"/>
      <c r="AG59" s="799"/>
      <c r="AH59" s="799"/>
      <c r="AI59" s="279" t="str">
        <f>+IF(U59="","",IF(U59&gt;=[7]PARÁMETROS!$F$5,"CUMPLE","NO CUMPLE"))</f>
        <v/>
      </c>
      <c r="AJ59" s="139"/>
      <c r="AK59" s="109"/>
    </row>
    <row r="60" spans="1:37" s="72" customFormat="1" ht="30" customHeight="1" thickBot="1">
      <c r="A60" s="806"/>
      <c r="B60" s="141"/>
      <c r="C60" s="142"/>
      <c r="D60" s="143" t="str">
        <f>+IFERROR(INDEX([7]CONSOLIDADO!$D$4:$D$91,MATCH('EXP GEN. 34-40'!B60,[7]CONSOLIDADO!$C$4:$C$91,0)),"")</f>
        <v/>
      </c>
      <c r="E60" s="144"/>
      <c r="F60" s="144"/>
      <c r="G60" s="278"/>
      <c r="H60" s="278"/>
      <c r="I60" s="164"/>
      <c r="J60" s="147"/>
      <c r="K60" s="147"/>
      <c r="L60" s="148" t="str">
        <f t="shared" si="0"/>
        <v/>
      </c>
      <c r="M60" s="149" t="str">
        <f>+IFERROR(INDEX([7]PARÁMETROS!$B$11:$B$37,MATCH(L60,[7]PARÁMETROS!$A$11:$A$37,0)),"")</f>
        <v/>
      </c>
      <c r="N60" s="165"/>
      <c r="O60" s="149"/>
      <c r="P60" s="141"/>
      <c r="Q60" s="152"/>
      <c r="R60" s="153"/>
      <c r="S60" s="149" t="str">
        <f t="shared" si="1"/>
        <v/>
      </c>
      <c r="T60" s="154" t="str">
        <f t="shared" si="2"/>
        <v/>
      </c>
      <c r="U60" s="154" t="str">
        <f t="shared" si="3"/>
        <v/>
      </c>
      <c r="V60" s="154"/>
      <c r="W60" s="801"/>
      <c r="X60" s="801"/>
      <c r="Y60" s="801"/>
      <c r="Z60" s="801"/>
      <c r="AA60" s="801"/>
      <c r="AB60" s="801"/>
      <c r="AC60" s="801"/>
      <c r="AD60" s="801"/>
      <c r="AE60" s="801"/>
      <c r="AF60" s="289"/>
      <c r="AG60" s="801"/>
      <c r="AH60" s="801"/>
      <c r="AI60" s="279" t="str">
        <f>+IF(U60="","",IF(U60&gt;=[7]PARÁMETROS!$F$5,"CUMPLE","NO CUMPLE"))</f>
        <v/>
      </c>
      <c r="AJ60" s="155"/>
      <c r="AK60" s="109"/>
    </row>
    <row r="61" spans="1:37" s="72" customFormat="1" ht="30" customHeight="1" thickBot="1">
      <c r="A61" s="795"/>
      <c r="B61" s="123"/>
      <c r="C61" s="157"/>
      <c r="D61" s="125" t="str">
        <f>+IFERROR(INDEX([7]CONSOLIDADO!$D$4:$D$91,MATCH('EXP GEN. 34-40'!B61,[7]CONSOLIDADO!$C$4:$C$91,0)),"")</f>
        <v/>
      </c>
      <c r="E61" s="126"/>
      <c r="F61" s="126"/>
      <c r="G61" s="279"/>
      <c r="H61" s="279"/>
      <c r="I61" s="162"/>
      <c r="J61" s="129"/>
      <c r="K61" s="129"/>
      <c r="L61" s="130" t="str">
        <f t="shared" si="0"/>
        <v/>
      </c>
      <c r="M61" s="131" t="str">
        <f>+IFERROR(INDEX([7]PARÁMETROS!$B$11:$B$37,MATCH(L61,[7]PARÁMETROS!$A$11:$A$37,0)),"")</f>
        <v/>
      </c>
      <c r="N61" s="163"/>
      <c r="O61" s="131"/>
      <c r="P61" s="123"/>
      <c r="Q61" s="134"/>
      <c r="R61" s="135"/>
      <c r="S61" s="131" t="str">
        <f t="shared" si="1"/>
        <v/>
      </c>
      <c r="T61" s="136" t="str">
        <f t="shared" si="2"/>
        <v/>
      </c>
      <c r="U61" s="136" t="str">
        <f t="shared" si="3"/>
        <v/>
      </c>
      <c r="V61" s="136"/>
      <c r="W61" s="798"/>
      <c r="X61" s="798"/>
      <c r="Y61" s="798"/>
      <c r="Z61" s="798"/>
      <c r="AA61" s="798"/>
      <c r="AB61" s="798"/>
      <c r="AC61" s="798"/>
      <c r="AD61" s="798"/>
      <c r="AE61" s="798"/>
      <c r="AF61" s="291"/>
      <c r="AG61" s="798" t="str">
        <f>IF(U61="","",IF(SUM(U61:U63)&gt;=[7]PARÁMETROS!$H$5,"HÁBIL","NO HÁBIL"))</f>
        <v/>
      </c>
      <c r="AH61" s="798" t="str">
        <f>IF(U61="","",IF(U61&gt;=[7]PARÁMETROS!$F$5,"HÁBIL","NO HÁBIL"))</f>
        <v/>
      </c>
      <c r="AI61" s="279" t="str">
        <f>+IF(U61="","",IF(U61&gt;=[7]PARÁMETROS!$F$5,"CUMPLE","NO CUMPLE"))</f>
        <v/>
      </c>
      <c r="AJ61" s="138"/>
      <c r="AK61" s="109"/>
    </row>
    <row r="62" spans="1:37" s="72" customFormat="1" ht="30" customHeight="1" thickBot="1">
      <c r="A62" s="796"/>
      <c r="B62" s="58"/>
      <c r="C62" s="75"/>
      <c r="D62" s="60" t="str">
        <f>+IFERROR(INDEX([7]CONSOLIDADO!$D$4:$D$91,MATCH('EXP GEN. 34-40'!B62,[7]CONSOLIDADO!$C$4:$C$91,0)),"")</f>
        <v/>
      </c>
      <c r="E62" s="61"/>
      <c r="F62" s="61"/>
      <c r="G62" s="277"/>
      <c r="H62" s="277"/>
      <c r="I62" s="73"/>
      <c r="J62" s="64"/>
      <c r="K62" s="64"/>
      <c r="L62" s="65" t="str">
        <f t="shared" si="0"/>
        <v/>
      </c>
      <c r="M62" s="66" t="str">
        <f>+IFERROR(INDEX([7]PARÁMETROS!$B$11:$B$37,MATCH(L62,[7]PARÁMETROS!$A$11:$A$37,0)),"")</f>
        <v/>
      </c>
      <c r="N62" s="74"/>
      <c r="O62" s="66"/>
      <c r="P62" s="58"/>
      <c r="Q62" s="69"/>
      <c r="R62" s="70"/>
      <c r="S62" s="66" t="str">
        <f t="shared" si="1"/>
        <v/>
      </c>
      <c r="T62" s="55" t="str">
        <f t="shared" si="2"/>
        <v/>
      </c>
      <c r="U62" s="55" t="str">
        <f t="shared" si="3"/>
        <v/>
      </c>
      <c r="V62" s="55"/>
      <c r="W62" s="799"/>
      <c r="X62" s="799"/>
      <c r="Y62" s="799"/>
      <c r="Z62" s="799"/>
      <c r="AA62" s="799"/>
      <c r="AB62" s="799"/>
      <c r="AC62" s="799"/>
      <c r="AD62" s="799"/>
      <c r="AE62" s="799"/>
      <c r="AF62" s="290"/>
      <c r="AG62" s="799"/>
      <c r="AH62" s="799"/>
      <c r="AI62" s="279" t="str">
        <f>+IF(U62="","",IF(U62&gt;=[7]PARÁMETROS!$F$5,"CUMPLE","NO CUMPLE"))</f>
        <v/>
      </c>
      <c r="AJ62" s="139"/>
      <c r="AK62" s="109"/>
    </row>
    <row r="63" spans="1:37" s="72" customFormat="1" ht="30" customHeight="1" thickBot="1">
      <c r="A63" s="796"/>
      <c r="B63" s="58"/>
      <c r="C63" s="75"/>
      <c r="D63" s="60" t="str">
        <f>+IFERROR(INDEX([7]CONSOLIDADO!$D$4:$D$91,MATCH('EXP GEN. 34-40'!B63,[7]CONSOLIDADO!$C$4:$C$91,0)),"")</f>
        <v/>
      </c>
      <c r="E63" s="61"/>
      <c r="F63" s="61"/>
      <c r="G63" s="277"/>
      <c r="H63" s="277"/>
      <c r="I63" s="73"/>
      <c r="J63" s="64"/>
      <c r="K63" s="64"/>
      <c r="L63" s="65" t="str">
        <f t="shared" si="0"/>
        <v/>
      </c>
      <c r="M63" s="66" t="str">
        <f>+IFERROR(INDEX([7]PARÁMETROS!$B$11:$B$37,MATCH(L63,[7]PARÁMETROS!$A$11:$A$37,0)),"")</f>
        <v/>
      </c>
      <c r="N63" s="74"/>
      <c r="O63" s="66"/>
      <c r="P63" s="58"/>
      <c r="Q63" s="69"/>
      <c r="R63" s="70"/>
      <c r="S63" s="66" t="str">
        <f t="shared" si="1"/>
        <v/>
      </c>
      <c r="T63" s="55" t="str">
        <f t="shared" si="2"/>
        <v/>
      </c>
      <c r="U63" s="55" t="str">
        <f t="shared" si="3"/>
        <v/>
      </c>
      <c r="V63" s="55"/>
      <c r="W63" s="799"/>
      <c r="X63" s="799"/>
      <c r="Y63" s="799"/>
      <c r="Z63" s="799"/>
      <c r="AA63" s="799"/>
      <c r="AB63" s="799"/>
      <c r="AC63" s="799"/>
      <c r="AD63" s="799"/>
      <c r="AE63" s="799"/>
      <c r="AF63" s="290"/>
      <c r="AG63" s="799"/>
      <c r="AH63" s="799"/>
      <c r="AI63" s="279" t="str">
        <f>+IF(U63="","",IF(U63&gt;=[7]PARÁMETROS!$F$5,"CUMPLE","NO CUMPLE"))</f>
        <v/>
      </c>
      <c r="AJ63" s="139"/>
      <c r="AK63" s="109"/>
    </row>
    <row r="64" spans="1:37" s="72" customFormat="1" ht="30" customHeight="1" thickBot="1">
      <c r="A64" s="796"/>
      <c r="B64" s="58"/>
      <c r="C64" s="75"/>
      <c r="D64" s="60" t="str">
        <f>+IFERROR(INDEX([7]CONSOLIDADO!$D$4:$D$91,MATCH('EXP GEN. 34-40'!B64,[7]CONSOLIDADO!$C$4:$C$91,0)),"")</f>
        <v/>
      </c>
      <c r="E64" s="61"/>
      <c r="F64" s="61"/>
      <c r="G64" s="277"/>
      <c r="H64" s="277"/>
      <c r="I64" s="73"/>
      <c r="J64" s="64"/>
      <c r="K64" s="64"/>
      <c r="L64" s="65" t="str">
        <f t="shared" si="0"/>
        <v/>
      </c>
      <c r="M64" s="66" t="str">
        <f>+IFERROR(INDEX([7]PARÁMETROS!$B$11:$B$37,MATCH(L64,[7]PARÁMETROS!$A$11:$A$37,0)),"")</f>
        <v/>
      </c>
      <c r="N64" s="74"/>
      <c r="O64" s="66"/>
      <c r="P64" s="58"/>
      <c r="Q64" s="69"/>
      <c r="R64" s="70"/>
      <c r="S64" s="66" t="str">
        <f t="shared" si="1"/>
        <v/>
      </c>
      <c r="T64" s="55" t="str">
        <f t="shared" si="2"/>
        <v/>
      </c>
      <c r="U64" s="55" t="str">
        <f t="shared" si="3"/>
        <v/>
      </c>
      <c r="V64" s="55"/>
      <c r="W64" s="799"/>
      <c r="X64" s="799"/>
      <c r="Y64" s="799"/>
      <c r="Z64" s="799"/>
      <c r="AA64" s="799"/>
      <c r="AB64" s="799"/>
      <c r="AC64" s="799"/>
      <c r="AD64" s="799"/>
      <c r="AE64" s="799"/>
      <c r="AF64" s="290"/>
      <c r="AG64" s="799"/>
      <c r="AH64" s="799"/>
      <c r="AI64" s="279" t="str">
        <f>+IF(U64="","",IF(U64&gt;=[7]PARÁMETROS!$F$5,"CUMPLE","NO CUMPLE"))</f>
        <v/>
      </c>
      <c r="AJ64" s="139"/>
      <c r="AK64" s="109"/>
    </row>
    <row r="65" spans="1:37" s="72" customFormat="1" ht="30" customHeight="1" thickBot="1">
      <c r="A65" s="796"/>
      <c r="B65" s="58"/>
      <c r="C65" s="75"/>
      <c r="D65" s="60" t="str">
        <f>+IFERROR(INDEX([7]CONSOLIDADO!$D$4:$D$91,MATCH('EXP GEN. 34-40'!B65,[7]CONSOLIDADO!$C$4:$C$91,0)),"")</f>
        <v/>
      </c>
      <c r="E65" s="61"/>
      <c r="F65" s="61"/>
      <c r="G65" s="277"/>
      <c r="H65" s="277"/>
      <c r="I65" s="73"/>
      <c r="J65" s="64"/>
      <c r="K65" s="64"/>
      <c r="L65" s="65" t="str">
        <f t="shared" si="0"/>
        <v/>
      </c>
      <c r="M65" s="66" t="str">
        <f>+IFERROR(INDEX([7]PARÁMETROS!$B$11:$B$37,MATCH(L65,[7]PARÁMETROS!$A$11:$A$37,0)),"")</f>
        <v/>
      </c>
      <c r="N65" s="74"/>
      <c r="O65" s="66"/>
      <c r="P65" s="58"/>
      <c r="Q65" s="69"/>
      <c r="R65" s="70"/>
      <c r="S65" s="66" t="str">
        <f t="shared" si="1"/>
        <v/>
      </c>
      <c r="T65" s="55" t="str">
        <f t="shared" si="2"/>
        <v/>
      </c>
      <c r="U65" s="55" t="str">
        <f t="shared" si="3"/>
        <v/>
      </c>
      <c r="V65" s="55"/>
      <c r="W65" s="799"/>
      <c r="X65" s="799"/>
      <c r="Y65" s="799"/>
      <c r="Z65" s="799"/>
      <c r="AA65" s="799"/>
      <c r="AB65" s="799"/>
      <c r="AC65" s="799"/>
      <c r="AD65" s="799"/>
      <c r="AE65" s="799"/>
      <c r="AF65" s="290"/>
      <c r="AG65" s="799"/>
      <c r="AH65" s="799"/>
      <c r="AI65" s="279" t="str">
        <f>+IF(U65="","",IF(U65&gt;=[7]PARÁMETROS!$F$5,"CUMPLE","NO CUMPLE"))</f>
        <v/>
      </c>
      <c r="AJ65" s="139"/>
      <c r="AK65" s="109"/>
    </row>
    <row r="66" spans="1:37" s="72" customFormat="1" ht="30" customHeight="1" thickBot="1">
      <c r="A66" s="806"/>
      <c r="B66" s="141"/>
      <c r="C66" s="142"/>
      <c r="D66" s="143" t="str">
        <f>+IFERROR(INDEX([7]CONSOLIDADO!$D$4:$D$91,MATCH('EXP GEN. 34-40'!B66,[7]CONSOLIDADO!$C$4:$C$91,0)),"")</f>
        <v/>
      </c>
      <c r="E66" s="144"/>
      <c r="F66" s="144"/>
      <c r="G66" s="278"/>
      <c r="H66" s="278"/>
      <c r="I66" s="164"/>
      <c r="J66" s="147"/>
      <c r="K66" s="147"/>
      <c r="L66" s="148" t="str">
        <f t="shared" si="0"/>
        <v/>
      </c>
      <c r="M66" s="149" t="str">
        <f>+IFERROR(INDEX([7]PARÁMETROS!$B$11:$B$37,MATCH(L66,[7]PARÁMETROS!$A$11:$A$37,0)),"")</f>
        <v/>
      </c>
      <c r="N66" s="165"/>
      <c r="O66" s="149"/>
      <c r="P66" s="141"/>
      <c r="Q66" s="152"/>
      <c r="R66" s="153"/>
      <c r="S66" s="149" t="str">
        <f t="shared" si="1"/>
        <v/>
      </c>
      <c r="T66" s="154" t="str">
        <f t="shared" si="2"/>
        <v/>
      </c>
      <c r="U66" s="154" t="str">
        <f t="shared" si="3"/>
        <v/>
      </c>
      <c r="V66" s="154"/>
      <c r="W66" s="801"/>
      <c r="X66" s="801"/>
      <c r="Y66" s="801"/>
      <c r="Z66" s="801"/>
      <c r="AA66" s="801"/>
      <c r="AB66" s="801"/>
      <c r="AC66" s="801"/>
      <c r="AD66" s="801"/>
      <c r="AE66" s="801"/>
      <c r="AF66" s="289"/>
      <c r="AG66" s="801"/>
      <c r="AH66" s="801"/>
      <c r="AI66" s="279" t="str">
        <f>+IF(U66="","",IF(U66&gt;=[7]PARÁMETROS!$F$5,"CUMPLE","NO CUMPLE"))</f>
        <v/>
      </c>
      <c r="AJ66" s="155"/>
      <c r="AK66" s="109"/>
    </row>
    <row r="67" spans="1:37" s="72" customFormat="1" ht="30" customHeight="1" thickBot="1">
      <c r="A67" s="795"/>
      <c r="B67" s="123"/>
      <c r="C67" s="157"/>
      <c r="D67" s="125" t="str">
        <f>+IFERROR(INDEX([7]CONSOLIDADO!$D$4:$D$91,MATCH('EXP GEN. 34-40'!B67,[7]CONSOLIDADO!$C$4:$C$91,0)),"")</f>
        <v/>
      </c>
      <c r="E67" s="126"/>
      <c r="F67" s="126"/>
      <c r="G67" s="279"/>
      <c r="H67" s="279"/>
      <c r="I67" s="162"/>
      <c r="J67" s="129"/>
      <c r="K67" s="129"/>
      <c r="L67" s="130" t="str">
        <f t="shared" si="0"/>
        <v/>
      </c>
      <c r="M67" s="131" t="str">
        <f>+IFERROR(INDEX([7]PARÁMETROS!$B$11:$B$37,MATCH(L67,[7]PARÁMETROS!$A$11:$A$37,0)),"")</f>
        <v/>
      </c>
      <c r="N67" s="163"/>
      <c r="O67" s="131"/>
      <c r="P67" s="123"/>
      <c r="Q67" s="134"/>
      <c r="R67" s="135"/>
      <c r="S67" s="131" t="str">
        <f t="shared" si="1"/>
        <v/>
      </c>
      <c r="T67" s="136" t="str">
        <f t="shared" si="2"/>
        <v/>
      </c>
      <c r="U67" s="136" t="str">
        <f t="shared" si="3"/>
        <v/>
      </c>
      <c r="V67" s="136"/>
      <c r="W67" s="798"/>
      <c r="X67" s="798"/>
      <c r="Y67" s="798"/>
      <c r="Z67" s="798"/>
      <c r="AA67" s="798"/>
      <c r="AB67" s="798"/>
      <c r="AC67" s="798"/>
      <c r="AD67" s="798"/>
      <c r="AE67" s="798"/>
      <c r="AF67" s="291"/>
      <c r="AG67" s="798" t="str">
        <f>IF(U67="","",IF(SUM(U67:U69)&gt;=[7]PARÁMETROS!$H$5,"HÁBIL","NO HÁBIL"))</f>
        <v/>
      </c>
      <c r="AH67" s="798" t="str">
        <f>IF(U67="","",IF(U67&gt;=[7]PARÁMETROS!$F$5,"HÁBIL","NO HÁBIL"))</f>
        <v/>
      </c>
      <c r="AI67" s="279" t="str">
        <f>+IF(U67="","",IF(U67&gt;=[7]PARÁMETROS!$F$5,"CUMPLE","NO CUMPLE"))</f>
        <v/>
      </c>
      <c r="AJ67" s="138"/>
      <c r="AK67" s="109"/>
    </row>
    <row r="68" spans="1:37" s="72" customFormat="1" ht="30" customHeight="1" thickBot="1">
      <c r="A68" s="796"/>
      <c r="B68" s="58"/>
      <c r="C68" s="75"/>
      <c r="D68" s="60" t="str">
        <f>+IFERROR(INDEX([7]CONSOLIDADO!$D$4:$D$91,MATCH('EXP GEN. 34-40'!B68,[7]CONSOLIDADO!$C$4:$C$91,0)),"")</f>
        <v/>
      </c>
      <c r="E68" s="61"/>
      <c r="F68" s="61"/>
      <c r="G68" s="277"/>
      <c r="H68" s="277"/>
      <c r="I68" s="73"/>
      <c r="J68" s="64"/>
      <c r="K68" s="64"/>
      <c r="L68" s="65" t="str">
        <f t="shared" ref="L68:L72" si="4">IF(K68="","",YEAR(K68))</f>
        <v/>
      </c>
      <c r="M68" s="66" t="str">
        <f>+IFERROR(INDEX([7]PARÁMETROS!$B$11:$B$37,MATCH(L68,[7]PARÁMETROS!$A$11:$A$37,0)),"")</f>
        <v/>
      </c>
      <c r="N68" s="74"/>
      <c r="O68" s="66"/>
      <c r="P68" s="58"/>
      <c r="Q68" s="69"/>
      <c r="R68" s="70"/>
      <c r="S68" s="66" t="str">
        <f t="shared" ref="S68:S72" si="5">IF(R68&lt;&gt;"",N68*R68,"")</f>
        <v/>
      </c>
      <c r="T68" s="55" t="str">
        <f t="shared" ref="T68:T72" si="6">+IFERROR(S68/M68,"")</f>
        <v/>
      </c>
      <c r="U68" s="55" t="str">
        <f t="shared" ref="U68:U72" si="7">IFERROR(T68*I68,"")</f>
        <v/>
      </c>
      <c r="V68" s="55"/>
      <c r="W68" s="799"/>
      <c r="X68" s="799"/>
      <c r="Y68" s="799"/>
      <c r="Z68" s="799"/>
      <c r="AA68" s="799"/>
      <c r="AB68" s="799"/>
      <c r="AC68" s="799"/>
      <c r="AD68" s="799"/>
      <c r="AE68" s="799"/>
      <c r="AF68" s="290"/>
      <c r="AG68" s="799"/>
      <c r="AH68" s="799"/>
      <c r="AI68" s="279" t="str">
        <f>+IF(U68="","",IF(U68&gt;=[7]PARÁMETROS!$F$5,"CUMPLE","NO CUMPLE"))</f>
        <v/>
      </c>
      <c r="AJ68" s="139"/>
      <c r="AK68" s="109"/>
    </row>
    <row r="69" spans="1:37" s="72" customFormat="1" ht="30" customHeight="1" thickBot="1">
      <c r="A69" s="796"/>
      <c r="B69" s="58"/>
      <c r="C69" s="75"/>
      <c r="D69" s="60" t="str">
        <f>+IFERROR(INDEX([7]CONSOLIDADO!$D$4:$D$91,MATCH('EXP GEN. 34-40'!B69,[7]CONSOLIDADO!$C$4:$C$91,0)),"")</f>
        <v/>
      </c>
      <c r="E69" s="61"/>
      <c r="F69" s="61"/>
      <c r="G69" s="277"/>
      <c r="H69" s="277"/>
      <c r="I69" s="73"/>
      <c r="J69" s="64"/>
      <c r="K69" s="64"/>
      <c r="L69" s="65" t="str">
        <f t="shared" si="4"/>
        <v/>
      </c>
      <c r="M69" s="66" t="str">
        <f>+IFERROR(INDEX([7]PARÁMETROS!$B$11:$B$37,MATCH(L69,[7]PARÁMETROS!$A$11:$A$37,0)),"")</f>
        <v/>
      </c>
      <c r="N69" s="74"/>
      <c r="O69" s="66"/>
      <c r="P69" s="58"/>
      <c r="Q69" s="69"/>
      <c r="R69" s="70"/>
      <c r="S69" s="66" t="str">
        <f t="shared" si="5"/>
        <v/>
      </c>
      <c r="T69" s="55" t="str">
        <f t="shared" si="6"/>
        <v/>
      </c>
      <c r="U69" s="55" t="str">
        <f t="shared" si="7"/>
        <v/>
      </c>
      <c r="V69" s="55"/>
      <c r="W69" s="799"/>
      <c r="X69" s="799"/>
      <c r="Y69" s="799"/>
      <c r="Z69" s="799"/>
      <c r="AA69" s="799"/>
      <c r="AB69" s="799"/>
      <c r="AC69" s="799"/>
      <c r="AD69" s="799"/>
      <c r="AE69" s="799"/>
      <c r="AF69" s="290"/>
      <c r="AG69" s="799"/>
      <c r="AH69" s="799"/>
      <c r="AI69" s="279" t="str">
        <f>+IF(U69="","",IF(U69&gt;=[7]PARÁMETROS!$F$5,"CUMPLE","NO CUMPLE"))</f>
        <v/>
      </c>
      <c r="AJ69" s="139"/>
      <c r="AK69" s="109"/>
    </row>
    <row r="70" spans="1:37" s="72" customFormat="1" ht="30" customHeight="1" thickBot="1">
      <c r="A70" s="796"/>
      <c r="B70" s="58"/>
      <c r="C70" s="75"/>
      <c r="D70" s="60" t="str">
        <f>+IFERROR(INDEX([7]CONSOLIDADO!$D$4:$D$91,MATCH('EXP GEN. 34-40'!B70,[7]CONSOLIDADO!$C$4:$C$91,0)),"")</f>
        <v/>
      </c>
      <c r="E70" s="61"/>
      <c r="F70" s="61"/>
      <c r="G70" s="277"/>
      <c r="H70" s="277"/>
      <c r="I70" s="73"/>
      <c r="J70" s="64"/>
      <c r="K70" s="64"/>
      <c r="L70" s="65" t="str">
        <f t="shared" si="4"/>
        <v/>
      </c>
      <c r="M70" s="66" t="str">
        <f>+IFERROR(INDEX([7]PARÁMETROS!$B$11:$B$37,MATCH(L70,[7]PARÁMETROS!$A$11:$A$37,0)),"")</f>
        <v/>
      </c>
      <c r="N70" s="74"/>
      <c r="O70" s="66"/>
      <c r="P70" s="58"/>
      <c r="Q70" s="69"/>
      <c r="R70" s="70"/>
      <c r="S70" s="66" t="str">
        <f t="shared" si="5"/>
        <v/>
      </c>
      <c r="T70" s="55" t="str">
        <f t="shared" si="6"/>
        <v/>
      </c>
      <c r="U70" s="55" t="str">
        <f t="shared" si="7"/>
        <v/>
      </c>
      <c r="V70" s="55"/>
      <c r="W70" s="799"/>
      <c r="X70" s="799"/>
      <c r="Y70" s="799"/>
      <c r="Z70" s="799"/>
      <c r="AA70" s="799"/>
      <c r="AB70" s="799"/>
      <c r="AC70" s="799"/>
      <c r="AD70" s="799"/>
      <c r="AE70" s="799"/>
      <c r="AF70" s="290"/>
      <c r="AG70" s="799"/>
      <c r="AH70" s="799"/>
      <c r="AI70" s="279" t="str">
        <f>+IF(U70="","",IF(U70&gt;=[7]PARÁMETROS!$F$5,"CUMPLE","NO CUMPLE"))</f>
        <v/>
      </c>
      <c r="AJ70" s="139"/>
      <c r="AK70" s="109"/>
    </row>
    <row r="71" spans="1:37" s="72" customFormat="1" ht="30" customHeight="1" thickBot="1">
      <c r="A71" s="796"/>
      <c r="B71" s="58"/>
      <c r="C71" s="75"/>
      <c r="D71" s="60" t="str">
        <f>+IFERROR(INDEX([7]CONSOLIDADO!$D$4:$D$91,MATCH('EXP GEN. 34-40'!B71,[7]CONSOLIDADO!$C$4:$C$91,0)),"")</f>
        <v/>
      </c>
      <c r="E71" s="61"/>
      <c r="F71" s="61"/>
      <c r="G71" s="277"/>
      <c r="H71" s="277"/>
      <c r="I71" s="73"/>
      <c r="J71" s="64"/>
      <c r="K71" s="64"/>
      <c r="L71" s="65" t="str">
        <f t="shared" si="4"/>
        <v/>
      </c>
      <c r="M71" s="66" t="str">
        <f>+IFERROR(INDEX([7]PARÁMETROS!$B$11:$B$37,MATCH(L71,[7]PARÁMETROS!$A$11:$A$37,0)),"")</f>
        <v/>
      </c>
      <c r="N71" s="74"/>
      <c r="O71" s="66"/>
      <c r="P71" s="58"/>
      <c r="Q71" s="69"/>
      <c r="R71" s="70"/>
      <c r="S71" s="66" t="str">
        <f t="shared" si="5"/>
        <v/>
      </c>
      <c r="T71" s="55" t="str">
        <f t="shared" si="6"/>
        <v/>
      </c>
      <c r="U71" s="55" t="str">
        <f t="shared" si="7"/>
        <v/>
      </c>
      <c r="V71" s="55"/>
      <c r="W71" s="799"/>
      <c r="X71" s="799"/>
      <c r="Y71" s="799"/>
      <c r="Z71" s="799"/>
      <c r="AA71" s="799"/>
      <c r="AB71" s="799"/>
      <c r="AC71" s="799"/>
      <c r="AD71" s="799"/>
      <c r="AE71" s="799"/>
      <c r="AF71" s="290"/>
      <c r="AG71" s="799"/>
      <c r="AH71" s="799"/>
      <c r="AI71" s="279" t="str">
        <f>+IF(U71="","",IF(U71&gt;=[7]PARÁMETROS!$F$5,"CUMPLE","NO CUMPLE"))</f>
        <v/>
      </c>
      <c r="AJ71" s="139"/>
      <c r="AK71" s="109"/>
    </row>
    <row r="72" spans="1:37" s="72" customFormat="1" ht="30" customHeight="1" thickBot="1">
      <c r="A72" s="806"/>
      <c r="B72" s="141"/>
      <c r="C72" s="142"/>
      <c r="D72" s="143" t="str">
        <f>+IFERROR(INDEX([7]CONSOLIDADO!$D$4:$D$91,MATCH('EXP GEN. 34-40'!B72,[7]CONSOLIDADO!$C$4:$C$91,0)),"")</f>
        <v/>
      </c>
      <c r="E72" s="144"/>
      <c r="F72" s="144"/>
      <c r="G72" s="278"/>
      <c r="H72" s="278"/>
      <c r="I72" s="164"/>
      <c r="J72" s="147"/>
      <c r="K72" s="147"/>
      <c r="L72" s="148" t="str">
        <f t="shared" si="4"/>
        <v/>
      </c>
      <c r="M72" s="149" t="str">
        <f>+IFERROR(INDEX([7]PARÁMETROS!$B$11:$B$37,MATCH(L72,[7]PARÁMETROS!$A$11:$A$37,0)),"")</f>
        <v/>
      </c>
      <c r="N72" s="165"/>
      <c r="O72" s="149"/>
      <c r="P72" s="141"/>
      <c r="Q72" s="152"/>
      <c r="R72" s="153"/>
      <c r="S72" s="149" t="str">
        <f t="shared" si="5"/>
        <v/>
      </c>
      <c r="T72" s="154" t="str">
        <f t="shared" si="6"/>
        <v/>
      </c>
      <c r="U72" s="154" t="str">
        <f t="shared" si="7"/>
        <v/>
      </c>
      <c r="V72" s="154"/>
      <c r="W72" s="801"/>
      <c r="X72" s="801"/>
      <c r="Y72" s="801"/>
      <c r="Z72" s="801"/>
      <c r="AA72" s="801"/>
      <c r="AB72" s="801"/>
      <c r="AC72" s="801"/>
      <c r="AD72" s="801"/>
      <c r="AE72" s="801"/>
      <c r="AF72" s="289"/>
      <c r="AG72" s="801"/>
      <c r="AH72" s="801"/>
      <c r="AI72" s="279" t="str">
        <f>+IF(U72="","",IF(U72&gt;=[7]PARÁMETROS!$F$5,"CUMPLE","NO CUMPLE"))</f>
        <v/>
      </c>
      <c r="AJ72" s="155"/>
      <c r="AK72" s="109"/>
    </row>
    <row r="73" spans="1:37" s="72" customFormat="1" ht="30" customHeight="1" thickBot="1">
      <c r="A73" s="58"/>
      <c r="B73" s="58"/>
      <c r="C73" s="75"/>
      <c r="D73" s="60"/>
      <c r="E73" s="61"/>
      <c r="F73" s="61"/>
      <c r="G73" s="61"/>
      <c r="H73" s="61"/>
      <c r="I73" s="73"/>
      <c r="J73" s="64"/>
      <c r="K73" s="64"/>
      <c r="L73" s="65"/>
      <c r="M73" s="66"/>
      <c r="N73" s="74"/>
      <c r="O73" s="66"/>
      <c r="P73" s="58"/>
      <c r="Q73" s="69"/>
      <c r="R73" s="70"/>
      <c r="S73" s="66"/>
      <c r="T73" s="55"/>
      <c r="U73" s="55"/>
      <c r="V73" s="55"/>
      <c r="W73" s="277"/>
      <c r="X73" s="277"/>
      <c r="Y73" s="277"/>
      <c r="Z73" s="277"/>
      <c r="AA73" s="277"/>
      <c r="AB73" s="277"/>
      <c r="AC73" s="277"/>
      <c r="AD73" s="277"/>
      <c r="AE73" s="277"/>
      <c r="AF73" s="277"/>
      <c r="AG73" s="277"/>
      <c r="AH73" s="277"/>
      <c r="AI73" s="279" t="str">
        <f>+IF(U73="","",IF(U73&gt;=[7]PARÁMETROS!$F$5,"CUMPLE","NO CUMPLE"))</f>
        <v/>
      </c>
      <c r="AJ73" s="61"/>
    </row>
    <row r="74" spans="1:37" s="72" customFormat="1" ht="30" customHeight="1" thickBot="1">
      <c r="A74" s="58"/>
      <c r="B74" s="58"/>
      <c r="C74" s="75"/>
      <c r="D74" s="60"/>
      <c r="E74" s="61"/>
      <c r="F74" s="61"/>
      <c r="G74" s="61"/>
      <c r="H74" s="61"/>
      <c r="I74" s="73"/>
      <c r="J74" s="64"/>
      <c r="K74" s="64"/>
      <c r="L74" s="65"/>
      <c r="M74" s="66"/>
      <c r="N74" s="74"/>
      <c r="O74" s="66"/>
      <c r="P74" s="58"/>
      <c r="Q74" s="69"/>
      <c r="R74" s="70"/>
      <c r="S74" s="66"/>
      <c r="T74" s="55"/>
      <c r="U74" s="55"/>
      <c r="V74" s="55"/>
      <c r="W74" s="277"/>
      <c r="X74" s="277"/>
      <c r="Y74" s="277"/>
      <c r="Z74" s="277"/>
      <c r="AA74" s="277"/>
      <c r="AB74" s="277"/>
      <c r="AC74" s="277"/>
      <c r="AD74" s="277"/>
      <c r="AE74" s="277"/>
      <c r="AF74" s="277"/>
      <c r="AG74" s="277"/>
      <c r="AH74" s="277"/>
      <c r="AI74" s="279" t="str">
        <f>+IF(U74="","",IF(U74&gt;=[7]PARÁMETROS!$F$5,"CUMPLE","NO CUMPLE"))</f>
        <v/>
      </c>
      <c r="AJ74" s="61"/>
    </row>
    <row r="75" spans="1:37" s="72" customFormat="1" ht="30" customHeight="1" thickBot="1">
      <c r="A75" s="58"/>
      <c r="B75" s="58"/>
      <c r="C75" s="75"/>
      <c r="D75" s="60"/>
      <c r="E75" s="61"/>
      <c r="F75" s="61"/>
      <c r="G75" s="61"/>
      <c r="H75" s="61"/>
      <c r="I75" s="73"/>
      <c r="J75" s="64"/>
      <c r="K75" s="64"/>
      <c r="L75" s="65"/>
      <c r="M75" s="66"/>
      <c r="N75" s="74"/>
      <c r="O75" s="66"/>
      <c r="P75" s="58"/>
      <c r="Q75" s="69"/>
      <c r="R75" s="70"/>
      <c r="S75" s="66"/>
      <c r="T75" s="55"/>
      <c r="U75" s="55"/>
      <c r="V75" s="55"/>
      <c r="W75" s="277"/>
      <c r="X75" s="277"/>
      <c r="Y75" s="277"/>
      <c r="Z75" s="277"/>
      <c r="AA75" s="277"/>
      <c r="AB75" s="277"/>
      <c r="AC75" s="277"/>
      <c r="AD75" s="277"/>
      <c r="AE75" s="277"/>
      <c r="AF75" s="277"/>
      <c r="AG75" s="277"/>
      <c r="AH75" s="277"/>
      <c r="AI75" s="279" t="str">
        <f>+IF(U75="","",IF(U75&gt;=[7]PARÁMETROS!$F$5,"CUMPLE","NO CUMPLE"))</f>
        <v/>
      </c>
      <c r="AJ75" s="61"/>
    </row>
    <row r="76" spans="1:37" s="72" customFormat="1" ht="30" customHeight="1" thickBot="1">
      <c r="A76" s="58"/>
      <c r="B76" s="58"/>
      <c r="C76" s="75"/>
      <c r="D76" s="60"/>
      <c r="E76" s="61"/>
      <c r="F76" s="61"/>
      <c r="G76" s="61"/>
      <c r="H76" s="61"/>
      <c r="I76" s="73"/>
      <c r="J76" s="64"/>
      <c r="K76" s="64"/>
      <c r="L76" s="65"/>
      <c r="M76" s="66"/>
      <c r="N76" s="74"/>
      <c r="O76" s="66"/>
      <c r="P76" s="58"/>
      <c r="Q76" s="69"/>
      <c r="R76" s="70"/>
      <c r="S76" s="66"/>
      <c r="T76" s="55"/>
      <c r="U76" s="55"/>
      <c r="V76" s="55"/>
      <c r="W76" s="277"/>
      <c r="X76" s="277"/>
      <c r="Y76" s="277"/>
      <c r="Z76" s="277"/>
      <c r="AA76" s="277"/>
      <c r="AB76" s="277"/>
      <c r="AC76" s="277"/>
      <c r="AD76" s="277"/>
      <c r="AE76" s="277"/>
      <c r="AF76" s="277"/>
      <c r="AG76" s="277"/>
      <c r="AH76" s="277"/>
      <c r="AI76" s="279" t="str">
        <f>+IF(U76="","",IF(U76&gt;=[7]PARÁMETROS!$F$5,"CUMPLE","NO CUMPLE"))</f>
        <v/>
      </c>
      <c r="AJ76" s="61"/>
    </row>
    <row r="77" spans="1:37" s="72" customFormat="1" ht="30" customHeight="1" thickBot="1">
      <c r="A77" s="58"/>
      <c r="B77" s="58"/>
      <c r="C77" s="75"/>
      <c r="D77" s="60"/>
      <c r="E77" s="61"/>
      <c r="F77" s="61"/>
      <c r="G77" s="61"/>
      <c r="H77" s="61"/>
      <c r="I77" s="73"/>
      <c r="J77" s="64"/>
      <c r="K77" s="64"/>
      <c r="L77" s="65"/>
      <c r="M77" s="66"/>
      <c r="N77" s="74"/>
      <c r="O77" s="66"/>
      <c r="P77" s="58"/>
      <c r="Q77" s="69"/>
      <c r="R77" s="70"/>
      <c r="S77" s="66"/>
      <c r="T77" s="55"/>
      <c r="U77" s="55"/>
      <c r="V77" s="55"/>
      <c r="W77" s="277"/>
      <c r="X77" s="277"/>
      <c r="Y77" s="277"/>
      <c r="Z77" s="277"/>
      <c r="AA77" s="277"/>
      <c r="AB77" s="277"/>
      <c r="AC77" s="277"/>
      <c r="AD77" s="277"/>
      <c r="AE77" s="277"/>
      <c r="AF77" s="277"/>
      <c r="AG77" s="277"/>
      <c r="AH77" s="277"/>
      <c r="AI77" s="279" t="str">
        <f>+IF(U77="","",IF(U77&gt;=[7]PARÁMETROS!$F$5,"CUMPLE","NO CUMPLE"))</f>
        <v/>
      </c>
      <c r="AJ77" s="61"/>
    </row>
    <row r="78" spans="1:37" s="72" customFormat="1" ht="30" customHeight="1" thickBot="1">
      <c r="A78" s="58"/>
      <c r="B78" s="58"/>
      <c r="C78" s="75"/>
      <c r="D78" s="60"/>
      <c r="E78" s="61"/>
      <c r="F78" s="61"/>
      <c r="G78" s="61"/>
      <c r="H78" s="61"/>
      <c r="I78" s="73"/>
      <c r="J78" s="64"/>
      <c r="K78" s="64"/>
      <c r="L78" s="65"/>
      <c r="M78" s="66"/>
      <c r="N78" s="74"/>
      <c r="O78" s="66"/>
      <c r="P78" s="58"/>
      <c r="Q78" s="69"/>
      <c r="R78" s="70"/>
      <c r="S78" s="66"/>
      <c r="T78" s="55"/>
      <c r="U78" s="55"/>
      <c r="V78" s="55"/>
      <c r="W78" s="277"/>
      <c r="X78" s="277"/>
      <c r="Y78" s="277"/>
      <c r="Z78" s="277"/>
      <c r="AA78" s="277"/>
      <c r="AB78" s="277"/>
      <c r="AC78" s="277"/>
      <c r="AD78" s="277"/>
      <c r="AE78" s="277"/>
      <c r="AF78" s="277"/>
      <c r="AG78" s="277"/>
      <c r="AH78" s="277"/>
      <c r="AI78" s="279" t="str">
        <f>+IF(U78="","",IF(U78&gt;=[7]PARÁMETROS!$F$5,"CUMPLE","NO CUMPLE"))</f>
        <v/>
      </c>
      <c r="AJ78" s="61"/>
    </row>
    <row r="79" spans="1:37" s="72" customFormat="1" ht="30" customHeight="1" thickBot="1">
      <c r="A79" s="58"/>
      <c r="B79" s="58"/>
      <c r="C79" s="75"/>
      <c r="D79" s="60"/>
      <c r="E79" s="61"/>
      <c r="F79" s="61"/>
      <c r="G79" s="61"/>
      <c r="H79" s="61"/>
      <c r="I79" s="73"/>
      <c r="J79" s="64"/>
      <c r="K79" s="64"/>
      <c r="L79" s="65"/>
      <c r="M79" s="66"/>
      <c r="N79" s="74"/>
      <c r="O79" s="66"/>
      <c r="P79" s="58"/>
      <c r="Q79" s="69"/>
      <c r="R79" s="70"/>
      <c r="S79" s="66"/>
      <c r="T79" s="55"/>
      <c r="U79" s="55"/>
      <c r="V79" s="55"/>
      <c r="W79" s="277"/>
      <c r="X79" s="277"/>
      <c r="Y79" s="277"/>
      <c r="Z79" s="277"/>
      <c r="AA79" s="277"/>
      <c r="AB79" s="277"/>
      <c r="AC79" s="277"/>
      <c r="AD79" s="277"/>
      <c r="AE79" s="277"/>
      <c r="AF79" s="277"/>
      <c r="AG79" s="277"/>
      <c r="AH79" s="277"/>
      <c r="AI79" s="279" t="str">
        <f>+IF(U79="","",IF(U79&gt;=[7]PARÁMETROS!$F$5,"CUMPLE","NO CUMPLE"))</f>
        <v/>
      </c>
      <c r="AJ79" s="61"/>
    </row>
    <row r="80" spans="1:37" s="72" customFormat="1" ht="30" customHeight="1" thickBot="1">
      <c r="A80" s="58"/>
      <c r="B80" s="58"/>
      <c r="C80" s="75"/>
      <c r="D80" s="60"/>
      <c r="E80" s="61"/>
      <c r="F80" s="61"/>
      <c r="G80" s="61"/>
      <c r="H80" s="61"/>
      <c r="I80" s="73"/>
      <c r="J80" s="64"/>
      <c r="K80" s="64"/>
      <c r="L80" s="65"/>
      <c r="M80" s="66"/>
      <c r="N80" s="74"/>
      <c r="O80" s="66"/>
      <c r="P80" s="58"/>
      <c r="Q80" s="69"/>
      <c r="R80" s="70"/>
      <c r="S80" s="66"/>
      <c r="T80" s="55"/>
      <c r="U80" s="55"/>
      <c r="V80" s="55"/>
      <c r="W80" s="277"/>
      <c r="X80" s="277"/>
      <c r="Y80" s="277"/>
      <c r="Z80" s="277"/>
      <c r="AA80" s="277"/>
      <c r="AB80" s="277"/>
      <c r="AC80" s="277"/>
      <c r="AD80" s="277"/>
      <c r="AE80" s="277"/>
      <c r="AF80" s="277"/>
      <c r="AG80" s="277"/>
      <c r="AH80" s="277"/>
      <c r="AI80" s="279" t="str">
        <f>+IF(U80="","",IF(U80&gt;=[7]PARÁMETROS!$F$5,"CUMPLE","NO CUMPLE"))</f>
        <v/>
      </c>
      <c r="AJ80" s="61"/>
    </row>
    <row r="81" spans="1:36" s="72" customFormat="1" ht="30" customHeight="1" thickBot="1">
      <c r="A81" s="58"/>
      <c r="B81" s="58"/>
      <c r="C81" s="75"/>
      <c r="D81" s="60"/>
      <c r="E81" s="61"/>
      <c r="F81" s="61"/>
      <c r="G81" s="61"/>
      <c r="H81" s="61"/>
      <c r="I81" s="73"/>
      <c r="J81" s="64"/>
      <c r="K81" s="64"/>
      <c r="L81" s="65"/>
      <c r="M81" s="66"/>
      <c r="N81" s="74"/>
      <c r="O81" s="66"/>
      <c r="P81" s="58"/>
      <c r="Q81" s="69"/>
      <c r="R81" s="70"/>
      <c r="S81" s="66"/>
      <c r="T81" s="55"/>
      <c r="U81" s="55"/>
      <c r="V81" s="55"/>
      <c r="W81" s="277"/>
      <c r="X81" s="277"/>
      <c r="Y81" s="277"/>
      <c r="Z81" s="277"/>
      <c r="AA81" s="277"/>
      <c r="AB81" s="277"/>
      <c r="AC81" s="277"/>
      <c r="AD81" s="277"/>
      <c r="AE81" s="277"/>
      <c r="AF81" s="277"/>
      <c r="AG81" s="277"/>
      <c r="AH81" s="277"/>
      <c r="AI81" s="279" t="str">
        <f>+IF(U81="","",IF(U81&gt;=[7]PARÁMETROS!$F$5,"CUMPLE","NO CUMPLE"))</f>
        <v/>
      </c>
      <c r="AJ81" s="61"/>
    </row>
    <row r="82" spans="1:36" s="72" customFormat="1" ht="30" customHeight="1" thickBot="1">
      <c r="A82" s="58"/>
      <c r="B82" s="58"/>
      <c r="C82" s="75"/>
      <c r="D82" s="60"/>
      <c r="E82" s="61"/>
      <c r="F82" s="61"/>
      <c r="G82" s="61"/>
      <c r="H82" s="61"/>
      <c r="I82" s="73"/>
      <c r="J82" s="64"/>
      <c r="K82" s="64"/>
      <c r="L82" s="65"/>
      <c r="M82" s="66"/>
      <c r="N82" s="74"/>
      <c r="O82" s="66"/>
      <c r="P82" s="58"/>
      <c r="Q82" s="69"/>
      <c r="R82" s="70"/>
      <c r="S82" s="66"/>
      <c r="T82" s="55"/>
      <c r="U82" s="55"/>
      <c r="V82" s="55"/>
      <c r="W82" s="277"/>
      <c r="X82" s="277"/>
      <c r="Y82" s="277"/>
      <c r="Z82" s="277"/>
      <c r="AA82" s="277"/>
      <c r="AB82" s="277"/>
      <c r="AC82" s="277"/>
      <c r="AD82" s="277"/>
      <c r="AE82" s="277"/>
      <c r="AF82" s="277"/>
      <c r="AG82" s="277"/>
      <c r="AH82" s="277"/>
      <c r="AI82" s="279" t="str">
        <f>+IF(U82="","",IF(U82&gt;=[7]PARÁMETROS!$F$5,"CUMPLE","NO CUMPLE"))</f>
        <v/>
      </c>
      <c r="AJ82" s="61"/>
    </row>
    <row r="83" spans="1:36" s="72" customFormat="1" ht="30" customHeight="1" thickBot="1">
      <c r="A83" s="58"/>
      <c r="B83" s="58"/>
      <c r="C83" s="75"/>
      <c r="D83" s="60"/>
      <c r="E83" s="61"/>
      <c r="F83" s="61"/>
      <c r="G83" s="61"/>
      <c r="H83" s="61"/>
      <c r="I83" s="73"/>
      <c r="J83" s="64"/>
      <c r="K83" s="64"/>
      <c r="L83" s="65"/>
      <c r="M83" s="66"/>
      <c r="N83" s="74"/>
      <c r="O83" s="66"/>
      <c r="P83" s="58"/>
      <c r="Q83" s="69"/>
      <c r="R83" s="70"/>
      <c r="S83" s="66"/>
      <c r="T83" s="55"/>
      <c r="U83" s="55"/>
      <c r="V83" s="55"/>
      <c r="W83" s="277"/>
      <c r="X83" s="277"/>
      <c r="Y83" s="277"/>
      <c r="Z83" s="277"/>
      <c r="AA83" s="277"/>
      <c r="AB83" s="277"/>
      <c r="AC83" s="277"/>
      <c r="AD83" s="277"/>
      <c r="AE83" s="277"/>
      <c r="AF83" s="277"/>
      <c r="AG83" s="277"/>
      <c r="AH83" s="277"/>
      <c r="AI83" s="279" t="str">
        <f>+IF(U83="","",IF(U83&gt;=[7]PARÁMETROS!$F$5,"CUMPLE","NO CUMPLE"))</f>
        <v/>
      </c>
      <c r="AJ83" s="61"/>
    </row>
    <row r="84" spans="1:36" s="72" customFormat="1" ht="30" customHeight="1" thickBot="1">
      <c r="A84" s="58"/>
      <c r="B84" s="58"/>
      <c r="C84" s="75"/>
      <c r="D84" s="60"/>
      <c r="E84" s="61"/>
      <c r="F84" s="61"/>
      <c r="G84" s="61"/>
      <c r="H84" s="61"/>
      <c r="I84" s="73"/>
      <c r="J84" s="64"/>
      <c r="K84" s="64"/>
      <c r="L84" s="65"/>
      <c r="M84" s="66"/>
      <c r="N84" s="74"/>
      <c r="O84" s="66"/>
      <c r="P84" s="58"/>
      <c r="Q84" s="69"/>
      <c r="R84" s="70"/>
      <c r="S84" s="66"/>
      <c r="T84" s="55"/>
      <c r="U84" s="55"/>
      <c r="V84" s="55"/>
      <c r="W84" s="277"/>
      <c r="X84" s="277"/>
      <c r="Y84" s="277"/>
      <c r="Z84" s="277"/>
      <c r="AA84" s="277"/>
      <c r="AB84" s="277"/>
      <c r="AC84" s="277"/>
      <c r="AD84" s="277"/>
      <c r="AE84" s="277"/>
      <c r="AF84" s="277"/>
      <c r="AG84" s="277"/>
      <c r="AH84" s="277"/>
      <c r="AI84" s="279" t="str">
        <f>+IF(U84="","",IF(U84&gt;=[7]PARÁMETROS!$F$5,"CUMPLE","NO CUMPLE"))</f>
        <v/>
      </c>
      <c r="AJ84" s="61"/>
    </row>
    <row r="85" spans="1:36" s="99" customFormat="1" ht="30" customHeight="1" thickBot="1">
      <c r="A85" s="89"/>
      <c r="B85" s="89"/>
      <c r="C85" s="90"/>
      <c r="D85" s="91"/>
      <c r="E85" s="92"/>
      <c r="F85" s="92"/>
      <c r="G85" s="92"/>
      <c r="H85" s="92"/>
      <c r="I85" s="93"/>
      <c r="J85" s="94"/>
      <c r="K85" s="94"/>
      <c r="L85" s="95"/>
      <c r="M85" s="66"/>
      <c r="N85" s="96"/>
      <c r="O85" s="97"/>
      <c r="P85" s="58"/>
      <c r="Q85" s="69"/>
      <c r="R85" s="70"/>
      <c r="S85" s="66"/>
      <c r="T85" s="55"/>
      <c r="U85" s="55"/>
      <c r="V85" s="55"/>
      <c r="W85" s="98"/>
      <c r="X85" s="98"/>
      <c r="Y85" s="98"/>
      <c r="Z85" s="98"/>
      <c r="AA85" s="98"/>
      <c r="AB85" s="98"/>
      <c r="AC85" s="98"/>
      <c r="AD85" s="98"/>
      <c r="AE85" s="98"/>
      <c r="AF85" s="98"/>
      <c r="AG85" s="277"/>
      <c r="AH85" s="277"/>
      <c r="AI85" s="279" t="str">
        <f>+IF(U85="","",IF(U85&gt;=[7]PARÁMETROS!$F$5,"CUMPLE","NO CUMPLE"))</f>
        <v/>
      </c>
      <c r="AJ85" s="92"/>
    </row>
    <row r="86" spans="1:36" s="99" customFormat="1" ht="30" customHeight="1" thickBot="1">
      <c r="A86" s="89"/>
      <c r="B86" s="89"/>
      <c r="C86" s="90"/>
      <c r="D86" s="91"/>
      <c r="E86" s="92"/>
      <c r="F86" s="92"/>
      <c r="G86" s="92"/>
      <c r="H86" s="92"/>
      <c r="I86" s="93"/>
      <c r="J86" s="94"/>
      <c r="K86" s="94"/>
      <c r="L86" s="95"/>
      <c r="M86" s="66"/>
      <c r="N86" s="96"/>
      <c r="O86" s="97"/>
      <c r="P86" s="58"/>
      <c r="Q86" s="69"/>
      <c r="R86" s="70"/>
      <c r="S86" s="66"/>
      <c r="T86" s="55"/>
      <c r="U86" s="55"/>
      <c r="V86" s="55"/>
      <c r="W86" s="98"/>
      <c r="X86" s="98"/>
      <c r="Y86" s="98"/>
      <c r="Z86" s="98"/>
      <c r="AA86" s="98"/>
      <c r="AB86" s="98"/>
      <c r="AC86" s="98"/>
      <c r="AD86" s="98"/>
      <c r="AE86" s="98"/>
      <c r="AF86" s="98"/>
      <c r="AG86" s="277"/>
      <c r="AH86" s="277"/>
      <c r="AI86" s="279" t="str">
        <f>+IF(U86="","",IF(U86&gt;=[7]PARÁMETROS!$F$5,"CUMPLE","NO CUMPLE"))</f>
        <v/>
      </c>
      <c r="AJ86" s="92"/>
    </row>
    <row r="87" spans="1:36" s="99" customFormat="1" ht="30" customHeight="1" thickBot="1">
      <c r="A87" s="89"/>
      <c r="B87" s="89"/>
      <c r="C87" s="90"/>
      <c r="D87" s="91"/>
      <c r="E87" s="92"/>
      <c r="F87" s="92"/>
      <c r="G87" s="92"/>
      <c r="H87" s="92"/>
      <c r="I87" s="93"/>
      <c r="J87" s="94"/>
      <c r="K87" s="94"/>
      <c r="L87" s="95"/>
      <c r="M87" s="66"/>
      <c r="N87" s="96"/>
      <c r="O87" s="97"/>
      <c r="P87" s="58"/>
      <c r="Q87" s="69"/>
      <c r="R87" s="70"/>
      <c r="S87" s="66"/>
      <c r="T87" s="55"/>
      <c r="U87" s="55"/>
      <c r="V87" s="55"/>
      <c r="W87" s="98"/>
      <c r="X87" s="98"/>
      <c r="Y87" s="98"/>
      <c r="Z87" s="98"/>
      <c r="AA87" s="98"/>
      <c r="AB87" s="98"/>
      <c r="AC87" s="98"/>
      <c r="AD87" s="98"/>
      <c r="AE87" s="98"/>
      <c r="AF87" s="98"/>
      <c r="AG87" s="277"/>
      <c r="AH87" s="277"/>
      <c r="AI87" s="279" t="str">
        <f>+IF(U87="","",IF(U87&gt;=[7]PARÁMETROS!$F$5,"CUMPLE","NO CUMPLE"))</f>
        <v/>
      </c>
      <c r="AJ87" s="92"/>
    </row>
    <row r="88" spans="1:36" s="99" customFormat="1" ht="30" customHeight="1" thickBot="1">
      <c r="A88" s="89"/>
      <c r="B88" s="89"/>
      <c r="C88" s="90"/>
      <c r="D88" s="91"/>
      <c r="E88" s="92"/>
      <c r="F88" s="92"/>
      <c r="G88" s="92"/>
      <c r="H88" s="92"/>
      <c r="I88" s="93"/>
      <c r="J88" s="94"/>
      <c r="K88" s="94"/>
      <c r="L88" s="95"/>
      <c r="M88" s="66"/>
      <c r="N88" s="96"/>
      <c r="O88" s="97"/>
      <c r="P88" s="58"/>
      <c r="Q88" s="69"/>
      <c r="R88" s="70"/>
      <c r="S88" s="66"/>
      <c r="T88" s="55"/>
      <c r="U88" s="55"/>
      <c r="V88" s="55"/>
      <c r="W88" s="98"/>
      <c r="X88" s="98"/>
      <c r="Y88" s="98"/>
      <c r="Z88" s="98"/>
      <c r="AA88" s="98"/>
      <c r="AB88" s="98"/>
      <c r="AC88" s="98"/>
      <c r="AD88" s="98"/>
      <c r="AE88" s="98"/>
      <c r="AF88" s="98"/>
      <c r="AG88" s="277"/>
      <c r="AH88" s="277"/>
      <c r="AI88" s="279" t="str">
        <f>+IF(U88="","",IF(U88&gt;=[7]PARÁMETROS!$F$5,"CUMPLE","NO CUMPLE"))</f>
        <v/>
      </c>
      <c r="AJ88" s="92"/>
    </row>
    <row r="89" spans="1:36" s="99" customFormat="1" ht="30" customHeight="1" thickBot="1">
      <c r="A89" s="89"/>
      <c r="B89" s="89"/>
      <c r="C89" s="90"/>
      <c r="D89" s="91"/>
      <c r="E89" s="92"/>
      <c r="F89" s="92"/>
      <c r="G89" s="92"/>
      <c r="H89" s="92"/>
      <c r="I89" s="93"/>
      <c r="J89" s="94"/>
      <c r="K89" s="94"/>
      <c r="L89" s="95"/>
      <c r="M89" s="66"/>
      <c r="N89" s="96"/>
      <c r="O89" s="97"/>
      <c r="P89" s="58"/>
      <c r="Q89" s="69"/>
      <c r="R89" s="70"/>
      <c r="S89" s="66"/>
      <c r="T89" s="55"/>
      <c r="U89" s="55"/>
      <c r="V89" s="55"/>
      <c r="W89" s="98"/>
      <c r="X89" s="98"/>
      <c r="Y89" s="98"/>
      <c r="Z89" s="98"/>
      <c r="AA89" s="98"/>
      <c r="AB89" s="98"/>
      <c r="AC89" s="98"/>
      <c r="AD89" s="98"/>
      <c r="AE89" s="98"/>
      <c r="AF89" s="98"/>
      <c r="AG89" s="277"/>
      <c r="AH89" s="277"/>
      <c r="AI89" s="279" t="str">
        <f>+IF(U89="","",IF(U89&gt;=[7]PARÁMETROS!$F$5,"CUMPLE","NO CUMPLE"))</f>
        <v/>
      </c>
      <c r="AJ89" s="92"/>
    </row>
    <row r="90" spans="1:36" s="99" customFormat="1" ht="30" customHeight="1" thickBot="1">
      <c r="A90" s="89"/>
      <c r="B90" s="89"/>
      <c r="C90" s="90"/>
      <c r="D90" s="91"/>
      <c r="E90" s="92"/>
      <c r="F90" s="92"/>
      <c r="G90" s="92"/>
      <c r="H90" s="92"/>
      <c r="I90" s="93"/>
      <c r="J90" s="94"/>
      <c r="K90" s="94"/>
      <c r="L90" s="95"/>
      <c r="M90" s="66"/>
      <c r="N90" s="96"/>
      <c r="O90" s="97"/>
      <c r="P90" s="58"/>
      <c r="Q90" s="69"/>
      <c r="R90" s="70"/>
      <c r="S90" s="66"/>
      <c r="T90" s="55"/>
      <c r="U90" s="55"/>
      <c r="V90" s="55"/>
      <c r="W90" s="98"/>
      <c r="X90" s="98"/>
      <c r="Y90" s="98"/>
      <c r="Z90" s="98"/>
      <c r="AA90" s="98"/>
      <c r="AB90" s="98"/>
      <c r="AC90" s="98"/>
      <c r="AD90" s="98"/>
      <c r="AE90" s="98"/>
      <c r="AF90" s="98"/>
      <c r="AG90" s="277"/>
      <c r="AH90" s="277"/>
      <c r="AI90" s="279" t="str">
        <f>+IF(U90="","",IF(U90&gt;=[7]PARÁMETROS!$F$5,"CUMPLE","NO CUMPLE"))</f>
        <v/>
      </c>
      <c r="AJ90" s="92"/>
    </row>
    <row r="91" spans="1:36" s="99" customFormat="1" ht="30" customHeight="1" thickBot="1">
      <c r="A91" s="89"/>
      <c r="B91" s="89"/>
      <c r="C91" s="90"/>
      <c r="D91" s="91"/>
      <c r="E91" s="92"/>
      <c r="F91" s="92"/>
      <c r="G91" s="92"/>
      <c r="H91" s="92"/>
      <c r="I91" s="93"/>
      <c r="J91" s="94"/>
      <c r="K91" s="94"/>
      <c r="L91" s="95"/>
      <c r="M91" s="66"/>
      <c r="N91" s="96"/>
      <c r="O91" s="97"/>
      <c r="P91" s="58"/>
      <c r="Q91" s="69"/>
      <c r="R91" s="70"/>
      <c r="S91" s="66"/>
      <c r="T91" s="55"/>
      <c r="U91" s="55"/>
      <c r="V91" s="55"/>
      <c r="W91" s="98"/>
      <c r="X91" s="98"/>
      <c r="Y91" s="98"/>
      <c r="Z91" s="98"/>
      <c r="AA91" s="98"/>
      <c r="AB91" s="98"/>
      <c r="AC91" s="98"/>
      <c r="AD91" s="98"/>
      <c r="AE91" s="98"/>
      <c r="AF91" s="98"/>
      <c r="AG91" s="277"/>
      <c r="AH91" s="277"/>
      <c r="AI91" s="279" t="str">
        <f>+IF(U91="","",IF(U91&gt;=[7]PARÁMETROS!$F$5,"CUMPLE","NO CUMPLE"))</f>
        <v/>
      </c>
      <c r="AJ91" s="92"/>
    </row>
    <row r="92" spans="1:36" s="99" customFormat="1" ht="30" customHeight="1" thickBot="1">
      <c r="A92" s="89"/>
      <c r="B92" s="89"/>
      <c r="C92" s="90"/>
      <c r="D92" s="91"/>
      <c r="E92" s="92"/>
      <c r="F92" s="92"/>
      <c r="G92" s="92"/>
      <c r="H92" s="92"/>
      <c r="I92" s="93"/>
      <c r="J92" s="94"/>
      <c r="K92" s="94"/>
      <c r="L92" s="95"/>
      <c r="M92" s="66"/>
      <c r="N92" s="96"/>
      <c r="O92" s="97"/>
      <c r="P92" s="58"/>
      <c r="Q92" s="69"/>
      <c r="R92" s="70"/>
      <c r="S92" s="66"/>
      <c r="T92" s="55"/>
      <c r="U92" s="55"/>
      <c r="V92" s="55"/>
      <c r="W92" s="98"/>
      <c r="X92" s="98"/>
      <c r="Y92" s="98"/>
      <c r="Z92" s="98"/>
      <c r="AA92" s="98"/>
      <c r="AB92" s="98"/>
      <c r="AC92" s="98"/>
      <c r="AD92" s="98"/>
      <c r="AE92" s="98"/>
      <c r="AF92" s="98"/>
      <c r="AG92" s="277"/>
      <c r="AH92" s="277"/>
      <c r="AI92" s="279" t="str">
        <f>+IF(U92="","",IF(U92&gt;=[7]PARÁMETROS!$F$5,"CUMPLE","NO CUMPLE"))</f>
        <v/>
      </c>
      <c r="AJ92" s="92"/>
    </row>
    <row r="93" spans="1:36" s="99" customFormat="1" ht="30" customHeight="1" thickBot="1">
      <c r="A93" s="89"/>
      <c r="B93" s="89"/>
      <c r="C93" s="90"/>
      <c r="D93" s="91"/>
      <c r="E93" s="92"/>
      <c r="F93" s="92"/>
      <c r="G93" s="92"/>
      <c r="H93" s="92"/>
      <c r="I93" s="93"/>
      <c r="J93" s="94"/>
      <c r="K93" s="94"/>
      <c r="L93" s="95"/>
      <c r="M93" s="66"/>
      <c r="N93" s="96"/>
      <c r="O93" s="97"/>
      <c r="P93" s="58"/>
      <c r="Q93" s="69"/>
      <c r="R93" s="70"/>
      <c r="S93" s="66"/>
      <c r="T93" s="55"/>
      <c r="U93" s="55"/>
      <c r="V93" s="55"/>
      <c r="W93" s="98"/>
      <c r="X93" s="98"/>
      <c r="Y93" s="98"/>
      <c r="Z93" s="98"/>
      <c r="AA93" s="98"/>
      <c r="AB93" s="98"/>
      <c r="AC93" s="98"/>
      <c r="AD93" s="98"/>
      <c r="AE93" s="98"/>
      <c r="AF93" s="98"/>
      <c r="AG93" s="277"/>
      <c r="AH93" s="277"/>
      <c r="AI93" s="279" t="str">
        <f>+IF(U93="","",IF(U93&gt;=[7]PARÁMETROS!$F$5,"CUMPLE","NO CUMPLE"))</f>
        <v/>
      </c>
      <c r="AJ93" s="92"/>
    </row>
    <row r="94" spans="1:36" s="99" customFormat="1" ht="30" customHeight="1" thickBot="1">
      <c r="A94" s="89"/>
      <c r="B94" s="89"/>
      <c r="C94" s="90"/>
      <c r="D94" s="91"/>
      <c r="E94" s="92"/>
      <c r="F94" s="92"/>
      <c r="G94" s="92"/>
      <c r="H94" s="92"/>
      <c r="I94" s="93"/>
      <c r="J94" s="94"/>
      <c r="K94" s="94"/>
      <c r="L94" s="95"/>
      <c r="M94" s="66"/>
      <c r="N94" s="96"/>
      <c r="O94" s="97"/>
      <c r="P94" s="58"/>
      <c r="Q94" s="69"/>
      <c r="R94" s="70"/>
      <c r="S94" s="66"/>
      <c r="T94" s="55"/>
      <c r="U94" s="55"/>
      <c r="V94" s="55"/>
      <c r="W94" s="98"/>
      <c r="X94" s="98"/>
      <c r="Y94" s="98"/>
      <c r="Z94" s="98"/>
      <c r="AA94" s="98"/>
      <c r="AB94" s="98"/>
      <c r="AC94" s="98"/>
      <c r="AD94" s="98"/>
      <c r="AE94" s="98"/>
      <c r="AF94" s="98"/>
      <c r="AG94" s="277"/>
      <c r="AH94" s="277"/>
      <c r="AI94" s="279" t="str">
        <f>+IF(U94="","",IF(U94&gt;=[7]PARÁMETROS!$F$5,"CUMPLE","NO CUMPLE"))</f>
        <v/>
      </c>
      <c r="AJ94" s="92"/>
    </row>
    <row r="95" spans="1:36" s="99" customFormat="1" ht="30" customHeight="1" thickBot="1">
      <c r="A95" s="89"/>
      <c r="B95" s="89"/>
      <c r="C95" s="90"/>
      <c r="D95" s="91"/>
      <c r="E95" s="92"/>
      <c r="F95" s="92"/>
      <c r="G95" s="92"/>
      <c r="H95" s="92"/>
      <c r="I95" s="93"/>
      <c r="J95" s="94"/>
      <c r="K95" s="94"/>
      <c r="L95" s="95"/>
      <c r="M95" s="66"/>
      <c r="N95" s="96"/>
      <c r="O95" s="97"/>
      <c r="P95" s="58"/>
      <c r="Q95" s="69"/>
      <c r="R95" s="70"/>
      <c r="S95" s="66"/>
      <c r="T95" s="55"/>
      <c r="U95" s="55"/>
      <c r="V95" s="55"/>
      <c r="W95" s="98"/>
      <c r="X95" s="98"/>
      <c r="Y95" s="98"/>
      <c r="Z95" s="98"/>
      <c r="AA95" s="98"/>
      <c r="AB95" s="98"/>
      <c r="AC95" s="98"/>
      <c r="AD95" s="98"/>
      <c r="AE95" s="98"/>
      <c r="AF95" s="98"/>
      <c r="AG95" s="277"/>
      <c r="AH95" s="277"/>
      <c r="AI95" s="279" t="str">
        <f>+IF(U95="","",IF(U95&gt;=[7]PARÁMETROS!$F$5,"CUMPLE","NO CUMPLE"))</f>
        <v/>
      </c>
      <c r="AJ95" s="92"/>
    </row>
    <row r="96" spans="1:36" s="99" customFormat="1" ht="30" customHeight="1" thickBot="1">
      <c r="A96" s="89"/>
      <c r="B96" s="89"/>
      <c r="C96" s="90"/>
      <c r="D96" s="91"/>
      <c r="E96" s="92"/>
      <c r="F96" s="92"/>
      <c r="G96" s="92"/>
      <c r="H96" s="92"/>
      <c r="I96" s="93"/>
      <c r="J96" s="94"/>
      <c r="K96" s="94"/>
      <c r="L96" s="95"/>
      <c r="M96" s="66"/>
      <c r="N96" s="96"/>
      <c r="O96" s="97"/>
      <c r="P96" s="58"/>
      <c r="Q96" s="69"/>
      <c r="R96" s="70"/>
      <c r="S96" s="66"/>
      <c r="T96" s="55"/>
      <c r="U96" s="55"/>
      <c r="V96" s="55"/>
      <c r="W96" s="98"/>
      <c r="X96" s="98"/>
      <c r="Y96" s="98"/>
      <c r="Z96" s="98"/>
      <c r="AA96" s="98"/>
      <c r="AB96" s="98"/>
      <c r="AC96" s="98"/>
      <c r="AD96" s="98"/>
      <c r="AE96" s="98"/>
      <c r="AF96" s="98"/>
      <c r="AG96" s="277"/>
      <c r="AH96" s="277"/>
      <c r="AI96" s="279" t="str">
        <f>+IF(U96="","",IF(U96&gt;=[7]PARÁMETROS!$F$5,"CUMPLE","NO CUMPLE"))</f>
        <v/>
      </c>
      <c r="AJ96" s="92"/>
    </row>
    <row r="97" spans="1:36" s="99" customFormat="1" ht="30" customHeight="1" thickBot="1">
      <c r="A97" s="89"/>
      <c r="B97" s="89"/>
      <c r="C97" s="90"/>
      <c r="D97" s="91"/>
      <c r="E97" s="92"/>
      <c r="F97" s="92"/>
      <c r="G97" s="92"/>
      <c r="H97" s="92"/>
      <c r="I97" s="93"/>
      <c r="J97" s="94"/>
      <c r="K97" s="94"/>
      <c r="L97" s="95"/>
      <c r="M97" s="66"/>
      <c r="N97" s="96"/>
      <c r="O97" s="97"/>
      <c r="P97" s="58"/>
      <c r="Q97" s="69"/>
      <c r="R97" s="70"/>
      <c r="S97" s="66"/>
      <c r="T97" s="55"/>
      <c r="U97" s="55"/>
      <c r="V97" s="55"/>
      <c r="W97" s="98"/>
      <c r="X97" s="98"/>
      <c r="Y97" s="98"/>
      <c r="Z97" s="98"/>
      <c r="AA97" s="98"/>
      <c r="AB97" s="98"/>
      <c r="AC97" s="98"/>
      <c r="AD97" s="98"/>
      <c r="AE97" s="98"/>
      <c r="AF97" s="98"/>
      <c r="AG97" s="277"/>
      <c r="AH97" s="277"/>
      <c r="AI97" s="279" t="str">
        <f>+IF(U97="","",IF(U97&gt;=[7]PARÁMETROS!$F$5,"CUMPLE","NO CUMPLE"))</f>
        <v/>
      </c>
      <c r="AJ97" s="92"/>
    </row>
    <row r="98" spans="1:36" s="99" customFormat="1" ht="30" customHeight="1" thickBot="1">
      <c r="A98" s="89"/>
      <c r="B98" s="89"/>
      <c r="C98" s="90"/>
      <c r="D98" s="91"/>
      <c r="E98" s="92"/>
      <c r="F98" s="92"/>
      <c r="G98" s="92"/>
      <c r="H98" s="92"/>
      <c r="I98" s="93"/>
      <c r="J98" s="94"/>
      <c r="K98" s="94"/>
      <c r="L98" s="95"/>
      <c r="M98" s="66"/>
      <c r="N98" s="96"/>
      <c r="O98" s="97"/>
      <c r="P98" s="58"/>
      <c r="Q98" s="69"/>
      <c r="R98" s="70"/>
      <c r="S98" s="66"/>
      <c r="T98" s="55"/>
      <c r="U98" s="55"/>
      <c r="V98" s="55"/>
      <c r="W98" s="98"/>
      <c r="X98" s="98"/>
      <c r="Y98" s="98"/>
      <c r="Z98" s="98"/>
      <c r="AA98" s="98"/>
      <c r="AB98" s="98"/>
      <c r="AC98" s="98"/>
      <c r="AD98" s="98"/>
      <c r="AE98" s="98"/>
      <c r="AF98" s="98"/>
      <c r="AG98" s="277"/>
      <c r="AH98" s="277"/>
      <c r="AI98" s="279" t="str">
        <f>+IF(U98="","",IF(U98&gt;=[7]PARÁMETROS!$F$5,"CUMPLE","NO CUMPLE"))</f>
        <v/>
      </c>
      <c r="AJ98" s="92"/>
    </row>
    <row r="99" spans="1:36" s="99" customFormat="1" ht="30" customHeight="1" thickBot="1">
      <c r="A99" s="89"/>
      <c r="B99" s="89"/>
      <c r="C99" s="90"/>
      <c r="D99" s="91"/>
      <c r="E99" s="92"/>
      <c r="F99" s="92"/>
      <c r="G99" s="92"/>
      <c r="H99" s="92"/>
      <c r="I99" s="93"/>
      <c r="J99" s="94"/>
      <c r="K99" s="94"/>
      <c r="L99" s="95"/>
      <c r="M99" s="66"/>
      <c r="N99" s="96"/>
      <c r="O99" s="97"/>
      <c r="P99" s="58"/>
      <c r="Q99" s="69"/>
      <c r="R99" s="70"/>
      <c r="S99" s="66"/>
      <c r="T99" s="55"/>
      <c r="U99" s="55"/>
      <c r="V99" s="55"/>
      <c r="W99" s="98"/>
      <c r="X99" s="98"/>
      <c r="Y99" s="98"/>
      <c r="Z99" s="98"/>
      <c r="AA99" s="98"/>
      <c r="AB99" s="98"/>
      <c r="AC99" s="98"/>
      <c r="AD99" s="98"/>
      <c r="AE99" s="98"/>
      <c r="AF99" s="98"/>
      <c r="AG99" s="277"/>
      <c r="AH99" s="277"/>
      <c r="AI99" s="279" t="str">
        <f>+IF(U99="","",IF(U99&gt;=[7]PARÁMETROS!$F$5,"CUMPLE","NO CUMPLE"))</f>
        <v/>
      </c>
      <c r="AJ99" s="92"/>
    </row>
    <row r="100" spans="1:36" s="99" customFormat="1" ht="30" customHeight="1" thickBot="1">
      <c r="A100" s="89"/>
      <c r="B100" s="89"/>
      <c r="C100" s="90"/>
      <c r="D100" s="91"/>
      <c r="E100" s="92"/>
      <c r="F100" s="92"/>
      <c r="G100" s="92"/>
      <c r="H100" s="92"/>
      <c r="I100" s="93"/>
      <c r="J100" s="94"/>
      <c r="K100" s="94"/>
      <c r="L100" s="95"/>
      <c r="M100" s="66"/>
      <c r="N100" s="96"/>
      <c r="O100" s="97"/>
      <c r="P100" s="58"/>
      <c r="Q100" s="69"/>
      <c r="R100" s="70"/>
      <c r="S100" s="66"/>
      <c r="T100" s="55"/>
      <c r="U100" s="55"/>
      <c r="V100" s="55"/>
      <c r="W100" s="98"/>
      <c r="X100" s="98"/>
      <c r="Y100" s="98"/>
      <c r="Z100" s="98"/>
      <c r="AA100" s="98"/>
      <c r="AB100" s="98"/>
      <c r="AC100" s="98"/>
      <c r="AD100" s="98"/>
      <c r="AE100" s="98"/>
      <c r="AF100" s="98"/>
      <c r="AG100" s="277"/>
      <c r="AH100" s="277"/>
      <c r="AI100" s="279" t="str">
        <f>+IF(U100="","",IF(U100&gt;=[7]PARÁMETROS!$F$5,"CUMPLE","NO CUMPLE"))</f>
        <v/>
      </c>
      <c r="AJ100" s="92"/>
    </row>
    <row r="101" spans="1:36" s="99" customFormat="1" ht="30" customHeight="1" thickBot="1">
      <c r="A101" s="89"/>
      <c r="B101" s="89"/>
      <c r="C101" s="90"/>
      <c r="D101" s="91"/>
      <c r="E101" s="92"/>
      <c r="F101" s="92"/>
      <c r="G101" s="92"/>
      <c r="H101" s="92"/>
      <c r="I101" s="93"/>
      <c r="J101" s="94"/>
      <c r="K101" s="94"/>
      <c r="L101" s="95"/>
      <c r="M101" s="66"/>
      <c r="N101" s="96"/>
      <c r="O101" s="97"/>
      <c r="P101" s="58"/>
      <c r="Q101" s="69"/>
      <c r="R101" s="70"/>
      <c r="S101" s="66"/>
      <c r="T101" s="55"/>
      <c r="U101" s="55"/>
      <c r="V101" s="55"/>
      <c r="W101" s="98"/>
      <c r="X101" s="98"/>
      <c r="Y101" s="98"/>
      <c r="Z101" s="98"/>
      <c r="AA101" s="98"/>
      <c r="AB101" s="98"/>
      <c r="AC101" s="98"/>
      <c r="AD101" s="98"/>
      <c r="AE101" s="98"/>
      <c r="AF101" s="98"/>
      <c r="AG101" s="277"/>
      <c r="AH101" s="277"/>
      <c r="AI101" s="279" t="str">
        <f>+IF(U101="","",IF(U101&gt;=[7]PARÁMETROS!$F$5,"CUMPLE","NO CUMPLE"))</f>
        <v/>
      </c>
      <c r="AJ101" s="92"/>
    </row>
    <row r="102" spans="1:36" s="99" customFormat="1" ht="30" customHeight="1" thickBot="1">
      <c r="A102" s="89"/>
      <c r="B102" s="89"/>
      <c r="C102" s="90"/>
      <c r="D102" s="91"/>
      <c r="E102" s="92"/>
      <c r="F102" s="92"/>
      <c r="G102" s="92"/>
      <c r="H102" s="92"/>
      <c r="I102" s="93"/>
      <c r="J102" s="94"/>
      <c r="K102" s="94"/>
      <c r="L102" s="95"/>
      <c r="M102" s="66"/>
      <c r="N102" s="96"/>
      <c r="O102" s="97"/>
      <c r="P102" s="58"/>
      <c r="Q102" s="69"/>
      <c r="R102" s="70"/>
      <c r="S102" s="66"/>
      <c r="T102" s="55"/>
      <c r="U102" s="55"/>
      <c r="V102" s="55"/>
      <c r="W102" s="98"/>
      <c r="X102" s="98"/>
      <c r="Y102" s="98"/>
      <c r="Z102" s="98"/>
      <c r="AA102" s="98"/>
      <c r="AB102" s="98"/>
      <c r="AC102" s="98"/>
      <c r="AD102" s="98"/>
      <c r="AE102" s="98"/>
      <c r="AF102" s="98"/>
      <c r="AG102" s="277"/>
      <c r="AH102" s="277"/>
      <c r="AI102" s="279" t="str">
        <f>+IF(U102="","",IF(U102&gt;=[7]PARÁMETROS!$F$5,"CUMPLE","NO CUMPLE"))</f>
        <v/>
      </c>
      <c r="AJ102" s="92"/>
    </row>
    <row r="103" spans="1:36" s="99" customFormat="1" ht="30" customHeight="1" thickBot="1">
      <c r="A103" s="89"/>
      <c r="B103" s="89"/>
      <c r="C103" s="90"/>
      <c r="D103" s="91"/>
      <c r="E103" s="92"/>
      <c r="F103" s="92"/>
      <c r="G103" s="92"/>
      <c r="H103" s="92"/>
      <c r="I103" s="93"/>
      <c r="J103" s="94"/>
      <c r="K103" s="94"/>
      <c r="L103" s="95"/>
      <c r="M103" s="66"/>
      <c r="N103" s="96"/>
      <c r="O103" s="97"/>
      <c r="P103" s="58"/>
      <c r="Q103" s="69"/>
      <c r="R103" s="70"/>
      <c r="S103" s="66"/>
      <c r="T103" s="55"/>
      <c r="U103" s="55"/>
      <c r="V103" s="55"/>
      <c r="W103" s="98"/>
      <c r="X103" s="98"/>
      <c r="Y103" s="98"/>
      <c r="Z103" s="98"/>
      <c r="AA103" s="98"/>
      <c r="AB103" s="98"/>
      <c r="AC103" s="98"/>
      <c r="AD103" s="98"/>
      <c r="AE103" s="98"/>
      <c r="AF103" s="98"/>
      <c r="AG103" s="277"/>
      <c r="AH103" s="277"/>
      <c r="AI103" s="279" t="str">
        <f>+IF(U103="","",IF(U103&gt;=[7]PARÁMETROS!$F$5,"CUMPLE","NO CUMPLE"))</f>
        <v/>
      </c>
      <c r="AJ103" s="92"/>
    </row>
    <row r="104" spans="1:36" s="99" customFormat="1" ht="30" customHeight="1" thickBot="1">
      <c r="A104" s="89"/>
      <c r="B104" s="89"/>
      <c r="C104" s="90"/>
      <c r="D104" s="91"/>
      <c r="E104" s="92"/>
      <c r="F104" s="92"/>
      <c r="G104" s="92"/>
      <c r="H104" s="92"/>
      <c r="I104" s="93"/>
      <c r="J104" s="94"/>
      <c r="K104" s="94"/>
      <c r="L104" s="95"/>
      <c r="M104" s="66"/>
      <c r="N104" s="96"/>
      <c r="O104" s="97"/>
      <c r="P104" s="58"/>
      <c r="Q104" s="69"/>
      <c r="R104" s="70"/>
      <c r="S104" s="66"/>
      <c r="T104" s="55"/>
      <c r="U104" s="55"/>
      <c r="V104" s="55"/>
      <c r="W104" s="98"/>
      <c r="X104" s="98"/>
      <c r="Y104" s="98"/>
      <c r="Z104" s="98"/>
      <c r="AA104" s="98"/>
      <c r="AB104" s="98"/>
      <c r="AC104" s="98"/>
      <c r="AD104" s="98"/>
      <c r="AE104" s="98"/>
      <c r="AF104" s="98"/>
      <c r="AG104" s="277"/>
      <c r="AH104" s="277"/>
      <c r="AI104" s="279" t="str">
        <f>+IF(U104="","",IF(U104&gt;=[7]PARÁMETROS!$F$5,"CUMPLE","NO CUMPLE"))</f>
        <v/>
      </c>
      <c r="AJ104" s="92"/>
    </row>
    <row r="105" spans="1:36" s="99" customFormat="1" ht="30" customHeight="1" thickBot="1">
      <c r="A105" s="89"/>
      <c r="B105" s="89"/>
      <c r="C105" s="90"/>
      <c r="D105" s="91"/>
      <c r="E105" s="92"/>
      <c r="F105" s="92"/>
      <c r="G105" s="92"/>
      <c r="H105" s="92"/>
      <c r="I105" s="93"/>
      <c r="J105" s="94"/>
      <c r="K105" s="94"/>
      <c r="L105" s="95"/>
      <c r="M105" s="66"/>
      <c r="N105" s="96"/>
      <c r="O105" s="97"/>
      <c r="P105" s="58"/>
      <c r="Q105" s="69"/>
      <c r="R105" s="70"/>
      <c r="S105" s="66"/>
      <c r="T105" s="55"/>
      <c r="U105" s="55"/>
      <c r="V105" s="55"/>
      <c r="W105" s="98"/>
      <c r="X105" s="98"/>
      <c r="Y105" s="98"/>
      <c r="Z105" s="98"/>
      <c r="AA105" s="98"/>
      <c r="AB105" s="98"/>
      <c r="AC105" s="98"/>
      <c r="AD105" s="98"/>
      <c r="AE105" s="98"/>
      <c r="AF105" s="98"/>
      <c r="AG105" s="277"/>
      <c r="AH105" s="277"/>
      <c r="AI105" s="279" t="str">
        <f>+IF(U105="","",IF(U105&gt;=[7]PARÁMETROS!$F$5,"CUMPLE","NO CUMPLE"))</f>
        <v/>
      </c>
      <c r="AJ105" s="92"/>
    </row>
    <row r="106" spans="1:36" s="99" customFormat="1" ht="30" customHeight="1" thickBot="1">
      <c r="A106" s="89"/>
      <c r="B106" s="89"/>
      <c r="C106" s="90"/>
      <c r="D106" s="91"/>
      <c r="E106" s="92"/>
      <c r="F106" s="92"/>
      <c r="G106" s="92"/>
      <c r="H106" s="92"/>
      <c r="I106" s="93"/>
      <c r="J106" s="94"/>
      <c r="K106" s="94"/>
      <c r="L106" s="95"/>
      <c r="M106" s="66"/>
      <c r="N106" s="96"/>
      <c r="O106" s="97"/>
      <c r="P106" s="58"/>
      <c r="Q106" s="69"/>
      <c r="R106" s="70"/>
      <c r="S106" s="66"/>
      <c r="T106" s="55"/>
      <c r="U106" s="55"/>
      <c r="V106" s="55"/>
      <c r="W106" s="98"/>
      <c r="X106" s="98"/>
      <c r="Y106" s="98"/>
      <c r="Z106" s="98"/>
      <c r="AA106" s="98"/>
      <c r="AB106" s="98"/>
      <c r="AC106" s="98"/>
      <c r="AD106" s="98"/>
      <c r="AE106" s="98"/>
      <c r="AF106" s="98"/>
      <c r="AG106" s="277"/>
      <c r="AH106" s="277"/>
      <c r="AI106" s="279" t="str">
        <f>+IF(U106="","",IF(U106&gt;=[7]PARÁMETROS!$F$5,"CUMPLE","NO CUMPLE"))</f>
        <v/>
      </c>
      <c r="AJ106" s="92"/>
    </row>
    <row r="107" spans="1:36" s="99" customFormat="1" ht="30" customHeight="1" thickBot="1">
      <c r="A107" s="89"/>
      <c r="B107" s="89"/>
      <c r="C107" s="90"/>
      <c r="D107" s="91"/>
      <c r="E107" s="92"/>
      <c r="F107" s="92"/>
      <c r="G107" s="92"/>
      <c r="H107" s="92"/>
      <c r="I107" s="93"/>
      <c r="J107" s="94"/>
      <c r="K107" s="94"/>
      <c r="L107" s="95"/>
      <c r="M107" s="66"/>
      <c r="N107" s="96"/>
      <c r="O107" s="97"/>
      <c r="P107" s="58"/>
      <c r="Q107" s="69"/>
      <c r="R107" s="70"/>
      <c r="S107" s="66"/>
      <c r="T107" s="55"/>
      <c r="U107" s="55"/>
      <c r="V107" s="55"/>
      <c r="W107" s="98"/>
      <c r="X107" s="98"/>
      <c r="Y107" s="98"/>
      <c r="Z107" s="98"/>
      <c r="AA107" s="98"/>
      <c r="AB107" s="98"/>
      <c r="AC107" s="98"/>
      <c r="AD107" s="98"/>
      <c r="AE107" s="98"/>
      <c r="AF107" s="98"/>
      <c r="AG107" s="277"/>
      <c r="AH107" s="277"/>
      <c r="AI107" s="279" t="str">
        <f>+IF(U107="","",IF(U107&gt;=[7]PARÁMETROS!$F$5,"CUMPLE","NO CUMPLE"))</f>
        <v/>
      </c>
      <c r="AJ107" s="92"/>
    </row>
    <row r="108" spans="1:36" s="99" customFormat="1" ht="30" customHeight="1" thickBot="1">
      <c r="A108" s="89"/>
      <c r="B108" s="89"/>
      <c r="C108" s="90"/>
      <c r="D108" s="91"/>
      <c r="E108" s="92"/>
      <c r="F108" s="92"/>
      <c r="G108" s="92"/>
      <c r="H108" s="92"/>
      <c r="I108" s="93"/>
      <c r="J108" s="94"/>
      <c r="K108" s="94"/>
      <c r="L108" s="95"/>
      <c r="M108" s="66"/>
      <c r="N108" s="96"/>
      <c r="O108" s="97"/>
      <c r="P108" s="58"/>
      <c r="Q108" s="69"/>
      <c r="R108" s="70"/>
      <c r="S108" s="66"/>
      <c r="T108" s="55"/>
      <c r="U108" s="55"/>
      <c r="V108" s="55"/>
      <c r="W108" s="98"/>
      <c r="X108" s="98"/>
      <c r="Y108" s="98"/>
      <c r="Z108" s="98"/>
      <c r="AA108" s="98"/>
      <c r="AB108" s="98"/>
      <c r="AC108" s="98"/>
      <c r="AD108" s="98"/>
      <c r="AE108" s="98"/>
      <c r="AF108" s="98"/>
      <c r="AG108" s="277"/>
      <c r="AH108" s="277"/>
      <c r="AI108" s="279" t="str">
        <f>+IF(U108="","",IF(U108&gt;=[7]PARÁMETROS!$F$5,"CUMPLE","NO CUMPLE"))</f>
        <v/>
      </c>
      <c r="AJ108" s="92"/>
    </row>
    <row r="109" spans="1:36" s="99" customFormat="1" ht="30" customHeight="1" thickBot="1">
      <c r="A109" s="89"/>
      <c r="B109" s="89"/>
      <c r="C109" s="90"/>
      <c r="D109" s="91"/>
      <c r="E109" s="92"/>
      <c r="F109" s="92"/>
      <c r="G109" s="92"/>
      <c r="H109" s="92"/>
      <c r="I109" s="93"/>
      <c r="J109" s="94"/>
      <c r="K109" s="94"/>
      <c r="L109" s="95"/>
      <c r="M109" s="66"/>
      <c r="N109" s="96"/>
      <c r="O109" s="97"/>
      <c r="P109" s="58"/>
      <c r="Q109" s="69"/>
      <c r="R109" s="70"/>
      <c r="S109" s="66"/>
      <c r="T109" s="55"/>
      <c r="U109" s="55"/>
      <c r="V109" s="55"/>
      <c r="W109" s="98"/>
      <c r="X109" s="98"/>
      <c r="Y109" s="98"/>
      <c r="Z109" s="98"/>
      <c r="AA109" s="98"/>
      <c r="AB109" s="98"/>
      <c r="AC109" s="98"/>
      <c r="AD109" s="98"/>
      <c r="AE109" s="98"/>
      <c r="AF109" s="98"/>
      <c r="AG109" s="277"/>
      <c r="AH109" s="277"/>
      <c r="AI109" s="279" t="str">
        <f>+IF(U109="","",IF(U109&gt;=[7]PARÁMETROS!$F$5,"CUMPLE","NO CUMPLE"))</f>
        <v/>
      </c>
      <c r="AJ109" s="92"/>
    </row>
    <row r="110" spans="1:36" s="99" customFormat="1" ht="30" customHeight="1" thickBot="1">
      <c r="A110" s="89"/>
      <c r="B110" s="89"/>
      <c r="C110" s="90"/>
      <c r="D110" s="91"/>
      <c r="E110" s="92"/>
      <c r="F110" s="92"/>
      <c r="G110" s="92"/>
      <c r="H110" s="92"/>
      <c r="I110" s="93"/>
      <c r="J110" s="94"/>
      <c r="K110" s="94"/>
      <c r="L110" s="95"/>
      <c r="M110" s="66"/>
      <c r="N110" s="96"/>
      <c r="O110" s="97"/>
      <c r="P110" s="58"/>
      <c r="Q110" s="69"/>
      <c r="R110" s="70"/>
      <c r="S110" s="66"/>
      <c r="T110" s="55"/>
      <c r="U110" s="55"/>
      <c r="V110" s="55"/>
      <c r="W110" s="98"/>
      <c r="X110" s="98"/>
      <c r="Y110" s="98"/>
      <c r="Z110" s="98"/>
      <c r="AA110" s="98"/>
      <c r="AB110" s="98"/>
      <c r="AC110" s="98"/>
      <c r="AD110" s="98"/>
      <c r="AE110" s="98"/>
      <c r="AF110" s="98"/>
      <c r="AG110" s="277"/>
      <c r="AH110" s="277"/>
      <c r="AI110" s="279" t="str">
        <f>+IF(U110="","",IF(U110&gt;=[7]PARÁMETROS!$F$5,"CUMPLE","NO CUMPLE"))</f>
        <v/>
      </c>
      <c r="AJ110" s="92"/>
    </row>
    <row r="111" spans="1:36" s="99" customFormat="1" ht="30" customHeight="1" thickBot="1">
      <c r="A111" s="89"/>
      <c r="B111" s="89"/>
      <c r="C111" s="90"/>
      <c r="D111" s="91"/>
      <c r="E111" s="92"/>
      <c r="F111" s="92"/>
      <c r="G111" s="92"/>
      <c r="H111" s="92"/>
      <c r="I111" s="93"/>
      <c r="J111" s="94"/>
      <c r="K111" s="94"/>
      <c r="L111" s="95"/>
      <c r="M111" s="66"/>
      <c r="N111" s="96"/>
      <c r="O111" s="97"/>
      <c r="P111" s="58"/>
      <c r="Q111" s="69"/>
      <c r="R111" s="70"/>
      <c r="S111" s="66"/>
      <c r="T111" s="55"/>
      <c r="U111" s="55"/>
      <c r="V111" s="55"/>
      <c r="W111" s="98"/>
      <c r="X111" s="98"/>
      <c r="Y111" s="98"/>
      <c r="Z111" s="98"/>
      <c r="AA111" s="98"/>
      <c r="AB111" s="98"/>
      <c r="AC111" s="98"/>
      <c r="AD111" s="98"/>
      <c r="AE111" s="98"/>
      <c r="AF111" s="98"/>
      <c r="AG111" s="277"/>
      <c r="AH111" s="277"/>
      <c r="AI111" s="279" t="str">
        <f>+IF(U111="","",IF(U111&gt;=[7]PARÁMETROS!$F$5,"CUMPLE","NO CUMPLE"))</f>
        <v/>
      </c>
      <c r="AJ111" s="92"/>
    </row>
    <row r="112" spans="1:36" s="99" customFormat="1" ht="30" customHeight="1" thickBot="1">
      <c r="A112" s="89"/>
      <c r="B112" s="89"/>
      <c r="C112" s="90"/>
      <c r="D112" s="91"/>
      <c r="E112" s="92"/>
      <c r="F112" s="92"/>
      <c r="G112" s="92"/>
      <c r="H112" s="92"/>
      <c r="I112" s="93"/>
      <c r="J112" s="94"/>
      <c r="K112" s="94"/>
      <c r="L112" s="95"/>
      <c r="M112" s="66"/>
      <c r="N112" s="96"/>
      <c r="O112" s="97"/>
      <c r="P112" s="58"/>
      <c r="Q112" s="69"/>
      <c r="R112" s="70"/>
      <c r="S112" s="66"/>
      <c r="T112" s="55"/>
      <c r="U112" s="55"/>
      <c r="V112" s="55"/>
      <c r="W112" s="98"/>
      <c r="X112" s="98"/>
      <c r="Y112" s="98"/>
      <c r="Z112" s="98"/>
      <c r="AA112" s="98"/>
      <c r="AB112" s="98"/>
      <c r="AC112" s="98"/>
      <c r="AD112" s="98"/>
      <c r="AE112" s="98"/>
      <c r="AF112" s="98"/>
      <c r="AG112" s="277"/>
      <c r="AH112" s="277"/>
      <c r="AI112" s="279" t="str">
        <f>+IF(U112="","",IF(U112&gt;=[7]PARÁMETROS!$F$5,"CUMPLE","NO CUMPLE"))</f>
        <v/>
      </c>
      <c r="AJ112" s="92"/>
    </row>
    <row r="113" spans="1:36" s="99" customFormat="1" ht="30" customHeight="1" thickBot="1">
      <c r="A113" s="89"/>
      <c r="B113" s="89"/>
      <c r="C113" s="90"/>
      <c r="D113" s="91"/>
      <c r="E113" s="92"/>
      <c r="F113" s="92"/>
      <c r="G113" s="92"/>
      <c r="H113" s="92"/>
      <c r="I113" s="93"/>
      <c r="J113" s="94"/>
      <c r="K113" s="94"/>
      <c r="L113" s="95"/>
      <c r="M113" s="66"/>
      <c r="N113" s="96"/>
      <c r="O113" s="97"/>
      <c r="P113" s="58"/>
      <c r="Q113" s="69"/>
      <c r="R113" s="70"/>
      <c r="S113" s="66"/>
      <c r="T113" s="55"/>
      <c r="U113" s="55"/>
      <c r="V113" s="55"/>
      <c r="W113" s="98"/>
      <c r="X113" s="98"/>
      <c r="Y113" s="98"/>
      <c r="Z113" s="98"/>
      <c r="AA113" s="98"/>
      <c r="AB113" s="98"/>
      <c r="AC113" s="98"/>
      <c r="AD113" s="98"/>
      <c r="AE113" s="98"/>
      <c r="AF113" s="98"/>
      <c r="AG113" s="277"/>
      <c r="AH113" s="277"/>
      <c r="AI113" s="279" t="str">
        <f>+IF(U113="","",IF(U113&gt;=[7]PARÁMETROS!$F$5,"CUMPLE","NO CUMPLE"))</f>
        <v/>
      </c>
      <c r="AJ113" s="92"/>
    </row>
    <row r="114" spans="1:36" s="99" customFormat="1" ht="30" customHeight="1" thickBot="1">
      <c r="A114" s="89"/>
      <c r="B114" s="89"/>
      <c r="C114" s="90"/>
      <c r="D114" s="91"/>
      <c r="E114" s="92"/>
      <c r="F114" s="92"/>
      <c r="G114" s="92"/>
      <c r="H114" s="92"/>
      <c r="I114" s="93"/>
      <c r="J114" s="94"/>
      <c r="K114" s="94"/>
      <c r="L114" s="95"/>
      <c r="M114" s="66"/>
      <c r="N114" s="96"/>
      <c r="O114" s="97"/>
      <c r="P114" s="58"/>
      <c r="Q114" s="69"/>
      <c r="R114" s="70"/>
      <c r="S114" s="66"/>
      <c r="T114" s="55"/>
      <c r="U114" s="55"/>
      <c r="V114" s="55"/>
      <c r="W114" s="98"/>
      <c r="X114" s="98"/>
      <c r="Y114" s="98"/>
      <c r="Z114" s="98"/>
      <c r="AA114" s="98"/>
      <c r="AB114" s="98"/>
      <c r="AC114" s="98"/>
      <c r="AD114" s="98"/>
      <c r="AE114" s="98"/>
      <c r="AF114" s="98"/>
      <c r="AG114" s="277"/>
      <c r="AH114" s="277"/>
      <c r="AI114" s="279" t="str">
        <f>+IF(U114="","",IF(U114&gt;=[7]PARÁMETROS!$F$5,"CUMPLE","NO CUMPLE"))</f>
        <v/>
      </c>
      <c r="AJ114" s="92"/>
    </row>
    <row r="115" spans="1:36" s="99" customFormat="1" ht="30" customHeight="1" thickBot="1">
      <c r="A115" s="89"/>
      <c r="B115" s="89"/>
      <c r="C115" s="90"/>
      <c r="D115" s="91"/>
      <c r="E115" s="92"/>
      <c r="F115" s="92"/>
      <c r="G115" s="92"/>
      <c r="H115" s="92"/>
      <c r="I115" s="93"/>
      <c r="J115" s="94"/>
      <c r="K115" s="94"/>
      <c r="L115" s="95"/>
      <c r="M115" s="66"/>
      <c r="N115" s="96"/>
      <c r="O115" s="97"/>
      <c r="P115" s="58"/>
      <c r="Q115" s="69"/>
      <c r="R115" s="70"/>
      <c r="S115" s="66"/>
      <c r="T115" s="55"/>
      <c r="U115" s="55"/>
      <c r="V115" s="55"/>
      <c r="W115" s="98"/>
      <c r="X115" s="98"/>
      <c r="Y115" s="98"/>
      <c r="Z115" s="98"/>
      <c r="AA115" s="98"/>
      <c r="AB115" s="98"/>
      <c r="AC115" s="98"/>
      <c r="AD115" s="98"/>
      <c r="AE115" s="98"/>
      <c r="AF115" s="98"/>
      <c r="AG115" s="277"/>
      <c r="AH115" s="277"/>
      <c r="AI115" s="279" t="str">
        <f>+IF(U115="","",IF(U115&gt;=[7]PARÁMETROS!$F$5,"CUMPLE","NO CUMPLE"))</f>
        <v/>
      </c>
      <c r="AJ115" s="92"/>
    </row>
    <row r="116" spans="1:36" s="99" customFormat="1" ht="30" customHeight="1" thickBot="1">
      <c r="A116" s="89"/>
      <c r="B116" s="89"/>
      <c r="C116" s="90"/>
      <c r="D116" s="91"/>
      <c r="E116" s="92"/>
      <c r="F116" s="92"/>
      <c r="G116" s="92"/>
      <c r="H116" s="92"/>
      <c r="I116" s="93"/>
      <c r="J116" s="94"/>
      <c r="K116" s="94"/>
      <c r="L116" s="95"/>
      <c r="M116" s="66"/>
      <c r="N116" s="96"/>
      <c r="O116" s="97"/>
      <c r="P116" s="58"/>
      <c r="Q116" s="69"/>
      <c r="R116" s="70"/>
      <c r="S116" s="66"/>
      <c r="T116" s="55"/>
      <c r="U116" s="55"/>
      <c r="V116" s="55"/>
      <c r="W116" s="98"/>
      <c r="X116" s="98"/>
      <c r="Y116" s="98"/>
      <c r="Z116" s="98"/>
      <c r="AA116" s="98"/>
      <c r="AB116" s="98"/>
      <c r="AC116" s="98"/>
      <c r="AD116" s="98"/>
      <c r="AE116" s="98"/>
      <c r="AF116" s="98"/>
      <c r="AG116" s="277"/>
      <c r="AH116" s="277"/>
      <c r="AI116" s="279" t="str">
        <f>+IF(U116="","",IF(U116&gt;=[7]PARÁMETROS!$F$5,"CUMPLE","NO CUMPLE"))</f>
        <v/>
      </c>
      <c r="AJ116" s="92"/>
    </row>
    <row r="117" spans="1:36" s="99" customFormat="1" ht="30" customHeight="1" thickBot="1">
      <c r="A117" s="89"/>
      <c r="B117" s="89"/>
      <c r="C117" s="90"/>
      <c r="D117" s="91"/>
      <c r="E117" s="92"/>
      <c r="F117" s="92"/>
      <c r="G117" s="92"/>
      <c r="H117" s="92"/>
      <c r="I117" s="93"/>
      <c r="J117" s="94"/>
      <c r="K117" s="94"/>
      <c r="L117" s="95"/>
      <c r="M117" s="66"/>
      <c r="N117" s="96"/>
      <c r="O117" s="97"/>
      <c r="P117" s="58"/>
      <c r="Q117" s="69"/>
      <c r="R117" s="70"/>
      <c r="S117" s="66"/>
      <c r="T117" s="55"/>
      <c r="U117" s="55"/>
      <c r="V117" s="55"/>
      <c r="W117" s="98"/>
      <c r="X117" s="98"/>
      <c r="Y117" s="98"/>
      <c r="Z117" s="98"/>
      <c r="AA117" s="98"/>
      <c r="AB117" s="98"/>
      <c r="AC117" s="98"/>
      <c r="AD117" s="98"/>
      <c r="AE117" s="98"/>
      <c r="AF117" s="98"/>
      <c r="AG117" s="277"/>
      <c r="AH117" s="277"/>
      <c r="AI117" s="279" t="str">
        <f>+IF(U117="","",IF(U117&gt;=[7]PARÁMETROS!$F$5,"CUMPLE","NO CUMPLE"))</f>
        <v/>
      </c>
      <c r="AJ117" s="92"/>
    </row>
    <row r="118" spans="1:36" s="99" customFormat="1" ht="30" customHeight="1" thickBot="1">
      <c r="A118" s="89"/>
      <c r="B118" s="89"/>
      <c r="C118" s="90"/>
      <c r="D118" s="91"/>
      <c r="E118" s="92"/>
      <c r="F118" s="92"/>
      <c r="G118" s="92"/>
      <c r="H118" s="92"/>
      <c r="I118" s="93"/>
      <c r="J118" s="94"/>
      <c r="K118" s="94"/>
      <c r="L118" s="95"/>
      <c r="M118" s="66"/>
      <c r="N118" s="96"/>
      <c r="O118" s="97"/>
      <c r="P118" s="58"/>
      <c r="Q118" s="69"/>
      <c r="R118" s="70"/>
      <c r="S118" s="66"/>
      <c r="T118" s="55"/>
      <c r="U118" s="55"/>
      <c r="V118" s="55"/>
      <c r="W118" s="98"/>
      <c r="X118" s="98"/>
      <c r="Y118" s="98"/>
      <c r="Z118" s="98"/>
      <c r="AA118" s="98"/>
      <c r="AB118" s="98"/>
      <c r="AC118" s="98"/>
      <c r="AD118" s="98"/>
      <c r="AE118" s="98"/>
      <c r="AF118" s="98"/>
      <c r="AG118" s="277"/>
      <c r="AH118" s="277"/>
      <c r="AI118" s="279" t="str">
        <f>+IF(U118="","",IF(U118&gt;=[7]PARÁMETROS!$F$5,"CUMPLE","NO CUMPLE"))</f>
        <v/>
      </c>
      <c r="AJ118" s="92"/>
    </row>
    <row r="119" spans="1:36" s="99" customFormat="1" ht="30" customHeight="1" thickBot="1">
      <c r="A119" s="89"/>
      <c r="B119" s="89"/>
      <c r="C119" s="90"/>
      <c r="D119" s="91"/>
      <c r="E119" s="92"/>
      <c r="F119" s="92"/>
      <c r="G119" s="92"/>
      <c r="H119" s="92"/>
      <c r="I119" s="93"/>
      <c r="J119" s="94"/>
      <c r="K119" s="94"/>
      <c r="L119" s="95"/>
      <c r="M119" s="66"/>
      <c r="N119" s="96"/>
      <c r="O119" s="97"/>
      <c r="P119" s="58"/>
      <c r="Q119" s="69"/>
      <c r="R119" s="70"/>
      <c r="S119" s="66"/>
      <c r="T119" s="55"/>
      <c r="U119" s="55"/>
      <c r="V119" s="55"/>
      <c r="W119" s="98"/>
      <c r="X119" s="98"/>
      <c r="Y119" s="98"/>
      <c r="Z119" s="98"/>
      <c r="AA119" s="98"/>
      <c r="AB119" s="98"/>
      <c r="AC119" s="98"/>
      <c r="AD119" s="98"/>
      <c r="AE119" s="98"/>
      <c r="AF119" s="98"/>
      <c r="AG119" s="277"/>
      <c r="AH119" s="277"/>
      <c r="AI119" s="279" t="str">
        <f>+IF(U119="","",IF(U119&gt;=[7]PARÁMETROS!$F$5,"CUMPLE","NO CUMPLE"))</f>
        <v/>
      </c>
      <c r="AJ119" s="92"/>
    </row>
    <row r="120" spans="1:36" s="99" customFormat="1" ht="30" customHeight="1" thickBot="1">
      <c r="A120" s="89"/>
      <c r="B120" s="89"/>
      <c r="C120" s="90"/>
      <c r="D120" s="91"/>
      <c r="E120" s="92"/>
      <c r="F120" s="92"/>
      <c r="G120" s="92"/>
      <c r="H120" s="92"/>
      <c r="I120" s="93"/>
      <c r="J120" s="94"/>
      <c r="K120" s="94"/>
      <c r="L120" s="95"/>
      <c r="M120" s="66"/>
      <c r="N120" s="96"/>
      <c r="O120" s="97"/>
      <c r="P120" s="58"/>
      <c r="Q120" s="69"/>
      <c r="R120" s="70"/>
      <c r="S120" s="66"/>
      <c r="T120" s="55"/>
      <c r="U120" s="55"/>
      <c r="V120" s="55"/>
      <c r="W120" s="98"/>
      <c r="X120" s="98"/>
      <c r="Y120" s="98"/>
      <c r="Z120" s="98"/>
      <c r="AA120" s="98"/>
      <c r="AB120" s="98"/>
      <c r="AC120" s="98"/>
      <c r="AD120" s="98"/>
      <c r="AE120" s="98"/>
      <c r="AF120" s="98"/>
      <c r="AG120" s="277"/>
      <c r="AH120" s="277"/>
      <c r="AI120" s="279" t="str">
        <f>+IF(U120="","",IF(U120&gt;=[7]PARÁMETROS!$F$5,"CUMPLE","NO CUMPLE"))</f>
        <v/>
      </c>
      <c r="AJ120" s="92"/>
    </row>
    <row r="121" spans="1:36" s="99" customFormat="1" ht="30" customHeight="1">
      <c r="A121" s="89"/>
      <c r="B121" s="89"/>
      <c r="C121" s="90"/>
      <c r="D121" s="91"/>
      <c r="E121" s="92"/>
      <c r="F121" s="92"/>
      <c r="G121" s="92"/>
      <c r="H121" s="92"/>
      <c r="I121" s="93"/>
      <c r="J121" s="94"/>
      <c r="K121" s="94"/>
      <c r="L121" s="95"/>
      <c r="M121" s="66"/>
      <c r="N121" s="96"/>
      <c r="O121" s="97"/>
      <c r="P121" s="58"/>
      <c r="Q121" s="69"/>
      <c r="R121" s="70"/>
      <c r="S121" s="66"/>
      <c r="T121" s="55"/>
      <c r="U121" s="55"/>
      <c r="V121" s="55"/>
      <c r="W121" s="98"/>
      <c r="X121" s="98"/>
      <c r="Y121" s="98"/>
      <c r="Z121" s="98"/>
      <c r="AA121" s="98"/>
      <c r="AB121" s="98"/>
      <c r="AC121" s="98"/>
      <c r="AD121" s="98"/>
      <c r="AE121" s="98"/>
      <c r="AF121" s="98"/>
      <c r="AG121" s="277"/>
      <c r="AH121" s="277"/>
      <c r="AI121" s="279" t="str">
        <f>+IF(U121="","",IF(U121&gt;=[7]PARÁMETROS!$F$5,"CUMPLE","NO CUMPLE"))</f>
        <v/>
      </c>
      <c r="AJ121" s="92"/>
    </row>
    <row r="122" spans="1:36" s="99" customFormat="1" ht="30" customHeight="1">
      <c r="A122" s="89"/>
      <c r="B122" s="89"/>
      <c r="C122" s="90"/>
      <c r="D122" s="91"/>
      <c r="E122" s="92"/>
      <c r="F122" s="92"/>
      <c r="G122" s="92"/>
      <c r="H122" s="92"/>
      <c r="I122" s="93"/>
      <c r="J122" s="94"/>
      <c r="K122" s="94"/>
      <c r="L122" s="95"/>
      <c r="M122" s="66"/>
      <c r="N122" s="96"/>
      <c r="O122" s="97"/>
      <c r="P122" s="58"/>
      <c r="Q122" s="69"/>
      <c r="R122" s="70"/>
      <c r="S122" s="66"/>
      <c r="T122" s="55"/>
      <c r="U122" s="55"/>
      <c r="V122" s="55"/>
      <c r="W122" s="98"/>
      <c r="X122" s="98"/>
      <c r="Y122" s="98"/>
      <c r="Z122" s="98"/>
      <c r="AA122" s="98"/>
      <c r="AB122" s="98"/>
      <c r="AC122" s="98"/>
      <c r="AD122" s="98"/>
      <c r="AE122" s="98"/>
      <c r="AF122" s="98"/>
      <c r="AG122" s="277"/>
      <c r="AH122" s="277"/>
      <c r="AI122" s="277"/>
      <c r="AJ122" s="92"/>
    </row>
    <row r="123" spans="1:36" s="99" customFormat="1" ht="30" customHeight="1">
      <c r="A123" s="89"/>
      <c r="B123" s="89"/>
      <c r="C123" s="90"/>
      <c r="D123" s="91"/>
      <c r="E123" s="92"/>
      <c r="F123" s="92"/>
      <c r="G123" s="92"/>
      <c r="H123" s="92"/>
      <c r="I123" s="93"/>
      <c r="J123" s="94"/>
      <c r="K123" s="94"/>
      <c r="L123" s="95"/>
      <c r="M123" s="66"/>
      <c r="N123" s="96"/>
      <c r="O123" s="97"/>
      <c r="P123" s="58"/>
      <c r="Q123" s="69"/>
      <c r="R123" s="70"/>
      <c r="S123" s="66"/>
      <c r="T123" s="55"/>
      <c r="U123" s="55"/>
      <c r="V123" s="55"/>
      <c r="W123" s="98"/>
      <c r="X123" s="98"/>
      <c r="Y123" s="98"/>
      <c r="Z123" s="98"/>
      <c r="AA123" s="98"/>
      <c r="AB123" s="98"/>
      <c r="AC123" s="98"/>
      <c r="AD123" s="98"/>
      <c r="AE123" s="98"/>
      <c r="AF123" s="98"/>
      <c r="AG123" s="277"/>
      <c r="AH123" s="277"/>
      <c r="AI123" s="277"/>
      <c r="AJ123" s="92"/>
    </row>
    <row r="124" spans="1:36" s="99" customFormat="1" ht="30" customHeight="1">
      <c r="A124" s="89"/>
      <c r="B124" s="89"/>
      <c r="C124" s="90"/>
      <c r="D124" s="91"/>
      <c r="E124" s="92"/>
      <c r="F124" s="92"/>
      <c r="G124" s="92"/>
      <c r="H124" s="92"/>
      <c r="I124" s="93"/>
      <c r="J124" s="94"/>
      <c r="K124" s="94"/>
      <c r="L124" s="95"/>
      <c r="M124" s="66"/>
      <c r="N124" s="96"/>
      <c r="O124" s="97"/>
      <c r="P124" s="58"/>
      <c r="Q124" s="69"/>
      <c r="R124" s="70"/>
      <c r="S124" s="66"/>
      <c r="T124" s="55"/>
      <c r="U124" s="55"/>
      <c r="V124" s="55"/>
      <c r="W124" s="98"/>
      <c r="X124" s="98"/>
      <c r="Y124" s="98"/>
      <c r="Z124" s="98"/>
      <c r="AA124" s="98"/>
      <c r="AB124" s="98"/>
      <c r="AC124" s="98"/>
      <c r="AD124" s="98"/>
      <c r="AE124" s="98"/>
      <c r="AF124" s="98"/>
      <c r="AG124" s="277"/>
      <c r="AH124" s="277"/>
      <c r="AI124" s="277"/>
      <c r="AJ124" s="92"/>
    </row>
    <row r="125" spans="1:36" s="99" customFormat="1" ht="30" customHeight="1">
      <c r="A125" s="89"/>
      <c r="B125" s="89"/>
      <c r="C125" s="90"/>
      <c r="D125" s="91"/>
      <c r="E125" s="92"/>
      <c r="F125" s="92"/>
      <c r="G125" s="92"/>
      <c r="H125" s="92"/>
      <c r="I125" s="93"/>
      <c r="J125" s="94"/>
      <c r="K125" s="94"/>
      <c r="L125" s="95"/>
      <c r="M125" s="66"/>
      <c r="N125" s="96"/>
      <c r="O125" s="97"/>
      <c r="P125" s="58"/>
      <c r="Q125" s="69"/>
      <c r="R125" s="70"/>
      <c r="S125" s="66"/>
      <c r="T125" s="55"/>
      <c r="U125" s="55"/>
      <c r="V125" s="55"/>
      <c r="W125" s="98"/>
      <c r="X125" s="98"/>
      <c r="Y125" s="98"/>
      <c r="Z125" s="98"/>
      <c r="AA125" s="98"/>
      <c r="AB125" s="98"/>
      <c r="AC125" s="98"/>
      <c r="AD125" s="98"/>
      <c r="AE125" s="98"/>
      <c r="AF125" s="98"/>
      <c r="AG125" s="277"/>
      <c r="AH125" s="277"/>
      <c r="AI125" s="277"/>
      <c r="AJ125" s="92"/>
    </row>
    <row r="126" spans="1:36" s="99" customFormat="1" ht="30" customHeight="1">
      <c r="A126" s="89"/>
      <c r="B126" s="89"/>
      <c r="C126" s="90"/>
      <c r="D126" s="91"/>
      <c r="E126" s="92"/>
      <c r="F126" s="92"/>
      <c r="G126" s="92"/>
      <c r="H126" s="92"/>
      <c r="I126" s="93"/>
      <c r="J126" s="94"/>
      <c r="K126" s="94"/>
      <c r="L126" s="95"/>
      <c r="M126" s="66"/>
      <c r="N126" s="96"/>
      <c r="O126" s="97"/>
      <c r="P126" s="58"/>
      <c r="Q126" s="69"/>
      <c r="R126" s="70"/>
      <c r="S126" s="66"/>
      <c r="T126" s="55"/>
      <c r="U126" s="55"/>
      <c r="V126" s="55"/>
      <c r="W126" s="98"/>
      <c r="X126" s="98"/>
      <c r="Y126" s="98"/>
      <c r="Z126" s="98"/>
      <c r="AA126" s="98"/>
      <c r="AB126" s="98"/>
      <c r="AC126" s="98"/>
      <c r="AD126" s="98"/>
      <c r="AE126" s="98"/>
      <c r="AF126" s="98"/>
      <c r="AG126" s="277"/>
      <c r="AH126" s="277"/>
      <c r="AI126" s="277"/>
      <c r="AJ126" s="92"/>
    </row>
    <row r="127" spans="1:36" s="99" customFormat="1" ht="30" customHeight="1">
      <c r="A127" s="89"/>
      <c r="B127" s="89"/>
      <c r="C127" s="90"/>
      <c r="D127" s="91"/>
      <c r="E127" s="92"/>
      <c r="F127" s="92"/>
      <c r="G127" s="92"/>
      <c r="H127" s="92"/>
      <c r="I127" s="93"/>
      <c r="J127" s="94"/>
      <c r="K127" s="94"/>
      <c r="L127" s="95"/>
      <c r="M127" s="66"/>
      <c r="N127" s="96"/>
      <c r="O127" s="97"/>
      <c r="P127" s="58"/>
      <c r="Q127" s="69"/>
      <c r="R127" s="70"/>
      <c r="S127" s="66"/>
      <c r="T127" s="55"/>
      <c r="U127" s="55"/>
      <c r="V127" s="55"/>
      <c r="W127" s="98"/>
      <c r="X127" s="98"/>
      <c r="Y127" s="98"/>
      <c r="Z127" s="98"/>
      <c r="AA127" s="98"/>
      <c r="AB127" s="98"/>
      <c r="AC127" s="98"/>
      <c r="AD127" s="98"/>
      <c r="AE127" s="98"/>
      <c r="AF127" s="98"/>
      <c r="AG127" s="277"/>
      <c r="AH127" s="277"/>
      <c r="AI127" s="277"/>
      <c r="AJ127" s="92"/>
    </row>
    <row r="128" spans="1:36" s="99" customFormat="1" ht="65.099999999999994" customHeight="1">
      <c r="A128" s="89"/>
      <c r="B128" s="89"/>
      <c r="C128" s="90"/>
      <c r="D128" s="91"/>
      <c r="E128" s="92"/>
      <c r="F128" s="92"/>
      <c r="G128" s="92"/>
      <c r="H128" s="92"/>
      <c r="I128" s="93"/>
      <c r="J128" s="94"/>
      <c r="K128" s="94"/>
      <c r="L128" s="95"/>
      <c r="M128" s="66"/>
      <c r="N128" s="96"/>
      <c r="O128" s="97"/>
      <c r="P128" s="58"/>
      <c r="Q128" s="69"/>
      <c r="R128" s="70"/>
      <c r="S128" s="66"/>
      <c r="T128" s="55"/>
      <c r="U128" s="55"/>
      <c r="V128" s="55"/>
      <c r="W128" s="98"/>
      <c r="X128" s="98"/>
      <c r="Y128" s="98"/>
      <c r="Z128" s="98"/>
      <c r="AA128" s="98"/>
      <c r="AB128" s="98"/>
      <c r="AC128" s="98"/>
      <c r="AD128" s="98"/>
      <c r="AE128" s="98"/>
      <c r="AF128" s="98"/>
      <c r="AG128" s="277"/>
      <c r="AH128" s="277"/>
      <c r="AI128" s="277"/>
      <c r="AJ128" s="92"/>
    </row>
    <row r="129" spans="1:36" s="99" customFormat="1" ht="65.099999999999994" customHeight="1">
      <c r="A129" s="89"/>
      <c r="B129" s="89"/>
      <c r="C129" s="90"/>
      <c r="D129" s="91"/>
      <c r="E129" s="92"/>
      <c r="F129" s="92"/>
      <c r="G129" s="92"/>
      <c r="H129" s="92"/>
      <c r="I129" s="93"/>
      <c r="J129" s="94"/>
      <c r="K129" s="94"/>
      <c r="L129" s="95"/>
      <c r="M129" s="66"/>
      <c r="N129" s="96"/>
      <c r="O129" s="97"/>
      <c r="P129" s="58"/>
      <c r="Q129" s="69"/>
      <c r="R129" s="70"/>
      <c r="S129" s="66"/>
      <c r="T129" s="55"/>
      <c r="U129" s="55"/>
      <c r="V129" s="55"/>
      <c r="W129" s="98"/>
      <c r="X129" s="98"/>
      <c r="Y129" s="98"/>
      <c r="Z129" s="98"/>
      <c r="AA129" s="98"/>
      <c r="AB129" s="98"/>
      <c r="AC129" s="98"/>
      <c r="AD129" s="98"/>
      <c r="AE129" s="98"/>
      <c r="AF129" s="98"/>
      <c r="AG129" s="277"/>
      <c r="AH129" s="277"/>
      <c r="AI129" s="277"/>
      <c r="AJ129" s="92"/>
    </row>
    <row r="130" spans="1:36" s="99" customFormat="1" ht="65.099999999999994" customHeight="1">
      <c r="A130" s="89"/>
      <c r="B130" s="89"/>
      <c r="C130" s="90"/>
      <c r="D130" s="91"/>
      <c r="E130" s="92"/>
      <c r="F130" s="92"/>
      <c r="G130" s="92"/>
      <c r="H130" s="92"/>
      <c r="I130" s="93"/>
      <c r="J130" s="94"/>
      <c r="K130" s="94"/>
      <c r="L130" s="95"/>
      <c r="M130" s="66"/>
      <c r="N130" s="96"/>
      <c r="O130" s="97"/>
      <c r="P130" s="58"/>
      <c r="Q130" s="69"/>
      <c r="R130" s="70"/>
      <c r="S130" s="66"/>
      <c r="T130" s="55"/>
      <c r="U130" s="55"/>
      <c r="V130" s="55"/>
      <c r="W130" s="98"/>
      <c r="X130" s="98"/>
      <c r="Y130" s="98"/>
      <c r="Z130" s="98"/>
      <c r="AA130" s="98"/>
      <c r="AB130" s="98"/>
      <c r="AC130" s="98"/>
      <c r="AD130" s="98"/>
      <c r="AE130" s="98"/>
      <c r="AF130" s="98"/>
      <c r="AG130" s="277"/>
      <c r="AH130" s="277"/>
      <c r="AI130" s="277"/>
      <c r="AJ130" s="92"/>
    </row>
    <row r="131" spans="1:36" s="99" customFormat="1" ht="65.099999999999994" customHeight="1">
      <c r="A131" s="89"/>
      <c r="B131" s="89"/>
      <c r="C131" s="90"/>
      <c r="D131" s="91"/>
      <c r="E131" s="92"/>
      <c r="F131" s="92"/>
      <c r="G131" s="92"/>
      <c r="H131" s="92"/>
      <c r="I131" s="93"/>
      <c r="J131" s="94"/>
      <c r="K131" s="94"/>
      <c r="L131" s="95"/>
      <c r="M131" s="66"/>
      <c r="N131" s="96"/>
      <c r="O131" s="97"/>
      <c r="P131" s="58"/>
      <c r="Q131" s="69"/>
      <c r="R131" s="70"/>
      <c r="S131" s="66"/>
      <c r="T131" s="55"/>
      <c r="U131" s="55"/>
      <c r="V131" s="55"/>
      <c r="W131" s="98"/>
      <c r="X131" s="98"/>
      <c r="Y131" s="98"/>
      <c r="Z131" s="98"/>
      <c r="AA131" s="98"/>
      <c r="AB131" s="98"/>
      <c r="AC131" s="98"/>
      <c r="AD131" s="98"/>
      <c r="AE131" s="98"/>
      <c r="AF131" s="98"/>
      <c r="AG131" s="277"/>
      <c r="AH131" s="277"/>
      <c r="AI131" s="277"/>
      <c r="AJ131" s="92"/>
    </row>
    <row r="132" spans="1:36" s="99" customFormat="1" ht="65.099999999999994" customHeight="1">
      <c r="A132" s="89"/>
      <c r="B132" s="89"/>
      <c r="C132" s="90"/>
      <c r="D132" s="91"/>
      <c r="E132" s="92"/>
      <c r="F132" s="92"/>
      <c r="G132" s="92"/>
      <c r="H132" s="92"/>
      <c r="I132" s="93"/>
      <c r="J132" s="94"/>
      <c r="K132" s="94"/>
      <c r="L132" s="95"/>
      <c r="M132" s="66"/>
      <c r="N132" s="96"/>
      <c r="O132" s="97"/>
      <c r="P132" s="58"/>
      <c r="Q132" s="69"/>
      <c r="R132" s="70"/>
      <c r="S132" s="66"/>
      <c r="T132" s="55"/>
      <c r="U132" s="55"/>
      <c r="V132" s="55"/>
      <c r="W132" s="98"/>
      <c r="X132" s="98"/>
      <c r="Y132" s="98"/>
      <c r="Z132" s="98"/>
      <c r="AA132" s="98"/>
      <c r="AB132" s="98"/>
      <c r="AC132" s="98"/>
      <c r="AD132" s="98"/>
      <c r="AE132" s="98"/>
      <c r="AF132" s="98"/>
      <c r="AG132" s="277"/>
      <c r="AH132" s="277"/>
      <c r="AI132" s="277"/>
      <c r="AJ132" s="92"/>
    </row>
    <row r="133" spans="1:36" s="99" customFormat="1" ht="65.099999999999994" customHeight="1">
      <c r="A133" s="89"/>
      <c r="B133" s="89"/>
      <c r="C133" s="90"/>
      <c r="D133" s="91"/>
      <c r="E133" s="92"/>
      <c r="F133" s="92"/>
      <c r="G133" s="92"/>
      <c r="H133" s="92"/>
      <c r="I133" s="93"/>
      <c r="J133" s="94"/>
      <c r="K133" s="94"/>
      <c r="L133" s="95"/>
      <c r="M133" s="66"/>
      <c r="N133" s="96"/>
      <c r="O133" s="97"/>
      <c r="P133" s="58"/>
      <c r="Q133" s="69"/>
      <c r="R133" s="70"/>
      <c r="S133" s="66"/>
      <c r="T133" s="55"/>
      <c r="U133" s="55"/>
      <c r="V133" s="55"/>
      <c r="W133" s="98"/>
      <c r="X133" s="98"/>
      <c r="Y133" s="98"/>
      <c r="Z133" s="98"/>
      <c r="AA133" s="98"/>
      <c r="AB133" s="98"/>
      <c r="AC133" s="98"/>
      <c r="AD133" s="98"/>
      <c r="AE133" s="98"/>
      <c r="AF133" s="98"/>
      <c r="AG133" s="277"/>
      <c r="AH133" s="277"/>
      <c r="AI133" s="277"/>
      <c r="AJ133" s="92"/>
    </row>
    <row r="134" spans="1:36" s="99" customFormat="1" ht="65.099999999999994" customHeight="1">
      <c r="A134" s="89"/>
      <c r="B134" s="89"/>
      <c r="C134" s="90"/>
      <c r="D134" s="91"/>
      <c r="E134" s="92"/>
      <c r="F134" s="92"/>
      <c r="G134" s="92"/>
      <c r="H134" s="92"/>
      <c r="I134" s="93"/>
      <c r="J134" s="94"/>
      <c r="K134" s="94"/>
      <c r="L134" s="95"/>
      <c r="M134" s="66"/>
      <c r="N134" s="96"/>
      <c r="O134" s="97"/>
      <c r="P134" s="58"/>
      <c r="Q134" s="69"/>
      <c r="R134" s="70"/>
      <c r="S134" s="66"/>
      <c r="T134" s="55"/>
      <c r="U134" s="55"/>
      <c r="V134" s="55"/>
      <c r="W134" s="98"/>
      <c r="X134" s="98"/>
      <c r="Y134" s="98"/>
      <c r="Z134" s="98"/>
      <c r="AA134" s="98"/>
      <c r="AB134" s="98"/>
      <c r="AC134" s="98"/>
      <c r="AD134" s="98"/>
      <c r="AE134" s="98"/>
      <c r="AF134" s="98"/>
      <c r="AG134" s="277"/>
      <c r="AH134" s="277"/>
      <c r="AI134" s="277"/>
      <c r="AJ134" s="92"/>
    </row>
    <row r="135" spans="1:36" s="99" customFormat="1" ht="65.099999999999994" customHeight="1">
      <c r="A135" s="89"/>
      <c r="B135" s="89"/>
      <c r="C135" s="90"/>
      <c r="D135" s="91"/>
      <c r="E135" s="92"/>
      <c r="F135" s="92"/>
      <c r="G135" s="92"/>
      <c r="H135" s="92"/>
      <c r="I135" s="93"/>
      <c r="J135" s="94"/>
      <c r="K135" s="94"/>
      <c r="L135" s="95"/>
      <c r="M135" s="66"/>
      <c r="N135" s="96"/>
      <c r="O135" s="97"/>
      <c r="P135" s="58"/>
      <c r="Q135" s="69"/>
      <c r="R135" s="70"/>
      <c r="S135" s="66"/>
      <c r="T135" s="55"/>
      <c r="U135" s="55"/>
      <c r="V135" s="55"/>
      <c r="W135" s="98"/>
      <c r="X135" s="98"/>
      <c r="Y135" s="98"/>
      <c r="Z135" s="98"/>
      <c r="AA135" s="98"/>
      <c r="AB135" s="98"/>
      <c r="AC135" s="98"/>
      <c r="AD135" s="98"/>
      <c r="AE135" s="98"/>
      <c r="AF135" s="98"/>
      <c r="AG135" s="277"/>
      <c r="AH135" s="277"/>
      <c r="AI135" s="277"/>
      <c r="AJ135" s="92"/>
    </row>
    <row r="136" spans="1:36" s="99" customFormat="1" ht="65.099999999999994" customHeight="1">
      <c r="A136" s="89"/>
      <c r="B136" s="89"/>
      <c r="C136" s="90"/>
      <c r="D136" s="91"/>
      <c r="E136" s="92"/>
      <c r="F136" s="92"/>
      <c r="G136" s="92"/>
      <c r="H136" s="92"/>
      <c r="I136" s="93"/>
      <c r="J136" s="94"/>
      <c r="K136" s="94"/>
      <c r="L136" s="95"/>
      <c r="M136" s="66"/>
      <c r="N136" s="96"/>
      <c r="O136" s="97"/>
      <c r="P136" s="58"/>
      <c r="Q136" s="69"/>
      <c r="R136" s="70"/>
      <c r="S136" s="66"/>
      <c r="T136" s="55"/>
      <c r="U136" s="55"/>
      <c r="V136" s="55"/>
      <c r="W136" s="98"/>
      <c r="X136" s="98"/>
      <c r="Y136" s="98"/>
      <c r="Z136" s="98"/>
      <c r="AA136" s="98"/>
      <c r="AB136" s="98"/>
      <c r="AC136" s="98"/>
      <c r="AD136" s="98"/>
      <c r="AE136" s="98"/>
      <c r="AF136" s="98"/>
      <c r="AG136" s="277"/>
      <c r="AH136" s="277"/>
      <c r="AI136" s="277"/>
      <c r="AJ136" s="92"/>
    </row>
    <row r="137" spans="1:36" s="99" customFormat="1" ht="65.099999999999994" customHeight="1">
      <c r="A137" s="89"/>
      <c r="B137" s="89"/>
      <c r="C137" s="90"/>
      <c r="D137" s="91"/>
      <c r="E137" s="92"/>
      <c r="F137" s="92"/>
      <c r="G137" s="92"/>
      <c r="H137" s="92"/>
      <c r="I137" s="93"/>
      <c r="J137" s="94"/>
      <c r="K137" s="94"/>
      <c r="L137" s="95"/>
      <c r="M137" s="66"/>
      <c r="N137" s="96"/>
      <c r="O137" s="97"/>
      <c r="P137" s="58"/>
      <c r="Q137" s="69"/>
      <c r="R137" s="70"/>
      <c r="S137" s="66"/>
      <c r="T137" s="55"/>
      <c r="U137" s="55"/>
      <c r="V137" s="55"/>
      <c r="W137" s="98"/>
      <c r="X137" s="98"/>
      <c r="Y137" s="98"/>
      <c r="Z137" s="98"/>
      <c r="AA137" s="98"/>
      <c r="AB137" s="98"/>
      <c r="AC137" s="98"/>
      <c r="AD137" s="98"/>
      <c r="AE137" s="98"/>
      <c r="AF137" s="98"/>
      <c r="AG137" s="277"/>
      <c r="AH137" s="277"/>
      <c r="AI137" s="277"/>
      <c r="AJ137" s="92"/>
    </row>
    <row r="138" spans="1:36" s="99" customFormat="1" ht="65.099999999999994" customHeight="1">
      <c r="A138" s="89"/>
      <c r="B138" s="89"/>
      <c r="C138" s="90"/>
      <c r="D138" s="91"/>
      <c r="E138" s="92"/>
      <c r="F138" s="92"/>
      <c r="G138" s="92"/>
      <c r="H138" s="92"/>
      <c r="I138" s="93"/>
      <c r="J138" s="94"/>
      <c r="K138" s="94"/>
      <c r="L138" s="95"/>
      <c r="M138" s="66"/>
      <c r="N138" s="96"/>
      <c r="O138" s="97"/>
      <c r="P138" s="58"/>
      <c r="Q138" s="69"/>
      <c r="R138" s="70"/>
      <c r="S138" s="66"/>
      <c r="T138" s="55"/>
      <c r="U138" s="55"/>
      <c r="V138" s="55"/>
      <c r="W138" s="98"/>
      <c r="X138" s="98"/>
      <c r="Y138" s="98"/>
      <c r="Z138" s="98"/>
      <c r="AA138" s="98"/>
      <c r="AB138" s="98"/>
      <c r="AC138" s="98"/>
      <c r="AD138" s="98"/>
      <c r="AE138" s="98"/>
      <c r="AF138" s="98"/>
      <c r="AG138" s="277"/>
      <c r="AH138" s="277"/>
      <c r="AI138" s="277"/>
      <c r="AJ138" s="92"/>
    </row>
    <row r="139" spans="1:36" s="99" customFormat="1" ht="65.099999999999994" customHeight="1">
      <c r="A139" s="89"/>
      <c r="B139" s="89"/>
      <c r="C139" s="90"/>
      <c r="D139" s="91"/>
      <c r="E139" s="92"/>
      <c r="F139" s="92"/>
      <c r="G139" s="92"/>
      <c r="H139" s="92"/>
      <c r="I139" s="93"/>
      <c r="J139" s="94"/>
      <c r="K139" s="94"/>
      <c r="L139" s="95"/>
      <c r="M139" s="66"/>
      <c r="N139" s="96"/>
      <c r="O139" s="97"/>
      <c r="P139" s="58"/>
      <c r="Q139" s="69"/>
      <c r="R139" s="70"/>
      <c r="S139" s="66"/>
      <c r="T139" s="55"/>
      <c r="U139" s="55"/>
      <c r="V139" s="55"/>
      <c r="W139" s="98"/>
      <c r="X139" s="98"/>
      <c r="Y139" s="98"/>
      <c r="Z139" s="98"/>
      <c r="AA139" s="98"/>
      <c r="AB139" s="98"/>
      <c r="AC139" s="98"/>
      <c r="AD139" s="98"/>
      <c r="AE139" s="98"/>
      <c r="AF139" s="98"/>
      <c r="AG139" s="277"/>
      <c r="AH139" s="277"/>
      <c r="AI139" s="277"/>
      <c r="AJ139" s="92"/>
    </row>
    <row r="140" spans="1:36" s="99" customFormat="1" ht="65.099999999999994" customHeight="1">
      <c r="A140" s="89"/>
      <c r="B140" s="89"/>
      <c r="C140" s="90"/>
      <c r="D140" s="91"/>
      <c r="E140" s="92"/>
      <c r="F140" s="92"/>
      <c r="G140" s="92"/>
      <c r="H140" s="92"/>
      <c r="I140" s="93"/>
      <c r="J140" s="94"/>
      <c r="K140" s="94"/>
      <c r="L140" s="95"/>
      <c r="M140" s="66"/>
      <c r="N140" s="96"/>
      <c r="O140" s="97"/>
      <c r="P140" s="58"/>
      <c r="Q140" s="69"/>
      <c r="R140" s="70"/>
      <c r="S140" s="66"/>
      <c r="T140" s="55"/>
      <c r="U140" s="55"/>
      <c r="V140" s="55"/>
      <c r="W140" s="98"/>
      <c r="X140" s="98"/>
      <c r="Y140" s="98"/>
      <c r="Z140" s="98"/>
      <c r="AA140" s="98"/>
      <c r="AB140" s="98"/>
      <c r="AC140" s="98"/>
      <c r="AD140" s="98"/>
      <c r="AE140" s="98"/>
      <c r="AF140" s="98"/>
      <c r="AG140" s="277"/>
      <c r="AH140" s="277"/>
      <c r="AI140" s="277"/>
      <c r="AJ140" s="92"/>
    </row>
    <row r="141" spans="1:36" s="99" customFormat="1" ht="65.099999999999994" customHeight="1">
      <c r="A141" s="89"/>
      <c r="B141" s="89"/>
      <c r="C141" s="90"/>
      <c r="D141" s="91"/>
      <c r="E141" s="92"/>
      <c r="F141" s="92"/>
      <c r="G141" s="92"/>
      <c r="H141" s="92"/>
      <c r="I141" s="93"/>
      <c r="J141" s="94"/>
      <c r="K141" s="94"/>
      <c r="L141" s="95"/>
      <c r="M141" s="66"/>
      <c r="N141" s="96"/>
      <c r="O141" s="97"/>
      <c r="P141" s="58"/>
      <c r="Q141" s="69"/>
      <c r="R141" s="70"/>
      <c r="S141" s="66"/>
      <c r="T141" s="55"/>
      <c r="U141" s="55"/>
      <c r="V141" s="55"/>
      <c r="W141" s="98"/>
      <c r="X141" s="98"/>
      <c r="Y141" s="98"/>
      <c r="Z141" s="98"/>
      <c r="AA141" s="98"/>
      <c r="AB141" s="98"/>
      <c r="AC141" s="98"/>
      <c r="AD141" s="98"/>
      <c r="AE141" s="98"/>
      <c r="AF141" s="98"/>
      <c r="AG141" s="277"/>
      <c r="AH141" s="277"/>
      <c r="AI141" s="277"/>
      <c r="AJ141" s="92"/>
    </row>
    <row r="142" spans="1:36" s="99" customFormat="1" ht="65.099999999999994" customHeight="1">
      <c r="A142" s="89"/>
      <c r="B142" s="89"/>
      <c r="C142" s="90"/>
      <c r="D142" s="91"/>
      <c r="E142" s="92"/>
      <c r="F142" s="92"/>
      <c r="G142" s="92"/>
      <c r="H142" s="92"/>
      <c r="I142" s="93"/>
      <c r="J142" s="94"/>
      <c r="K142" s="94"/>
      <c r="L142" s="95"/>
      <c r="M142" s="66"/>
      <c r="N142" s="96"/>
      <c r="O142" s="97"/>
      <c r="P142" s="58"/>
      <c r="Q142" s="69"/>
      <c r="R142" s="70"/>
      <c r="S142" s="66"/>
      <c r="T142" s="55"/>
      <c r="U142" s="55"/>
      <c r="V142" s="55"/>
      <c r="W142" s="98"/>
      <c r="X142" s="98"/>
      <c r="Y142" s="98"/>
      <c r="Z142" s="98"/>
      <c r="AA142" s="98"/>
      <c r="AB142" s="98"/>
      <c r="AC142" s="98"/>
      <c r="AD142" s="98"/>
      <c r="AE142" s="98"/>
      <c r="AF142" s="98"/>
      <c r="AG142" s="277"/>
      <c r="AH142" s="277"/>
      <c r="AI142" s="277"/>
      <c r="AJ142" s="92"/>
    </row>
    <row r="143" spans="1:36" s="99" customFormat="1" ht="65.099999999999994" customHeight="1">
      <c r="A143" s="89"/>
      <c r="B143" s="89"/>
      <c r="C143" s="90"/>
      <c r="D143" s="91"/>
      <c r="E143" s="92"/>
      <c r="F143" s="92"/>
      <c r="G143" s="92"/>
      <c r="H143" s="92"/>
      <c r="I143" s="93"/>
      <c r="J143" s="94"/>
      <c r="K143" s="94"/>
      <c r="L143" s="95"/>
      <c r="M143" s="66"/>
      <c r="N143" s="96"/>
      <c r="O143" s="97"/>
      <c r="P143" s="58"/>
      <c r="Q143" s="69"/>
      <c r="R143" s="70"/>
      <c r="S143" s="66"/>
      <c r="T143" s="55"/>
      <c r="U143" s="55"/>
      <c r="V143" s="55"/>
      <c r="W143" s="98"/>
      <c r="X143" s="98"/>
      <c r="Y143" s="98"/>
      <c r="Z143" s="98"/>
      <c r="AA143" s="98"/>
      <c r="AB143" s="98"/>
      <c r="AC143" s="98"/>
      <c r="AD143" s="98"/>
      <c r="AE143" s="98"/>
      <c r="AF143" s="98"/>
      <c r="AG143" s="277"/>
      <c r="AH143" s="277"/>
      <c r="AI143" s="277"/>
      <c r="AJ143" s="92"/>
    </row>
    <row r="144" spans="1:36" s="99" customFormat="1" ht="65.099999999999994" customHeight="1">
      <c r="A144" s="89"/>
      <c r="B144" s="89"/>
      <c r="C144" s="90"/>
      <c r="D144" s="91"/>
      <c r="E144" s="92"/>
      <c r="F144" s="92"/>
      <c r="G144" s="92"/>
      <c r="H144" s="92"/>
      <c r="I144" s="93"/>
      <c r="J144" s="94"/>
      <c r="K144" s="94"/>
      <c r="L144" s="95"/>
      <c r="M144" s="66"/>
      <c r="N144" s="96"/>
      <c r="O144" s="97"/>
      <c r="P144" s="58"/>
      <c r="Q144" s="69"/>
      <c r="R144" s="70"/>
      <c r="S144" s="66"/>
      <c r="T144" s="55"/>
      <c r="U144" s="55"/>
      <c r="V144" s="55"/>
      <c r="W144" s="98"/>
      <c r="X144" s="98"/>
      <c r="Y144" s="98"/>
      <c r="Z144" s="98"/>
      <c r="AA144" s="98"/>
      <c r="AB144" s="98"/>
      <c r="AC144" s="98"/>
      <c r="AD144" s="98"/>
      <c r="AE144" s="98"/>
      <c r="AF144" s="98"/>
      <c r="AG144" s="277"/>
      <c r="AH144" s="277"/>
      <c r="AI144" s="277"/>
      <c r="AJ144" s="92"/>
    </row>
    <row r="145" spans="1:36" s="99" customFormat="1" ht="65.099999999999994" customHeight="1">
      <c r="A145" s="89"/>
      <c r="B145" s="89"/>
      <c r="C145" s="90"/>
      <c r="D145" s="91"/>
      <c r="E145" s="92"/>
      <c r="F145" s="92"/>
      <c r="G145" s="92"/>
      <c r="H145" s="92"/>
      <c r="I145" s="93"/>
      <c r="J145" s="94"/>
      <c r="K145" s="94"/>
      <c r="L145" s="95"/>
      <c r="M145" s="66"/>
      <c r="N145" s="96"/>
      <c r="O145" s="97"/>
      <c r="P145" s="58"/>
      <c r="Q145" s="69"/>
      <c r="R145" s="70"/>
      <c r="S145" s="66"/>
      <c r="T145" s="55"/>
      <c r="U145" s="55"/>
      <c r="V145" s="55"/>
      <c r="W145" s="98"/>
      <c r="X145" s="98"/>
      <c r="Y145" s="98"/>
      <c r="Z145" s="98"/>
      <c r="AA145" s="98"/>
      <c r="AB145" s="98"/>
      <c r="AC145" s="98"/>
      <c r="AD145" s="98"/>
      <c r="AE145" s="98"/>
      <c r="AF145" s="98"/>
      <c r="AG145" s="277"/>
      <c r="AH145" s="277"/>
      <c r="AI145" s="277"/>
      <c r="AJ145" s="92"/>
    </row>
    <row r="146" spans="1:36" s="99" customFormat="1" ht="65.099999999999994" customHeight="1">
      <c r="A146" s="89"/>
      <c r="B146" s="89"/>
      <c r="C146" s="90"/>
      <c r="D146" s="91"/>
      <c r="E146" s="92"/>
      <c r="F146" s="92"/>
      <c r="G146" s="92"/>
      <c r="H146" s="92"/>
      <c r="I146" s="93"/>
      <c r="J146" s="94"/>
      <c r="K146" s="94"/>
      <c r="L146" s="95"/>
      <c r="M146" s="66"/>
      <c r="N146" s="96"/>
      <c r="O146" s="97"/>
      <c r="P146" s="58"/>
      <c r="Q146" s="69"/>
      <c r="R146" s="70"/>
      <c r="S146" s="66"/>
      <c r="T146" s="55"/>
      <c r="U146" s="55"/>
      <c r="V146" s="55"/>
      <c r="W146" s="98"/>
      <c r="X146" s="98"/>
      <c r="Y146" s="98"/>
      <c r="Z146" s="98"/>
      <c r="AA146" s="98"/>
      <c r="AB146" s="98"/>
      <c r="AC146" s="98"/>
      <c r="AD146" s="98"/>
      <c r="AE146" s="98"/>
      <c r="AF146" s="98"/>
      <c r="AG146" s="277"/>
      <c r="AH146" s="277"/>
      <c r="AI146" s="277"/>
      <c r="AJ146" s="92"/>
    </row>
    <row r="147" spans="1:36" s="99" customFormat="1" ht="65.099999999999994" customHeight="1">
      <c r="A147" s="89"/>
      <c r="B147" s="89"/>
      <c r="C147" s="90"/>
      <c r="D147" s="91"/>
      <c r="E147" s="92"/>
      <c r="F147" s="92"/>
      <c r="G147" s="92"/>
      <c r="H147" s="92"/>
      <c r="I147" s="93"/>
      <c r="J147" s="94"/>
      <c r="K147" s="94"/>
      <c r="L147" s="95"/>
      <c r="M147" s="66"/>
      <c r="N147" s="96"/>
      <c r="O147" s="97"/>
      <c r="P147" s="58"/>
      <c r="Q147" s="69"/>
      <c r="R147" s="70"/>
      <c r="S147" s="66"/>
      <c r="T147" s="55"/>
      <c r="U147" s="55"/>
      <c r="V147" s="55"/>
      <c r="W147" s="98"/>
      <c r="X147" s="98"/>
      <c r="Y147" s="98"/>
      <c r="Z147" s="98"/>
      <c r="AA147" s="98"/>
      <c r="AB147" s="98"/>
      <c r="AC147" s="98"/>
      <c r="AD147" s="98"/>
      <c r="AE147" s="98"/>
      <c r="AF147" s="98"/>
      <c r="AG147" s="277"/>
      <c r="AH147" s="277"/>
      <c r="AI147" s="277"/>
      <c r="AJ147" s="92"/>
    </row>
    <row r="148" spans="1:36" s="99" customFormat="1" ht="65.099999999999994" customHeight="1">
      <c r="A148" s="89"/>
      <c r="B148" s="89"/>
      <c r="C148" s="90"/>
      <c r="D148" s="91"/>
      <c r="E148" s="92"/>
      <c r="F148" s="92"/>
      <c r="G148" s="92"/>
      <c r="H148" s="92"/>
      <c r="I148" s="93"/>
      <c r="J148" s="94"/>
      <c r="K148" s="94"/>
      <c r="L148" s="95"/>
      <c r="M148" s="66"/>
      <c r="N148" s="96"/>
      <c r="O148" s="97"/>
      <c r="P148" s="58"/>
      <c r="Q148" s="69"/>
      <c r="R148" s="70"/>
      <c r="S148" s="66"/>
      <c r="T148" s="55"/>
      <c r="U148" s="55"/>
      <c r="V148" s="55"/>
      <c r="W148" s="98"/>
      <c r="X148" s="98"/>
      <c r="Y148" s="98"/>
      <c r="Z148" s="98"/>
      <c r="AA148" s="98"/>
      <c r="AB148" s="98"/>
      <c r="AC148" s="98"/>
      <c r="AD148" s="98"/>
      <c r="AE148" s="98"/>
      <c r="AF148" s="98"/>
      <c r="AG148" s="277"/>
      <c r="AH148" s="277"/>
      <c r="AI148" s="277"/>
      <c r="AJ148" s="92"/>
    </row>
    <row r="149" spans="1:36" s="99" customFormat="1" ht="65.099999999999994" customHeight="1">
      <c r="A149" s="89"/>
      <c r="B149" s="89"/>
      <c r="C149" s="90"/>
      <c r="D149" s="91"/>
      <c r="E149" s="92"/>
      <c r="F149" s="92"/>
      <c r="G149" s="92"/>
      <c r="H149" s="92"/>
      <c r="I149" s="93"/>
      <c r="J149" s="94"/>
      <c r="K149" s="94"/>
      <c r="L149" s="95"/>
      <c r="M149" s="66"/>
      <c r="N149" s="96"/>
      <c r="O149" s="97"/>
      <c r="P149" s="58"/>
      <c r="Q149" s="69"/>
      <c r="R149" s="70"/>
      <c r="S149" s="66"/>
      <c r="T149" s="55"/>
      <c r="U149" s="55"/>
      <c r="V149" s="55"/>
      <c r="W149" s="98"/>
      <c r="X149" s="98"/>
      <c r="Y149" s="98"/>
      <c r="Z149" s="98"/>
      <c r="AA149" s="98"/>
      <c r="AB149" s="98"/>
      <c r="AC149" s="98"/>
      <c r="AD149" s="98"/>
      <c r="AE149" s="98"/>
      <c r="AF149" s="98"/>
      <c r="AG149" s="277"/>
      <c r="AH149" s="277"/>
      <c r="AI149" s="277"/>
      <c r="AJ149" s="92"/>
    </row>
    <row r="150" spans="1:36" s="99" customFormat="1" ht="65.099999999999994" customHeight="1">
      <c r="A150" s="89"/>
      <c r="B150" s="89"/>
      <c r="C150" s="90"/>
      <c r="D150" s="91"/>
      <c r="E150" s="92"/>
      <c r="F150" s="92"/>
      <c r="G150" s="92"/>
      <c r="H150" s="92"/>
      <c r="I150" s="93"/>
      <c r="J150" s="94"/>
      <c r="K150" s="94"/>
      <c r="L150" s="95"/>
      <c r="M150" s="66"/>
      <c r="N150" s="96"/>
      <c r="O150" s="97"/>
      <c r="P150" s="58"/>
      <c r="Q150" s="69"/>
      <c r="R150" s="70"/>
      <c r="S150" s="66"/>
      <c r="T150" s="55"/>
      <c r="U150" s="55"/>
      <c r="V150" s="55"/>
      <c r="W150" s="98"/>
      <c r="X150" s="98"/>
      <c r="Y150" s="98"/>
      <c r="Z150" s="98"/>
      <c r="AA150" s="98"/>
      <c r="AB150" s="98"/>
      <c r="AC150" s="98"/>
      <c r="AD150" s="98"/>
      <c r="AE150" s="98"/>
      <c r="AF150" s="98"/>
      <c r="AG150" s="277"/>
      <c r="AH150" s="277"/>
      <c r="AI150" s="277"/>
      <c r="AJ150" s="92"/>
    </row>
    <row r="151" spans="1:36" s="99" customFormat="1" ht="65.099999999999994" customHeight="1">
      <c r="A151" s="89"/>
      <c r="B151" s="89"/>
      <c r="C151" s="90"/>
      <c r="D151" s="91"/>
      <c r="E151" s="92"/>
      <c r="F151" s="92"/>
      <c r="G151" s="92"/>
      <c r="H151" s="92"/>
      <c r="I151" s="93"/>
      <c r="J151" s="94"/>
      <c r="K151" s="94"/>
      <c r="L151" s="95"/>
      <c r="M151" s="66"/>
      <c r="N151" s="96"/>
      <c r="O151" s="97"/>
      <c r="P151" s="58"/>
      <c r="Q151" s="69"/>
      <c r="R151" s="70"/>
      <c r="S151" s="66"/>
      <c r="T151" s="55"/>
      <c r="U151" s="55"/>
      <c r="V151" s="55"/>
      <c r="W151" s="98"/>
      <c r="X151" s="98"/>
      <c r="Y151" s="98"/>
      <c r="Z151" s="98"/>
      <c r="AA151" s="98"/>
      <c r="AB151" s="98"/>
      <c r="AC151" s="98"/>
      <c r="AD151" s="98"/>
      <c r="AE151" s="98"/>
      <c r="AF151" s="98"/>
      <c r="AG151" s="277"/>
      <c r="AH151" s="277"/>
      <c r="AI151" s="277"/>
      <c r="AJ151" s="92"/>
    </row>
    <row r="152" spans="1:36" s="99" customFormat="1" ht="65.099999999999994" customHeight="1">
      <c r="A152" s="89"/>
      <c r="B152" s="89"/>
      <c r="C152" s="90"/>
      <c r="D152" s="91"/>
      <c r="E152" s="92"/>
      <c r="F152" s="92"/>
      <c r="G152" s="92"/>
      <c r="H152" s="92"/>
      <c r="I152" s="93"/>
      <c r="J152" s="94"/>
      <c r="K152" s="94"/>
      <c r="L152" s="95"/>
      <c r="M152" s="66"/>
      <c r="N152" s="96"/>
      <c r="O152" s="97"/>
      <c r="P152" s="58"/>
      <c r="Q152" s="69"/>
      <c r="R152" s="70"/>
      <c r="S152" s="66"/>
      <c r="T152" s="55"/>
      <c r="U152" s="55"/>
      <c r="V152" s="55"/>
      <c r="W152" s="98"/>
      <c r="X152" s="98"/>
      <c r="Y152" s="98"/>
      <c r="Z152" s="98"/>
      <c r="AA152" s="98"/>
      <c r="AB152" s="98"/>
      <c r="AC152" s="98"/>
      <c r="AD152" s="98"/>
      <c r="AE152" s="98"/>
      <c r="AF152" s="98"/>
      <c r="AG152" s="277"/>
      <c r="AH152" s="277"/>
      <c r="AI152" s="277"/>
      <c r="AJ152" s="92"/>
    </row>
    <row r="153" spans="1:36" s="99" customFormat="1" ht="65.099999999999994" customHeight="1">
      <c r="A153" s="89"/>
      <c r="B153" s="89"/>
      <c r="C153" s="90"/>
      <c r="D153" s="91"/>
      <c r="E153" s="92"/>
      <c r="F153" s="92"/>
      <c r="G153" s="92"/>
      <c r="H153" s="92"/>
      <c r="I153" s="93"/>
      <c r="J153" s="94"/>
      <c r="K153" s="94"/>
      <c r="L153" s="95"/>
      <c r="M153" s="66"/>
      <c r="N153" s="96"/>
      <c r="O153" s="97"/>
      <c r="P153" s="58"/>
      <c r="Q153" s="69"/>
      <c r="R153" s="70"/>
      <c r="S153" s="66"/>
      <c r="T153" s="55"/>
      <c r="U153" s="55"/>
      <c r="V153" s="55"/>
      <c r="W153" s="98"/>
      <c r="X153" s="98"/>
      <c r="Y153" s="98"/>
      <c r="Z153" s="98"/>
      <c r="AA153" s="98"/>
      <c r="AB153" s="98"/>
      <c r="AC153" s="98"/>
      <c r="AD153" s="98"/>
      <c r="AE153" s="98"/>
      <c r="AF153" s="98"/>
      <c r="AG153" s="277"/>
      <c r="AH153" s="277"/>
      <c r="AI153" s="277"/>
      <c r="AJ153" s="92"/>
    </row>
    <row r="154" spans="1:36" s="99" customFormat="1" ht="65.099999999999994" customHeight="1">
      <c r="A154" s="89"/>
      <c r="B154" s="89"/>
      <c r="C154" s="90"/>
      <c r="D154" s="91"/>
      <c r="E154" s="92"/>
      <c r="F154" s="92"/>
      <c r="G154" s="92"/>
      <c r="H154" s="92"/>
      <c r="I154" s="93"/>
      <c r="J154" s="94"/>
      <c r="K154" s="94"/>
      <c r="L154" s="95"/>
      <c r="M154" s="66"/>
      <c r="N154" s="96"/>
      <c r="O154" s="97"/>
      <c r="P154" s="58"/>
      <c r="Q154" s="69"/>
      <c r="R154" s="70"/>
      <c r="S154" s="66"/>
      <c r="T154" s="55"/>
      <c r="U154" s="55"/>
      <c r="V154" s="55"/>
      <c r="W154" s="98"/>
      <c r="X154" s="98"/>
      <c r="Y154" s="98"/>
      <c r="Z154" s="98"/>
      <c r="AA154" s="98"/>
      <c r="AB154" s="98"/>
      <c r="AC154" s="98"/>
      <c r="AD154" s="98"/>
      <c r="AE154" s="98"/>
      <c r="AF154" s="98"/>
      <c r="AG154" s="277"/>
      <c r="AH154" s="277"/>
      <c r="AI154" s="277"/>
      <c r="AJ154" s="92"/>
    </row>
    <row r="155" spans="1:36" s="99" customFormat="1" ht="65.099999999999994" customHeight="1">
      <c r="A155" s="89"/>
      <c r="B155" s="89"/>
      <c r="C155" s="90"/>
      <c r="D155" s="91"/>
      <c r="E155" s="92"/>
      <c r="F155" s="92"/>
      <c r="G155" s="92"/>
      <c r="H155" s="92"/>
      <c r="I155" s="93"/>
      <c r="J155" s="94"/>
      <c r="K155" s="94"/>
      <c r="L155" s="95"/>
      <c r="M155" s="66"/>
      <c r="N155" s="96"/>
      <c r="O155" s="97"/>
      <c r="P155" s="58"/>
      <c r="Q155" s="69"/>
      <c r="R155" s="70"/>
      <c r="S155" s="66"/>
      <c r="T155" s="55"/>
      <c r="U155" s="55"/>
      <c r="V155" s="55"/>
      <c r="W155" s="98"/>
      <c r="X155" s="98"/>
      <c r="Y155" s="98"/>
      <c r="Z155" s="98"/>
      <c r="AA155" s="98"/>
      <c r="AB155" s="98"/>
      <c r="AC155" s="98"/>
      <c r="AD155" s="98"/>
      <c r="AE155" s="98"/>
      <c r="AF155" s="98"/>
      <c r="AG155" s="277"/>
      <c r="AH155" s="277"/>
      <c r="AI155" s="277"/>
      <c r="AJ155" s="92"/>
    </row>
    <row r="156" spans="1:36" s="99" customFormat="1" ht="65.099999999999994" customHeight="1">
      <c r="A156" s="89"/>
      <c r="B156" s="89"/>
      <c r="C156" s="90"/>
      <c r="D156" s="91"/>
      <c r="E156" s="92"/>
      <c r="F156" s="92"/>
      <c r="G156" s="92"/>
      <c r="H156" s="92"/>
      <c r="I156" s="93"/>
      <c r="J156" s="94"/>
      <c r="K156" s="94"/>
      <c r="L156" s="95"/>
      <c r="M156" s="66"/>
      <c r="N156" s="96"/>
      <c r="O156" s="97"/>
      <c r="P156" s="58"/>
      <c r="Q156" s="69"/>
      <c r="R156" s="70"/>
      <c r="S156" s="66"/>
      <c r="T156" s="55"/>
      <c r="U156" s="55"/>
      <c r="V156" s="55"/>
      <c r="W156" s="98"/>
      <c r="X156" s="98"/>
      <c r="Y156" s="98"/>
      <c r="Z156" s="98"/>
      <c r="AA156" s="98"/>
      <c r="AB156" s="98"/>
      <c r="AC156" s="98"/>
      <c r="AD156" s="98"/>
      <c r="AE156" s="98"/>
      <c r="AF156" s="98"/>
      <c r="AG156" s="277"/>
      <c r="AH156" s="277"/>
      <c r="AI156" s="277"/>
      <c r="AJ156" s="92"/>
    </row>
    <row r="157" spans="1:36" s="99" customFormat="1" ht="65.099999999999994" customHeight="1">
      <c r="A157" s="89"/>
      <c r="B157" s="89"/>
      <c r="C157" s="90"/>
      <c r="D157" s="91"/>
      <c r="E157" s="92"/>
      <c r="F157" s="92"/>
      <c r="G157" s="92"/>
      <c r="H157" s="92"/>
      <c r="I157" s="93"/>
      <c r="J157" s="94"/>
      <c r="K157" s="94"/>
      <c r="L157" s="95"/>
      <c r="M157" s="66"/>
      <c r="N157" s="96"/>
      <c r="O157" s="97"/>
      <c r="P157" s="58"/>
      <c r="Q157" s="69"/>
      <c r="R157" s="70"/>
      <c r="S157" s="66"/>
      <c r="T157" s="55"/>
      <c r="U157" s="55"/>
      <c r="V157" s="55"/>
      <c r="W157" s="98"/>
      <c r="X157" s="98"/>
      <c r="Y157" s="98"/>
      <c r="Z157" s="98"/>
      <c r="AA157" s="98"/>
      <c r="AB157" s="98"/>
      <c r="AC157" s="98"/>
      <c r="AD157" s="98"/>
      <c r="AE157" s="98"/>
      <c r="AF157" s="98"/>
      <c r="AG157" s="277"/>
      <c r="AH157" s="277"/>
      <c r="AI157" s="277"/>
      <c r="AJ157" s="92"/>
    </row>
    <row r="158" spans="1:36" s="99" customFormat="1" ht="65.099999999999994" customHeight="1">
      <c r="A158" s="89"/>
      <c r="B158" s="89"/>
      <c r="C158" s="90"/>
      <c r="D158" s="91"/>
      <c r="E158" s="92"/>
      <c r="F158" s="92"/>
      <c r="G158" s="92"/>
      <c r="H158" s="92"/>
      <c r="I158" s="93"/>
      <c r="J158" s="94"/>
      <c r="K158" s="94"/>
      <c r="L158" s="95"/>
      <c r="M158" s="66"/>
      <c r="N158" s="96"/>
      <c r="O158" s="97"/>
      <c r="P158" s="58"/>
      <c r="Q158" s="69"/>
      <c r="R158" s="70"/>
      <c r="S158" s="66"/>
      <c r="T158" s="55"/>
      <c r="U158" s="55"/>
      <c r="V158" s="55"/>
      <c r="W158" s="98"/>
      <c r="X158" s="98"/>
      <c r="Y158" s="98"/>
      <c r="Z158" s="98"/>
      <c r="AA158" s="98"/>
      <c r="AB158" s="98"/>
      <c r="AC158" s="98"/>
      <c r="AD158" s="98"/>
      <c r="AE158" s="98"/>
      <c r="AF158" s="98"/>
      <c r="AG158" s="277"/>
      <c r="AH158" s="277"/>
      <c r="AI158" s="277"/>
      <c r="AJ158" s="92"/>
    </row>
    <row r="159" spans="1:36" s="99" customFormat="1" ht="65.099999999999994" customHeight="1">
      <c r="A159" s="89"/>
      <c r="B159" s="89"/>
      <c r="C159" s="90"/>
      <c r="D159" s="91"/>
      <c r="E159" s="92"/>
      <c r="F159" s="92"/>
      <c r="G159" s="92"/>
      <c r="H159" s="92"/>
      <c r="I159" s="93"/>
      <c r="J159" s="94"/>
      <c r="K159" s="94"/>
      <c r="L159" s="95"/>
      <c r="M159" s="66"/>
      <c r="N159" s="96"/>
      <c r="O159" s="97"/>
      <c r="P159" s="58"/>
      <c r="Q159" s="69"/>
      <c r="R159" s="70"/>
      <c r="S159" s="66"/>
      <c r="T159" s="55"/>
      <c r="U159" s="55"/>
      <c r="V159" s="55"/>
      <c r="W159" s="98"/>
      <c r="X159" s="98"/>
      <c r="Y159" s="98"/>
      <c r="Z159" s="98"/>
      <c r="AA159" s="98"/>
      <c r="AB159" s="98"/>
      <c r="AC159" s="98"/>
      <c r="AD159" s="98"/>
      <c r="AE159" s="98"/>
      <c r="AF159" s="98"/>
      <c r="AG159" s="277"/>
      <c r="AH159" s="277"/>
      <c r="AI159" s="277"/>
      <c r="AJ159" s="92"/>
    </row>
    <row r="160" spans="1:36" s="99" customFormat="1" ht="65.099999999999994" customHeight="1">
      <c r="A160" s="89"/>
      <c r="B160" s="89"/>
      <c r="C160" s="90"/>
      <c r="D160" s="91"/>
      <c r="E160" s="92"/>
      <c r="F160" s="92"/>
      <c r="G160" s="92"/>
      <c r="H160" s="92"/>
      <c r="I160" s="93"/>
      <c r="J160" s="94"/>
      <c r="K160" s="94"/>
      <c r="L160" s="95"/>
      <c r="M160" s="66"/>
      <c r="N160" s="96"/>
      <c r="O160" s="97"/>
      <c r="P160" s="58"/>
      <c r="Q160" s="69"/>
      <c r="R160" s="70"/>
      <c r="S160" s="66"/>
      <c r="T160" s="55"/>
      <c r="U160" s="55"/>
      <c r="V160" s="55"/>
      <c r="W160" s="98"/>
      <c r="X160" s="98"/>
      <c r="Y160" s="98"/>
      <c r="Z160" s="98"/>
      <c r="AA160" s="98"/>
      <c r="AB160" s="98"/>
      <c r="AC160" s="98"/>
      <c r="AD160" s="98"/>
      <c r="AE160" s="98"/>
      <c r="AF160" s="98"/>
      <c r="AG160" s="277"/>
      <c r="AH160" s="277"/>
      <c r="AI160" s="277"/>
      <c r="AJ160" s="92"/>
    </row>
    <row r="161" spans="1:36" s="99" customFormat="1" ht="65.099999999999994" customHeight="1">
      <c r="A161" s="89"/>
      <c r="B161" s="89"/>
      <c r="C161" s="90"/>
      <c r="D161" s="91"/>
      <c r="E161" s="92"/>
      <c r="F161" s="92"/>
      <c r="G161" s="92"/>
      <c r="H161" s="92"/>
      <c r="I161" s="93"/>
      <c r="J161" s="94"/>
      <c r="K161" s="94"/>
      <c r="L161" s="95"/>
      <c r="M161" s="66"/>
      <c r="N161" s="96"/>
      <c r="O161" s="97"/>
      <c r="P161" s="58"/>
      <c r="Q161" s="69"/>
      <c r="R161" s="70"/>
      <c r="S161" s="66"/>
      <c r="T161" s="55"/>
      <c r="U161" s="55"/>
      <c r="V161" s="55"/>
      <c r="W161" s="98"/>
      <c r="X161" s="98"/>
      <c r="Y161" s="98"/>
      <c r="Z161" s="98"/>
      <c r="AA161" s="98"/>
      <c r="AB161" s="98"/>
      <c r="AC161" s="98"/>
      <c r="AD161" s="98"/>
      <c r="AE161" s="98"/>
      <c r="AF161" s="98"/>
      <c r="AG161" s="277"/>
      <c r="AH161" s="277"/>
      <c r="AI161" s="277"/>
      <c r="AJ161" s="92"/>
    </row>
    <row r="162" spans="1:36" s="99" customFormat="1" ht="65.099999999999994" customHeight="1">
      <c r="A162" s="89"/>
      <c r="B162" s="89"/>
      <c r="C162" s="90"/>
      <c r="D162" s="91"/>
      <c r="E162" s="92"/>
      <c r="F162" s="92"/>
      <c r="G162" s="92"/>
      <c r="H162" s="92"/>
      <c r="I162" s="93"/>
      <c r="J162" s="94"/>
      <c r="K162" s="94"/>
      <c r="L162" s="95"/>
      <c r="M162" s="66"/>
      <c r="N162" s="96"/>
      <c r="O162" s="97"/>
      <c r="P162" s="58"/>
      <c r="Q162" s="69"/>
      <c r="R162" s="70"/>
      <c r="S162" s="66"/>
      <c r="T162" s="55"/>
      <c r="U162" s="55"/>
      <c r="V162" s="55"/>
      <c r="W162" s="98"/>
      <c r="X162" s="98"/>
      <c r="Y162" s="98"/>
      <c r="Z162" s="98"/>
      <c r="AA162" s="98"/>
      <c r="AB162" s="98"/>
      <c r="AC162" s="98"/>
      <c r="AD162" s="98"/>
      <c r="AE162" s="98"/>
      <c r="AF162" s="98"/>
      <c r="AG162" s="277"/>
      <c r="AH162" s="277"/>
      <c r="AI162" s="277"/>
      <c r="AJ162" s="92"/>
    </row>
    <row r="163" spans="1:36" s="99" customFormat="1" ht="65.099999999999994" customHeight="1">
      <c r="A163" s="89"/>
      <c r="B163" s="89"/>
      <c r="C163" s="90"/>
      <c r="D163" s="91"/>
      <c r="E163" s="92"/>
      <c r="F163" s="92"/>
      <c r="G163" s="92"/>
      <c r="H163" s="92"/>
      <c r="I163" s="93"/>
      <c r="J163" s="94"/>
      <c r="K163" s="94"/>
      <c r="L163" s="95"/>
      <c r="M163" s="66"/>
      <c r="N163" s="96"/>
      <c r="O163" s="97"/>
      <c r="P163" s="58"/>
      <c r="Q163" s="69"/>
      <c r="R163" s="70"/>
      <c r="S163" s="66"/>
      <c r="T163" s="55"/>
      <c r="U163" s="55"/>
      <c r="V163" s="55"/>
      <c r="W163" s="98"/>
      <c r="X163" s="98"/>
      <c r="Y163" s="98"/>
      <c r="Z163" s="98"/>
      <c r="AA163" s="98"/>
      <c r="AB163" s="98"/>
      <c r="AC163" s="98"/>
      <c r="AD163" s="98"/>
      <c r="AE163" s="98"/>
      <c r="AF163" s="98"/>
      <c r="AG163" s="277"/>
      <c r="AH163" s="277"/>
      <c r="AI163" s="277"/>
      <c r="AJ163" s="92"/>
    </row>
    <row r="164" spans="1:36" s="99" customFormat="1" ht="65.099999999999994" customHeight="1">
      <c r="A164" s="89"/>
      <c r="B164" s="89"/>
      <c r="C164" s="90"/>
      <c r="D164" s="91"/>
      <c r="E164" s="92"/>
      <c r="F164" s="92"/>
      <c r="G164" s="92"/>
      <c r="H164" s="92"/>
      <c r="I164" s="93"/>
      <c r="J164" s="94"/>
      <c r="K164" s="94"/>
      <c r="L164" s="95"/>
      <c r="M164" s="66"/>
      <c r="N164" s="96"/>
      <c r="O164" s="97"/>
      <c r="P164" s="58"/>
      <c r="Q164" s="69"/>
      <c r="R164" s="70"/>
      <c r="S164" s="66"/>
      <c r="T164" s="55"/>
      <c r="U164" s="55"/>
      <c r="V164" s="55"/>
      <c r="W164" s="98"/>
      <c r="X164" s="98"/>
      <c r="Y164" s="98"/>
      <c r="Z164" s="98"/>
      <c r="AA164" s="98"/>
      <c r="AB164" s="98"/>
      <c r="AC164" s="98"/>
      <c r="AD164" s="98"/>
      <c r="AE164" s="98"/>
      <c r="AF164" s="98"/>
      <c r="AG164" s="277"/>
      <c r="AH164" s="277"/>
      <c r="AI164" s="277"/>
      <c r="AJ164" s="92"/>
    </row>
    <row r="165" spans="1:36" s="99" customFormat="1" ht="65.099999999999994" customHeight="1">
      <c r="A165" s="89"/>
      <c r="B165" s="89"/>
      <c r="C165" s="90"/>
      <c r="D165" s="91"/>
      <c r="E165" s="92"/>
      <c r="F165" s="92"/>
      <c r="G165" s="92"/>
      <c r="H165" s="92"/>
      <c r="I165" s="93"/>
      <c r="J165" s="94"/>
      <c r="K165" s="94"/>
      <c r="L165" s="95"/>
      <c r="M165" s="66"/>
      <c r="N165" s="96"/>
      <c r="O165" s="97"/>
      <c r="P165" s="58"/>
      <c r="Q165" s="69"/>
      <c r="R165" s="70"/>
      <c r="S165" s="66"/>
      <c r="T165" s="55"/>
      <c r="U165" s="55"/>
      <c r="V165" s="55"/>
      <c r="W165" s="98"/>
      <c r="X165" s="98"/>
      <c r="Y165" s="98"/>
      <c r="Z165" s="98"/>
      <c r="AA165" s="98"/>
      <c r="AB165" s="98"/>
      <c r="AC165" s="98"/>
      <c r="AD165" s="98"/>
      <c r="AE165" s="98"/>
      <c r="AF165" s="98"/>
      <c r="AG165" s="277"/>
      <c r="AH165" s="277"/>
      <c r="AI165" s="277"/>
      <c r="AJ165" s="92"/>
    </row>
    <row r="166" spans="1:36" s="99" customFormat="1" ht="65.099999999999994" customHeight="1">
      <c r="A166" s="89"/>
      <c r="B166" s="89"/>
      <c r="C166" s="90"/>
      <c r="D166" s="91"/>
      <c r="E166" s="92"/>
      <c r="F166" s="92"/>
      <c r="G166" s="92"/>
      <c r="H166" s="92"/>
      <c r="I166" s="93"/>
      <c r="J166" s="94"/>
      <c r="K166" s="94"/>
      <c r="L166" s="95"/>
      <c r="M166" s="66"/>
      <c r="N166" s="96"/>
      <c r="O166" s="97"/>
      <c r="P166" s="58"/>
      <c r="Q166" s="69"/>
      <c r="R166" s="70"/>
      <c r="S166" s="66"/>
      <c r="T166" s="55"/>
      <c r="U166" s="55"/>
      <c r="V166" s="55"/>
      <c r="W166" s="98"/>
      <c r="X166" s="98"/>
      <c r="Y166" s="98"/>
      <c r="Z166" s="98"/>
      <c r="AA166" s="98"/>
      <c r="AB166" s="98"/>
      <c r="AC166" s="98"/>
      <c r="AD166" s="98"/>
      <c r="AE166" s="98"/>
      <c r="AF166" s="98"/>
      <c r="AG166" s="277"/>
      <c r="AH166" s="277"/>
      <c r="AI166" s="277"/>
      <c r="AJ166" s="92"/>
    </row>
    <row r="167" spans="1:36" s="99" customFormat="1" ht="65.099999999999994" customHeight="1">
      <c r="A167" s="89"/>
      <c r="B167" s="89"/>
      <c r="C167" s="90"/>
      <c r="D167" s="91"/>
      <c r="E167" s="92"/>
      <c r="F167" s="92"/>
      <c r="G167" s="92"/>
      <c r="H167" s="92"/>
      <c r="I167" s="93"/>
      <c r="J167" s="94"/>
      <c r="K167" s="94"/>
      <c r="L167" s="95"/>
      <c r="M167" s="66"/>
      <c r="N167" s="96"/>
      <c r="O167" s="97"/>
      <c r="P167" s="58"/>
      <c r="Q167" s="69"/>
      <c r="R167" s="70"/>
      <c r="S167" s="66"/>
      <c r="T167" s="55"/>
      <c r="U167" s="55"/>
      <c r="V167" s="55"/>
      <c r="W167" s="98"/>
      <c r="X167" s="98"/>
      <c r="Y167" s="98"/>
      <c r="Z167" s="98"/>
      <c r="AA167" s="98"/>
      <c r="AB167" s="98"/>
      <c r="AC167" s="98"/>
      <c r="AD167" s="98"/>
      <c r="AE167" s="98"/>
      <c r="AF167" s="98"/>
      <c r="AG167" s="277"/>
      <c r="AH167" s="277"/>
      <c r="AI167" s="277"/>
      <c r="AJ167" s="92"/>
    </row>
    <row r="168" spans="1:36" s="99" customFormat="1" ht="65.099999999999994" customHeight="1">
      <c r="A168" s="89"/>
      <c r="B168" s="89"/>
      <c r="C168" s="90"/>
      <c r="D168" s="91"/>
      <c r="E168" s="92"/>
      <c r="F168" s="92"/>
      <c r="G168" s="92"/>
      <c r="H168" s="92"/>
      <c r="I168" s="93"/>
      <c r="J168" s="94"/>
      <c r="K168" s="94"/>
      <c r="L168" s="95"/>
      <c r="M168" s="66"/>
      <c r="N168" s="96"/>
      <c r="O168" s="97"/>
      <c r="P168" s="58"/>
      <c r="Q168" s="69"/>
      <c r="R168" s="70"/>
      <c r="S168" s="66"/>
      <c r="T168" s="55"/>
      <c r="U168" s="55"/>
      <c r="V168" s="55"/>
      <c r="W168" s="98"/>
      <c r="X168" s="98"/>
      <c r="Y168" s="98"/>
      <c r="Z168" s="98"/>
      <c r="AA168" s="98"/>
      <c r="AB168" s="98"/>
      <c r="AC168" s="98"/>
      <c r="AD168" s="98"/>
      <c r="AE168" s="98"/>
      <c r="AF168" s="98"/>
      <c r="AG168" s="277"/>
      <c r="AH168" s="277"/>
      <c r="AI168" s="277"/>
      <c r="AJ168" s="92"/>
    </row>
    <row r="169" spans="1:36" s="99" customFormat="1" ht="65.099999999999994" customHeight="1">
      <c r="A169" s="89"/>
      <c r="B169" s="89"/>
      <c r="C169" s="90"/>
      <c r="D169" s="91"/>
      <c r="E169" s="92"/>
      <c r="F169" s="92"/>
      <c r="G169" s="92"/>
      <c r="H169" s="92"/>
      <c r="I169" s="93"/>
      <c r="J169" s="94"/>
      <c r="K169" s="94"/>
      <c r="L169" s="95"/>
      <c r="M169" s="66"/>
      <c r="N169" s="96"/>
      <c r="O169" s="97"/>
      <c r="P169" s="58"/>
      <c r="Q169" s="69"/>
      <c r="R169" s="70"/>
      <c r="S169" s="66"/>
      <c r="T169" s="55"/>
      <c r="U169" s="55"/>
      <c r="V169" s="55"/>
      <c r="W169" s="98"/>
      <c r="X169" s="98"/>
      <c r="Y169" s="98"/>
      <c r="Z169" s="98"/>
      <c r="AA169" s="98"/>
      <c r="AB169" s="98"/>
      <c r="AC169" s="98"/>
      <c r="AD169" s="98"/>
      <c r="AE169" s="98"/>
      <c r="AF169" s="98"/>
      <c r="AG169" s="277"/>
      <c r="AH169" s="277"/>
      <c r="AI169" s="277"/>
      <c r="AJ169" s="92"/>
    </row>
    <row r="170" spans="1:36" s="99" customFormat="1" ht="65.099999999999994" customHeight="1">
      <c r="A170" s="89"/>
      <c r="B170" s="89"/>
      <c r="C170" s="90"/>
      <c r="D170" s="91"/>
      <c r="E170" s="92"/>
      <c r="F170" s="92"/>
      <c r="G170" s="92"/>
      <c r="H170" s="92"/>
      <c r="I170" s="93"/>
      <c r="J170" s="94"/>
      <c r="K170" s="94"/>
      <c r="L170" s="95"/>
      <c r="M170" s="66"/>
      <c r="N170" s="96"/>
      <c r="O170" s="97"/>
      <c r="P170" s="58"/>
      <c r="Q170" s="69"/>
      <c r="R170" s="70"/>
      <c r="S170" s="66"/>
      <c r="T170" s="55"/>
      <c r="U170" s="55"/>
      <c r="V170" s="55"/>
      <c r="W170" s="98"/>
      <c r="X170" s="98"/>
      <c r="Y170" s="98"/>
      <c r="Z170" s="98"/>
      <c r="AA170" s="98"/>
      <c r="AB170" s="98"/>
      <c r="AC170" s="98"/>
      <c r="AD170" s="98"/>
      <c r="AE170" s="98"/>
      <c r="AF170" s="98"/>
      <c r="AG170" s="277"/>
      <c r="AH170" s="277"/>
      <c r="AI170" s="277"/>
      <c r="AJ170" s="92"/>
    </row>
    <row r="171" spans="1:36" s="99" customFormat="1" ht="65.099999999999994" customHeight="1">
      <c r="A171" s="89"/>
      <c r="B171" s="89"/>
      <c r="C171" s="90"/>
      <c r="D171" s="91"/>
      <c r="E171" s="92"/>
      <c r="F171" s="92"/>
      <c r="G171" s="92"/>
      <c r="H171" s="92"/>
      <c r="I171" s="93"/>
      <c r="J171" s="94"/>
      <c r="K171" s="94"/>
      <c r="L171" s="95"/>
      <c r="M171" s="66"/>
      <c r="N171" s="96"/>
      <c r="O171" s="97"/>
      <c r="P171" s="58"/>
      <c r="Q171" s="69"/>
      <c r="R171" s="70"/>
      <c r="S171" s="66"/>
      <c r="T171" s="55"/>
      <c r="U171" s="55"/>
      <c r="V171" s="55"/>
      <c r="W171" s="98"/>
      <c r="X171" s="98"/>
      <c r="Y171" s="98"/>
      <c r="Z171" s="98"/>
      <c r="AA171" s="98"/>
      <c r="AB171" s="98"/>
      <c r="AC171" s="98"/>
      <c r="AD171" s="98"/>
      <c r="AE171" s="98"/>
      <c r="AF171" s="98"/>
      <c r="AG171" s="277"/>
      <c r="AH171" s="277"/>
      <c r="AI171" s="277"/>
      <c r="AJ171" s="92"/>
    </row>
    <row r="172" spans="1:36" s="99" customFormat="1" ht="65.099999999999994" customHeight="1">
      <c r="A172" s="89"/>
      <c r="B172" s="89"/>
      <c r="C172" s="90"/>
      <c r="D172" s="91"/>
      <c r="E172" s="92"/>
      <c r="F172" s="92"/>
      <c r="G172" s="92"/>
      <c r="H172" s="92"/>
      <c r="I172" s="93"/>
      <c r="J172" s="94"/>
      <c r="K172" s="94"/>
      <c r="L172" s="95"/>
      <c r="M172" s="66"/>
      <c r="N172" s="96"/>
      <c r="O172" s="97"/>
      <c r="P172" s="58"/>
      <c r="Q172" s="69"/>
      <c r="R172" s="70"/>
      <c r="S172" s="66"/>
      <c r="T172" s="55"/>
      <c r="U172" s="55"/>
      <c r="V172" s="55"/>
      <c r="W172" s="98"/>
      <c r="X172" s="98"/>
      <c r="Y172" s="98"/>
      <c r="Z172" s="98"/>
      <c r="AA172" s="98"/>
      <c r="AB172" s="98"/>
      <c r="AC172" s="98"/>
      <c r="AD172" s="98"/>
      <c r="AE172" s="98"/>
      <c r="AF172" s="98"/>
      <c r="AG172" s="277"/>
      <c r="AH172" s="277"/>
      <c r="AI172" s="277"/>
      <c r="AJ172" s="92"/>
    </row>
    <row r="173" spans="1:36" s="99" customFormat="1" ht="65.099999999999994" customHeight="1">
      <c r="A173" s="89"/>
      <c r="B173" s="89"/>
      <c r="C173" s="90"/>
      <c r="D173" s="91"/>
      <c r="E173" s="92"/>
      <c r="F173" s="92"/>
      <c r="G173" s="92"/>
      <c r="H173" s="92"/>
      <c r="I173" s="93"/>
      <c r="J173" s="94"/>
      <c r="K173" s="94"/>
      <c r="L173" s="95"/>
      <c r="M173" s="66"/>
      <c r="N173" s="96"/>
      <c r="O173" s="97"/>
      <c r="P173" s="58"/>
      <c r="Q173" s="69"/>
      <c r="R173" s="70"/>
      <c r="S173" s="66"/>
      <c r="T173" s="55"/>
      <c r="U173" s="55"/>
      <c r="V173" s="55"/>
      <c r="W173" s="98"/>
      <c r="X173" s="98"/>
      <c r="Y173" s="98"/>
      <c r="Z173" s="98"/>
      <c r="AA173" s="98"/>
      <c r="AB173" s="98"/>
      <c r="AC173" s="98"/>
      <c r="AD173" s="98"/>
      <c r="AE173" s="98"/>
      <c r="AF173" s="98"/>
      <c r="AG173" s="277"/>
      <c r="AH173" s="277"/>
      <c r="AI173" s="277"/>
      <c r="AJ173" s="92"/>
    </row>
    <row r="174" spans="1:36" s="99" customFormat="1" ht="65.099999999999994" customHeight="1">
      <c r="A174" s="89"/>
      <c r="B174" s="89"/>
      <c r="C174" s="90"/>
      <c r="D174" s="91"/>
      <c r="E174" s="92"/>
      <c r="F174" s="92"/>
      <c r="G174" s="92"/>
      <c r="H174" s="92"/>
      <c r="I174" s="93"/>
      <c r="J174" s="94"/>
      <c r="K174" s="94"/>
      <c r="L174" s="95"/>
      <c r="M174" s="66"/>
      <c r="N174" s="96"/>
      <c r="O174" s="97"/>
      <c r="P174" s="58"/>
      <c r="Q174" s="69"/>
      <c r="R174" s="70"/>
      <c r="S174" s="66"/>
      <c r="T174" s="55"/>
      <c r="U174" s="55"/>
      <c r="V174" s="55"/>
      <c r="W174" s="98"/>
      <c r="X174" s="98"/>
      <c r="Y174" s="98"/>
      <c r="Z174" s="98"/>
      <c r="AA174" s="98"/>
      <c r="AB174" s="98"/>
      <c r="AC174" s="98"/>
      <c r="AD174" s="98"/>
      <c r="AE174" s="98"/>
      <c r="AF174" s="98"/>
      <c r="AG174" s="277"/>
      <c r="AH174" s="277"/>
      <c r="AI174" s="277"/>
      <c r="AJ174" s="92"/>
    </row>
    <row r="175" spans="1:36" s="99" customFormat="1" ht="65.099999999999994" customHeight="1">
      <c r="A175" s="89"/>
      <c r="B175" s="89"/>
      <c r="C175" s="90"/>
      <c r="D175" s="91"/>
      <c r="E175" s="92"/>
      <c r="F175" s="92"/>
      <c r="G175" s="92"/>
      <c r="H175" s="92"/>
      <c r="I175" s="93"/>
      <c r="J175" s="94"/>
      <c r="K175" s="94"/>
      <c r="L175" s="95"/>
      <c r="M175" s="66"/>
      <c r="N175" s="96"/>
      <c r="O175" s="97"/>
      <c r="P175" s="58"/>
      <c r="Q175" s="69"/>
      <c r="R175" s="70"/>
      <c r="S175" s="66"/>
      <c r="T175" s="55"/>
      <c r="U175" s="55"/>
      <c r="V175" s="55"/>
      <c r="W175" s="98"/>
      <c r="X175" s="98"/>
      <c r="Y175" s="98"/>
      <c r="Z175" s="98"/>
      <c r="AA175" s="98"/>
      <c r="AB175" s="98"/>
      <c r="AC175" s="98"/>
      <c r="AD175" s="98"/>
      <c r="AE175" s="98"/>
      <c r="AF175" s="98"/>
      <c r="AG175" s="277"/>
      <c r="AH175" s="277"/>
      <c r="AI175" s="277"/>
      <c r="AJ175" s="92"/>
    </row>
    <row r="176" spans="1:36" s="99" customFormat="1" ht="65.099999999999994" customHeight="1">
      <c r="A176" s="89"/>
      <c r="B176" s="89"/>
      <c r="C176" s="90"/>
      <c r="D176" s="91"/>
      <c r="E176" s="92"/>
      <c r="F176" s="92"/>
      <c r="G176" s="92"/>
      <c r="H176" s="92"/>
      <c r="I176" s="93"/>
      <c r="J176" s="94"/>
      <c r="K176" s="94"/>
      <c r="L176" s="95"/>
      <c r="M176" s="66"/>
      <c r="N176" s="96"/>
      <c r="O176" s="97"/>
      <c r="P176" s="58"/>
      <c r="Q176" s="69"/>
      <c r="R176" s="70"/>
      <c r="S176" s="66"/>
      <c r="T176" s="55"/>
      <c r="U176" s="55"/>
      <c r="V176" s="55"/>
      <c r="W176" s="98"/>
      <c r="X176" s="98"/>
      <c r="Y176" s="98"/>
      <c r="Z176" s="98"/>
      <c r="AA176" s="98"/>
      <c r="AB176" s="98"/>
      <c r="AC176" s="98"/>
      <c r="AD176" s="98"/>
      <c r="AE176" s="98"/>
      <c r="AF176" s="98"/>
      <c r="AG176" s="277"/>
      <c r="AH176" s="277"/>
      <c r="AI176" s="277"/>
      <c r="AJ176" s="92"/>
    </row>
    <row r="177" spans="1:36" s="99" customFormat="1" ht="65.099999999999994" customHeight="1">
      <c r="A177" s="89"/>
      <c r="B177" s="89"/>
      <c r="C177" s="90"/>
      <c r="D177" s="91"/>
      <c r="E177" s="92"/>
      <c r="F177" s="92"/>
      <c r="G177" s="92"/>
      <c r="H177" s="92"/>
      <c r="I177" s="93"/>
      <c r="J177" s="94"/>
      <c r="K177" s="94"/>
      <c r="L177" s="95"/>
      <c r="M177" s="66"/>
      <c r="N177" s="96"/>
      <c r="O177" s="97"/>
      <c r="P177" s="58"/>
      <c r="Q177" s="69"/>
      <c r="R177" s="70"/>
      <c r="S177" s="66"/>
      <c r="T177" s="55"/>
      <c r="U177" s="55"/>
      <c r="V177" s="55"/>
      <c r="W177" s="98"/>
      <c r="X177" s="98"/>
      <c r="Y177" s="98"/>
      <c r="Z177" s="98"/>
      <c r="AA177" s="98"/>
      <c r="AB177" s="98"/>
      <c r="AC177" s="98"/>
      <c r="AD177" s="98"/>
      <c r="AE177" s="98"/>
      <c r="AF177" s="98"/>
      <c r="AG177" s="277"/>
      <c r="AH177" s="277"/>
      <c r="AI177" s="277"/>
      <c r="AJ177" s="92"/>
    </row>
    <row r="178" spans="1:36" s="99" customFormat="1" ht="65.099999999999994" customHeight="1">
      <c r="A178" s="89"/>
      <c r="B178" s="89"/>
      <c r="C178" s="90"/>
      <c r="D178" s="91"/>
      <c r="E178" s="92"/>
      <c r="F178" s="92"/>
      <c r="G178" s="92"/>
      <c r="H178" s="92"/>
      <c r="I178" s="93"/>
      <c r="J178" s="94"/>
      <c r="K178" s="94"/>
      <c r="L178" s="95"/>
      <c r="M178" s="66"/>
      <c r="N178" s="96"/>
      <c r="O178" s="97"/>
      <c r="P178" s="58"/>
      <c r="Q178" s="69"/>
      <c r="R178" s="70"/>
      <c r="S178" s="66"/>
      <c r="T178" s="55"/>
      <c r="U178" s="55"/>
      <c r="V178" s="55"/>
      <c r="W178" s="98"/>
      <c r="X178" s="98"/>
      <c r="Y178" s="98"/>
      <c r="Z178" s="98"/>
      <c r="AA178" s="98"/>
      <c r="AB178" s="98"/>
      <c r="AC178" s="98"/>
      <c r="AD178" s="98"/>
      <c r="AE178" s="98"/>
      <c r="AF178" s="98"/>
      <c r="AG178" s="277"/>
      <c r="AH178" s="277"/>
      <c r="AI178" s="277"/>
      <c r="AJ178" s="92"/>
    </row>
    <row r="179" spans="1:36" s="99" customFormat="1" ht="65.099999999999994" customHeight="1">
      <c r="A179" s="89"/>
      <c r="B179" s="89"/>
      <c r="C179" s="90"/>
      <c r="D179" s="91"/>
      <c r="E179" s="92"/>
      <c r="F179" s="92"/>
      <c r="G179" s="92"/>
      <c r="H179" s="92"/>
      <c r="I179" s="93"/>
      <c r="J179" s="94"/>
      <c r="K179" s="94"/>
      <c r="L179" s="95"/>
      <c r="M179" s="66"/>
      <c r="N179" s="96"/>
      <c r="O179" s="97"/>
      <c r="P179" s="58"/>
      <c r="Q179" s="69"/>
      <c r="R179" s="70"/>
      <c r="S179" s="66"/>
      <c r="T179" s="55"/>
      <c r="U179" s="55"/>
      <c r="V179" s="55"/>
      <c r="W179" s="98"/>
      <c r="X179" s="98"/>
      <c r="Y179" s="98"/>
      <c r="Z179" s="98"/>
      <c r="AA179" s="98"/>
      <c r="AB179" s="98"/>
      <c r="AC179" s="98"/>
      <c r="AD179" s="98"/>
      <c r="AE179" s="98"/>
      <c r="AF179" s="98"/>
      <c r="AG179" s="277"/>
      <c r="AH179" s="277"/>
      <c r="AI179" s="277"/>
      <c r="AJ179" s="92"/>
    </row>
    <row r="180" spans="1:36" s="99" customFormat="1" ht="65.099999999999994" customHeight="1">
      <c r="A180" s="89"/>
      <c r="B180" s="89"/>
      <c r="C180" s="90"/>
      <c r="D180" s="91"/>
      <c r="E180" s="92"/>
      <c r="F180" s="92"/>
      <c r="G180" s="92"/>
      <c r="H180" s="92"/>
      <c r="I180" s="93"/>
      <c r="J180" s="94"/>
      <c r="K180" s="94"/>
      <c r="L180" s="95"/>
      <c r="M180" s="66"/>
      <c r="N180" s="96"/>
      <c r="O180" s="97"/>
      <c r="P180" s="58"/>
      <c r="Q180" s="69"/>
      <c r="R180" s="70"/>
      <c r="S180" s="66"/>
      <c r="T180" s="55"/>
      <c r="U180" s="55"/>
      <c r="V180" s="55"/>
      <c r="W180" s="98"/>
      <c r="X180" s="98"/>
      <c r="Y180" s="98"/>
      <c r="Z180" s="98"/>
      <c r="AA180" s="98"/>
      <c r="AB180" s="98"/>
      <c r="AC180" s="98"/>
      <c r="AD180" s="98"/>
      <c r="AE180" s="98"/>
      <c r="AF180" s="98"/>
      <c r="AG180" s="277"/>
      <c r="AH180" s="277"/>
      <c r="AI180" s="277"/>
      <c r="AJ180" s="92"/>
    </row>
    <row r="181" spans="1:36" s="99" customFormat="1" ht="65.099999999999994" customHeight="1">
      <c r="A181" s="89"/>
      <c r="B181" s="89"/>
      <c r="C181" s="90"/>
      <c r="D181" s="91"/>
      <c r="E181" s="92"/>
      <c r="F181" s="92"/>
      <c r="G181" s="92"/>
      <c r="H181" s="92"/>
      <c r="I181" s="93"/>
      <c r="J181" s="94"/>
      <c r="K181" s="94"/>
      <c r="L181" s="95"/>
      <c r="M181" s="66"/>
      <c r="N181" s="96"/>
      <c r="O181" s="97"/>
      <c r="P181" s="58"/>
      <c r="Q181" s="69"/>
      <c r="R181" s="70"/>
      <c r="S181" s="66"/>
      <c r="T181" s="55"/>
      <c r="U181" s="55"/>
      <c r="V181" s="55"/>
      <c r="W181" s="98"/>
      <c r="X181" s="98"/>
      <c r="Y181" s="98"/>
      <c r="Z181" s="98"/>
      <c r="AA181" s="98"/>
      <c r="AB181" s="98"/>
      <c r="AC181" s="98"/>
      <c r="AD181" s="98"/>
      <c r="AE181" s="98"/>
      <c r="AF181" s="98"/>
      <c r="AG181" s="277"/>
      <c r="AH181" s="277"/>
      <c r="AI181" s="277"/>
      <c r="AJ181" s="92"/>
    </row>
    <row r="182" spans="1:36" s="99" customFormat="1" ht="65.099999999999994" customHeight="1">
      <c r="A182" s="89"/>
      <c r="B182" s="89"/>
      <c r="C182" s="90"/>
      <c r="D182" s="91"/>
      <c r="E182" s="92"/>
      <c r="F182" s="92"/>
      <c r="G182" s="92"/>
      <c r="H182" s="92"/>
      <c r="I182" s="93"/>
      <c r="J182" s="94"/>
      <c r="K182" s="94"/>
      <c r="L182" s="95"/>
      <c r="M182" s="66"/>
      <c r="N182" s="96"/>
      <c r="O182" s="97"/>
      <c r="P182" s="58"/>
      <c r="Q182" s="69"/>
      <c r="R182" s="70"/>
      <c r="S182" s="66"/>
      <c r="T182" s="55"/>
      <c r="U182" s="55"/>
      <c r="V182" s="55"/>
      <c r="W182" s="98"/>
      <c r="X182" s="98"/>
      <c r="Y182" s="98"/>
      <c r="Z182" s="98"/>
      <c r="AA182" s="98"/>
      <c r="AB182" s="98"/>
      <c r="AC182" s="98"/>
      <c r="AD182" s="98"/>
      <c r="AE182" s="98"/>
      <c r="AF182" s="98"/>
      <c r="AG182" s="277"/>
      <c r="AH182" s="277"/>
      <c r="AI182" s="277"/>
      <c r="AJ182" s="92"/>
    </row>
    <row r="183" spans="1:36" s="99" customFormat="1" ht="65.099999999999994" customHeight="1">
      <c r="A183" s="89"/>
      <c r="B183" s="89"/>
      <c r="C183" s="90"/>
      <c r="D183" s="91"/>
      <c r="E183" s="92"/>
      <c r="F183" s="92"/>
      <c r="G183" s="92"/>
      <c r="H183" s="92"/>
      <c r="I183" s="93"/>
      <c r="J183" s="94"/>
      <c r="K183" s="94"/>
      <c r="L183" s="95"/>
      <c r="M183" s="66"/>
      <c r="N183" s="96"/>
      <c r="O183" s="97"/>
      <c r="P183" s="58"/>
      <c r="Q183" s="69"/>
      <c r="R183" s="70"/>
      <c r="S183" s="66"/>
      <c r="T183" s="55"/>
      <c r="U183" s="55"/>
      <c r="V183" s="55"/>
      <c r="W183" s="98"/>
      <c r="X183" s="98"/>
      <c r="Y183" s="98"/>
      <c r="Z183" s="98"/>
      <c r="AA183" s="98"/>
      <c r="AB183" s="98"/>
      <c r="AC183" s="98"/>
      <c r="AD183" s="98"/>
      <c r="AE183" s="98"/>
      <c r="AF183" s="98"/>
      <c r="AG183" s="277"/>
      <c r="AH183" s="277"/>
      <c r="AI183" s="277"/>
      <c r="AJ183" s="92"/>
    </row>
    <row r="184" spans="1:36" s="99" customFormat="1" ht="65.099999999999994" customHeight="1">
      <c r="A184" s="89"/>
      <c r="B184" s="89"/>
      <c r="C184" s="90"/>
      <c r="D184" s="91"/>
      <c r="E184" s="92"/>
      <c r="F184" s="92"/>
      <c r="G184" s="92"/>
      <c r="H184" s="92"/>
      <c r="I184" s="93"/>
      <c r="J184" s="94"/>
      <c r="K184" s="94"/>
      <c r="L184" s="95"/>
      <c r="M184" s="66"/>
      <c r="N184" s="96"/>
      <c r="O184" s="97"/>
      <c r="P184" s="58"/>
      <c r="Q184" s="69"/>
      <c r="R184" s="70"/>
      <c r="S184" s="66"/>
      <c r="T184" s="55"/>
      <c r="U184" s="55"/>
      <c r="V184" s="55"/>
      <c r="W184" s="98"/>
      <c r="X184" s="98"/>
      <c r="Y184" s="98"/>
      <c r="Z184" s="98"/>
      <c r="AA184" s="98"/>
      <c r="AB184" s="98"/>
      <c r="AC184" s="98"/>
      <c r="AD184" s="98"/>
      <c r="AE184" s="98"/>
      <c r="AF184" s="98"/>
      <c r="AG184" s="277"/>
      <c r="AH184" s="277"/>
      <c r="AI184" s="277"/>
      <c r="AJ184" s="92"/>
    </row>
    <row r="185" spans="1:36" s="99" customFormat="1" ht="65.099999999999994" customHeight="1">
      <c r="A185" s="89"/>
      <c r="B185" s="89"/>
      <c r="C185" s="90"/>
      <c r="D185" s="91"/>
      <c r="E185" s="92"/>
      <c r="F185" s="92"/>
      <c r="G185" s="92"/>
      <c r="H185" s="92"/>
      <c r="I185" s="93"/>
      <c r="J185" s="94"/>
      <c r="K185" s="94"/>
      <c r="L185" s="95"/>
      <c r="M185" s="66"/>
      <c r="N185" s="96"/>
      <c r="O185" s="97"/>
      <c r="P185" s="58"/>
      <c r="Q185" s="69"/>
      <c r="R185" s="70"/>
      <c r="S185" s="66"/>
      <c r="T185" s="55"/>
      <c r="U185" s="55"/>
      <c r="V185" s="55"/>
      <c r="W185" s="98"/>
      <c r="X185" s="98"/>
      <c r="Y185" s="98"/>
      <c r="Z185" s="98"/>
      <c r="AA185" s="98"/>
      <c r="AB185" s="98"/>
      <c r="AC185" s="98"/>
      <c r="AD185" s="98"/>
      <c r="AE185" s="98"/>
      <c r="AF185" s="98"/>
      <c r="AG185" s="277"/>
      <c r="AH185" s="277"/>
      <c r="AI185" s="277"/>
      <c r="AJ185" s="92"/>
    </row>
    <row r="186" spans="1:36" s="99" customFormat="1" ht="65.099999999999994" customHeight="1">
      <c r="A186" s="89"/>
      <c r="B186" s="89"/>
      <c r="C186" s="90"/>
      <c r="D186" s="91"/>
      <c r="E186" s="92"/>
      <c r="F186" s="92"/>
      <c r="G186" s="92"/>
      <c r="H186" s="92"/>
      <c r="I186" s="93"/>
      <c r="J186" s="94"/>
      <c r="K186" s="94"/>
      <c r="L186" s="95"/>
      <c r="M186" s="66"/>
      <c r="N186" s="96"/>
      <c r="O186" s="97"/>
      <c r="P186" s="58"/>
      <c r="Q186" s="69"/>
      <c r="R186" s="70"/>
      <c r="S186" s="66"/>
      <c r="T186" s="55"/>
      <c r="U186" s="55"/>
      <c r="V186" s="55"/>
      <c r="W186" s="98"/>
      <c r="X186" s="98"/>
      <c r="Y186" s="98"/>
      <c r="Z186" s="98"/>
      <c r="AA186" s="98"/>
      <c r="AB186" s="98"/>
      <c r="AC186" s="98"/>
      <c r="AD186" s="98"/>
      <c r="AE186" s="98"/>
      <c r="AF186" s="98"/>
      <c r="AG186" s="277"/>
      <c r="AH186" s="277"/>
      <c r="AI186" s="277"/>
      <c r="AJ186" s="92"/>
    </row>
    <row r="187" spans="1:36" s="99" customFormat="1" ht="65.099999999999994" customHeight="1">
      <c r="A187" s="89"/>
      <c r="B187" s="89"/>
      <c r="C187" s="90"/>
      <c r="D187" s="91"/>
      <c r="E187" s="92"/>
      <c r="F187" s="92"/>
      <c r="G187" s="92"/>
      <c r="H187" s="92"/>
      <c r="I187" s="93"/>
      <c r="J187" s="94"/>
      <c r="K187" s="94"/>
      <c r="L187" s="95"/>
      <c r="M187" s="66"/>
      <c r="N187" s="96"/>
      <c r="O187" s="97"/>
      <c r="P187" s="58"/>
      <c r="Q187" s="69"/>
      <c r="R187" s="70"/>
      <c r="S187" s="66"/>
      <c r="T187" s="55"/>
      <c r="U187" s="55"/>
      <c r="V187" s="55"/>
      <c r="W187" s="98"/>
      <c r="X187" s="98"/>
      <c r="Y187" s="98"/>
      <c r="Z187" s="98"/>
      <c r="AA187" s="98"/>
      <c r="AB187" s="98"/>
      <c r="AC187" s="98"/>
      <c r="AD187" s="98"/>
      <c r="AE187" s="98"/>
      <c r="AF187" s="98"/>
      <c r="AG187" s="277"/>
      <c r="AH187" s="277"/>
      <c r="AI187" s="277"/>
      <c r="AJ187" s="92"/>
    </row>
    <row r="188" spans="1:36" s="99" customFormat="1" ht="65.099999999999994" customHeight="1">
      <c r="A188" s="89"/>
      <c r="B188" s="89"/>
      <c r="C188" s="90"/>
      <c r="D188" s="91"/>
      <c r="E188" s="92"/>
      <c r="F188" s="92"/>
      <c r="G188" s="92"/>
      <c r="H188" s="92"/>
      <c r="I188" s="93"/>
      <c r="J188" s="94"/>
      <c r="K188" s="94"/>
      <c r="L188" s="95"/>
      <c r="M188" s="66"/>
      <c r="N188" s="96"/>
      <c r="O188" s="97"/>
      <c r="P188" s="58"/>
      <c r="Q188" s="69"/>
      <c r="R188" s="70"/>
      <c r="S188" s="66"/>
      <c r="T188" s="55"/>
      <c r="U188" s="55"/>
      <c r="V188" s="55"/>
      <c r="W188" s="98"/>
      <c r="X188" s="98"/>
      <c r="Y188" s="98"/>
      <c r="Z188" s="98"/>
      <c r="AA188" s="98"/>
      <c r="AB188" s="98"/>
      <c r="AC188" s="98"/>
      <c r="AD188" s="98"/>
      <c r="AE188" s="98"/>
      <c r="AF188" s="98"/>
      <c r="AG188" s="277"/>
      <c r="AH188" s="277"/>
      <c r="AI188" s="277"/>
      <c r="AJ188" s="92"/>
    </row>
    <row r="189" spans="1:36" s="99" customFormat="1" ht="65.099999999999994" customHeight="1">
      <c r="A189" s="89"/>
      <c r="B189" s="89"/>
      <c r="C189" s="90"/>
      <c r="D189" s="91"/>
      <c r="E189" s="92"/>
      <c r="F189" s="92"/>
      <c r="G189" s="92"/>
      <c r="H189" s="92"/>
      <c r="I189" s="93"/>
      <c r="J189" s="94"/>
      <c r="K189" s="94"/>
      <c r="L189" s="95"/>
      <c r="M189" s="66"/>
      <c r="N189" s="96"/>
      <c r="O189" s="97"/>
      <c r="P189" s="58"/>
      <c r="Q189" s="69"/>
      <c r="R189" s="70"/>
      <c r="S189" s="66"/>
      <c r="T189" s="55"/>
      <c r="U189" s="55"/>
      <c r="V189" s="55"/>
      <c r="W189" s="98"/>
      <c r="X189" s="98"/>
      <c r="Y189" s="98"/>
      <c r="Z189" s="98"/>
      <c r="AA189" s="98"/>
      <c r="AB189" s="98"/>
      <c r="AC189" s="98"/>
      <c r="AD189" s="98"/>
      <c r="AE189" s="98"/>
      <c r="AF189" s="98"/>
      <c r="AG189" s="277"/>
      <c r="AH189" s="277"/>
      <c r="AI189" s="277"/>
      <c r="AJ189" s="92"/>
    </row>
    <row r="190" spans="1:36" s="99" customFormat="1" ht="65.099999999999994" customHeight="1">
      <c r="A190" s="89"/>
      <c r="B190" s="89"/>
      <c r="C190" s="90"/>
      <c r="D190" s="91"/>
      <c r="E190" s="92"/>
      <c r="F190" s="92"/>
      <c r="G190" s="92"/>
      <c r="H190" s="92"/>
      <c r="I190" s="93"/>
      <c r="J190" s="94"/>
      <c r="K190" s="94"/>
      <c r="L190" s="95"/>
      <c r="M190" s="66"/>
      <c r="N190" s="96"/>
      <c r="O190" s="97"/>
      <c r="P190" s="58"/>
      <c r="Q190" s="69"/>
      <c r="R190" s="70"/>
      <c r="S190" s="66"/>
      <c r="T190" s="55"/>
      <c r="U190" s="55"/>
      <c r="V190" s="55"/>
      <c r="W190" s="98"/>
      <c r="X190" s="98"/>
      <c r="Y190" s="98"/>
      <c r="Z190" s="98"/>
      <c r="AA190" s="98"/>
      <c r="AB190" s="98"/>
      <c r="AC190" s="98"/>
      <c r="AD190" s="98"/>
      <c r="AE190" s="98"/>
      <c r="AF190" s="98"/>
      <c r="AG190" s="277"/>
      <c r="AH190" s="277"/>
      <c r="AI190" s="277"/>
      <c r="AJ190" s="92"/>
    </row>
    <row r="191" spans="1:36" s="99" customFormat="1" ht="65.099999999999994" customHeight="1">
      <c r="A191" s="89"/>
      <c r="B191" s="89"/>
      <c r="C191" s="90"/>
      <c r="D191" s="91"/>
      <c r="E191" s="92"/>
      <c r="F191" s="92"/>
      <c r="G191" s="92"/>
      <c r="H191" s="92"/>
      <c r="I191" s="93"/>
      <c r="J191" s="94"/>
      <c r="K191" s="94"/>
      <c r="L191" s="95"/>
      <c r="M191" s="66"/>
      <c r="N191" s="96"/>
      <c r="O191" s="97"/>
      <c r="P191" s="58"/>
      <c r="Q191" s="69"/>
      <c r="R191" s="70"/>
      <c r="S191" s="66"/>
      <c r="T191" s="55"/>
      <c r="U191" s="55"/>
      <c r="V191" s="55"/>
      <c r="W191" s="98"/>
      <c r="X191" s="98"/>
      <c r="Y191" s="98"/>
      <c r="Z191" s="98"/>
      <c r="AA191" s="98"/>
      <c r="AB191" s="98"/>
      <c r="AC191" s="98"/>
      <c r="AD191" s="98"/>
      <c r="AE191" s="98"/>
      <c r="AF191" s="98"/>
      <c r="AG191" s="277"/>
      <c r="AH191" s="277"/>
      <c r="AI191" s="277"/>
      <c r="AJ191" s="92"/>
    </row>
    <row r="192" spans="1:36" s="99" customFormat="1" ht="65.099999999999994" customHeight="1">
      <c r="A192" s="89"/>
      <c r="B192" s="89"/>
      <c r="C192" s="90"/>
      <c r="D192" s="91"/>
      <c r="E192" s="92"/>
      <c r="F192" s="92"/>
      <c r="G192" s="92"/>
      <c r="H192" s="92"/>
      <c r="I192" s="93"/>
      <c r="J192" s="94"/>
      <c r="K192" s="94"/>
      <c r="L192" s="95"/>
      <c r="M192" s="66"/>
      <c r="N192" s="96"/>
      <c r="O192" s="97"/>
      <c r="P192" s="58"/>
      <c r="Q192" s="69"/>
      <c r="R192" s="70"/>
      <c r="S192" s="66"/>
      <c r="T192" s="55"/>
      <c r="U192" s="55"/>
      <c r="V192" s="55"/>
      <c r="W192" s="98"/>
      <c r="X192" s="98"/>
      <c r="Y192" s="98"/>
      <c r="Z192" s="98"/>
      <c r="AA192" s="98"/>
      <c r="AB192" s="98"/>
      <c r="AC192" s="98"/>
      <c r="AD192" s="98"/>
      <c r="AE192" s="98"/>
      <c r="AF192" s="98"/>
      <c r="AG192" s="277"/>
      <c r="AH192" s="277"/>
      <c r="AI192" s="277"/>
      <c r="AJ192" s="92"/>
    </row>
    <row r="193" spans="1:36" s="99" customFormat="1" ht="65.099999999999994" customHeight="1">
      <c r="A193" s="89"/>
      <c r="B193" s="89"/>
      <c r="C193" s="90"/>
      <c r="D193" s="91"/>
      <c r="E193" s="92"/>
      <c r="F193" s="92"/>
      <c r="G193" s="92"/>
      <c r="H193" s="92"/>
      <c r="I193" s="93"/>
      <c r="J193" s="94"/>
      <c r="K193" s="94"/>
      <c r="L193" s="95"/>
      <c r="M193" s="66"/>
      <c r="N193" s="96"/>
      <c r="O193" s="97"/>
      <c r="P193" s="58"/>
      <c r="Q193" s="69"/>
      <c r="R193" s="70"/>
      <c r="S193" s="66"/>
      <c r="T193" s="55"/>
      <c r="U193" s="55"/>
      <c r="V193" s="55"/>
      <c r="W193" s="98"/>
      <c r="X193" s="98"/>
      <c r="Y193" s="98"/>
      <c r="Z193" s="98"/>
      <c r="AA193" s="98"/>
      <c r="AB193" s="98"/>
      <c r="AC193" s="98"/>
      <c r="AD193" s="98"/>
      <c r="AE193" s="98"/>
      <c r="AF193" s="98"/>
      <c r="AG193" s="277"/>
      <c r="AH193" s="277"/>
      <c r="AI193" s="277"/>
      <c r="AJ193" s="92"/>
    </row>
    <row r="194" spans="1:36" s="99" customFormat="1" ht="65.099999999999994" customHeight="1">
      <c r="A194" s="89"/>
      <c r="B194" s="89"/>
      <c r="C194" s="90"/>
      <c r="D194" s="91"/>
      <c r="E194" s="92"/>
      <c r="F194" s="92"/>
      <c r="G194" s="92"/>
      <c r="H194" s="92"/>
      <c r="I194" s="93"/>
      <c r="J194" s="94"/>
      <c r="K194" s="94"/>
      <c r="L194" s="95"/>
      <c r="M194" s="66"/>
      <c r="N194" s="96"/>
      <c r="O194" s="97"/>
      <c r="P194" s="58"/>
      <c r="Q194" s="69"/>
      <c r="R194" s="70"/>
      <c r="S194" s="66"/>
      <c r="T194" s="55"/>
      <c r="U194" s="55"/>
      <c r="V194" s="55"/>
      <c r="W194" s="98"/>
      <c r="X194" s="98"/>
      <c r="Y194" s="98"/>
      <c r="Z194" s="98"/>
      <c r="AA194" s="98"/>
      <c r="AB194" s="98"/>
      <c r="AC194" s="98"/>
      <c r="AD194" s="98"/>
      <c r="AE194" s="98"/>
      <c r="AF194" s="98"/>
      <c r="AG194" s="277"/>
      <c r="AH194" s="277"/>
      <c r="AI194" s="277"/>
      <c r="AJ194" s="92"/>
    </row>
    <row r="195" spans="1:36" s="99" customFormat="1" ht="65.099999999999994" customHeight="1">
      <c r="A195" s="89"/>
      <c r="B195" s="89"/>
      <c r="C195" s="90"/>
      <c r="D195" s="91"/>
      <c r="E195" s="92"/>
      <c r="F195" s="92"/>
      <c r="G195" s="92"/>
      <c r="H195" s="92"/>
      <c r="I195" s="93"/>
      <c r="J195" s="94"/>
      <c r="K195" s="94"/>
      <c r="L195" s="95"/>
      <c r="M195" s="66"/>
      <c r="N195" s="96"/>
      <c r="O195" s="97"/>
      <c r="P195" s="58"/>
      <c r="Q195" s="69"/>
      <c r="R195" s="70"/>
      <c r="S195" s="66"/>
      <c r="T195" s="55"/>
      <c r="U195" s="55"/>
      <c r="V195" s="55"/>
      <c r="W195" s="98"/>
      <c r="X195" s="98"/>
      <c r="Y195" s="98"/>
      <c r="Z195" s="98"/>
      <c r="AA195" s="98"/>
      <c r="AB195" s="98"/>
      <c r="AC195" s="98"/>
      <c r="AD195" s="98"/>
      <c r="AE195" s="98"/>
      <c r="AF195" s="98"/>
      <c r="AG195" s="277"/>
      <c r="AH195" s="277"/>
      <c r="AI195" s="277"/>
      <c r="AJ195" s="92"/>
    </row>
    <row r="196" spans="1:36" s="99" customFormat="1" ht="65.099999999999994" customHeight="1">
      <c r="A196" s="89"/>
      <c r="B196" s="89"/>
      <c r="C196" s="90"/>
      <c r="D196" s="91"/>
      <c r="E196" s="92"/>
      <c r="F196" s="92"/>
      <c r="G196" s="92"/>
      <c r="H196" s="92"/>
      <c r="I196" s="93"/>
      <c r="J196" s="94"/>
      <c r="K196" s="94"/>
      <c r="L196" s="95"/>
      <c r="M196" s="66"/>
      <c r="N196" s="96"/>
      <c r="O196" s="97"/>
      <c r="P196" s="58"/>
      <c r="Q196" s="69"/>
      <c r="R196" s="70"/>
      <c r="S196" s="66"/>
      <c r="T196" s="55"/>
      <c r="U196" s="55"/>
      <c r="V196" s="55"/>
      <c r="W196" s="98"/>
      <c r="X196" s="98"/>
      <c r="Y196" s="98"/>
      <c r="Z196" s="98"/>
      <c r="AA196" s="98"/>
      <c r="AB196" s="98"/>
      <c r="AC196" s="98"/>
      <c r="AD196" s="98"/>
      <c r="AE196" s="98"/>
      <c r="AF196" s="98"/>
      <c r="AG196" s="277"/>
      <c r="AH196" s="277"/>
      <c r="AI196" s="277"/>
      <c r="AJ196" s="92"/>
    </row>
    <row r="197" spans="1:36" s="99" customFormat="1" ht="65.099999999999994" customHeight="1">
      <c r="A197" s="89"/>
      <c r="B197" s="89"/>
      <c r="C197" s="90"/>
      <c r="D197" s="91"/>
      <c r="E197" s="92"/>
      <c r="F197" s="92"/>
      <c r="G197" s="92"/>
      <c r="H197" s="92"/>
      <c r="I197" s="93"/>
      <c r="J197" s="94"/>
      <c r="K197" s="94"/>
      <c r="L197" s="95"/>
      <c r="M197" s="66"/>
      <c r="N197" s="96"/>
      <c r="O197" s="97"/>
      <c r="P197" s="58"/>
      <c r="Q197" s="69"/>
      <c r="R197" s="70"/>
      <c r="S197" s="66"/>
      <c r="T197" s="55"/>
      <c r="U197" s="55"/>
      <c r="V197" s="55"/>
      <c r="W197" s="98"/>
      <c r="X197" s="98"/>
      <c r="Y197" s="98"/>
      <c r="Z197" s="98"/>
      <c r="AA197" s="98"/>
      <c r="AB197" s="98"/>
      <c r="AC197" s="98"/>
      <c r="AD197" s="98"/>
      <c r="AE197" s="98"/>
      <c r="AF197" s="98"/>
      <c r="AG197" s="277"/>
      <c r="AH197" s="277"/>
      <c r="AI197" s="277"/>
      <c r="AJ197" s="92"/>
    </row>
    <row r="198" spans="1:36" s="99" customFormat="1" ht="65.099999999999994" customHeight="1">
      <c r="A198" s="89"/>
      <c r="B198" s="89"/>
      <c r="C198" s="90"/>
      <c r="D198" s="91"/>
      <c r="E198" s="92"/>
      <c r="F198" s="92"/>
      <c r="G198" s="92"/>
      <c r="H198" s="92"/>
      <c r="I198" s="93"/>
      <c r="J198" s="94"/>
      <c r="K198" s="94"/>
      <c r="L198" s="95"/>
      <c r="M198" s="66"/>
      <c r="N198" s="96"/>
      <c r="O198" s="97"/>
      <c r="P198" s="58"/>
      <c r="Q198" s="69"/>
      <c r="R198" s="70"/>
      <c r="S198" s="66"/>
      <c r="T198" s="55"/>
      <c r="U198" s="55"/>
      <c r="V198" s="55"/>
      <c r="W198" s="98"/>
      <c r="X198" s="98"/>
      <c r="Y198" s="98"/>
      <c r="Z198" s="98"/>
      <c r="AA198" s="98"/>
      <c r="AB198" s="98"/>
      <c r="AC198" s="98"/>
      <c r="AD198" s="98"/>
      <c r="AE198" s="98"/>
      <c r="AF198" s="98"/>
      <c r="AG198" s="277"/>
      <c r="AH198" s="277"/>
      <c r="AI198" s="277"/>
      <c r="AJ198" s="92"/>
    </row>
    <row r="199" spans="1:36" s="99" customFormat="1" ht="65.099999999999994" customHeight="1">
      <c r="A199" s="89"/>
      <c r="B199" s="89"/>
      <c r="C199" s="90"/>
      <c r="D199" s="91"/>
      <c r="E199" s="92"/>
      <c r="F199" s="92"/>
      <c r="G199" s="92"/>
      <c r="H199" s="92"/>
      <c r="I199" s="93"/>
      <c r="J199" s="94"/>
      <c r="K199" s="94"/>
      <c r="L199" s="95"/>
      <c r="M199" s="66"/>
      <c r="N199" s="96"/>
      <c r="O199" s="97"/>
      <c r="P199" s="58"/>
      <c r="Q199" s="69"/>
      <c r="R199" s="70"/>
      <c r="S199" s="66"/>
      <c r="T199" s="55"/>
      <c r="U199" s="55"/>
      <c r="V199" s="55"/>
      <c r="W199" s="98"/>
      <c r="X199" s="98"/>
      <c r="Y199" s="98"/>
      <c r="Z199" s="98"/>
      <c r="AA199" s="98"/>
      <c r="AB199" s="98"/>
      <c r="AC199" s="98"/>
      <c r="AD199" s="98"/>
      <c r="AE199" s="98"/>
      <c r="AF199" s="98"/>
      <c r="AG199" s="277"/>
      <c r="AH199" s="277"/>
      <c r="AI199" s="277"/>
      <c r="AJ199" s="92"/>
    </row>
    <row r="200" spans="1:36" s="99" customFormat="1" ht="65.099999999999994" customHeight="1">
      <c r="A200" s="89"/>
      <c r="B200" s="89"/>
      <c r="C200" s="90"/>
      <c r="D200" s="91"/>
      <c r="E200" s="92"/>
      <c r="F200" s="92"/>
      <c r="G200" s="92"/>
      <c r="H200" s="92"/>
      <c r="I200" s="93"/>
      <c r="J200" s="94"/>
      <c r="K200" s="94"/>
      <c r="L200" s="95"/>
      <c r="M200" s="66"/>
      <c r="N200" s="96"/>
      <c r="O200" s="97"/>
      <c r="P200" s="58"/>
      <c r="Q200" s="69"/>
      <c r="R200" s="70"/>
      <c r="S200" s="66"/>
      <c r="T200" s="55"/>
      <c r="U200" s="55"/>
      <c r="V200" s="55"/>
      <c r="W200" s="98"/>
      <c r="X200" s="98"/>
      <c r="Y200" s="98"/>
      <c r="Z200" s="98"/>
      <c r="AA200" s="98"/>
      <c r="AB200" s="98"/>
      <c r="AC200" s="98"/>
      <c r="AD200" s="98"/>
      <c r="AE200" s="98"/>
      <c r="AF200" s="98"/>
      <c r="AG200" s="277"/>
      <c r="AH200" s="277"/>
      <c r="AI200" s="277"/>
      <c r="AJ200" s="92"/>
    </row>
    <row r="201" spans="1:36" s="99" customFormat="1" ht="65.099999999999994" customHeight="1">
      <c r="A201" s="89"/>
      <c r="B201" s="89"/>
      <c r="C201" s="90"/>
      <c r="D201" s="91"/>
      <c r="E201" s="92"/>
      <c r="F201" s="92"/>
      <c r="G201" s="92"/>
      <c r="H201" s="92"/>
      <c r="I201" s="93"/>
      <c r="J201" s="94"/>
      <c r="K201" s="94"/>
      <c r="L201" s="95"/>
      <c r="M201" s="66"/>
      <c r="N201" s="96"/>
      <c r="O201" s="97"/>
      <c r="P201" s="58"/>
      <c r="Q201" s="69"/>
      <c r="R201" s="70"/>
      <c r="S201" s="66"/>
      <c r="T201" s="55"/>
      <c r="U201" s="55"/>
      <c r="V201" s="55"/>
      <c r="W201" s="98"/>
      <c r="X201" s="98"/>
      <c r="Y201" s="98"/>
      <c r="Z201" s="98"/>
      <c r="AA201" s="98"/>
      <c r="AB201" s="98"/>
      <c r="AC201" s="98"/>
      <c r="AD201" s="98"/>
      <c r="AE201" s="98"/>
      <c r="AF201" s="98"/>
      <c r="AG201" s="277"/>
      <c r="AH201" s="277"/>
      <c r="AI201" s="277"/>
      <c r="AJ201" s="92"/>
    </row>
    <row r="202" spans="1:36" s="99" customFormat="1" ht="65.099999999999994" customHeight="1">
      <c r="A202" s="89"/>
      <c r="B202" s="89"/>
      <c r="C202" s="90"/>
      <c r="D202" s="91"/>
      <c r="E202" s="92"/>
      <c r="F202" s="92"/>
      <c r="G202" s="92"/>
      <c r="H202" s="92"/>
      <c r="I202" s="93"/>
      <c r="J202" s="94"/>
      <c r="K202" s="94"/>
      <c r="L202" s="95"/>
      <c r="M202" s="66"/>
      <c r="N202" s="96"/>
      <c r="O202" s="97"/>
      <c r="P202" s="58"/>
      <c r="Q202" s="69"/>
      <c r="R202" s="70"/>
      <c r="S202" s="66"/>
      <c r="T202" s="55"/>
      <c r="U202" s="55"/>
      <c r="V202" s="55"/>
      <c r="W202" s="98"/>
      <c r="X202" s="98"/>
      <c r="Y202" s="98"/>
      <c r="Z202" s="98"/>
      <c r="AA202" s="98"/>
      <c r="AB202" s="98"/>
      <c r="AC202" s="98"/>
      <c r="AD202" s="98"/>
      <c r="AE202" s="98"/>
      <c r="AF202" s="98"/>
      <c r="AG202" s="277"/>
      <c r="AH202" s="277"/>
      <c r="AI202" s="277"/>
      <c r="AJ202" s="92"/>
    </row>
    <row r="203" spans="1:36" s="99" customFormat="1" ht="65.099999999999994" customHeight="1">
      <c r="A203" s="89"/>
      <c r="B203" s="89"/>
      <c r="C203" s="90"/>
      <c r="D203" s="91"/>
      <c r="E203" s="92"/>
      <c r="F203" s="92"/>
      <c r="G203" s="92"/>
      <c r="H203" s="92"/>
      <c r="I203" s="93"/>
      <c r="J203" s="94"/>
      <c r="K203" s="94"/>
      <c r="L203" s="95"/>
      <c r="M203" s="66"/>
      <c r="N203" s="96"/>
      <c r="O203" s="97"/>
      <c r="P203" s="58"/>
      <c r="Q203" s="69"/>
      <c r="R203" s="70"/>
      <c r="S203" s="66"/>
      <c r="T203" s="55"/>
      <c r="U203" s="55"/>
      <c r="V203" s="55"/>
      <c r="W203" s="98"/>
      <c r="X203" s="98"/>
      <c r="Y203" s="98"/>
      <c r="Z203" s="98"/>
      <c r="AA203" s="98"/>
      <c r="AB203" s="98"/>
      <c r="AC203" s="98"/>
      <c r="AD203" s="98"/>
      <c r="AE203" s="98"/>
      <c r="AF203" s="98"/>
      <c r="AG203" s="277"/>
      <c r="AH203" s="277"/>
      <c r="AI203" s="277"/>
      <c r="AJ203" s="92"/>
    </row>
    <row r="204" spans="1:36" s="99" customFormat="1" ht="65.099999999999994" customHeight="1">
      <c r="A204" s="89"/>
      <c r="B204" s="89"/>
      <c r="C204" s="90"/>
      <c r="D204" s="91"/>
      <c r="E204" s="92"/>
      <c r="F204" s="92"/>
      <c r="G204" s="92"/>
      <c r="H204" s="92"/>
      <c r="I204" s="93"/>
      <c r="J204" s="94"/>
      <c r="K204" s="94"/>
      <c r="L204" s="95"/>
      <c r="M204" s="66"/>
      <c r="N204" s="96"/>
      <c r="O204" s="97"/>
      <c r="P204" s="58"/>
      <c r="Q204" s="69"/>
      <c r="R204" s="70"/>
      <c r="S204" s="66"/>
      <c r="T204" s="55"/>
      <c r="U204" s="55"/>
      <c r="V204" s="55"/>
      <c r="W204" s="98"/>
      <c r="X204" s="98"/>
      <c r="Y204" s="98"/>
      <c r="Z204" s="98"/>
      <c r="AA204" s="98"/>
      <c r="AB204" s="98"/>
      <c r="AC204" s="98"/>
      <c r="AD204" s="98"/>
      <c r="AE204" s="98"/>
      <c r="AF204" s="98"/>
      <c r="AG204" s="277"/>
      <c r="AH204" s="277"/>
      <c r="AI204" s="277"/>
      <c r="AJ204" s="92"/>
    </row>
    <row r="205" spans="1:36" s="99" customFormat="1" ht="65.099999999999994" customHeight="1">
      <c r="A205" s="89"/>
      <c r="B205" s="89"/>
      <c r="C205" s="90"/>
      <c r="D205" s="91"/>
      <c r="E205" s="92"/>
      <c r="F205" s="92"/>
      <c r="G205" s="92"/>
      <c r="H205" s="92"/>
      <c r="I205" s="93"/>
      <c r="J205" s="94"/>
      <c r="K205" s="94"/>
      <c r="L205" s="95"/>
      <c r="M205" s="66"/>
      <c r="N205" s="96"/>
      <c r="O205" s="97"/>
      <c r="P205" s="58"/>
      <c r="Q205" s="69"/>
      <c r="R205" s="70"/>
      <c r="S205" s="66"/>
      <c r="T205" s="55"/>
      <c r="U205" s="55"/>
      <c r="V205" s="55"/>
      <c r="W205" s="98"/>
      <c r="X205" s="98"/>
      <c r="Y205" s="98"/>
      <c r="Z205" s="98"/>
      <c r="AA205" s="98"/>
      <c r="AB205" s="98"/>
      <c r="AC205" s="98"/>
      <c r="AD205" s="98"/>
      <c r="AE205" s="98"/>
      <c r="AF205" s="98"/>
      <c r="AG205" s="277"/>
      <c r="AH205" s="277"/>
      <c r="AI205" s="277"/>
      <c r="AJ205" s="92"/>
    </row>
    <row r="206" spans="1:36" s="99" customFormat="1" ht="65.099999999999994" customHeight="1">
      <c r="A206" s="89"/>
      <c r="B206" s="89"/>
      <c r="C206" s="90"/>
      <c r="D206" s="91"/>
      <c r="E206" s="92"/>
      <c r="F206" s="92"/>
      <c r="G206" s="92"/>
      <c r="H206" s="92"/>
      <c r="I206" s="93"/>
      <c r="J206" s="94"/>
      <c r="K206" s="94"/>
      <c r="L206" s="95"/>
      <c r="M206" s="66"/>
      <c r="N206" s="96"/>
      <c r="O206" s="97"/>
      <c r="P206" s="58"/>
      <c r="Q206" s="69"/>
      <c r="R206" s="70"/>
      <c r="S206" s="66"/>
      <c r="T206" s="55"/>
      <c r="U206" s="55"/>
      <c r="V206" s="55"/>
      <c r="W206" s="98"/>
      <c r="X206" s="98"/>
      <c r="Y206" s="98"/>
      <c r="Z206" s="98"/>
      <c r="AA206" s="98"/>
      <c r="AB206" s="98"/>
      <c r="AC206" s="98"/>
      <c r="AD206" s="98"/>
      <c r="AE206" s="98"/>
      <c r="AF206" s="98"/>
      <c r="AG206" s="277"/>
      <c r="AH206" s="277"/>
      <c r="AI206" s="277"/>
      <c r="AJ206" s="92"/>
    </row>
    <row r="207" spans="1:36" s="99" customFormat="1" ht="65.099999999999994" customHeight="1">
      <c r="A207" s="89"/>
      <c r="B207" s="89"/>
      <c r="C207" s="90"/>
      <c r="D207" s="91"/>
      <c r="E207" s="92"/>
      <c r="F207" s="92"/>
      <c r="G207" s="92"/>
      <c r="H207" s="92"/>
      <c r="I207" s="93"/>
      <c r="J207" s="94"/>
      <c r="K207" s="94"/>
      <c r="L207" s="95"/>
      <c r="M207" s="66"/>
      <c r="N207" s="96"/>
      <c r="O207" s="97"/>
      <c r="P207" s="58"/>
      <c r="Q207" s="69"/>
      <c r="R207" s="70"/>
      <c r="S207" s="66"/>
      <c r="T207" s="55"/>
      <c r="U207" s="55"/>
      <c r="V207" s="55"/>
      <c r="W207" s="98"/>
      <c r="X207" s="98"/>
      <c r="Y207" s="98"/>
      <c r="Z207" s="98"/>
      <c r="AA207" s="98"/>
      <c r="AB207" s="98"/>
      <c r="AC207" s="98"/>
      <c r="AD207" s="98"/>
      <c r="AE207" s="98"/>
      <c r="AF207" s="98"/>
      <c r="AG207" s="277"/>
      <c r="AH207" s="277"/>
      <c r="AI207" s="277"/>
      <c r="AJ207" s="92"/>
    </row>
    <row r="208" spans="1:36" s="99" customFormat="1" ht="65.099999999999994" customHeight="1">
      <c r="A208" s="89"/>
      <c r="B208" s="89"/>
      <c r="C208" s="90"/>
      <c r="D208" s="91"/>
      <c r="E208" s="92"/>
      <c r="F208" s="92"/>
      <c r="G208" s="92"/>
      <c r="H208" s="92"/>
      <c r="I208" s="93"/>
      <c r="J208" s="94"/>
      <c r="K208" s="94"/>
      <c r="L208" s="95"/>
      <c r="M208" s="66"/>
      <c r="N208" s="96"/>
      <c r="O208" s="97"/>
      <c r="P208" s="58"/>
      <c r="Q208" s="69"/>
      <c r="R208" s="70"/>
      <c r="S208" s="66"/>
      <c r="T208" s="55"/>
      <c r="U208" s="55"/>
      <c r="V208" s="55"/>
      <c r="W208" s="98"/>
      <c r="X208" s="98"/>
      <c r="Y208" s="98"/>
      <c r="Z208" s="98"/>
      <c r="AA208" s="98"/>
      <c r="AB208" s="98"/>
      <c r="AC208" s="98"/>
      <c r="AD208" s="98"/>
      <c r="AE208" s="98"/>
      <c r="AF208" s="98"/>
      <c r="AG208" s="277"/>
      <c r="AH208" s="277"/>
      <c r="AI208" s="277"/>
      <c r="AJ208" s="92"/>
    </row>
    <row r="209" spans="1:36" s="99" customFormat="1" ht="65.099999999999994" customHeight="1">
      <c r="A209" s="89"/>
      <c r="B209" s="89"/>
      <c r="C209" s="90"/>
      <c r="D209" s="91"/>
      <c r="E209" s="92"/>
      <c r="F209" s="92"/>
      <c r="G209" s="92"/>
      <c r="H209" s="92"/>
      <c r="I209" s="93"/>
      <c r="J209" s="94"/>
      <c r="K209" s="94"/>
      <c r="L209" s="95"/>
      <c r="M209" s="66"/>
      <c r="N209" s="96"/>
      <c r="O209" s="97"/>
      <c r="P209" s="58"/>
      <c r="Q209" s="69"/>
      <c r="R209" s="70"/>
      <c r="S209" s="66"/>
      <c r="T209" s="55"/>
      <c r="U209" s="55"/>
      <c r="V209" s="55"/>
      <c r="W209" s="98"/>
      <c r="X209" s="98"/>
      <c r="Y209" s="98"/>
      <c r="Z209" s="98"/>
      <c r="AA209" s="98"/>
      <c r="AB209" s="98"/>
      <c r="AC209" s="98"/>
      <c r="AD209" s="98"/>
      <c r="AE209" s="98"/>
      <c r="AF209" s="98"/>
      <c r="AG209" s="277"/>
      <c r="AH209" s="277"/>
      <c r="AI209" s="277"/>
      <c r="AJ209" s="92"/>
    </row>
    <row r="210" spans="1:36" s="99" customFormat="1" ht="65.099999999999994" customHeight="1">
      <c r="A210" s="89"/>
      <c r="B210" s="89"/>
      <c r="C210" s="90"/>
      <c r="D210" s="91"/>
      <c r="E210" s="92"/>
      <c r="F210" s="92"/>
      <c r="G210" s="92"/>
      <c r="H210" s="92"/>
      <c r="I210" s="93"/>
      <c r="J210" s="94"/>
      <c r="K210" s="94"/>
      <c r="L210" s="95"/>
      <c r="M210" s="66"/>
      <c r="N210" s="96"/>
      <c r="O210" s="97"/>
      <c r="P210" s="58"/>
      <c r="Q210" s="69"/>
      <c r="R210" s="70"/>
      <c r="S210" s="66"/>
      <c r="T210" s="55"/>
      <c r="U210" s="55"/>
      <c r="V210" s="55"/>
      <c r="W210" s="98"/>
      <c r="X210" s="98"/>
      <c r="Y210" s="98"/>
      <c r="Z210" s="98"/>
      <c r="AA210" s="98"/>
      <c r="AB210" s="98"/>
      <c r="AC210" s="98"/>
      <c r="AD210" s="98"/>
      <c r="AE210" s="98"/>
      <c r="AF210" s="98"/>
      <c r="AG210" s="277"/>
      <c r="AH210" s="277"/>
      <c r="AI210" s="277"/>
      <c r="AJ210" s="92"/>
    </row>
    <row r="211" spans="1:36" s="99" customFormat="1" ht="65.099999999999994" customHeight="1">
      <c r="A211" s="89"/>
      <c r="B211" s="89"/>
      <c r="C211" s="90"/>
      <c r="D211" s="91"/>
      <c r="E211" s="92"/>
      <c r="F211" s="92"/>
      <c r="G211" s="92"/>
      <c r="H211" s="92"/>
      <c r="I211" s="93"/>
      <c r="J211" s="94"/>
      <c r="K211" s="94"/>
      <c r="L211" s="95"/>
      <c r="M211" s="66"/>
      <c r="N211" s="96"/>
      <c r="O211" s="97"/>
      <c r="P211" s="58"/>
      <c r="Q211" s="69"/>
      <c r="R211" s="70"/>
      <c r="S211" s="66"/>
      <c r="T211" s="55"/>
      <c r="U211" s="55"/>
      <c r="V211" s="55"/>
      <c r="W211" s="98"/>
      <c r="X211" s="98"/>
      <c r="Y211" s="98"/>
      <c r="Z211" s="98"/>
      <c r="AA211" s="98"/>
      <c r="AB211" s="98"/>
      <c r="AC211" s="98"/>
      <c r="AD211" s="98"/>
      <c r="AE211" s="98"/>
      <c r="AF211" s="98"/>
      <c r="AG211" s="277"/>
      <c r="AH211" s="277"/>
      <c r="AI211" s="277"/>
      <c r="AJ211" s="92"/>
    </row>
    <row r="212" spans="1:36" s="99" customFormat="1" ht="65.099999999999994" customHeight="1">
      <c r="A212" s="89"/>
      <c r="B212" s="89"/>
      <c r="C212" s="90"/>
      <c r="D212" s="91"/>
      <c r="E212" s="92"/>
      <c r="F212" s="92"/>
      <c r="G212" s="92"/>
      <c r="H212" s="92"/>
      <c r="I212" s="93"/>
      <c r="J212" s="94"/>
      <c r="K212" s="94"/>
      <c r="L212" s="95"/>
      <c r="M212" s="66"/>
      <c r="N212" s="96"/>
      <c r="O212" s="97"/>
      <c r="P212" s="58"/>
      <c r="Q212" s="69"/>
      <c r="R212" s="70"/>
      <c r="S212" s="66"/>
      <c r="T212" s="55"/>
      <c r="U212" s="55"/>
      <c r="V212" s="55"/>
      <c r="W212" s="98"/>
      <c r="X212" s="98"/>
      <c r="Y212" s="98"/>
      <c r="Z212" s="98"/>
      <c r="AA212" s="98"/>
      <c r="AB212" s="98"/>
      <c r="AC212" s="98"/>
      <c r="AD212" s="98"/>
      <c r="AE212" s="98"/>
      <c r="AF212" s="98"/>
      <c r="AG212" s="277"/>
      <c r="AH212" s="277"/>
      <c r="AI212" s="277"/>
      <c r="AJ212" s="92"/>
    </row>
    <row r="213" spans="1:36" s="99" customFormat="1" ht="65.099999999999994" customHeight="1">
      <c r="A213" s="89"/>
      <c r="B213" s="89"/>
      <c r="C213" s="90"/>
      <c r="D213" s="91"/>
      <c r="E213" s="92"/>
      <c r="F213" s="92"/>
      <c r="G213" s="92"/>
      <c r="H213" s="92"/>
      <c r="I213" s="93"/>
      <c r="J213" s="94"/>
      <c r="K213" s="94"/>
      <c r="L213" s="95"/>
      <c r="M213" s="66"/>
      <c r="N213" s="96"/>
      <c r="O213" s="97"/>
      <c r="P213" s="58"/>
      <c r="Q213" s="69"/>
      <c r="R213" s="70"/>
      <c r="S213" s="66"/>
      <c r="T213" s="55"/>
      <c r="U213" s="55"/>
      <c r="V213" s="55"/>
      <c r="W213" s="98"/>
      <c r="X213" s="98"/>
      <c r="Y213" s="98"/>
      <c r="Z213" s="98"/>
      <c r="AA213" s="98"/>
      <c r="AB213" s="98"/>
      <c r="AC213" s="98"/>
      <c r="AD213" s="98"/>
      <c r="AE213" s="98"/>
      <c r="AF213" s="98"/>
      <c r="AG213" s="277"/>
      <c r="AH213" s="277"/>
      <c r="AI213" s="277"/>
      <c r="AJ213" s="92"/>
    </row>
    <row r="214" spans="1:36" s="99" customFormat="1" ht="65.099999999999994" customHeight="1">
      <c r="A214" s="89"/>
      <c r="B214" s="89"/>
      <c r="C214" s="90"/>
      <c r="D214" s="91"/>
      <c r="E214" s="92"/>
      <c r="F214" s="92"/>
      <c r="G214" s="92"/>
      <c r="H214" s="92"/>
      <c r="I214" s="93"/>
      <c r="J214" s="94"/>
      <c r="K214" s="94"/>
      <c r="L214" s="95"/>
      <c r="M214" s="66"/>
      <c r="N214" s="96"/>
      <c r="O214" s="97"/>
      <c r="P214" s="58"/>
      <c r="Q214" s="69"/>
      <c r="R214" s="70"/>
      <c r="S214" s="66"/>
      <c r="T214" s="55"/>
      <c r="U214" s="55"/>
      <c r="V214" s="55"/>
      <c r="W214" s="98"/>
      <c r="X214" s="98"/>
      <c r="Y214" s="98"/>
      <c r="Z214" s="98"/>
      <c r="AA214" s="98"/>
      <c r="AB214" s="98"/>
      <c r="AC214" s="98"/>
      <c r="AD214" s="98"/>
      <c r="AE214" s="98"/>
      <c r="AF214" s="98"/>
      <c r="AG214" s="277"/>
      <c r="AH214" s="277"/>
      <c r="AI214" s="277"/>
      <c r="AJ214" s="92"/>
    </row>
    <row r="215" spans="1:36" s="99" customFormat="1" ht="65.099999999999994" customHeight="1">
      <c r="A215" s="89"/>
      <c r="B215" s="89"/>
      <c r="C215" s="90"/>
      <c r="D215" s="91"/>
      <c r="E215" s="92"/>
      <c r="F215" s="92"/>
      <c r="G215" s="92"/>
      <c r="H215" s="92"/>
      <c r="I215" s="93"/>
      <c r="J215" s="94"/>
      <c r="K215" s="94"/>
      <c r="L215" s="95"/>
      <c r="M215" s="66"/>
      <c r="N215" s="96"/>
      <c r="O215" s="97"/>
      <c r="P215" s="58"/>
      <c r="Q215" s="69"/>
      <c r="R215" s="70"/>
      <c r="S215" s="66"/>
      <c r="T215" s="55"/>
      <c r="U215" s="55"/>
      <c r="V215" s="55"/>
      <c r="W215" s="98"/>
      <c r="X215" s="98"/>
      <c r="Y215" s="98"/>
      <c r="Z215" s="98"/>
      <c r="AA215" s="98"/>
      <c r="AB215" s="98"/>
      <c r="AC215" s="98"/>
      <c r="AD215" s="98"/>
      <c r="AE215" s="98"/>
      <c r="AF215" s="98"/>
      <c r="AG215" s="277"/>
      <c r="AH215" s="277"/>
      <c r="AI215" s="277"/>
      <c r="AJ215" s="92"/>
    </row>
    <row r="216" spans="1:36" s="99" customFormat="1" ht="65.099999999999994" customHeight="1">
      <c r="A216" s="89"/>
      <c r="B216" s="89"/>
      <c r="C216" s="90"/>
      <c r="D216" s="91"/>
      <c r="E216" s="92"/>
      <c r="F216" s="92"/>
      <c r="G216" s="92"/>
      <c r="H216" s="92"/>
      <c r="I216" s="93"/>
      <c r="J216" s="94"/>
      <c r="K216" s="94"/>
      <c r="L216" s="95"/>
      <c r="M216" s="66"/>
      <c r="N216" s="96"/>
      <c r="O216" s="97"/>
      <c r="P216" s="58"/>
      <c r="Q216" s="69"/>
      <c r="R216" s="70"/>
      <c r="S216" s="66"/>
      <c r="T216" s="55"/>
      <c r="U216" s="55"/>
      <c r="V216" s="55"/>
      <c r="W216" s="98"/>
      <c r="X216" s="98"/>
      <c r="Y216" s="98"/>
      <c r="Z216" s="98"/>
      <c r="AA216" s="98"/>
      <c r="AB216" s="98"/>
      <c r="AC216" s="98"/>
      <c r="AD216" s="98"/>
      <c r="AE216" s="98"/>
      <c r="AF216" s="98"/>
      <c r="AG216" s="277"/>
      <c r="AH216" s="277"/>
      <c r="AI216" s="277"/>
      <c r="AJ216" s="92"/>
    </row>
  </sheetData>
  <autoFilter ref="A1:AJ21">
    <filterColumn colId="22" showButton="0"/>
    <filterColumn colId="23" showButton="0"/>
    <filterColumn colId="25" showButton="0"/>
    <filterColumn colId="26" showButton="0"/>
    <filterColumn colId="28" showButton="0"/>
    <filterColumn colId="29" showButton="0"/>
  </autoFilter>
  <mergeCells count="279">
    <mergeCell ref="AH61:AH66"/>
    <mergeCell ref="W62:Y62"/>
    <mergeCell ref="Z62:AB62"/>
    <mergeCell ref="AC62:AE62"/>
    <mergeCell ref="W63:Y63"/>
    <mergeCell ref="Z63:AB63"/>
    <mergeCell ref="AC63:AE63"/>
    <mergeCell ref="W64:Y64"/>
    <mergeCell ref="AH67:AH72"/>
    <mergeCell ref="AG61:AG66"/>
    <mergeCell ref="Z64:AB64"/>
    <mergeCell ref="AC64:AE64"/>
    <mergeCell ref="W65:Y65"/>
    <mergeCell ref="Z65:AB65"/>
    <mergeCell ref="AC65:AE65"/>
    <mergeCell ref="W66:Y66"/>
    <mergeCell ref="Z66:AB66"/>
    <mergeCell ref="AC66:AE66"/>
    <mergeCell ref="A67:A72"/>
    <mergeCell ref="W67:Y67"/>
    <mergeCell ref="Z67:AB67"/>
    <mergeCell ref="AC67:AE67"/>
    <mergeCell ref="AG67:AG72"/>
    <mergeCell ref="Z70:AB70"/>
    <mergeCell ref="AC70:AE70"/>
    <mergeCell ref="W71:Y71"/>
    <mergeCell ref="Z71:AB71"/>
    <mergeCell ref="AC71:AE71"/>
    <mergeCell ref="W72:Y72"/>
    <mergeCell ref="Z72:AB72"/>
    <mergeCell ref="AC72:AE72"/>
    <mergeCell ref="W68:Y68"/>
    <mergeCell ref="Z68:AB68"/>
    <mergeCell ref="AC68:AE68"/>
    <mergeCell ref="W69:Y69"/>
    <mergeCell ref="Z69:AB69"/>
    <mergeCell ref="AC69:AE69"/>
    <mergeCell ref="W70:Y70"/>
    <mergeCell ref="AC56:AE56"/>
    <mergeCell ref="W57:Y57"/>
    <mergeCell ref="Z57:AB57"/>
    <mergeCell ref="AC57:AE57"/>
    <mergeCell ref="W58:Y58"/>
    <mergeCell ref="A61:A66"/>
    <mergeCell ref="W61:Y61"/>
    <mergeCell ref="Z61:AB61"/>
    <mergeCell ref="AC61:AE61"/>
    <mergeCell ref="AH49:AH54"/>
    <mergeCell ref="W50:Y50"/>
    <mergeCell ref="Z50:AB50"/>
    <mergeCell ref="AC50:AE50"/>
    <mergeCell ref="W51:Y51"/>
    <mergeCell ref="Z51:AB51"/>
    <mergeCell ref="AC51:AE51"/>
    <mergeCell ref="W52:Y52"/>
    <mergeCell ref="A55:A60"/>
    <mergeCell ref="W55:Y55"/>
    <mergeCell ref="Z55:AB55"/>
    <mergeCell ref="AC55:AE55"/>
    <mergeCell ref="AG55:AG60"/>
    <mergeCell ref="Z58:AB58"/>
    <mergeCell ref="AC58:AE58"/>
    <mergeCell ref="W59:Y59"/>
    <mergeCell ref="Z59:AB59"/>
    <mergeCell ref="AC59:AE59"/>
    <mergeCell ref="W60:Y60"/>
    <mergeCell ref="Z60:AB60"/>
    <mergeCell ref="AC60:AE60"/>
    <mergeCell ref="AH55:AH60"/>
    <mergeCell ref="W56:Y56"/>
    <mergeCell ref="Z56:AB56"/>
    <mergeCell ref="AG49:AG54"/>
    <mergeCell ref="Z52:AB52"/>
    <mergeCell ref="AC52:AE52"/>
    <mergeCell ref="W53:Y53"/>
    <mergeCell ref="Z53:AB53"/>
    <mergeCell ref="AC53:AE53"/>
    <mergeCell ref="W54:Y54"/>
    <mergeCell ref="Z54:AB54"/>
    <mergeCell ref="AC54:AE54"/>
    <mergeCell ref="AC44:AE44"/>
    <mergeCell ref="W45:Y45"/>
    <mergeCell ref="Z45:AB45"/>
    <mergeCell ref="AC45:AE45"/>
    <mergeCell ref="W46:Y46"/>
    <mergeCell ref="A49:A54"/>
    <mergeCell ref="W49:Y49"/>
    <mergeCell ref="Z49:AB49"/>
    <mergeCell ref="AC49:AE49"/>
    <mergeCell ref="AH37:AH42"/>
    <mergeCell ref="W38:Y38"/>
    <mergeCell ref="Z38:AB38"/>
    <mergeCell ref="AC38:AE38"/>
    <mergeCell ref="W39:Y39"/>
    <mergeCell ref="Z39:AB39"/>
    <mergeCell ref="AC39:AE39"/>
    <mergeCell ref="W40:Y40"/>
    <mergeCell ref="A43:A48"/>
    <mergeCell ref="W43:Y43"/>
    <mergeCell ref="Z43:AB43"/>
    <mergeCell ref="AC43:AE43"/>
    <mergeCell ref="AG43:AG48"/>
    <mergeCell ref="Z46:AB46"/>
    <mergeCell ref="AC46:AE46"/>
    <mergeCell ref="W47:Y47"/>
    <mergeCell ref="Z47:AB47"/>
    <mergeCell ref="AC47:AE47"/>
    <mergeCell ref="W48:Y48"/>
    <mergeCell ref="Z48:AB48"/>
    <mergeCell ref="AC48:AE48"/>
    <mergeCell ref="AH43:AH48"/>
    <mergeCell ref="W44:Y44"/>
    <mergeCell ref="Z44:AB44"/>
    <mergeCell ref="A37:A42"/>
    <mergeCell ref="W37:Y37"/>
    <mergeCell ref="Z37:AB37"/>
    <mergeCell ref="AC37:AE37"/>
    <mergeCell ref="AG37:AG42"/>
    <mergeCell ref="Z40:AB40"/>
    <mergeCell ref="AC40:AE40"/>
    <mergeCell ref="W41:Y41"/>
    <mergeCell ref="Z41:AB41"/>
    <mergeCell ref="AC41:AE41"/>
    <mergeCell ref="W42:Y42"/>
    <mergeCell ref="Z42:AB42"/>
    <mergeCell ref="AC42:AE42"/>
    <mergeCell ref="AH30:AH32"/>
    <mergeCell ref="W31:Y31"/>
    <mergeCell ref="Z31:AB31"/>
    <mergeCell ref="AC31:AE31"/>
    <mergeCell ref="W32:Y32"/>
    <mergeCell ref="Z32:AB32"/>
    <mergeCell ref="AC32:AE32"/>
    <mergeCell ref="A33:A36"/>
    <mergeCell ref="W33:Y33"/>
    <mergeCell ref="Z33:AB33"/>
    <mergeCell ref="AC33:AE33"/>
    <mergeCell ref="AG33:AG36"/>
    <mergeCell ref="Z36:AB36"/>
    <mergeCell ref="AC36:AE36"/>
    <mergeCell ref="AH33:AH36"/>
    <mergeCell ref="W34:Y34"/>
    <mergeCell ref="Z34:AB34"/>
    <mergeCell ref="AC34:AE34"/>
    <mergeCell ref="W35:Y35"/>
    <mergeCell ref="Z35:AB35"/>
    <mergeCell ref="AC35:AE35"/>
    <mergeCell ref="W36:Y36"/>
    <mergeCell ref="A30:A32"/>
    <mergeCell ref="W30:Y30"/>
    <mergeCell ref="Z30:AB30"/>
    <mergeCell ref="AC30:AE30"/>
    <mergeCell ref="AG30:AG32"/>
    <mergeCell ref="Z28:AB28"/>
    <mergeCell ref="AC28:AE28"/>
    <mergeCell ref="W29:Y29"/>
    <mergeCell ref="Z29:AB29"/>
    <mergeCell ref="AC29:AE29"/>
    <mergeCell ref="A24:A29"/>
    <mergeCell ref="AG19:AG23"/>
    <mergeCell ref="AH19:AH23"/>
    <mergeCell ref="W20:Y20"/>
    <mergeCell ref="Z20:AB20"/>
    <mergeCell ref="AC20:AE20"/>
    <mergeCell ref="W21:Y21"/>
    <mergeCell ref="Z21:AB21"/>
    <mergeCell ref="AC21:AE21"/>
    <mergeCell ref="AH24:AH29"/>
    <mergeCell ref="W25:Y25"/>
    <mergeCell ref="Z25:AB25"/>
    <mergeCell ref="AC25:AE25"/>
    <mergeCell ref="W26:Y26"/>
    <mergeCell ref="Z26:AB26"/>
    <mergeCell ref="AC26:AE26"/>
    <mergeCell ref="W27:Y27"/>
    <mergeCell ref="W24:Y24"/>
    <mergeCell ref="Z24:AB24"/>
    <mergeCell ref="AC24:AE24"/>
    <mergeCell ref="AG24:AG29"/>
    <mergeCell ref="Z27:AB27"/>
    <mergeCell ref="AC27:AE27"/>
    <mergeCell ref="W28:Y28"/>
    <mergeCell ref="A19:A23"/>
    <mergeCell ref="W19:Y19"/>
    <mergeCell ref="Z19:AB19"/>
    <mergeCell ref="AC19:AE19"/>
    <mergeCell ref="W22:Y22"/>
    <mergeCell ref="Z22:AB22"/>
    <mergeCell ref="AC22:AE22"/>
    <mergeCell ref="W23:Y23"/>
    <mergeCell ref="Z23:AB23"/>
    <mergeCell ref="AC23:AE23"/>
    <mergeCell ref="AG13:AG18"/>
    <mergeCell ref="AH13:AH18"/>
    <mergeCell ref="W14:Y14"/>
    <mergeCell ref="Z14:AB14"/>
    <mergeCell ref="AC14:AE14"/>
    <mergeCell ref="W15:Y15"/>
    <mergeCell ref="Z15:AB15"/>
    <mergeCell ref="AC15:AE15"/>
    <mergeCell ref="W18:Y18"/>
    <mergeCell ref="Z18:AB18"/>
    <mergeCell ref="AC18:AE18"/>
    <mergeCell ref="A13:A18"/>
    <mergeCell ref="W13:Y13"/>
    <mergeCell ref="Z13:AB13"/>
    <mergeCell ref="AC13:AE13"/>
    <mergeCell ref="W16:Y16"/>
    <mergeCell ref="Z16:AB16"/>
    <mergeCell ref="AC16:AE16"/>
    <mergeCell ref="W17:Y17"/>
    <mergeCell ref="Z17:AB17"/>
    <mergeCell ref="AC17:AE17"/>
    <mergeCell ref="A9:A12"/>
    <mergeCell ref="W9:Y9"/>
    <mergeCell ref="Z9:AB9"/>
    <mergeCell ref="AC9:AE9"/>
    <mergeCell ref="W12:Y12"/>
    <mergeCell ref="AG9:AG12"/>
    <mergeCell ref="AH9:AH12"/>
    <mergeCell ref="W10:Y10"/>
    <mergeCell ref="Z10:AB10"/>
    <mergeCell ref="AC10:AE10"/>
    <mergeCell ref="W11:Y11"/>
    <mergeCell ref="Z11:AB11"/>
    <mergeCell ref="AC11:AE11"/>
    <mergeCell ref="Z12:AB12"/>
    <mergeCell ref="AC12:AE12"/>
    <mergeCell ref="Z7:AB7"/>
    <mergeCell ref="AC7:AE7"/>
    <mergeCell ref="AC4:AE4"/>
    <mergeCell ref="W5:Y5"/>
    <mergeCell ref="Z5:AB5"/>
    <mergeCell ref="AC5:AE5"/>
    <mergeCell ref="W8:Y8"/>
    <mergeCell ref="Z8:AB8"/>
    <mergeCell ref="AC8:AE8"/>
    <mergeCell ref="AJ1:AJ2"/>
    <mergeCell ref="A3:A8"/>
    <mergeCell ref="W3:Y3"/>
    <mergeCell ref="Z3:AB3"/>
    <mergeCell ref="AC3:AE3"/>
    <mergeCell ref="AG3:AG8"/>
    <mergeCell ref="AH3:AH8"/>
    <mergeCell ref="W4:Y4"/>
    <mergeCell ref="Z4:AB4"/>
    <mergeCell ref="AC1:AE1"/>
    <mergeCell ref="AG1:AG2"/>
    <mergeCell ref="AH1:AH2"/>
    <mergeCell ref="AI1:AI2"/>
    <mergeCell ref="AF1:AF2"/>
    <mergeCell ref="S1:S2"/>
    <mergeCell ref="T1:T2"/>
    <mergeCell ref="U1:U2"/>
    <mergeCell ref="V1:V2"/>
    <mergeCell ref="W1:Y1"/>
    <mergeCell ref="Z1:AB1"/>
    <mergeCell ref="W6:Y6"/>
    <mergeCell ref="Z6:AB6"/>
    <mergeCell ref="AC6:AE6"/>
    <mergeCell ref="W7:Y7"/>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 ref="M1:M2"/>
    <mergeCell ref="N1:N2"/>
    <mergeCell ref="O1:O2"/>
  </mergeCells>
  <conditionalFormatting sqref="G3:H72">
    <cfRule type="containsText" dxfId="32" priority="9" operator="containsText" text="NO">
      <formula>NOT(ISERROR(SEARCH("NO",G3)))</formula>
    </cfRule>
  </conditionalFormatting>
  <conditionalFormatting sqref="AG13:AH13 AG43:AH43 AG49:AH49 AG55:AH55 AG61:AH61 AG67:AH67">
    <cfRule type="containsText" dxfId="31" priority="8" operator="containsText" text="NO">
      <formula>NOT(ISERROR(SEARCH("NO",AG13)))</formula>
    </cfRule>
  </conditionalFormatting>
  <conditionalFormatting sqref="AG37:AH37">
    <cfRule type="containsText" dxfId="30" priority="1" operator="containsText" text="NO">
      <formula>NOT(ISERROR(SEARCH("NO",AG37)))</formula>
    </cfRule>
  </conditionalFormatting>
  <conditionalFormatting sqref="AG3:AH3">
    <cfRule type="containsText" dxfId="29" priority="7" operator="containsText" text="NO">
      <formula>NOT(ISERROR(SEARCH("NO",AG3)))</formula>
    </cfRule>
  </conditionalFormatting>
  <conditionalFormatting sqref="AG9:AH9">
    <cfRule type="containsText" dxfId="28" priority="6" operator="containsText" text="NO">
      <formula>NOT(ISERROR(SEARCH("NO",AG9)))</formula>
    </cfRule>
  </conditionalFormatting>
  <conditionalFormatting sqref="AG19:AH19">
    <cfRule type="containsText" dxfId="27" priority="5" operator="containsText" text="NO">
      <formula>NOT(ISERROR(SEARCH("NO",AG19)))</formula>
    </cfRule>
  </conditionalFormatting>
  <conditionalFormatting sqref="AG24:AH24">
    <cfRule type="containsText" dxfId="26" priority="4" operator="containsText" text="NO">
      <formula>NOT(ISERROR(SEARCH("NO",AG24)))</formula>
    </cfRule>
  </conditionalFormatting>
  <conditionalFormatting sqref="AG30:AH30">
    <cfRule type="containsText" dxfId="25" priority="3" operator="containsText" text="NO">
      <formula>NOT(ISERROR(SEARCH("NO",AG30)))</formula>
    </cfRule>
  </conditionalFormatting>
  <conditionalFormatting sqref="AG33:AH33">
    <cfRule type="containsText" dxfId="24" priority="2" operator="containsText" text="NO">
      <formula>NOT(ISERROR(SEARCH("NO",AG33)))</formula>
    </cfRule>
  </conditionalFormatting>
  <dataValidations count="1">
    <dataValidation type="list" allowBlank="1" showInputMessage="1" showErrorMessage="1" sqref="W3:Y8 Z3:AF72 G3:H72 W13:Y13">
      <formula1>$AL$1:$AM$1</formula1>
    </dataValidation>
  </dataValidations>
  <pageMargins left="0.75" right="0.75" top="1" bottom="1" header="0.5" footer="0.5"/>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198"/>
  <sheetViews>
    <sheetView topLeftCell="I21" zoomScale="55" zoomScaleNormal="55" zoomScalePageLayoutView="75" workbookViewId="0">
      <selection activeCell="Y26" sqref="Y26"/>
    </sheetView>
  </sheetViews>
  <sheetFormatPr baseColWidth="10" defaultColWidth="10.875" defaultRowHeight="15.75"/>
  <cols>
    <col min="1" max="1" width="10.875" style="89" bestFit="1" customWidth="1"/>
    <col min="2" max="2" width="8.875" style="89" customWidth="1"/>
    <col min="3" max="3" width="10.75" style="100" customWidth="1"/>
    <col min="4" max="4" width="21" style="92" customWidth="1"/>
    <col min="5" max="5" width="17.5" style="92" customWidth="1"/>
    <col min="6" max="6" width="66.125" style="101" customWidth="1"/>
    <col min="7" max="7" width="18.5" style="101" customWidth="1"/>
    <col min="8" max="8" width="23.875" style="101" customWidth="1"/>
    <col min="9" max="10" width="18.875" style="101" customWidth="1"/>
    <col min="11" max="11" width="13.625" style="102" customWidth="1"/>
    <col min="12" max="12" width="10.625"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bestFit="1" customWidth="1"/>
    <col min="19" max="19" width="12.5" style="68" customWidth="1"/>
    <col min="20" max="20" width="9.625" style="68" bestFit="1" customWidth="1"/>
    <col min="21" max="22" width="15.5" style="68" customWidth="1"/>
    <col min="23" max="23" width="18.375" style="81" customWidth="1"/>
    <col min="24" max="24" width="19.5" style="58" customWidth="1"/>
    <col min="25" max="25" width="59.125" style="92" customWidth="1"/>
    <col min="26" max="28" width="10.875" style="108"/>
    <col min="29" max="30" width="15.125" style="108" bestFit="1" customWidth="1"/>
    <col min="31" max="16384" width="10.875" style="108"/>
  </cols>
  <sheetData>
    <row r="1" spans="1:28" s="56" customFormat="1" ht="15" customHeight="1">
      <c r="A1" s="776" t="s">
        <v>6</v>
      </c>
      <c r="B1" s="776" t="s">
        <v>5</v>
      </c>
      <c r="C1" s="776" t="s">
        <v>174</v>
      </c>
      <c r="D1" s="776" t="s">
        <v>12</v>
      </c>
      <c r="E1" s="776" t="s">
        <v>13</v>
      </c>
      <c r="F1" s="776" t="s">
        <v>14</v>
      </c>
      <c r="G1" s="780" t="s">
        <v>186</v>
      </c>
      <c r="H1" s="780" t="s">
        <v>483</v>
      </c>
      <c r="I1" s="781" t="s">
        <v>187</v>
      </c>
      <c r="J1" s="781" t="s">
        <v>484</v>
      </c>
      <c r="K1" s="782" t="s">
        <v>63</v>
      </c>
      <c r="L1" s="784" t="s">
        <v>15</v>
      </c>
      <c r="M1" s="784" t="s">
        <v>16</v>
      </c>
      <c r="N1" s="831" t="s">
        <v>69</v>
      </c>
      <c r="O1" s="776" t="s">
        <v>68</v>
      </c>
      <c r="P1" s="776" t="s">
        <v>17</v>
      </c>
      <c r="Q1" s="776" t="s">
        <v>18</v>
      </c>
      <c r="R1" s="780" t="s">
        <v>19</v>
      </c>
      <c r="S1" s="780" t="s">
        <v>20</v>
      </c>
      <c r="T1" s="780" t="s">
        <v>21</v>
      </c>
      <c r="U1" s="780" t="s">
        <v>22</v>
      </c>
      <c r="V1" s="776" t="s">
        <v>23</v>
      </c>
      <c r="W1" s="780" t="s">
        <v>485</v>
      </c>
      <c r="X1" s="780" t="s">
        <v>486</v>
      </c>
      <c r="Y1" s="791" t="s">
        <v>3</v>
      </c>
      <c r="AA1" s="57" t="s">
        <v>10</v>
      </c>
      <c r="AB1" s="57" t="s">
        <v>11</v>
      </c>
    </row>
    <row r="2" spans="1:28" s="56" customFormat="1" ht="62.25" customHeight="1" thickBot="1">
      <c r="A2" s="777"/>
      <c r="B2" s="777"/>
      <c r="C2" s="777"/>
      <c r="D2" s="777"/>
      <c r="E2" s="777"/>
      <c r="F2" s="777"/>
      <c r="G2" s="781"/>
      <c r="H2" s="781"/>
      <c r="I2" s="833"/>
      <c r="J2" s="833"/>
      <c r="K2" s="783"/>
      <c r="L2" s="785"/>
      <c r="M2" s="785"/>
      <c r="N2" s="832"/>
      <c r="O2" s="777"/>
      <c r="P2" s="777"/>
      <c r="Q2" s="777"/>
      <c r="R2" s="781"/>
      <c r="S2" s="781"/>
      <c r="T2" s="781"/>
      <c r="U2" s="781"/>
      <c r="V2" s="777"/>
      <c r="W2" s="781"/>
      <c r="X2" s="781"/>
      <c r="Y2" s="792"/>
    </row>
    <row r="3" spans="1:28" s="72" customFormat="1" ht="71.25">
      <c r="A3" s="795" t="s">
        <v>173</v>
      </c>
      <c r="B3" s="123" t="s">
        <v>157</v>
      </c>
      <c r="C3" s="124">
        <v>4</v>
      </c>
      <c r="D3" s="125" t="str">
        <f>+IFERROR(INDEX([7]CONSOLIDADO!$D$4:$D$91,MATCH('EXP ESPEC. 34-40'!B3,[7]CONSOLIDADO!$C$4:$C$91,0)),"")</f>
        <v>CONSULTORES TECNICOS Y ECONOMICOS SA</v>
      </c>
      <c r="E3" s="126" t="s">
        <v>27</v>
      </c>
      <c r="F3" s="127" t="s">
        <v>622</v>
      </c>
      <c r="G3" s="279" t="s">
        <v>10</v>
      </c>
      <c r="H3" s="279" t="s">
        <v>11</v>
      </c>
      <c r="I3" s="279" t="s">
        <v>10</v>
      </c>
      <c r="J3" s="279" t="s">
        <v>11</v>
      </c>
      <c r="K3" s="128">
        <v>0.5</v>
      </c>
      <c r="L3" s="129">
        <v>38034</v>
      </c>
      <c r="M3" s="129">
        <v>40770</v>
      </c>
      <c r="N3" s="130">
        <f>IF(M3="","",YEAR(M3))</f>
        <v>2011</v>
      </c>
      <c r="O3" s="131">
        <f>+IFERROR(INDEX([7]PARÁMETROS!$B$11:$B$37,MATCH(N3,[7]PARÁMETROS!$A$11:$A$37,0)),"")</f>
        <v>535600</v>
      </c>
      <c r="P3" s="132">
        <v>9131630030</v>
      </c>
      <c r="Q3" s="133" t="s">
        <v>25</v>
      </c>
      <c r="R3" s="123" t="s">
        <v>61</v>
      </c>
      <c r="S3" s="134" t="s">
        <v>61</v>
      </c>
      <c r="T3" s="135">
        <v>1</v>
      </c>
      <c r="U3" s="131">
        <f>IF(T3&lt;&gt;"",P3*T3,"")</f>
        <v>9131630030</v>
      </c>
      <c r="V3" s="136">
        <f>+IFERROR(U3/O3,"")</f>
        <v>17049.346583271097</v>
      </c>
      <c r="W3" s="136">
        <f>IFERROR(V3*K3,"")</f>
        <v>8524.6732916355486</v>
      </c>
      <c r="X3" s="279" t="str">
        <f>+IF(W3="","",IF(W3&gt;=[7]PARÁMETROS!$J$5,"CUMPLE","NO CUMPLE"))</f>
        <v>CUMPLE</v>
      </c>
      <c r="Y3" s="138"/>
      <c r="Z3" s="109"/>
    </row>
    <row r="4" spans="1:28" s="72" customFormat="1" ht="85.5">
      <c r="A4" s="796"/>
      <c r="B4" s="58" t="s">
        <v>157</v>
      </c>
      <c r="C4" s="59">
        <v>9</v>
      </c>
      <c r="D4" s="60" t="str">
        <f>+IFERROR(INDEX([7]CONSOLIDADO!$D$4:$D$91,MATCH('EXP ESPEC. 34-40'!B4,[7]CONSOLIDADO!$C$4:$C$91,0)),"")</f>
        <v>CONSULTORES TECNICOS Y ECONOMICOS SA</v>
      </c>
      <c r="E4" s="61" t="s">
        <v>397</v>
      </c>
      <c r="F4" s="62" t="s">
        <v>625</v>
      </c>
      <c r="G4" s="277" t="s">
        <v>10</v>
      </c>
      <c r="H4" s="277" t="s">
        <v>10</v>
      </c>
      <c r="I4" s="277" t="s">
        <v>10</v>
      </c>
      <c r="J4" s="277" t="s">
        <v>11</v>
      </c>
      <c r="K4" s="73">
        <v>0.75</v>
      </c>
      <c r="L4" s="64">
        <v>38374</v>
      </c>
      <c r="M4" s="64">
        <v>39512</v>
      </c>
      <c r="N4" s="65">
        <f t="shared" ref="N4:N54" si="0">IF(M4="","",YEAR(M4))</f>
        <v>2008</v>
      </c>
      <c r="O4" s="66">
        <f>+IFERROR(INDEX([7]PARÁMETROS!$B$11:$B$37,MATCH(N4,[7]PARÁMETROS!$A$11:$A$37,0)),"")</f>
        <v>461500</v>
      </c>
      <c r="P4" s="74">
        <v>4505935152</v>
      </c>
      <c r="Q4" s="66" t="s">
        <v>25</v>
      </c>
      <c r="R4" s="58" t="s">
        <v>61</v>
      </c>
      <c r="S4" s="69" t="s">
        <v>61</v>
      </c>
      <c r="T4" s="70">
        <v>1</v>
      </c>
      <c r="U4" s="66">
        <f t="shared" ref="U4:U54" si="1">IF(T4&lt;&gt;"",P4*T4,"")</f>
        <v>4505935152</v>
      </c>
      <c r="V4" s="55">
        <f t="shared" ref="V4:V54" si="2">+IFERROR(U4/O4,"")</f>
        <v>9763.6731354279527</v>
      </c>
      <c r="W4" s="55">
        <f t="shared" ref="W4:W54" si="3">IFERROR(V4*K4,"")</f>
        <v>7322.7548515709641</v>
      </c>
      <c r="X4" s="277" t="str">
        <f>+IF(W4="","",IF(W4&gt;=[7]PARÁMETROS!$J$5,"CUMPLE","NO CUMPLE"))</f>
        <v>CUMPLE</v>
      </c>
      <c r="Y4" s="139"/>
      <c r="Z4" s="109"/>
    </row>
    <row r="5" spans="1:28" s="72" customFormat="1" ht="85.5">
      <c r="A5" s="796"/>
      <c r="B5" s="58" t="s">
        <v>157</v>
      </c>
      <c r="C5" s="59">
        <v>16</v>
      </c>
      <c r="D5" s="60" t="str">
        <f>+IFERROR(INDEX([7]CONSOLIDADO!$D$4:$D$91,MATCH('EXP ESPEC. 34-40'!B5,[7]CONSOLIDADO!$C$4:$C$91,0)),"")</f>
        <v>CONSULTORES TECNICOS Y ECONOMICOS SA</v>
      </c>
      <c r="E5" s="61" t="s">
        <v>397</v>
      </c>
      <c r="F5" s="62" t="s">
        <v>624</v>
      </c>
      <c r="G5" s="277" t="s">
        <v>10</v>
      </c>
      <c r="H5" s="277" t="s">
        <v>10</v>
      </c>
      <c r="I5" s="277" t="s">
        <v>10</v>
      </c>
      <c r="J5" s="277" t="s">
        <v>11</v>
      </c>
      <c r="K5" s="63">
        <v>0.75</v>
      </c>
      <c r="L5" s="64">
        <v>38177</v>
      </c>
      <c r="M5" s="64">
        <v>39760</v>
      </c>
      <c r="N5" s="65">
        <f t="shared" si="0"/>
        <v>2008</v>
      </c>
      <c r="O5" s="66">
        <f>+IFERROR(INDEX([7]PARÁMETROS!$B$11:$B$37,MATCH(N5,[7]PARÁMETROS!$A$11:$A$37,0)),"")</f>
        <v>461500</v>
      </c>
      <c r="P5" s="67">
        <f>1494762080+586180723.08+207910583.88</f>
        <v>2288853386.96</v>
      </c>
      <c r="Q5" s="68" t="s">
        <v>25</v>
      </c>
      <c r="R5" s="58" t="s">
        <v>61</v>
      </c>
      <c r="S5" s="69" t="s">
        <v>61</v>
      </c>
      <c r="T5" s="70">
        <v>1</v>
      </c>
      <c r="U5" s="66">
        <f t="shared" si="1"/>
        <v>2288853386.96</v>
      </c>
      <c r="V5" s="55">
        <f t="shared" si="2"/>
        <v>4959.5956380498374</v>
      </c>
      <c r="W5" s="55">
        <f t="shared" si="3"/>
        <v>3719.696728537378</v>
      </c>
      <c r="X5" s="277" t="str">
        <f>+IF(W5="","",IF(W5&gt;=[7]PARÁMETROS!$J$5,"CUMPLE","NO CUMPLE"))</f>
        <v>CUMPLE</v>
      </c>
      <c r="Y5" s="140"/>
      <c r="Z5" s="109"/>
    </row>
    <row r="6" spans="1:28" s="72" customFormat="1" ht="72" thickBot="1">
      <c r="A6" s="806"/>
      <c r="B6" s="141" t="s">
        <v>157</v>
      </c>
      <c r="C6" s="169">
        <v>27</v>
      </c>
      <c r="D6" s="143" t="str">
        <f>+IFERROR(INDEX([7]CONSOLIDADO!$D$4:$D$91,MATCH('EXP ESPEC. 34-40'!B6,[7]CONSOLIDADO!$C$4:$C$91,0)),"")</f>
        <v>CONSULTORES TECNICOS Y ECONOMICOS SA</v>
      </c>
      <c r="E6" s="144" t="s">
        <v>405</v>
      </c>
      <c r="F6" s="145" t="s">
        <v>623</v>
      </c>
      <c r="G6" s="278" t="s">
        <v>10</v>
      </c>
      <c r="H6" s="278" t="s">
        <v>11</v>
      </c>
      <c r="I6" s="278" t="s">
        <v>10</v>
      </c>
      <c r="J6" s="278" t="s">
        <v>11</v>
      </c>
      <c r="K6" s="146">
        <v>1</v>
      </c>
      <c r="L6" s="147">
        <v>38337</v>
      </c>
      <c r="M6" s="147">
        <v>39401</v>
      </c>
      <c r="N6" s="148">
        <f t="shared" si="0"/>
        <v>2007</v>
      </c>
      <c r="O6" s="149">
        <f>+IFERROR(INDEX([7]PARÁMETROS!$B$11:$B$37,MATCH(N6,[7]PARÁMETROS!$A$11:$A$37,0)),"")</f>
        <v>433700</v>
      </c>
      <c r="P6" s="150">
        <v>2544987926</v>
      </c>
      <c r="Q6" s="151" t="s">
        <v>25</v>
      </c>
      <c r="R6" s="141" t="s">
        <v>61</v>
      </c>
      <c r="S6" s="152" t="s">
        <v>61</v>
      </c>
      <c r="T6" s="153">
        <v>1</v>
      </c>
      <c r="U6" s="149">
        <f t="shared" si="1"/>
        <v>2544987926</v>
      </c>
      <c r="V6" s="154">
        <f t="shared" si="2"/>
        <v>5868.0837583583125</v>
      </c>
      <c r="W6" s="154">
        <f t="shared" si="3"/>
        <v>5868.0837583583125</v>
      </c>
      <c r="X6" s="278" t="str">
        <f>+IF(W6="","",IF(W6&gt;=[7]PARÁMETROS!$J$5,"CUMPLE","NO CUMPLE"))</f>
        <v>CUMPLE</v>
      </c>
      <c r="Y6" s="170"/>
      <c r="Z6" s="109"/>
    </row>
    <row r="7" spans="1:28" s="72" customFormat="1" ht="57">
      <c r="A7" s="795" t="s">
        <v>176</v>
      </c>
      <c r="B7" s="123" t="s">
        <v>160</v>
      </c>
      <c r="C7" s="466">
        <v>6</v>
      </c>
      <c r="D7" s="125" t="str">
        <f>+IFERROR(INDEX([7]CONSOLIDADO!$D$4:$D$91,MATCH('EXP ESPEC. 34-40'!B7,[7]CONSOLIDADO!$C$4:$C$91,0)),"")</f>
        <v>CONSULTORES DE INGENIERIA UG21 SL SUCURSAL COLOMBIA</v>
      </c>
      <c r="E7" s="126" t="s">
        <v>631</v>
      </c>
      <c r="F7" s="127" t="s">
        <v>632</v>
      </c>
      <c r="G7" s="279" t="s">
        <v>11</v>
      </c>
      <c r="H7" s="279" t="s">
        <v>11</v>
      </c>
      <c r="I7" s="279" t="s">
        <v>10</v>
      </c>
      <c r="J7" s="279" t="s">
        <v>11</v>
      </c>
      <c r="K7" s="128">
        <v>0.4</v>
      </c>
      <c r="L7" s="129">
        <v>41282</v>
      </c>
      <c r="M7" s="129" t="s">
        <v>629</v>
      </c>
      <c r="N7" s="130">
        <v>2015</v>
      </c>
      <c r="O7" s="131">
        <f>+IFERROR(INDEX([7]PARÁMETROS!$B$11:$B$37,MATCH(N7,[7]PARÁMETROS!$A$11:$A$37,0)),"")</f>
        <v>644350</v>
      </c>
      <c r="P7" s="132">
        <v>16123259108</v>
      </c>
      <c r="Q7" s="133" t="s">
        <v>25</v>
      </c>
      <c r="R7" s="123" t="s">
        <v>61</v>
      </c>
      <c r="S7" s="134" t="s">
        <v>61</v>
      </c>
      <c r="T7" s="135">
        <v>1</v>
      </c>
      <c r="U7" s="131">
        <f t="shared" si="1"/>
        <v>16123259108</v>
      </c>
      <c r="V7" s="136">
        <f t="shared" si="2"/>
        <v>25022.517433072087</v>
      </c>
      <c r="W7" s="136">
        <f t="shared" si="3"/>
        <v>10009.006973228836</v>
      </c>
      <c r="X7" s="279" t="str">
        <f>+IF(W7="","",IF(W7&gt;=[7]PARÁMETROS!$J$5,"CUMPLE","NO CUMPLE"))</f>
        <v>CUMPLE</v>
      </c>
      <c r="Y7" s="138"/>
      <c r="Z7" s="109"/>
    </row>
    <row r="8" spans="1:28" s="72" customFormat="1" ht="42.75">
      <c r="A8" s="796"/>
      <c r="B8" s="58" t="s">
        <v>159</v>
      </c>
      <c r="C8" s="464">
        <v>30</v>
      </c>
      <c r="D8" s="60" t="str">
        <f>+IFERROR(INDEX([7]CONSOLIDADO!$D$4:$D$91,MATCH('EXP ESPEC. 34-40'!B8,[7]CONSOLIDADO!$C$4:$C$91,0)),"")</f>
        <v>PROINTEC COLOMBIA</v>
      </c>
      <c r="E8" s="61" t="s">
        <v>633</v>
      </c>
      <c r="F8" s="62" t="s">
        <v>634</v>
      </c>
      <c r="G8" s="277" t="s">
        <v>10</v>
      </c>
      <c r="H8" s="277" t="s">
        <v>11</v>
      </c>
      <c r="I8" s="277" t="s">
        <v>10</v>
      </c>
      <c r="J8" s="277" t="s">
        <v>11</v>
      </c>
      <c r="K8" s="63">
        <v>1</v>
      </c>
      <c r="L8" s="64">
        <v>39001</v>
      </c>
      <c r="M8" s="64">
        <v>40354</v>
      </c>
      <c r="N8" s="65">
        <f t="shared" si="0"/>
        <v>2010</v>
      </c>
      <c r="O8" s="66">
        <f>+IFERROR(INDEX([7]PARÁMETROS!$B$11:$B$37,MATCH(N8,[7]PARÁMETROS!$A$11:$A$37,0)),"")</f>
        <v>515000</v>
      </c>
      <c r="P8" s="67">
        <v>6389802.9699999997</v>
      </c>
      <c r="Q8" s="68" t="s">
        <v>419</v>
      </c>
      <c r="R8" s="58">
        <v>1.23166</v>
      </c>
      <c r="S8" s="69">
        <f>+P8*R8</f>
        <v>7870064.7260301998</v>
      </c>
      <c r="T8" s="70">
        <v>1896.87</v>
      </c>
      <c r="U8" s="66">
        <f t="shared" si="1"/>
        <v>12120625559.703899</v>
      </c>
      <c r="V8" s="55">
        <f t="shared" si="2"/>
        <v>23535.19526156097</v>
      </c>
      <c r="W8" s="55">
        <f t="shared" si="3"/>
        <v>23535.19526156097</v>
      </c>
      <c r="X8" s="277" t="str">
        <f>+IF(W8="","",IF(W8&gt;=[7]PARÁMETROS!$J$5,"CUMPLE","NO CUMPLE"))</f>
        <v>CUMPLE</v>
      </c>
      <c r="Y8" s="139"/>
      <c r="Z8" s="109"/>
    </row>
    <row r="9" spans="1:28" s="72" customFormat="1" ht="42.75">
      <c r="A9" s="796"/>
      <c r="B9" s="58" t="s">
        <v>159</v>
      </c>
      <c r="C9" s="464">
        <v>25</v>
      </c>
      <c r="D9" s="60" t="str">
        <f>+IFERROR(INDEX([7]CONSOLIDADO!$D$4:$D$91,MATCH('EXP ESPEC. 34-40'!B9,[7]CONSOLIDADO!$C$4:$C$91,0)),"")</f>
        <v>PROINTEC COLOMBIA</v>
      </c>
      <c r="E9" s="61" t="s">
        <v>505</v>
      </c>
      <c r="F9" s="62" t="s">
        <v>635</v>
      </c>
      <c r="G9" s="277" t="s">
        <v>10</v>
      </c>
      <c r="H9" s="277" t="s">
        <v>11</v>
      </c>
      <c r="I9" s="277" t="s">
        <v>10</v>
      </c>
      <c r="J9" s="277" t="s">
        <v>11</v>
      </c>
      <c r="K9" s="63">
        <v>1</v>
      </c>
      <c r="L9" s="64">
        <v>38051</v>
      </c>
      <c r="M9" s="64">
        <v>41071</v>
      </c>
      <c r="N9" s="65">
        <f t="shared" si="0"/>
        <v>2012</v>
      </c>
      <c r="O9" s="66">
        <f>+IFERROR(INDEX([7]PARÁMETROS!$B$11:$B$37,MATCH(N9,[7]PARÁMETROS!$A$11:$A$37,0)),"")</f>
        <v>566700</v>
      </c>
      <c r="P9" s="67">
        <v>4711321.91</v>
      </c>
      <c r="Q9" s="68" t="s">
        <v>419</v>
      </c>
      <c r="R9" s="58">
        <v>1.2534400000000001</v>
      </c>
      <c r="S9" s="69">
        <f>+P9*R9</f>
        <v>5905359.3348704008</v>
      </c>
      <c r="T9" s="70">
        <v>1776.26</v>
      </c>
      <c r="U9" s="66">
        <f t="shared" si="1"/>
        <v>8368532655.8565998</v>
      </c>
      <c r="V9" s="55">
        <f t="shared" si="2"/>
        <v>14767.130149738132</v>
      </c>
      <c r="W9" s="55">
        <f t="shared" si="3"/>
        <v>14767.130149738132</v>
      </c>
      <c r="X9" s="277" t="str">
        <f>+IF(W9="","",IF(W9&gt;=[7]PARÁMETROS!$J$5,"CUMPLE","NO CUMPLE"))</f>
        <v>CUMPLE</v>
      </c>
      <c r="Y9" s="139"/>
      <c r="Z9" s="109"/>
    </row>
    <row r="10" spans="1:28" s="72" customFormat="1" ht="57.75" thickBot="1">
      <c r="A10" s="806"/>
      <c r="B10" s="141" t="s">
        <v>159</v>
      </c>
      <c r="C10" s="404">
        <v>35</v>
      </c>
      <c r="D10" s="143" t="str">
        <f>+IFERROR(INDEX([7]CONSOLIDADO!$D$4:$D$91,MATCH('EXP ESPEC. 34-40'!B10,[7]CONSOLIDADO!$C$4:$C$91,0)),"")</f>
        <v>PROINTEC COLOMBIA</v>
      </c>
      <c r="E10" s="144" t="s">
        <v>640</v>
      </c>
      <c r="F10" s="145" t="s">
        <v>675</v>
      </c>
      <c r="G10" s="278" t="s">
        <v>10</v>
      </c>
      <c r="H10" s="278" t="s">
        <v>10</v>
      </c>
      <c r="I10" s="278" t="s">
        <v>10</v>
      </c>
      <c r="J10" s="278" t="s">
        <v>11</v>
      </c>
      <c r="K10" s="146">
        <v>0.85</v>
      </c>
      <c r="L10" s="147">
        <v>39792</v>
      </c>
      <c r="M10" s="147">
        <v>40887</v>
      </c>
      <c r="N10" s="148">
        <f t="shared" si="0"/>
        <v>2011</v>
      </c>
      <c r="O10" s="149">
        <f>+IFERROR(INDEX([7]PARÁMETROS!$B$11:$B$37,MATCH(N10,[7]PARÁMETROS!$A$11:$A$37,0)),"")</f>
        <v>535600</v>
      </c>
      <c r="P10" s="150">
        <v>3750285173</v>
      </c>
      <c r="Q10" s="151" t="s">
        <v>25</v>
      </c>
      <c r="R10" s="141" t="s">
        <v>61</v>
      </c>
      <c r="S10" s="152" t="s">
        <v>61</v>
      </c>
      <c r="T10" s="153">
        <v>1</v>
      </c>
      <c r="U10" s="149">
        <f t="shared" si="1"/>
        <v>3750285173</v>
      </c>
      <c r="V10" s="154">
        <f t="shared" si="2"/>
        <v>7002.0260884988802</v>
      </c>
      <c r="W10" s="154">
        <f t="shared" si="3"/>
        <v>5951.7221752240484</v>
      </c>
      <c r="X10" s="278" t="str">
        <f>+IF(W10="","",IF(W10&gt;=[7]PARÁMETROS!$J$5,"CUMPLE","NO CUMPLE"))</f>
        <v>CUMPLE</v>
      </c>
      <c r="Y10" s="155"/>
      <c r="Z10" s="109"/>
    </row>
    <row r="11" spans="1:28" s="72" customFormat="1" ht="71.25">
      <c r="A11" s="795" t="s">
        <v>177</v>
      </c>
      <c r="B11" s="123" t="s">
        <v>161</v>
      </c>
      <c r="C11" s="466">
        <v>3</v>
      </c>
      <c r="D11" s="125" t="str">
        <f>+IFERROR(INDEX([7]CONSOLIDADO!$D$4:$D$91,MATCH('EXP ESPEC. 34-40'!B11,[7]CONSOLIDADO!$C$4:$C$91,0)),"")</f>
        <v>ETA SA</v>
      </c>
      <c r="E11" s="126" t="s">
        <v>637</v>
      </c>
      <c r="F11" s="127" t="s">
        <v>638</v>
      </c>
      <c r="G11" s="279" t="s">
        <v>10</v>
      </c>
      <c r="H11" s="279" t="s">
        <v>11</v>
      </c>
      <c r="I11" s="279" t="s">
        <v>10</v>
      </c>
      <c r="J11" s="279" t="s">
        <v>11</v>
      </c>
      <c r="K11" s="128">
        <v>1</v>
      </c>
      <c r="L11" s="129">
        <v>39776</v>
      </c>
      <c r="M11" s="129">
        <v>40809</v>
      </c>
      <c r="N11" s="130">
        <f t="shared" si="0"/>
        <v>2011</v>
      </c>
      <c r="O11" s="131">
        <f>+IFERROR(INDEX([7]PARÁMETROS!$B$11:$B$37,MATCH(N11,[7]PARÁMETROS!$A$11:$A$37,0)),"")</f>
        <v>535600</v>
      </c>
      <c r="P11" s="132">
        <v>3888865854</v>
      </c>
      <c r="Q11" s="133" t="s">
        <v>25</v>
      </c>
      <c r="R11" s="123" t="s">
        <v>61</v>
      </c>
      <c r="S11" s="134" t="s">
        <v>61</v>
      </c>
      <c r="T11" s="135">
        <v>1</v>
      </c>
      <c r="U11" s="131">
        <f t="shared" si="1"/>
        <v>3888865854</v>
      </c>
      <c r="V11" s="136">
        <f t="shared" si="2"/>
        <v>7260.7652240477964</v>
      </c>
      <c r="W11" s="136">
        <f t="shared" si="3"/>
        <v>7260.7652240477964</v>
      </c>
      <c r="X11" s="279" t="str">
        <f>+IF(W11="","",IF(W11&gt;=[7]PARÁMETROS!$J$5,"CUMPLE","NO CUMPLE"))</f>
        <v>CUMPLE</v>
      </c>
      <c r="Y11" s="138"/>
      <c r="Z11" s="109"/>
    </row>
    <row r="12" spans="1:28" s="72" customFormat="1" ht="57">
      <c r="A12" s="796"/>
      <c r="B12" s="58" t="s">
        <v>161</v>
      </c>
      <c r="C12" s="464">
        <v>41</v>
      </c>
      <c r="D12" s="60" t="str">
        <f>+IFERROR(INDEX([7]CONSOLIDADO!$D$4:$D$91,MATCH('EXP ESPEC. 34-40'!B12,[7]CONSOLIDADO!$C$4:$C$91,0)),"")</f>
        <v>ETA SA</v>
      </c>
      <c r="E12" s="61" t="s">
        <v>27</v>
      </c>
      <c r="F12" s="61" t="s">
        <v>639</v>
      </c>
      <c r="G12" s="277" t="s">
        <v>10</v>
      </c>
      <c r="H12" s="277" t="s">
        <v>11</v>
      </c>
      <c r="I12" s="277" t="s">
        <v>10</v>
      </c>
      <c r="J12" s="277" t="s">
        <v>11</v>
      </c>
      <c r="K12" s="73">
        <v>0.6</v>
      </c>
      <c r="L12" s="64">
        <v>37432</v>
      </c>
      <c r="M12" s="64">
        <v>38352</v>
      </c>
      <c r="N12" s="65">
        <f t="shared" si="0"/>
        <v>2004</v>
      </c>
      <c r="O12" s="66">
        <f>+IFERROR(INDEX([7]PARÁMETROS!$B$11:$B$37,MATCH(N12,[7]PARÁMETROS!$A$11:$A$37,0)),"")</f>
        <v>358000</v>
      </c>
      <c r="P12" s="74">
        <v>2437834762</v>
      </c>
      <c r="Q12" s="66" t="s">
        <v>25</v>
      </c>
      <c r="R12" s="58" t="s">
        <v>61</v>
      </c>
      <c r="S12" s="69" t="s">
        <v>61</v>
      </c>
      <c r="T12" s="70">
        <v>1</v>
      </c>
      <c r="U12" s="66">
        <f t="shared" si="1"/>
        <v>2437834762</v>
      </c>
      <c r="V12" s="55">
        <f t="shared" si="2"/>
        <v>6809.5943072625696</v>
      </c>
      <c r="W12" s="55">
        <f t="shared" si="3"/>
        <v>4085.7565843575417</v>
      </c>
      <c r="X12" s="277" t="str">
        <f>+IF(W12="","",IF(W12&gt;=[7]PARÁMETROS!$J$5,"CUMPLE","NO CUMPLE"))</f>
        <v>CUMPLE</v>
      </c>
      <c r="Y12" s="139"/>
      <c r="Z12" s="109"/>
    </row>
    <row r="13" spans="1:28" s="72" customFormat="1" ht="85.5">
      <c r="A13" s="796"/>
      <c r="B13" s="58" t="s">
        <v>162</v>
      </c>
      <c r="C13" s="464">
        <v>62</v>
      </c>
      <c r="D13" s="60" t="str">
        <f>+IFERROR(INDEX([7]CONSOLIDADO!$D$4:$D$91,MATCH('EXP ESPEC. 34-40'!B13,[7]CONSOLIDADO!$C$4:$C$91,0)),"")</f>
        <v xml:space="preserve">GC&amp;Q INGENIEROS CONSULTORES SAS. </v>
      </c>
      <c r="E13" s="61" t="s">
        <v>640</v>
      </c>
      <c r="F13" s="62" t="s">
        <v>641</v>
      </c>
      <c r="G13" s="277" t="s">
        <v>10</v>
      </c>
      <c r="H13" s="277" t="s">
        <v>10</v>
      </c>
      <c r="I13" s="277" t="s">
        <v>10</v>
      </c>
      <c r="J13" s="277" t="s">
        <v>11</v>
      </c>
      <c r="K13" s="63">
        <v>0.6</v>
      </c>
      <c r="L13" s="64">
        <v>41075</v>
      </c>
      <c r="M13" s="64" t="s">
        <v>629</v>
      </c>
      <c r="N13" s="65">
        <v>2015</v>
      </c>
      <c r="O13" s="66">
        <f>+IFERROR(INDEX([7]PARÁMETROS!$B$11:$B$37,MATCH(N13,[7]PARÁMETROS!$A$11:$A$37,0)),"")</f>
        <v>644350</v>
      </c>
      <c r="P13" s="67">
        <v>20766942881</v>
      </c>
      <c r="Q13" s="68" t="s">
        <v>25</v>
      </c>
      <c r="R13" s="58" t="s">
        <v>61</v>
      </c>
      <c r="S13" s="69" t="s">
        <v>61</v>
      </c>
      <c r="T13" s="70">
        <v>1</v>
      </c>
      <c r="U13" s="66">
        <f t="shared" si="1"/>
        <v>20766942881</v>
      </c>
      <c r="V13" s="55">
        <f t="shared" si="2"/>
        <v>32229.289797470319</v>
      </c>
      <c r="W13" s="55">
        <f t="shared" si="3"/>
        <v>19337.573878482192</v>
      </c>
      <c r="X13" s="277" t="str">
        <f>+IF(W13="","",IF(W13&gt;=[7]PARÁMETROS!$J$5,"CUMPLE","NO CUMPLE"))</f>
        <v>CUMPLE</v>
      </c>
      <c r="Y13" s="139"/>
      <c r="Z13" s="109"/>
    </row>
    <row r="14" spans="1:28" s="72" customFormat="1" ht="43.5" thickBot="1">
      <c r="A14" s="806"/>
      <c r="B14" s="141" t="s">
        <v>162</v>
      </c>
      <c r="C14" s="404">
        <v>67</v>
      </c>
      <c r="D14" s="143" t="str">
        <f>+IFERROR(INDEX([7]CONSOLIDADO!$D$4:$D$91,MATCH('EXP ESPEC. 34-40'!B14,[7]CONSOLIDADO!$C$4:$C$91,0)),"")</f>
        <v xml:space="preserve">GC&amp;Q INGENIEROS CONSULTORES SAS. </v>
      </c>
      <c r="E14" s="144" t="s">
        <v>642</v>
      </c>
      <c r="F14" s="145" t="s">
        <v>645</v>
      </c>
      <c r="G14" s="278" t="s">
        <v>10</v>
      </c>
      <c r="H14" s="278" t="s">
        <v>11</v>
      </c>
      <c r="I14" s="278" t="s">
        <v>10</v>
      </c>
      <c r="J14" s="278" t="s">
        <v>11</v>
      </c>
      <c r="K14" s="146">
        <v>1</v>
      </c>
      <c r="L14" s="147">
        <v>39671</v>
      </c>
      <c r="M14" s="147">
        <v>40273</v>
      </c>
      <c r="N14" s="148">
        <f t="shared" si="0"/>
        <v>2010</v>
      </c>
      <c r="O14" s="149">
        <f>+IFERROR(INDEX([7]PARÁMETROS!$B$11:$B$37,MATCH(N14,[7]PARÁMETROS!$A$11:$A$37,0)),"")</f>
        <v>515000</v>
      </c>
      <c r="P14" s="150">
        <v>612800000</v>
      </c>
      <c r="Q14" s="151" t="s">
        <v>644</v>
      </c>
      <c r="R14" s="141">
        <v>1.83E-3</v>
      </c>
      <c r="S14" s="152">
        <v>1184567</v>
      </c>
      <c r="T14" s="153">
        <v>1921.88</v>
      </c>
      <c r="U14" s="152">
        <f>+S14*T14</f>
        <v>2276595625.96</v>
      </c>
      <c r="V14" s="154">
        <f t="shared" si="2"/>
        <v>4420.5740309902912</v>
      </c>
      <c r="W14" s="154">
        <f t="shared" si="3"/>
        <v>4420.5740309902912</v>
      </c>
      <c r="X14" s="278" t="str">
        <f>+IF(W14="","",IF(W14&gt;=[7]PARÁMETROS!$J$5,"CUMPLE","NO CUMPLE"))</f>
        <v>CUMPLE</v>
      </c>
      <c r="Y14" s="155"/>
      <c r="Z14" s="109"/>
    </row>
    <row r="15" spans="1:28" s="72" customFormat="1" ht="57">
      <c r="A15" s="795" t="s">
        <v>178</v>
      </c>
      <c r="B15" s="123" t="s">
        <v>163</v>
      </c>
      <c r="C15" s="466">
        <v>16</v>
      </c>
      <c r="D15" s="125" t="str">
        <f>+IFERROR(INDEX([7]CONSOLIDADO!$D$4:$D$91,MATCH('EXP ESPEC. 34-40'!B15,[7]CONSOLIDADO!$C$4:$C$91,0)),"")</f>
        <v>BATEMAN INGENIERIA S.A.</v>
      </c>
      <c r="E15" s="126" t="s">
        <v>397</v>
      </c>
      <c r="F15" s="127" t="s">
        <v>646</v>
      </c>
      <c r="G15" s="279" t="s">
        <v>10</v>
      </c>
      <c r="H15" s="279" t="s">
        <v>10</v>
      </c>
      <c r="I15" s="279" t="s">
        <v>10</v>
      </c>
      <c r="J15" s="279" t="s">
        <v>11</v>
      </c>
      <c r="K15" s="128">
        <v>0.75</v>
      </c>
      <c r="L15" s="129">
        <v>38343</v>
      </c>
      <c r="M15" s="129">
        <v>39804</v>
      </c>
      <c r="N15" s="130">
        <f t="shared" si="0"/>
        <v>2008</v>
      </c>
      <c r="O15" s="131">
        <f>+IFERROR(INDEX([7]PARÁMETROS!$B$11:$B$37,MATCH(N15,[7]PARÁMETROS!$A$11:$A$37,0)),"")</f>
        <v>461500</v>
      </c>
      <c r="P15" s="132">
        <v>2538978678</v>
      </c>
      <c r="Q15" s="133" t="s">
        <v>25</v>
      </c>
      <c r="R15" s="123" t="s">
        <v>61</v>
      </c>
      <c r="S15" s="134" t="s">
        <v>61</v>
      </c>
      <c r="T15" s="135">
        <v>1</v>
      </c>
      <c r="U15" s="131">
        <f t="shared" si="1"/>
        <v>2538978678</v>
      </c>
      <c r="V15" s="136">
        <f t="shared" si="2"/>
        <v>5501.5789339111589</v>
      </c>
      <c r="W15" s="136">
        <f t="shared" si="3"/>
        <v>4126.1842004333694</v>
      </c>
      <c r="X15" s="279" t="str">
        <f>+IF(W15="","",IF(W15&gt;=[7]PARÁMETROS!$J$5,"CUMPLE","NO CUMPLE"))</f>
        <v>CUMPLE</v>
      </c>
      <c r="Y15" s="138"/>
      <c r="Z15" s="109"/>
    </row>
    <row r="16" spans="1:28" s="72" customFormat="1" ht="99.75">
      <c r="A16" s="796"/>
      <c r="B16" s="58" t="s">
        <v>163</v>
      </c>
      <c r="C16" s="464">
        <v>4</v>
      </c>
      <c r="D16" s="60" t="str">
        <f>+IFERROR(INDEX([7]CONSOLIDADO!$D$4:$D$91,MATCH('EXP ESPEC. 34-40'!B16,[7]CONSOLIDADO!$C$4:$C$91,0)),"")</f>
        <v>BATEMAN INGENIERIA S.A.</v>
      </c>
      <c r="E16" s="61" t="s">
        <v>647</v>
      </c>
      <c r="F16" s="62" t="s">
        <v>648</v>
      </c>
      <c r="G16" s="277" t="s">
        <v>10</v>
      </c>
      <c r="H16" s="277" t="s">
        <v>11</v>
      </c>
      <c r="I16" s="277" t="s">
        <v>10</v>
      </c>
      <c r="J16" s="277" t="s">
        <v>11</v>
      </c>
      <c r="K16" s="63">
        <v>0.5</v>
      </c>
      <c r="L16" s="64">
        <v>40099</v>
      </c>
      <c r="M16" s="64">
        <v>40558</v>
      </c>
      <c r="N16" s="65">
        <f t="shared" si="0"/>
        <v>2011</v>
      </c>
      <c r="O16" s="66">
        <f>+IFERROR(INDEX([7]PARÁMETROS!$B$11:$B$37,MATCH(N16,[7]PARÁMETROS!$A$11:$A$37,0)),"")</f>
        <v>535600</v>
      </c>
      <c r="P16" s="67">
        <v>4561047955</v>
      </c>
      <c r="Q16" s="68" t="s">
        <v>25</v>
      </c>
      <c r="R16" s="58" t="s">
        <v>61</v>
      </c>
      <c r="S16" s="69" t="s">
        <v>61</v>
      </c>
      <c r="T16" s="70">
        <v>1</v>
      </c>
      <c r="U16" s="66">
        <f t="shared" si="1"/>
        <v>4561047955</v>
      </c>
      <c r="V16" s="55">
        <f t="shared" si="2"/>
        <v>8515.7728808812553</v>
      </c>
      <c r="W16" s="55">
        <f t="shared" si="3"/>
        <v>4257.8864404406277</v>
      </c>
      <c r="X16" s="277" t="str">
        <f>+IF(W16="","",IF(W16&gt;=[7]PARÁMETROS!$J$5,"CUMPLE","NO CUMPLE"))</f>
        <v>CUMPLE</v>
      </c>
      <c r="Y16" s="139"/>
      <c r="Z16" s="109"/>
    </row>
    <row r="17" spans="1:26" s="72" customFormat="1" ht="85.5">
      <c r="A17" s="796"/>
      <c r="B17" s="58" t="s">
        <v>163</v>
      </c>
      <c r="C17" s="464">
        <v>33</v>
      </c>
      <c r="D17" s="60" t="str">
        <f>+IFERROR(INDEX([7]CONSOLIDADO!$D$4:$D$91,MATCH('EXP ESPEC. 34-40'!B17,[7]CONSOLIDADO!$C$4:$C$91,0)),"")</f>
        <v>BATEMAN INGENIERIA S.A.</v>
      </c>
      <c r="E17" s="61" t="s">
        <v>637</v>
      </c>
      <c r="F17" s="62" t="s">
        <v>676</v>
      </c>
      <c r="G17" s="277" t="s">
        <v>10</v>
      </c>
      <c r="H17" s="277" t="s">
        <v>11</v>
      </c>
      <c r="I17" s="277" t="s">
        <v>10</v>
      </c>
      <c r="J17" s="277" t="s">
        <v>11</v>
      </c>
      <c r="K17" s="63">
        <v>0.75</v>
      </c>
      <c r="L17" s="64">
        <v>38327</v>
      </c>
      <c r="M17" s="64">
        <v>40451</v>
      </c>
      <c r="N17" s="65">
        <f t="shared" si="0"/>
        <v>2010</v>
      </c>
      <c r="O17" s="66">
        <f>+IFERROR(INDEX([7]PARÁMETROS!$B$11:$B$37,MATCH(N17,[7]PARÁMETROS!$A$11:$A$37,0)),"")</f>
        <v>515000</v>
      </c>
      <c r="P17" s="67">
        <v>5934689978</v>
      </c>
      <c r="Q17" s="68" t="s">
        <v>25</v>
      </c>
      <c r="R17" s="58" t="s">
        <v>61</v>
      </c>
      <c r="S17" s="69" t="s">
        <v>61</v>
      </c>
      <c r="T17" s="70">
        <v>1</v>
      </c>
      <c r="U17" s="66">
        <f t="shared" si="1"/>
        <v>5934689978</v>
      </c>
      <c r="V17" s="55">
        <f t="shared" si="2"/>
        <v>11523.669860194175</v>
      </c>
      <c r="W17" s="55">
        <f t="shared" si="3"/>
        <v>8642.7523951456315</v>
      </c>
      <c r="X17" s="277" t="str">
        <f>+IF(W17="","",IF(W17&gt;=[7]PARÁMETROS!$J$5,"CUMPLE","NO CUMPLE"))</f>
        <v>CUMPLE</v>
      </c>
      <c r="Y17" s="139"/>
      <c r="Z17" s="109"/>
    </row>
    <row r="18" spans="1:26" s="72" customFormat="1" ht="57.75" thickBot="1">
      <c r="A18" s="806"/>
      <c r="B18" s="141" t="s">
        <v>163</v>
      </c>
      <c r="C18" s="404">
        <v>47</v>
      </c>
      <c r="D18" s="143" t="str">
        <f>+IFERROR(INDEX([7]CONSOLIDADO!$D$4:$D$91,MATCH('EXP ESPEC. 34-40'!B18,[7]CONSOLIDADO!$C$4:$C$91,0)),"")</f>
        <v>BATEMAN INGENIERIA S.A.</v>
      </c>
      <c r="E18" s="144" t="s">
        <v>677</v>
      </c>
      <c r="F18" s="145" t="s">
        <v>678</v>
      </c>
      <c r="G18" s="278" t="s">
        <v>10</v>
      </c>
      <c r="H18" s="278" t="s">
        <v>11</v>
      </c>
      <c r="I18" s="278" t="s">
        <v>10</v>
      </c>
      <c r="J18" s="278" t="s">
        <v>11</v>
      </c>
      <c r="K18" s="146">
        <v>1</v>
      </c>
      <c r="L18" s="147">
        <v>35438</v>
      </c>
      <c r="M18" s="147">
        <v>35885</v>
      </c>
      <c r="N18" s="148">
        <f t="shared" si="0"/>
        <v>1998</v>
      </c>
      <c r="O18" s="149">
        <f>+IFERROR(INDEX([7]PARÁMETROS!$B$11:$B$37,MATCH(N18,[7]PARÁMETROS!$A$11:$A$37,0)),"")</f>
        <v>203826</v>
      </c>
      <c r="P18" s="150">
        <v>758870859</v>
      </c>
      <c r="Q18" s="151" t="s">
        <v>25</v>
      </c>
      <c r="R18" s="141" t="s">
        <v>61</v>
      </c>
      <c r="S18" s="152" t="s">
        <v>61</v>
      </c>
      <c r="T18" s="153">
        <v>1</v>
      </c>
      <c r="U18" s="149">
        <f t="shared" si="1"/>
        <v>758870859</v>
      </c>
      <c r="V18" s="154">
        <f t="shared" si="2"/>
        <v>3723.1308027435166</v>
      </c>
      <c r="W18" s="154">
        <f t="shared" si="3"/>
        <v>3723.1308027435166</v>
      </c>
      <c r="X18" s="278" t="str">
        <f>+IF(W18="","",IF(W18&gt;=[7]PARÁMETROS!$J$5,"CUMPLE","NO CUMPLE"))</f>
        <v>CUMPLE</v>
      </c>
      <c r="Y18" s="155"/>
      <c r="Z18" s="109"/>
    </row>
    <row r="19" spans="1:26" s="72" customFormat="1" ht="99.75">
      <c r="A19" s="795" t="s">
        <v>179</v>
      </c>
      <c r="B19" s="123" t="s">
        <v>167</v>
      </c>
      <c r="C19" s="466">
        <v>25</v>
      </c>
      <c r="D19" s="125" t="str">
        <f>+IFERROR(INDEX([7]CONSOLIDADO!$D$4:$D$91,MATCH('EXP ESPEC. 34-40'!B19,[7]CONSOLIDADO!$C$4:$C$91,0)),"")</f>
        <v>ALPHA GRUPO CONSULTOR E INTERVENTOR SAS</v>
      </c>
      <c r="E19" s="126" t="s">
        <v>679</v>
      </c>
      <c r="F19" s="127" t="s">
        <v>660</v>
      </c>
      <c r="G19" s="279" t="s">
        <v>10</v>
      </c>
      <c r="H19" s="279" t="s">
        <v>10</v>
      </c>
      <c r="I19" s="279" t="s">
        <v>10</v>
      </c>
      <c r="J19" s="279" t="s">
        <v>11</v>
      </c>
      <c r="K19" s="128">
        <v>1</v>
      </c>
      <c r="L19" s="129">
        <v>40444</v>
      </c>
      <c r="M19" s="129">
        <v>41173</v>
      </c>
      <c r="N19" s="130">
        <f t="shared" si="0"/>
        <v>2012</v>
      </c>
      <c r="O19" s="131">
        <f>+IFERROR(INDEX([7]PARÁMETROS!$B$11:$B$37,MATCH(N19,[7]PARÁMETROS!$A$11:$A$37,0)),"")</f>
        <v>566700</v>
      </c>
      <c r="P19" s="132">
        <v>3241542005</v>
      </c>
      <c r="Q19" s="133" t="s">
        <v>25</v>
      </c>
      <c r="R19" s="123" t="s">
        <v>61</v>
      </c>
      <c r="S19" s="134" t="s">
        <v>61</v>
      </c>
      <c r="T19" s="135">
        <v>1</v>
      </c>
      <c r="U19" s="131">
        <f t="shared" si="1"/>
        <v>3241542005</v>
      </c>
      <c r="V19" s="136">
        <f t="shared" si="2"/>
        <v>5720.0317716604904</v>
      </c>
      <c r="W19" s="136">
        <f t="shared" si="3"/>
        <v>5720.0317716604904</v>
      </c>
      <c r="X19" s="279" t="str">
        <f>+IF(W19="","",IF(W19&gt;=[7]PARÁMETROS!$J$5,"CUMPLE","NO CUMPLE"))</f>
        <v>CUMPLE</v>
      </c>
      <c r="Y19" s="138"/>
      <c r="Z19" s="109"/>
    </row>
    <row r="20" spans="1:26" s="72" customFormat="1" ht="99.75">
      <c r="A20" s="796"/>
      <c r="B20" s="58" t="s">
        <v>167</v>
      </c>
      <c r="C20" s="464">
        <v>85</v>
      </c>
      <c r="D20" s="60" t="str">
        <f>+IFERROR(INDEX([7]CONSOLIDADO!$D$4:$D$91,MATCH('EXP ESPEC. 34-40'!B20,[7]CONSOLIDADO!$C$4:$C$91,0)),"")</f>
        <v>ALPHA GRUPO CONSULTOR E INTERVENTOR SAS</v>
      </c>
      <c r="E20" s="61" t="s">
        <v>657</v>
      </c>
      <c r="F20" s="62" t="s">
        <v>658</v>
      </c>
      <c r="G20" s="277" t="s">
        <v>10</v>
      </c>
      <c r="H20" s="277" t="s">
        <v>11</v>
      </c>
      <c r="I20" s="277" t="s">
        <v>10</v>
      </c>
      <c r="J20" s="277" t="s">
        <v>11</v>
      </c>
      <c r="K20" s="63">
        <v>0.51</v>
      </c>
      <c r="L20" s="64">
        <v>38770</v>
      </c>
      <c r="M20" s="64">
        <v>39778</v>
      </c>
      <c r="N20" s="65">
        <f t="shared" si="0"/>
        <v>2008</v>
      </c>
      <c r="O20" s="66">
        <f>+IFERROR(INDEX([7]PARÁMETROS!$B$11:$B$37,MATCH(N20,[7]PARÁMETROS!$A$11:$A$37,0)),"")</f>
        <v>461500</v>
      </c>
      <c r="P20" s="67">
        <v>3501850677</v>
      </c>
      <c r="Q20" s="68" t="s">
        <v>395</v>
      </c>
      <c r="R20" s="58" t="s">
        <v>61</v>
      </c>
      <c r="S20" s="69" t="s">
        <v>61</v>
      </c>
      <c r="T20" s="70">
        <v>1</v>
      </c>
      <c r="U20" s="66">
        <f t="shared" si="1"/>
        <v>3501850677</v>
      </c>
      <c r="V20" s="55">
        <f t="shared" si="2"/>
        <v>7587.9754647887321</v>
      </c>
      <c r="W20" s="55">
        <f t="shared" si="3"/>
        <v>3869.8674870422533</v>
      </c>
      <c r="X20" s="277" t="str">
        <f>+IF(W20="","",IF(W20&gt;=[7]PARÁMETROS!$J$5,"CUMPLE","NO CUMPLE"))</f>
        <v>CUMPLE</v>
      </c>
      <c r="Y20" s="139"/>
      <c r="Z20" s="109"/>
    </row>
    <row r="21" spans="1:26" s="72" customFormat="1" ht="57">
      <c r="A21" s="796"/>
      <c r="B21" s="58" t="s">
        <v>165</v>
      </c>
      <c r="C21" s="464">
        <v>151</v>
      </c>
      <c r="D21" s="60" t="str">
        <f>+IFERROR(INDEX([7]CONSOLIDADO!$D$4:$D$91,MATCH('EXP ESPEC. 34-40'!B21,[7]CONSOLIDADO!$C$4:$C$91,0)),"")</f>
        <v>IV INGENIEROS CONSULTORES SUCURSAL COLOMBIA</v>
      </c>
      <c r="E21" s="61" t="s">
        <v>653</v>
      </c>
      <c r="F21" s="62" t="s">
        <v>654</v>
      </c>
      <c r="G21" s="277" t="s">
        <v>10</v>
      </c>
      <c r="H21" s="277" t="s">
        <v>11</v>
      </c>
      <c r="I21" s="277" t="s">
        <v>10</v>
      </c>
      <c r="J21" s="277" t="s">
        <v>11</v>
      </c>
      <c r="K21" s="63">
        <v>1</v>
      </c>
      <c r="L21" s="64">
        <v>37774</v>
      </c>
      <c r="M21" s="64">
        <v>38597</v>
      </c>
      <c r="N21" s="65">
        <f t="shared" si="0"/>
        <v>2005</v>
      </c>
      <c r="O21" s="66">
        <f>+IFERROR(INDEX([7]PARÁMETROS!$B$11:$B$37,MATCH(N21,[7]PARÁMETROS!$A$11:$A$37,0)),"")</f>
        <v>381500</v>
      </c>
      <c r="P21" s="67">
        <v>1207476.71</v>
      </c>
      <c r="Q21" s="68" t="s">
        <v>419</v>
      </c>
      <c r="R21" s="58">
        <v>1.2487999999999999</v>
      </c>
      <c r="S21" s="69">
        <f>+P21*R21</f>
        <v>1507896.915448</v>
      </c>
      <c r="T21" s="70">
        <v>2298.85</v>
      </c>
      <c r="U21" s="66">
        <f>IF(T21&lt;&gt;"",S21*T21,"")</f>
        <v>3466428824.0776343</v>
      </c>
      <c r="V21" s="55">
        <f t="shared" si="2"/>
        <v>9086.3140867041529</v>
      </c>
      <c r="W21" s="55">
        <f t="shared" si="3"/>
        <v>9086.3140867041529</v>
      </c>
      <c r="X21" s="277" t="str">
        <f>+IF(W21="","",IF(W21&gt;=[7]PARÁMETROS!$J$5,"CUMPLE","NO CUMPLE"))</f>
        <v>CUMPLE</v>
      </c>
      <c r="Y21" s="139"/>
      <c r="Z21" s="109"/>
    </row>
    <row r="22" spans="1:26" s="82" customFormat="1" ht="57.75" thickBot="1">
      <c r="A22" s="797"/>
      <c r="B22" s="243" t="s">
        <v>165</v>
      </c>
      <c r="C22" s="504">
        <v>156</v>
      </c>
      <c r="D22" s="245" t="str">
        <f>+IFERROR(INDEX([7]CONSOLIDADO!$D$4:$D$91,MATCH('EXP ESPEC. 34-40'!B22,[7]CONSOLIDADO!$C$4:$C$91,0)),"")</f>
        <v>IV INGENIEROS CONSULTORES SUCURSAL COLOMBIA</v>
      </c>
      <c r="E22" s="246" t="s">
        <v>653</v>
      </c>
      <c r="F22" s="247" t="s">
        <v>655</v>
      </c>
      <c r="G22" s="282" t="s">
        <v>10</v>
      </c>
      <c r="H22" s="282" t="s">
        <v>11</v>
      </c>
      <c r="I22" s="282" t="s">
        <v>10</v>
      </c>
      <c r="J22" s="282" t="s">
        <v>11</v>
      </c>
      <c r="K22" s="249">
        <v>1</v>
      </c>
      <c r="L22" s="250">
        <v>39329</v>
      </c>
      <c r="M22" s="250">
        <v>40578</v>
      </c>
      <c r="N22" s="251">
        <f t="shared" si="0"/>
        <v>2011</v>
      </c>
      <c r="O22" s="252">
        <f>+IFERROR(INDEX([7]PARÁMETROS!$B$11:$B$37,MATCH(N22,[7]PARÁMETROS!$A$11:$A$37,0)),"")</f>
        <v>535600</v>
      </c>
      <c r="P22" s="253">
        <v>1551350.29</v>
      </c>
      <c r="Q22" s="254" t="s">
        <v>419</v>
      </c>
      <c r="R22" s="243">
        <v>1.3747400000000001</v>
      </c>
      <c r="S22" s="255">
        <f>+R22*P22</f>
        <v>2132703.2976746</v>
      </c>
      <c r="T22" s="256">
        <v>1863.03</v>
      </c>
      <c r="U22" s="252">
        <f>IF(T22&lt;&gt;"",S22*T22,"")</f>
        <v>3973290224.6667099</v>
      </c>
      <c r="V22" s="257">
        <f t="shared" si="2"/>
        <v>7418.3910094598768</v>
      </c>
      <c r="W22" s="257">
        <f t="shared" si="3"/>
        <v>7418.3910094598768</v>
      </c>
      <c r="X22" s="278" t="str">
        <f>+IF(W22="","",IF(W22&gt;=[7]PARÁMETROS!$J$5,"CUMPLE","NO CUMPLE"))</f>
        <v>CUMPLE</v>
      </c>
      <c r="Y22" s="155"/>
      <c r="Z22" s="158"/>
    </row>
    <row r="23" spans="1:26" s="72" customFormat="1" ht="71.25">
      <c r="A23" s="795" t="s">
        <v>180</v>
      </c>
      <c r="B23" s="123" t="s">
        <v>166</v>
      </c>
      <c r="C23" s="466">
        <v>4</v>
      </c>
      <c r="D23" s="125" t="str">
        <f>+IFERROR(INDEX([7]CONSOLIDADO!$D$4:$D$91,MATCH('EXP ESPEC. 34-40'!B23,[7]CONSOLIDADO!$C$4:$C$91,0)),"")</f>
        <v xml:space="preserve">                                         CEMOSA</v>
      </c>
      <c r="E23" s="126" t="s">
        <v>663</v>
      </c>
      <c r="F23" s="127" t="s">
        <v>664</v>
      </c>
      <c r="G23" s="279" t="s">
        <v>10</v>
      </c>
      <c r="H23" s="279" t="s">
        <v>11</v>
      </c>
      <c r="I23" s="279" t="s">
        <v>10</v>
      </c>
      <c r="J23" s="279" t="s">
        <v>11</v>
      </c>
      <c r="K23" s="128">
        <v>1</v>
      </c>
      <c r="L23" s="129">
        <v>37201</v>
      </c>
      <c r="M23" s="129">
        <v>38173</v>
      </c>
      <c r="N23" s="130">
        <f t="shared" si="0"/>
        <v>2004</v>
      </c>
      <c r="O23" s="131">
        <f>+IFERROR(INDEX([7]PARÁMETROS!$B$11:$B$37,MATCH(N23,[7]PARÁMETROS!$A$11:$A$37,0)),"")</f>
        <v>358000</v>
      </c>
      <c r="P23" s="132">
        <v>1561333.21</v>
      </c>
      <c r="Q23" s="133" t="s">
        <v>419</v>
      </c>
      <c r="R23" s="123">
        <v>1.2318</v>
      </c>
      <c r="S23" s="134">
        <f>+R23*P23</f>
        <v>1923250.248078</v>
      </c>
      <c r="T23" s="135">
        <v>2674.1</v>
      </c>
      <c r="U23" s="131">
        <f>+S23*T23</f>
        <v>5142963488.3853798</v>
      </c>
      <c r="V23" s="136">
        <f t="shared" si="2"/>
        <v>14365.819799959161</v>
      </c>
      <c r="W23" s="136">
        <f t="shared" si="3"/>
        <v>14365.819799959161</v>
      </c>
      <c r="X23" s="279" t="str">
        <f>+IF(W23="","",IF(W23&gt;=[7]PARÁMETROS!$J$5,"CUMPLE","NO CUMPLE"))</f>
        <v>CUMPLE</v>
      </c>
      <c r="Y23" s="138"/>
      <c r="Z23" s="109"/>
    </row>
    <row r="24" spans="1:26" s="72" customFormat="1" ht="71.25">
      <c r="A24" s="796"/>
      <c r="B24" s="58" t="s">
        <v>166</v>
      </c>
      <c r="C24" s="464">
        <v>15</v>
      </c>
      <c r="D24" s="60" t="str">
        <f>+IFERROR(INDEX([7]CONSOLIDADO!$D$4:$D$91,MATCH('EXP ESPEC. 34-40'!B24,[7]CONSOLIDADO!$C$4:$C$91,0)),"")</f>
        <v xml:space="preserve">                                         CEMOSA</v>
      </c>
      <c r="E24" s="61" t="s">
        <v>663</v>
      </c>
      <c r="F24" s="62" t="s">
        <v>665</v>
      </c>
      <c r="G24" s="277" t="s">
        <v>10</v>
      </c>
      <c r="H24" s="277" t="s">
        <v>11</v>
      </c>
      <c r="I24" s="277" t="s">
        <v>10</v>
      </c>
      <c r="J24" s="277" t="s">
        <v>11</v>
      </c>
      <c r="K24" s="63">
        <v>1</v>
      </c>
      <c r="L24" s="64">
        <v>39525</v>
      </c>
      <c r="M24" s="64">
        <v>41580</v>
      </c>
      <c r="N24" s="65">
        <f t="shared" si="0"/>
        <v>2013</v>
      </c>
      <c r="O24" s="66">
        <f>+IFERROR(INDEX([7]PARÁMETROS!$B$11:$B$37,MATCH(N24,[7]PARÁMETROS!$A$11:$A$37,0)),"")</f>
        <v>589500</v>
      </c>
      <c r="P24" s="67">
        <v>1562052.61</v>
      </c>
      <c r="Q24" s="68" t="s">
        <v>419</v>
      </c>
      <c r="R24" s="58">
        <v>1.3530599999999999</v>
      </c>
      <c r="S24" s="69">
        <f>+R24*P24</f>
        <v>2113550.9044865998</v>
      </c>
      <c r="T24" s="70">
        <v>1901.22</v>
      </c>
      <c r="U24" s="66">
        <f>+S24*T24</f>
        <v>4018325250.6280136</v>
      </c>
      <c r="V24" s="55">
        <f t="shared" si="2"/>
        <v>6816.4974565360708</v>
      </c>
      <c r="W24" s="55">
        <f t="shared" si="3"/>
        <v>6816.4974565360708</v>
      </c>
      <c r="X24" s="277" t="str">
        <f>+IF(W24="","",IF(W24&gt;=[7]PARÁMETROS!$J$5,"CUMPLE","NO CUMPLE"))</f>
        <v>CUMPLE</v>
      </c>
      <c r="Y24" s="139"/>
      <c r="Z24" s="109"/>
    </row>
    <row r="25" spans="1:26" s="72" customFormat="1" ht="71.25">
      <c r="A25" s="796"/>
      <c r="B25" s="58" t="s">
        <v>168</v>
      </c>
      <c r="C25" s="464">
        <v>22</v>
      </c>
      <c r="D25" s="60" t="str">
        <f>+IFERROR(INDEX([7]CONSOLIDADO!$D$4:$D$91,MATCH('EXP ESPEC. 34-40'!B25,[7]CONSOLIDADO!$C$4:$C$91,0)),"")</f>
        <v>INGENIERIA Y DESARROLLO XIMA DE COLOMBIA SAS</v>
      </c>
      <c r="E25" s="61" t="s">
        <v>663</v>
      </c>
      <c r="F25" s="62" t="s">
        <v>666</v>
      </c>
      <c r="G25" s="277" t="s">
        <v>10</v>
      </c>
      <c r="H25" s="277" t="s">
        <v>11</v>
      </c>
      <c r="I25" s="277" t="s">
        <v>10</v>
      </c>
      <c r="J25" s="277" t="s">
        <v>11</v>
      </c>
      <c r="K25" s="63">
        <v>0.5</v>
      </c>
      <c r="L25" s="64">
        <v>35586</v>
      </c>
      <c r="M25" s="64">
        <v>37053</v>
      </c>
      <c r="N25" s="65">
        <f t="shared" si="0"/>
        <v>2001</v>
      </c>
      <c r="O25" s="66">
        <f>+IFERROR(INDEX([7]PARÁMETROS!$B$11:$B$37,MATCH(N25,[7]PARÁMETROS!$A$11:$A$37,0)),"")</f>
        <v>286000</v>
      </c>
      <c r="P25" s="67">
        <v>2678981.1</v>
      </c>
      <c r="Q25" s="68" t="s">
        <v>419</v>
      </c>
      <c r="R25" s="58">
        <v>0.84975000000000001</v>
      </c>
      <c r="S25" s="69">
        <f>+R25*P25</f>
        <v>2276464.1897249999</v>
      </c>
      <c r="T25" s="70">
        <v>2296.31</v>
      </c>
      <c r="U25" s="66">
        <f>IF(T25&lt;&gt;"",S25*T25,"")</f>
        <v>5227467483.5074148</v>
      </c>
      <c r="V25" s="55">
        <f>+IFERROR(U25/O25,"")</f>
        <v>18277.858333942011</v>
      </c>
      <c r="W25" s="55">
        <f t="shared" si="3"/>
        <v>9138.9291669710055</v>
      </c>
      <c r="X25" s="277" t="s">
        <v>747</v>
      </c>
      <c r="Y25" s="139"/>
      <c r="Z25" s="109"/>
    </row>
    <row r="26" spans="1:26" s="72" customFormat="1" ht="86.25" thickBot="1">
      <c r="A26" s="806"/>
      <c r="B26" s="141" t="s">
        <v>168</v>
      </c>
      <c r="C26" s="404">
        <v>32</v>
      </c>
      <c r="D26" s="143" t="str">
        <f>+IFERROR(INDEX([7]CONSOLIDADO!$D$4:$D$91,MATCH('EXP ESPEC. 34-40'!B26,[7]CONSOLIDADO!$C$4:$C$91,0)),"")</f>
        <v>INGENIERIA Y DESARROLLO XIMA DE COLOMBIA SAS</v>
      </c>
      <c r="E26" s="144" t="s">
        <v>640</v>
      </c>
      <c r="F26" s="145" t="s">
        <v>680</v>
      </c>
      <c r="G26" s="278" t="s">
        <v>11</v>
      </c>
      <c r="H26" s="278" t="s">
        <v>10</v>
      </c>
      <c r="I26" s="278" t="s">
        <v>10</v>
      </c>
      <c r="J26" s="278" t="s">
        <v>11</v>
      </c>
      <c r="K26" s="146">
        <v>0.49</v>
      </c>
      <c r="L26" s="147">
        <v>41901</v>
      </c>
      <c r="M26" s="147" t="s">
        <v>674</v>
      </c>
      <c r="N26" s="148">
        <v>2016</v>
      </c>
      <c r="O26" s="149">
        <f>+IFERROR(INDEX([7]PARÁMETROS!$B$11:$B$37,MATCH(N26,[7]PARÁMETROS!$A$11:$A$37,0)),"")</f>
        <v>689554</v>
      </c>
      <c r="P26" s="150">
        <v>5527311050</v>
      </c>
      <c r="Q26" s="151" t="s">
        <v>25</v>
      </c>
      <c r="R26" s="141" t="s">
        <v>61</v>
      </c>
      <c r="S26" s="152" t="s">
        <v>61</v>
      </c>
      <c r="T26" s="153">
        <v>1</v>
      </c>
      <c r="U26" s="149">
        <f t="shared" si="1"/>
        <v>5527311050</v>
      </c>
      <c r="V26" s="154">
        <f t="shared" si="2"/>
        <v>8015.7769369766547</v>
      </c>
      <c r="W26" s="154">
        <f t="shared" si="3"/>
        <v>3927.7306991185606</v>
      </c>
      <c r="X26" s="278" t="s">
        <v>747</v>
      </c>
      <c r="Y26" s="155" t="s">
        <v>738</v>
      </c>
      <c r="Z26" s="109"/>
    </row>
    <row r="27" spans="1:26" s="72" customFormat="1" ht="57">
      <c r="A27" s="795" t="s">
        <v>181</v>
      </c>
      <c r="B27" s="123" t="s">
        <v>169</v>
      </c>
      <c r="C27" s="466">
        <v>204</v>
      </c>
      <c r="D27" s="125" t="str">
        <f>+IFERROR(INDEX([7]CONSOLIDADO!$D$4:$D$91,MATCH('EXP ESPEC. 34-40'!B27,[7]CONSOLIDADO!$C$4:$C$91,0)),"")</f>
        <v xml:space="preserve">JOSE MANUEL GUARDO POLO </v>
      </c>
      <c r="E27" s="126" t="s">
        <v>670</v>
      </c>
      <c r="F27" s="127" t="s">
        <v>671</v>
      </c>
      <c r="G27" s="279" t="s">
        <v>10</v>
      </c>
      <c r="H27" s="279" t="s">
        <v>11</v>
      </c>
      <c r="I27" s="279" t="s">
        <v>10</v>
      </c>
      <c r="J27" s="279" t="s">
        <v>11</v>
      </c>
      <c r="K27" s="128">
        <v>0.5</v>
      </c>
      <c r="L27" s="129">
        <v>38338</v>
      </c>
      <c r="M27" s="129">
        <v>40296</v>
      </c>
      <c r="N27" s="130">
        <f t="shared" ref="N27" si="4">IF(M27="","",YEAR(M27))</f>
        <v>2010</v>
      </c>
      <c r="O27" s="131">
        <f>+IFERROR(INDEX([7]PARÁMETROS!$B$11:$B$37,MATCH(N27,[7]PARÁMETROS!$A$11:$A$37,0)),"")</f>
        <v>515000</v>
      </c>
      <c r="P27" s="132">
        <v>5611997439</v>
      </c>
      <c r="Q27" s="133" t="s">
        <v>25</v>
      </c>
      <c r="R27" s="123" t="s">
        <v>61</v>
      </c>
      <c r="S27" s="134" t="s">
        <v>61</v>
      </c>
      <c r="T27" s="135">
        <v>1</v>
      </c>
      <c r="U27" s="131">
        <f t="shared" si="1"/>
        <v>5611997439</v>
      </c>
      <c r="V27" s="136">
        <f t="shared" si="2"/>
        <v>10897.082405825242</v>
      </c>
      <c r="W27" s="136">
        <f t="shared" si="3"/>
        <v>5448.541202912621</v>
      </c>
      <c r="X27" s="279" t="str">
        <f>+IF(W27="","",IF(W27&gt;=[7]PARÁMETROS!$J$5,"CUMPLE","NO CUMPLE"))</f>
        <v>CUMPLE</v>
      </c>
      <c r="Y27" s="138"/>
      <c r="Z27" s="109"/>
    </row>
    <row r="28" spans="1:26" s="72" customFormat="1" ht="42.75">
      <c r="A28" s="796"/>
      <c r="B28" s="58" t="s">
        <v>169</v>
      </c>
      <c r="C28" s="464">
        <v>208</v>
      </c>
      <c r="D28" s="60" t="str">
        <f>+IFERROR(INDEX([7]CONSOLIDADO!$D$4:$D$91,MATCH('EXP ESPEC. 34-40'!B28,[7]CONSOLIDADO!$C$4:$C$91,0)),"")</f>
        <v xml:space="preserve">JOSE MANUEL GUARDO POLO </v>
      </c>
      <c r="E28" s="61" t="s">
        <v>681</v>
      </c>
      <c r="F28" s="62" t="s">
        <v>682</v>
      </c>
      <c r="G28" s="277" t="s">
        <v>10</v>
      </c>
      <c r="H28" s="277" t="s">
        <v>10</v>
      </c>
      <c r="I28" s="277" t="s">
        <v>10</v>
      </c>
      <c r="J28" s="277" t="s">
        <v>11</v>
      </c>
      <c r="K28" s="63">
        <v>0.5</v>
      </c>
      <c r="L28" s="64">
        <v>36752</v>
      </c>
      <c r="M28" s="64" t="s">
        <v>683</v>
      </c>
      <c r="N28" s="65">
        <v>2014</v>
      </c>
      <c r="O28" s="66">
        <f>+IFERROR(INDEX([7]PARÁMETROS!$B$11:$B$37,MATCH(N28,[7]PARÁMETROS!$A$11:$A$37,0)),"")</f>
        <v>616000</v>
      </c>
      <c r="P28" s="67">
        <v>4766569521</v>
      </c>
      <c r="Q28" s="68" t="s">
        <v>25</v>
      </c>
      <c r="R28" s="58" t="s">
        <v>61</v>
      </c>
      <c r="S28" s="69" t="s">
        <v>61</v>
      </c>
      <c r="T28" s="70">
        <v>1</v>
      </c>
      <c r="U28" s="66">
        <f t="shared" si="1"/>
        <v>4766569521</v>
      </c>
      <c r="V28" s="55">
        <f t="shared" si="2"/>
        <v>7737.9375340909091</v>
      </c>
      <c r="W28" s="55">
        <f t="shared" si="3"/>
        <v>3868.9687670454546</v>
      </c>
      <c r="X28" s="277" t="str">
        <f>+IF(W28="","",IF(W28&gt;=[7]PARÁMETROS!$J$5,"CUMPLE","NO CUMPLE"))</f>
        <v>CUMPLE</v>
      </c>
      <c r="Y28" s="139"/>
      <c r="Z28" s="109"/>
    </row>
    <row r="29" spans="1:26" s="72" customFormat="1" ht="42.75">
      <c r="A29" s="796"/>
      <c r="B29" s="58" t="s">
        <v>171</v>
      </c>
      <c r="C29" s="464">
        <v>222</v>
      </c>
      <c r="D29" s="60" t="str">
        <f>+IFERROR(INDEX([7]CONSOLIDADO!$D$4:$D$91,MATCH('EXP ESPEC. 34-40'!B29,[7]CONSOLIDADO!$C$4:$C$91,0)),"")</f>
        <v>GRUPO POSSO SAS</v>
      </c>
      <c r="E29" s="61" t="s">
        <v>672</v>
      </c>
      <c r="F29" s="62" t="s">
        <v>684</v>
      </c>
      <c r="G29" s="277" t="s">
        <v>10</v>
      </c>
      <c r="H29" s="277" t="s">
        <v>11</v>
      </c>
      <c r="I29" s="277" t="s">
        <v>10</v>
      </c>
      <c r="J29" s="277" t="s">
        <v>11</v>
      </c>
      <c r="K29" s="63">
        <v>0.95</v>
      </c>
      <c r="L29" s="64">
        <v>41995</v>
      </c>
      <c r="M29" s="64" t="s">
        <v>674</v>
      </c>
      <c r="N29" s="65">
        <v>2015</v>
      </c>
      <c r="O29" s="66">
        <v>644350</v>
      </c>
      <c r="P29" s="67">
        <v>2590423144</v>
      </c>
      <c r="Q29" s="68" t="s">
        <v>25</v>
      </c>
      <c r="R29" s="58" t="s">
        <v>61</v>
      </c>
      <c r="S29" s="69" t="s">
        <v>61</v>
      </c>
      <c r="T29" s="70">
        <v>1</v>
      </c>
      <c r="U29" s="66">
        <v>2590423144</v>
      </c>
      <c r="V29" s="55">
        <v>4020.2112888957863</v>
      </c>
      <c r="W29" s="55">
        <v>3819.2007244509969</v>
      </c>
      <c r="X29" s="277" t="str">
        <f>+IF(W29="","",IF(W29&gt;=[7]PARÁMETROS!$J$5,"CUMPLE","NO CUMPLE"))</f>
        <v>CUMPLE</v>
      </c>
      <c r="Y29" s="139"/>
      <c r="Z29" s="109"/>
    </row>
    <row r="30" spans="1:26" s="72" customFormat="1" ht="57.75" thickBot="1">
      <c r="A30" s="806"/>
      <c r="B30" s="141" t="s">
        <v>171</v>
      </c>
      <c r="C30" s="404">
        <v>232</v>
      </c>
      <c r="D30" s="143" t="str">
        <f>+IFERROR(INDEX([7]CONSOLIDADO!$D$4:$D$91,MATCH('EXP ESPEC. 34-40'!B30,[7]CONSOLIDADO!$C$4:$C$91,0)),"")</f>
        <v>GRUPO POSSO SAS</v>
      </c>
      <c r="E30" s="144" t="s">
        <v>672</v>
      </c>
      <c r="F30" s="145" t="s">
        <v>673</v>
      </c>
      <c r="G30" s="278" t="s">
        <v>10</v>
      </c>
      <c r="H30" s="278" t="s">
        <v>11</v>
      </c>
      <c r="I30" s="278" t="s">
        <v>10</v>
      </c>
      <c r="J30" s="278" t="s">
        <v>11</v>
      </c>
      <c r="K30" s="146">
        <v>0.95</v>
      </c>
      <c r="L30" s="147">
        <v>41815</v>
      </c>
      <c r="M30" s="147" t="s">
        <v>674</v>
      </c>
      <c r="N30" s="148">
        <v>2015</v>
      </c>
      <c r="O30" s="149">
        <v>644350</v>
      </c>
      <c r="P30" s="150">
        <v>10736226648</v>
      </c>
      <c r="Q30" s="151" t="s">
        <v>25</v>
      </c>
      <c r="R30" s="141" t="s">
        <v>61</v>
      </c>
      <c r="S30" s="152" t="s">
        <v>61</v>
      </c>
      <c r="T30" s="153">
        <v>1</v>
      </c>
      <c r="U30" s="149">
        <v>10736226648</v>
      </c>
      <c r="V30" s="154">
        <v>16662.103900054317</v>
      </c>
      <c r="W30" s="154">
        <v>15828.998705051601</v>
      </c>
      <c r="X30" s="278" t="str">
        <f>+IF(W30="","",IF(W30&gt;=[7]PARÁMETROS!$J$5,"CUMPLE","NO CUMPLE"))</f>
        <v>CUMPLE</v>
      </c>
      <c r="Y30" s="170"/>
      <c r="Z30" s="109"/>
    </row>
    <row r="31" spans="1:26" s="72" customFormat="1" ht="30" customHeight="1">
      <c r="A31" s="808"/>
      <c r="B31" s="110"/>
      <c r="C31" s="491"/>
      <c r="D31" s="112" t="str">
        <f>+IFERROR(INDEX([7]CONSOLIDADO!$D$4:$D$91,MATCH('EXP ESPEC. 34-40'!B31,[7]CONSOLIDADO!$C$4:$C$91,0)),"")</f>
        <v/>
      </c>
      <c r="E31" s="113"/>
      <c r="F31" s="114"/>
      <c r="G31" s="280"/>
      <c r="H31" s="280"/>
      <c r="I31" s="280"/>
      <c r="J31" s="280"/>
      <c r="K31" s="115"/>
      <c r="L31" s="116"/>
      <c r="M31" s="116"/>
      <c r="N31" s="160" t="str">
        <f t="shared" si="0"/>
        <v/>
      </c>
      <c r="O31" s="117" t="str">
        <f>+IFERROR(INDEX([7]PARÁMETROS!$B$11:$B$37,MATCH(N31,[7]PARÁMETROS!$A$11:$A$37,0)),"")</f>
        <v/>
      </c>
      <c r="P31" s="118"/>
      <c r="Q31" s="119"/>
      <c r="R31" s="110"/>
      <c r="S31" s="120"/>
      <c r="T31" s="121"/>
      <c r="U31" s="117" t="str">
        <f t="shared" si="1"/>
        <v/>
      </c>
      <c r="V31" s="122" t="str">
        <f t="shared" si="2"/>
        <v/>
      </c>
      <c r="W31" s="122" t="str">
        <f t="shared" si="3"/>
        <v/>
      </c>
      <c r="X31" s="280" t="str">
        <f>+IF(W31="","",IF(W31&gt;=[7]PARÁMETROS!$J$5,"CUMPLE","NO CUMPLE"))</f>
        <v/>
      </c>
      <c r="Y31" s="167"/>
      <c r="Z31" s="109"/>
    </row>
    <row r="32" spans="1:26" s="72" customFormat="1" ht="30" customHeight="1">
      <c r="A32" s="796"/>
      <c r="B32" s="58"/>
      <c r="C32" s="464"/>
      <c r="D32" s="60" t="str">
        <f>+IFERROR(INDEX([7]CONSOLIDADO!$D$4:$D$91,MATCH('EXP ESPEC. 34-40'!B32,[7]CONSOLIDADO!$C$4:$C$91,0)),"")</f>
        <v/>
      </c>
      <c r="E32" s="61"/>
      <c r="F32" s="62"/>
      <c r="G32" s="277"/>
      <c r="H32" s="277"/>
      <c r="I32" s="277"/>
      <c r="J32" s="277"/>
      <c r="K32" s="63"/>
      <c r="L32" s="64"/>
      <c r="M32" s="64"/>
      <c r="N32" s="65" t="str">
        <f t="shared" si="0"/>
        <v/>
      </c>
      <c r="O32" s="66" t="str">
        <f>+IFERROR(INDEX([7]PARÁMETROS!$B$11:$B$37,MATCH(N32,[7]PARÁMETROS!$A$11:$A$37,0)),"")</f>
        <v/>
      </c>
      <c r="P32" s="67"/>
      <c r="Q32" s="68"/>
      <c r="R32" s="58"/>
      <c r="S32" s="69"/>
      <c r="T32" s="70"/>
      <c r="U32" s="66" t="str">
        <f t="shared" si="1"/>
        <v/>
      </c>
      <c r="V32" s="55" t="str">
        <f t="shared" si="2"/>
        <v/>
      </c>
      <c r="W32" s="55" t="str">
        <f t="shared" si="3"/>
        <v/>
      </c>
      <c r="X32" s="277" t="str">
        <f>+IF(W32="","",IF(W32&gt;=[7]PARÁMETROS!$J$5,"CUMPLE","NO CUMPLE"))</f>
        <v/>
      </c>
      <c r="Y32" s="139"/>
      <c r="Z32" s="109"/>
    </row>
    <row r="33" spans="1:26" s="72" customFormat="1" ht="30" customHeight="1">
      <c r="A33" s="796"/>
      <c r="B33" s="58"/>
      <c r="C33" s="464"/>
      <c r="D33" s="60" t="str">
        <f>+IFERROR(INDEX([7]CONSOLIDADO!$D$4:$D$91,MATCH('EXP ESPEC. 34-40'!B33,[7]CONSOLIDADO!$C$4:$C$91,0)),"")</f>
        <v/>
      </c>
      <c r="E33" s="61"/>
      <c r="F33" s="62"/>
      <c r="G33" s="277"/>
      <c r="H33" s="277"/>
      <c r="I33" s="277"/>
      <c r="J33" s="277"/>
      <c r="K33" s="63"/>
      <c r="L33" s="64"/>
      <c r="M33" s="64"/>
      <c r="N33" s="65" t="str">
        <f t="shared" si="0"/>
        <v/>
      </c>
      <c r="O33" s="66" t="str">
        <f>+IFERROR(INDEX([7]PARÁMETROS!$B$11:$B$37,MATCH(N33,[7]PARÁMETROS!$A$11:$A$37,0)),"")</f>
        <v/>
      </c>
      <c r="P33" s="67"/>
      <c r="Q33" s="68"/>
      <c r="R33" s="58"/>
      <c r="S33" s="69"/>
      <c r="T33" s="70"/>
      <c r="U33" s="66" t="str">
        <f t="shared" si="1"/>
        <v/>
      </c>
      <c r="V33" s="55" t="str">
        <f t="shared" si="2"/>
        <v/>
      </c>
      <c r="W33" s="55" t="str">
        <f t="shared" si="3"/>
        <v/>
      </c>
      <c r="X33" s="277" t="str">
        <f>+IF(W33="","",IF(W33&gt;=[7]PARÁMETROS!$J$5,"CUMPLE","NO CUMPLE"))</f>
        <v/>
      </c>
      <c r="Y33" s="139"/>
      <c r="Z33" s="109"/>
    </row>
    <row r="34" spans="1:26" s="72" customFormat="1" ht="30" customHeight="1" thickBot="1">
      <c r="A34" s="796"/>
      <c r="B34" s="58"/>
      <c r="C34" s="464"/>
      <c r="D34" s="60" t="str">
        <f>+IFERROR(INDEX([7]CONSOLIDADO!$D$4:$D$91,MATCH('EXP ESPEC. 34-40'!B34,[7]CONSOLIDADO!$C$4:$C$91,0)),"")</f>
        <v/>
      </c>
      <c r="E34" s="61"/>
      <c r="F34" s="62"/>
      <c r="G34" s="277"/>
      <c r="H34" s="277"/>
      <c r="I34" s="277"/>
      <c r="J34" s="277"/>
      <c r="K34" s="63"/>
      <c r="L34" s="64"/>
      <c r="M34" s="64"/>
      <c r="N34" s="65" t="str">
        <f t="shared" si="0"/>
        <v/>
      </c>
      <c r="O34" s="66" t="str">
        <f>+IFERROR(INDEX([7]PARÁMETROS!$B$11:$B$37,MATCH(N34,[7]PARÁMETROS!$A$11:$A$37,0)),"")</f>
        <v/>
      </c>
      <c r="P34" s="67"/>
      <c r="Q34" s="68"/>
      <c r="R34" s="58"/>
      <c r="S34" s="69"/>
      <c r="T34" s="70"/>
      <c r="U34" s="66" t="str">
        <f t="shared" si="1"/>
        <v/>
      </c>
      <c r="V34" s="55" t="str">
        <f t="shared" si="2"/>
        <v/>
      </c>
      <c r="W34" s="55" t="str">
        <f t="shared" si="3"/>
        <v/>
      </c>
      <c r="X34" s="277" t="str">
        <f>+IF(W34="","",IF(W34&gt;=[7]PARÁMETROS!$J$5,"CUMPLE","NO CUMPLE"))</f>
        <v/>
      </c>
      <c r="Y34" s="139"/>
      <c r="Z34" s="109"/>
    </row>
    <row r="35" spans="1:26" s="72" customFormat="1" ht="30" customHeight="1">
      <c r="A35" s="795"/>
      <c r="B35" s="123"/>
      <c r="C35" s="466"/>
      <c r="D35" s="125" t="str">
        <f>+IFERROR(INDEX([7]CONSOLIDADO!$D$4:$D$91,MATCH('EXP ESPEC. 34-40'!B35,[7]CONSOLIDADO!$C$4:$C$91,0)),"")</f>
        <v/>
      </c>
      <c r="E35" s="126"/>
      <c r="F35" s="126"/>
      <c r="G35" s="279"/>
      <c r="H35" s="279"/>
      <c r="I35" s="279"/>
      <c r="J35" s="279"/>
      <c r="K35" s="162"/>
      <c r="L35" s="129"/>
      <c r="M35" s="129"/>
      <c r="N35" s="130" t="str">
        <f t="shared" si="0"/>
        <v/>
      </c>
      <c r="O35" s="131" t="str">
        <f>+IFERROR(INDEX([7]PARÁMETROS!$B$11:$B$37,MATCH(N35,[7]PARÁMETROS!$A$11:$A$37,0)),"")</f>
        <v/>
      </c>
      <c r="P35" s="163"/>
      <c r="Q35" s="131"/>
      <c r="R35" s="123"/>
      <c r="S35" s="134"/>
      <c r="T35" s="135"/>
      <c r="U35" s="131" t="str">
        <f t="shared" si="1"/>
        <v/>
      </c>
      <c r="V35" s="136" t="str">
        <f t="shared" si="2"/>
        <v/>
      </c>
      <c r="W35" s="136" t="str">
        <f t="shared" si="3"/>
        <v/>
      </c>
      <c r="X35" s="277" t="str">
        <f>+IF(W35="","",IF(W35&gt;=[7]PARÁMETROS!$J$5,"CUMPLE","NO CUMPLE"))</f>
        <v/>
      </c>
      <c r="Y35" s="138"/>
      <c r="Z35" s="109"/>
    </row>
    <row r="36" spans="1:26" s="72" customFormat="1" ht="30" customHeight="1">
      <c r="A36" s="796"/>
      <c r="B36" s="58"/>
      <c r="C36" s="464"/>
      <c r="D36" s="60" t="str">
        <f>+IFERROR(INDEX([7]CONSOLIDADO!$D$4:$D$91,MATCH('EXP ESPEC. 34-40'!B36,[7]CONSOLIDADO!$C$4:$C$91,0)),"")</f>
        <v/>
      </c>
      <c r="E36" s="61"/>
      <c r="F36" s="61"/>
      <c r="G36" s="277"/>
      <c r="H36" s="277"/>
      <c r="I36" s="277"/>
      <c r="J36" s="277"/>
      <c r="K36" s="73"/>
      <c r="L36" s="64"/>
      <c r="M36" s="64"/>
      <c r="N36" s="65" t="str">
        <f t="shared" si="0"/>
        <v/>
      </c>
      <c r="O36" s="66" t="str">
        <f>+IFERROR(INDEX([7]PARÁMETROS!$B$11:$B$37,MATCH(N36,[7]PARÁMETROS!$A$11:$A$37,0)),"")</f>
        <v/>
      </c>
      <c r="P36" s="74"/>
      <c r="Q36" s="66"/>
      <c r="R36" s="58"/>
      <c r="S36" s="69"/>
      <c r="T36" s="70"/>
      <c r="U36" s="66" t="str">
        <f t="shared" si="1"/>
        <v/>
      </c>
      <c r="V36" s="55" t="str">
        <f t="shared" si="2"/>
        <v/>
      </c>
      <c r="W36" s="55" t="str">
        <f t="shared" si="3"/>
        <v/>
      </c>
      <c r="X36" s="277" t="str">
        <f>+IF(W36="","",IF(W36&gt;=[7]PARÁMETROS!$J$5,"CUMPLE","NO CUMPLE"))</f>
        <v/>
      </c>
      <c r="Y36" s="139"/>
      <c r="Z36" s="109"/>
    </row>
    <row r="37" spans="1:26" s="72" customFormat="1" ht="30" customHeight="1">
      <c r="A37" s="796"/>
      <c r="B37" s="58"/>
      <c r="C37" s="464"/>
      <c r="D37" s="60" t="str">
        <f>+IFERROR(INDEX([7]CONSOLIDADO!$D$4:$D$91,MATCH('EXP ESPEC. 34-40'!B37,[7]CONSOLIDADO!$C$4:$C$91,0)),"")</f>
        <v/>
      </c>
      <c r="E37" s="61"/>
      <c r="F37" s="61"/>
      <c r="G37" s="277"/>
      <c r="H37" s="277"/>
      <c r="I37" s="277"/>
      <c r="J37" s="277"/>
      <c r="K37" s="73"/>
      <c r="L37" s="64"/>
      <c r="M37" s="64"/>
      <c r="N37" s="65" t="str">
        <f t="shared" si="0"/>
        <v/>
      </c>
      <c r="O37" s="66" t="str">
        <f>+IFERROR(INDEX([7]PARÁMETROS!$B$11:$B$37,MATCH(N37,[7]PARÁMETROS!$A$11:$A$37,0)),"")</f>
        <v/>
      </c>
      <c r="P37" s="74"/>
      <c r="Q37" s="66"/>
      <c r="R37" s="58"/>
      <c r="S37" s="69"/>
      <c r="T37" s="70"/>
      <c r="U37" s="66" t="str">
        <f t="shared" si="1"/>
        <v/>
      </c>
      <c r="V37" s="55" t="str">
        <f t="shared" si="2"/>
        <v/>
      </c>
      <c r="W37" s="55" t="str">
        <f t="shared" si="3"/>
        <v/>
      </c>
      <c r="X37" s="277" t="str">
        <f>+IF(W37="","",IF(W37&gt;=[7]PARÁMETROS!$J$5,"CUMPLE","NO CUMPLE"))</f>
        <v/>
      </c>
      <c r="Y37" s="139"/>
      <c r="Z37" s="109"/>
    </row>
    <row r="38" spans="1:26" s="72" customFormat="1" ht="30" customHeight="1" thickBot="1">
      <c r="A38" s="796"/>
      <c r="B38" s="58"/>
      <c r="C38" s="464"/>
      <c r="D38" s="60" t="str">
        <f>+IFERROR(INDEX([7]CONSOLIDADO!$D$4:$D$91,MATCH('EXP ESPEC. 34-40'!B38,[7]CONSOLIDADO!$C$4:$C$91,0)),"")</f>
        <v/>
      </c>
      <c r="E38" s="61"/>
      <c r="F38" s="61"/>
      <c r="G38" s="277"/>
      <c r="H38" s="277"/>
      <c r="I38" s="277"/>
      <c r="J38" s="277"/>
      <c r="K38" s="73"/>
      <c r="L38" s="64"/>
      <c r="M38" s="64"/>
      <c r="N38" s="65" t="str">
        <f t="shared" si="0"/>
        <v/>
      </c>
      <c r="O38" s="66" t="str">
        <f>+IFERROR(INDEX([7]PARÁMETROS!$B$11:$B$37,MATCH(N38,[7]PARÁMETROS!$A$11:$A$37,0)),"")</f>
        <v/>
      </c>
      <c r="P38" s="74"/>
      <c r="Q38" s="66"/>
      <c r="R38" s="58"/>
      <c r="S38" s="69"/>
      <c r="T38" s="70"/>
      <c r="U38" s="66" t="str">
        <f t="shared" si="1"/>
        <v/>
      </c>
      <c r="V38" s="55" t="str">
        <f t="shared" si="2"/>
        <v/>
      </c>
      <c r="W38" s="55" t="str">
        <f t="shared" si="3"/>
        <v/>
      </c>
      <c r="X38" s="277" t="str">
        <f>+IF(W38="","",IF(W38&gt;=[7]PARÁMETROS!$J$5,"CUMPLE","NO CUMPLE"))</f>
        <v/>
      </c>
      <c r="Y38" s="139"/>
      <c r="Z38" s="109"/>
    </row>
    <row r="39" spans="1:26" s="72" customFormat="1" ht="30" customHeight="1">
      <c r="A39" s="795"/>
      <c r="B39" s="123"/>
      <c r="C39" s="466"/>
      <c r="D39" s="125" t="str">
        <f>+IFERROR(INDEX([7]CONSOLIDADO!$D$4:$D$91,MATCH('EXP ESPEC. 34-40'!B39,[7]CONSOLIDADO!$C$4:$C$91,0)),"")</f>
        <v/>
      </c>
      <c r="E39" s="126"/>
      <c r="F39" s="126"/>
      <c r="G39" s="279"/>
      <c r="H39" s="279"/>
      <c r="I39" s="279"/>
      <c r="J39" s="279"/>
      <c r="K39" s="162"/>
      <c r="L39" s="129"/>
      <c r="M39" s="129"/>
      <c r="N39" s="130" t="str">
        <f t="shared" si="0"/>
        <v/>
      </c>
      <c r="O39" s="131" t="str">
        <f>+IFERROR(INDEX([7]PARÁMETROS!$B$11:$B$37,MATCH(N39,[7]PARÁMETROS!$A$11:$A$37,0)),"")</f>
        <v/>
      </c>
      <c r="P39" s="163"/>
      <c r="Q39" s="131"/>
      <c r="R39" s="123"/>
      <c r="S39" s="134"/>
      <c r="T39" s="135"/>
      <c r="U39" s="131" t="str">
        <f t="shared" si="1"/>
        <v/>
      </c>
      <c r="V39" s="136" t="str">
        <f t="shared" si="2"/>
        <v/>
      </c>
      <c r="W39" s="136" t="str">
        <f t="shared" si="3"/>
        <v/>
      </c>
      <c r="X39" s="277" t="str">
        <f>+IF(W39="","",IF(W39&gt;=[7]PARÁMETROS!$J$5,"CUMPLE","NO CUMPLE"))</f>
        <v/>
      </c>
      <c r="Y39" s="138"/>
      <c r="Z39" s="109"/>
    </row>
    <row r="40" spans="1:26" s="72" customFormat="1" ht="30" customHeight="1">
      <c r="A40" s="796"/>
      <c r="B40" s="58"/>
      <c r="C40" s="464"/>
      <c r="D40" s="60" t="str">
        <f>+IFERROR(INDEX([7]CONSOLIDADO!$D$4:$D$91,MATCH('EXP ESPEC. 34-40'!B40,[7]CONSOLIDADO!$C$4:$C$91,0)),"")</f>
        <v/>
      </c>
      <c r="E40" s="61"/>
      <c r="F40" s="61"/>
      <c r="G40" s="277"/>
      <c r="H40" s="277"/>
      <c r="I40" s="277"/>
      <c r="J40" s="277"/>
      <c r="K40" s="73"/>
      <c r="L40" s="64"/>
      <c r="M40" s="64"/>
      <c r="N40" s="65" t="str">
        <f t="shared" si="0"/>
        <v/>
      </c>
      <c r="O40" s="66" t="str">
        <f>+IFERROR(INDEX([7]PARÁMETROS!$B$11:$B$37,MATCH(N40,[7]PARÁMETROS!$A$11:$A$37,0)),"")</f>
        <v/>
      </c>
      <c r="P40" s="74"/>
      <c r="Q40" s="66"/>
      <c r="R40" s="58"/>
      <c r="S40" s="69"/>
      <c r="T40" s="70"/>
      <c r="U40" s="66" t="str">
        <f t="shared" si="1"/>
        <v/>
      </c>
      <c r="V40" s="55" t="str">
        <f t="shared" si="2"/>
        <v/>
      </c>
      <c r="W40" s="55" t="str">
        <f t="shared" si="3"/>
        <v/>
      </c>
      <c r="X40" s="277" t="str">
        <f>+IF(W40="","",IF(W40&gt;=[7]PARÁMETROS!$J$5,"CUMPLE","NO CUMPLE"))</f>
        <v/>
      </c>
      <c r="Y40" s="139"/>
      <c r="Z40" s="109"/>
    </row>
    <row r="41" spans="1:26" s="72" customFormat="1" ht="30" customHeight="1">
      <c r="A41" s="796"/>
      <c r="B41" s="58"/>
      <c r="C41" s="464"/>
      <c r="D41" s="60" t="str">
        <f>+IFERROR(INDEX([7]CONSOLIDADO!$D$4:$D$91,MATCH('EXP ESPEC. 34-40'!B41,[7]CONSOLIDADO!$C$4:$C$91,0)),"")</f>
        <v/>
      </c>
      <c r="E41" s="61"/>
      <c r="F41" s="61"/>
      <c r="G41" s="277"/>
      <c r="H41" s="277"/>
      <c r="I41" s="277"/>
      <c r="J41" s="277"/>
      <c r="K41" s="73"/>
      <c r="L41" s="64"/>
      <c r="M41" s="64"/>
      <c r="N41" s="65" t="str">
        <f t="shared" si="0"/>
        <v/>
      </c>
      <c r="O41" s="66" t="str">
        <f>+IFERROR(INDEX([7]PARÁMETROS!$B$11:$B$37,MATCH(N41,[7]PARÁMETROS!$A$11:$A$37,0)),"")</f>
        <v/>
      </c>
      <c r="P41" s="74"/>
      <c r="Q41" s="66"/>
      <c r="R41" s="58"/>
      <c r="S41" s="69"/>
      <c r="T41" s="70"/>
      <c r="U41" s="66" t="str">
        <f t="shared" si="1"/>
        <v/>
      </c>
      <c r="V41" s="55" t="str">
        <f t="shared" si="2"/>
        <v/>
      </c>
      <c r="W41" s="55" t="str">
        <f t="shared" si="3"/>
        <v/>
      </c>
      <c r="X41" s="277" t="str">
        <f>+IF(W41="","",IF(W41&gt;=[7]PARÁMETROS!$J$5,"CUMPLE","NO CUMPLE"))</f>
        <v/>
      </c>
      <c r="Y41" s="139"/>
      <c r="Z41" s="109"/>
    </row>
    <row r="42" spans="1:26" s="72" customFormat="1" ht="30" customHeight="1" thickBot="1">
      <c r="A42" s="796"/>
      <c r="B42" s="58"/>
      <c r="C42" s="464"/>
      <c r="D42" s="60" t="str">
        <f>+IFERROR(INDEX([7]CONSOLIDADO!$D$4:$D$91,MATCH('EXP ESPEC. 34-40'!B42,[7]CONSOLIDADO!$C$4:$C$91,0)),"")</f>
        <v/>
      </c>
      <c r="E42" s="61"/>
      <c r="F42" s="61"/>
      <c r="G42" s="277"/>
      <c r="H42" s="277"/>
      <c r="I42" s="277"/>
      <c r="J42" s="277"/>
      <c r="K42" s="73"/>
      <c r="L42" s="64"/>
      <c r="M42" s="64"/>
      <c r="N42" s="65" t="str">
        <f t="shared" si="0"/>
        <v/>
      </c>
      <c r="O42" s="66" t="str">
        <f>+IFERROR(INDEX([7]PARÁMETROS!$B$11:$B$37,MATCH(N42,[7]PARÁMETROS!$A$11:$A$37,0)),"")</f>
        <v/>
      </c>
      <c r="P42" s="74"/>
      <c r="Q42" s="66"/>
      <c r="R42" s="58"/>
      <c r="S42" s="69"/>
      <c r="T42" s="70"/>
      <c r="U42" s="66" t="str">
        <f t="shared" si="1"/>
        <v/>
      </c>
      <c r="V42" s="55" t="str">
        <f t="shared" si="2"/>
        <v/>
      </c>
      <c r="W42" s="55" t="str">
        <f t="shared" si="3"/>
        <v/>
      </c>
      <c r="X42" s="277" t="str">
        <f>+IF(W42="","",IF(W42&gt;=[7]PARÁMETROS!$J$5,"CUMPLE","NO CUMPLE"))</f>
        <v/>
      </c>
      <c r="Y42" s="139"/>
      <c r="Z42" s="109"/>
    </row>
    <row r="43" spans="1:26" s="72" customFormat="1" ht="30" customHeight="1">
      <c r="A43" s="795"/>
      <c r="B43" s="123"/>
      <c r="C43" s="466"/>
      <c r="D43" s="125" t="str">
        <f>+IFERROR(INDEX([7]CONSOLIDADO!$D$4:$D$91,MATCH('EXP ESPEC. 34-40'!B43,[7]CONSOLIDADO!$C$4:$C$91,0)),"")</f>
        <v/>
      </c>
      <c r="E43" s="126"/>
      <c r="F43" s="126"/>
      <c r="G43" s="279"/>
      <c r="H43" s="279"/>
      <c r="I43" s="279"/>
      <c r="J43" s="279"/>
      <c r="K43" s="162"/>
      <c r="L43" s="129"/>
      <c r="M43" s="129"/>
      <c r="N43" s="130" t="str">
        <f t="shared" si="0"/>
        <v/>
      </c>
      <c r="O43" s="131" t="str">
        <f>+IFERROR(INDEX([7]PARÁMETROS!$B$11:$B$37,MATCH(N43,[7]PARÁMETROS!$A$11:$A$37,0)),"")</f>
        <v/>
      </c>
      <c r="P43" s="163"/>
      <c r="Q43" s="131"/>
      <c r="R43" s="123"/>
      <c r="S43" s="134"/>
      <c r="T43" s="135"/>
      <c r="U43" s="131" t="str">
        <f t="shared" si="1"/>
        <v/>
      </c>
      <c r="V43" s="136" t="str">
        <f t="shared" si="2"/>
        <v/>
      </c>
      <c r="W43" s="136" t="str">
        <f t="shared" si="3"/>
        <v/>
      </c>
      <c r="X43" s="277" t="str">
        <f>+IF(W43="","",IF(W43&gt;=[7]PARÁMETROS!$J$5,"CUMPLE","NO CUMPLE"))</f>
        <v/>
      </c>
      <c r="Y43" s="138"/>
      <c r="Z43" s="109"/>
    </row>
    <row r="44" spans="1:26" s="72" customFormat="1" ht="30" customHeight="1">
      <c r="A44" s="796"/>
      <c r="B44" s="58"/>
      <c r="C44" s="464"/>
      <c r="D44" s="60" t="str">
        <f>+IFERROR(INDEX([7]CONSOLIDADO!$D$4:$D$91,MATCH('EXP ESPEC. 34-40'!B44,[7]CONSOLIDADO!$C$4:$C$91,0)),"")</f>
        <v/>
      </c>
      <c r="E44" s="61"/>
      <c r="F44" s="61"/>
      <c r="G44" s="277"/>
      <c r="H44" s="277"/>
      <c r="I44" s="277"/>
      <c r="J44" s="277"/>
      <c r="K44" s="73"/>
      <c r="L44" s="64"/>
      <c r="M44" s="64"/>
      <c r="N44" s="65" t="str">
        <f t="shared" si="0"/>
        <v/>
      </c>
      <c r="O44" s="66" t="str">
        <f>+IFERROR(INDEX([7]PARÁMETROS!$B$11:$B$37,MATCH(N44,[7]PARÁMETROS!$A$11:$A$37,0)),"")</f>
        <v/>
      </c>
      <c r="P44" s="74"/>
      <c r="Q44" s="66"/>
      <c r="R44" s="58"/>
      <c r="S44" s="69"/>
      <c r="T44" s="70"/>
      <c r="U44" s="66" t="str">
        <f t="shared" si="1"/>
        <v/>
      </c>
      <c r="V44" s="55" t="str">
        <f t="shared" si="2"/>
        <v/>
      </c>
      <c r="W44" s="55" t="str">
        <f t="shared" si="3"/>
        <v/>
      </c>
      <c r="X44" s="277" t="str">
        <f>+IF(W44="","",IF(W44&gt;=[7]PARÁMETROS!$J$5,"CUMPLE","NO CUMPLE"))</f>
        <v/>
      </c>
      <c r="Y44" s="139"/>
      <c r="Z44" s="109"/>
    </row>
    <row r="45" spans="1:26" s="72" customFormat="1" ht="30" customHeight="1">
      <c r="A45" s="796"/>
      <c r="B45" s="58"/>
      <c r="C45" s="464"/>
      <c r="D45" s="60" t="str">
        <f>+IFERROR(INDEX([7]CONSOLIDADO!$D$4:$D$91,MATCH('EXP ESPEC. 34-40'!B45,[7]CONSOLIDADO!$C$4:$C$91,0)),"")</f>
        <v/>
      </c>
      <c r="E45" s="61"/>
      <c r="F45" s="61"/>
      <c r="G45" s="277"/>
      <c r="H45" s="277"/>
      <c r="I45" s="277"/>
      <c r="J45" s="277"/>
      <c r="K45" s="73"/>
      <c r="L45" s="64"/>
      <c r="M45" s="64"/>
      <c r="N45" s="65" t="str">
        <f t="shared" si="0"/>
        <v/>
      </c>
      <c r="O45" s="66" t="str">
        <f>+IFERROR(INDEX([7]PARÁMETROS!$B$11:$B$37,MATCH(N45,[7]PARÁMETROS!$A$11:$A$37,0)),"")</f>
        <v/>
      </c>
      <c r="P45" s="74"/>
      <c r="Q45" s="66"/>
      <c r="R45" s="58"/>
      <c r="S45" s="69"/>
      <c r="T45" s="70"/>
      <c r="U45" s="66" t="str">
        <f t="shared" si="1"/>
        <v/>
      </c>
      <c r="V45" s="55" t="str">
        <f t="shared" si="2"/>
        <v/>
      </c>
      <c r="W45" s="55" t="str">
        <f t="shared" si="3"/>
        <v/>
      </c>
      <c r="X45" s="277" t="str">
        <f>+IF(W45="","",IF(W45&gt;=[7]PARÁMETROS!$J$5,"CUMPLE","NO CUMPLE"))</f>
        <v/>
      </c>
      <c r="Y45" s="139"/>
      <c r="Z45" s="109"/>
    </row>
    <row r="46" spans="1:26" s="72" customFormat="1" ht="30" customHeight="1" thickBot="1">
      <c r="A46" s="796"/>
      <c r="B46" s="58"/>
      <c r="C46" s="464"/>
      <c r="D46" s="60" t="str">
        <f>+IFERROR(INDEX([7]CONSOLIDADO!$D$4:$D$91,MATCH('EXP ESPEC. 34-40'!B46,[7]CONSOLIDADO!$C$4:$C$91,0)),"")</f>
        <v/>
      </c>
      <c r="E46" s="61"/>
      <c r="F46" s="61"/>
      <c r="G46" s="277"/>
      <c r="H46" s="277"/>
      <c r="I46" s="277"/>
      <c r="J46" s="277"/>
      <c r="K46" s="73"/>
      <c r="L46" s="64"/>
      <c r="M46" s="64"/>
      <c r="N46" s="65" t="str">
        <f t="shared" si="0"/>
        <v/>
      </c>
      <c r="O46" s="66" t="str">
        <f>+IFERROR(INDEX([7]PARÁMETROS!$B$11:$B$37,MATCH(N46,[7]PARÁMETROS!$A$11:$A$37,0)),"")</f>
        <v/>
      </c>
      <c r="P46" s="74"/>
      <c r="Q46" s="66"/>
      <c r="R46" s="58"/>
      <c r="S46" s="69"/>
      <c r="T46" s="70"/>
      <c r="U46" s="66" t="str">
        <f t="shared" si="1"/>
        <v/>
      </c>
      <c r="V46" s="55" t="str">
        <f t="shared" si="2"/>
        <v/>
      </c>
      <c r="W46" s="55" t="str">
        <f t="shared" si="3"/>
        <v/>
      </c>
      <c r="X46" s="277" t="str">
        <f>+IF(W46="","",IF(W46&gt;=[7]PARÁMETROS!$J$5,"CUMPLE","NO CUMPLE"))</f>
        <v/>
      </c>
      <c r="Y46" s="139"/>
      <c r="Z46" s="109"/>
    </row>
    <row r="47" spans="1:26" s="72" customFormat="1" ht="30" customHeight="1">
      <c r="A47" s="795"/>
      <c r="B47" s="123"/>
      <c r="C47" s="466"/>
      <c r="D47" s="125" t="str">
        <f>+IFERROR(INDEX([7]CONSOLIDADO!$D$4:$D$91,MATCH('EXP ESPEC. 34-40'!B47,[7]CONSOLIDADO!$C$4:$C$91,0)),"")</f>
        <v/>
      </c>
      <c r="E47" s="126"/>
      <c r="F47" s="126"/>
      <c r="G47" s="279"/>
      <c r="H47" s="279"/>
      <c r="I47" s="279"/>
      <c r="J47" s="279"/>
      <c r="K47" s="162"/>
      <c r="L47" s="129"/>
      <c r="M47" s="129"/>
      <c r="N47" s="130" t="str">
        <f t="shared" si="0"/>
        <v/>
      </c>
      <c r="O47" s="131" t="str">
        <f>+IFERROR(INDEX([7]PARÁMETROS!$B$11:$B$37,MATCH(N47,[7]PARÁMETROS!$A$11:$A$37,0)),"")</f>
        <v/>
      </c>
      <c r="P47" s="163"/>
      <c r="Q47" s="131"/>
      <c r="R47" s="123"/>
      <c r="S47" s="134"/>
      <c r="T47" s="135"/>
      <c r="U47" s="131" t="str">
        <f t="shared" si="1"/>
        <v/>
      </c>
      <c r="V47" s="136" t="str">
        <f t="shared" si="2"/>
        <v/>
      </c>
      <c r="W47" s="136" t="str">
        <f t="shared" si="3"/>
        <v/>
      </c>
      <c r="X47" s="277" t="str">
        <f>+IF(W47="","",IF(W47&gt;=[7]PARÁMETROS!$J$5,"CUMPLE","NO CUMPLE"))</f>
        <v/>
      </c>
      <c r="Y47" s="138"/>
      <c r="Z47" s="109"/>
    </row>
    <row r="48" spans="1:26" s="72" customFormat="1" ht="30" customHeight="1">
      <c r="A48" s="796"/>
      <c r="B48" s="58"/>
      <c r="C48" s="464"/>
      <c r="D48" s="60" t="str">
        <f>+IFERROR(INDEX([7]CONSOLIDADO!$D$4:$D$91,MATCH('EXP ESPEC. 34-40'!B48,[7]CONSOLIDADO!$C$4:$C$91,0)),"")</f>
        <v/>
      </c>
      <c r="E48" s="61"/>
      <c r="F48" s="61"/>
      <c r="G48" s="277"/>
      <c r="H48" s="277"/>
      <c r="I48" s="277"/>
      <c r="J48" s="277"/>
      <c r="K48" s="73"/>
      <c r="L48" s="64"/>
      <c r="M48" s="64"/>
      <c r="N48" s="65" t="str">
        <f t="shared" si="0"/>
        <v/>
      </c>
      <c r="O48" s="66" t="str">
        <f>+IFERROR(INDEX([7]PARÁMETROS!$B$11:$B$37,MATCH(N48,[7]PARÁMETROS!$A$11:$A$37,0)),"")</f>
        <v/>
      </c>
      <c r="P48" s="74"/>
      <c r="Q48" s="66"/>
      <c r="R48" s="58"/>
      <c r="S48" s="69"/>
      <c r="T48" s="70"/>
      <c r="U48" s="66" t="str">
        <f t="shared" si="1"/>
        <v/>
      </c>
      <c r="V48" s="55" t="str">
        <f t="shared" si="2"/>
        <v/>
      </c>
      <c r="W48" s="55" t="str">
        <f t="shared" si="3"/>
        <v/>
      </c>
      <c r="X48" s="277" t="str">
        <f>+IF(W48="","",IF(W48&gt;=[7]PARÁMETROS!$J$5,"CUMPLE","NO CUMPLE"))</f>
        <v/>
      </c>
      <c r="Y48" s="139"/>
      <c r="Z48" s="109"/>
    </row>
    <row r="49" spans="1:26" s="72" customFormat="1" ht="30" customHeight="1">
      <c r="A49" s="796"/>
      <c r="B49" s="58"/>
      <c r="C49" s="464"/>
      <c r="D49" s="60" t="str">
        <f>+IFERROR(INDEX([7]CONSOLIDADO!$D$4:$D$91,MATCH('EXP ESPEC. 34-40'!B49,[7]CONSOLIDADO!$C$4:$C$91,0)),"")</f>
        <v/>
      </c>
      <c r="E49" s="61"/>
      <c r="F49" s="61"/>
      <c r="G49" s="277"/>
      <c r="H49" s="277"/>
      <c r="I49" s="277"/>
      <c r="J49" s="277"/>
      <c r="K49" s="73"/>
      <c r="L49" s="64"/>
      <c r="M49" s="64"/>
      <c r="N49" s="65" t="str">
        <f t="shared" si="0"/>
        <v/>
      </c>
      <c r="O49" s="66" t="str">
        <f>+IFERROR(INDEX([7]PARÁMETROS!$B$11:$B$37,MATCH(N49,[7]PARÁMETROS!$A$11:$A$37,0)),"")</f>
        <v/>
      </c>
      <c r="P49" s="74"/>
      <c r="Q49" s="66"/>
      <c r="R49" s="58"/>
      <c r="S49" s="69"/>
      <c r="T49" s="70"/>
      <c r="U49" s="66" t="str">
        <f t="shared" si="1"/>
        <v/>
      </c>
      <c r="V49" s="55" t="str">
        <f t="shared" si="2"/>
        <v/>
      </c>
      <c r="W49" s="55" t="str">
        <f t="shared" si="3"/>
        <v/>
      </c>
      <c r="X49" s="277" t="str">
        <f>+IF(W49="","",IF(W49&gt;=[7]PARÁMETROS!$J$5,"CUMPLE","NO CUMPLE"))</f>
        <v/>
      </c>
      <c r="Y49" s="139"/>
      <c r="Z49" s="109"/>
    </row>
    <row r="50" spans="1:26" s="72" customFormat="1" ht="30" customHeight="1" thickBot="1">
      <c r="A50" s="796"/>
      <c r="B50" s="58"/>
      <c r="C50" s="464"/>
      <c r="D50" s="60" t="str">
        <f>+IFERROR(INDEX([7]CONSOLIDADO!$D$4:$D$91,MATCH('EXP ESPEC. 34-40'!B50,[7]CONSOLIDADO!$C$4:$C$91,0)),"")</f>
        <v/>
      </c>
      <c r="E50" s="61"/>
      <c r="F50" s="61"/>
      <c r="G50" s="277"/>
      <c r="H50" s="277"/>
      <c r="I50" s="277"/>
      <c r="J50" s="277"/>
      <c r="K50" s="73"/>
      <c r="L50" s="64"/>
      <c r="M50" s="64"/>
      <c r="N50" s="65" t="str">
        <f t="shared" si="0"/>
        <v/>
      </c>
      <c r="O50" s="66" t="str">
        <f>+IFERROR(INDEX([7]PARÁMETROS!$B$11:$B$37,MATCH(N50,[7]PARÁMETROS!$A$11:$A$37,0)),"")</f>
        <v/>
      </c>
      <c r="P50" s="74"/>
      <c r="Q50" s="66"/>
      <c r="R50" s="58"/>
      <c r="S50" s="69"/>
      <c r="T50" s="70"/>
      <c r="U50" s="66" t="str">
        <f t="shared" si="1"/>
        <v/>
      </c>
      <c r="V50" s="55" t="str">
        <f t="shared" si="2"/>
        <v/>
      </c>
      <c r="W50" s="55" t="str">
        <f t="shared" si="3"/>
        <v/>
      </c>
      <c r="X50" s="277" t="str">
        <f>+IF(W50="","",IF(W50&gt;=[7]PARÁMETROS!$J$5,"CUMPLE","NO CUMPLE"))</f>
        <v/>
      </c>
      <c r="Y50" s="139"/>
      <c r="Z50" s="109"/>
    </row>
    <row r="51" spans="1:26" s="72" customFormat="1" ht="30" customHeight="1">
      <c r="A51" s="795"/>
      <c r="B51" s="123"/>
      <c r="C51" s="466"/>
      <c r="D51" s="125" t="str">
        <f>+IFERROR(INDEX([7]CONSOLIDADO!$D$4:$D$91,MATCH('EXP ESPEC. 34-40'!B51,[7]CONSOLIDADO!$C$4:$C$91,0)),"")</f>
        <v/>
      </c>
      <c r="E51" s="126"/>
      <c r="F51" s="126"/>
      <c r="G51" s="279"/>
      <c r="H51" s="279"/>
      <c r="I51" s="279"/>
      <c r="J51" s="279"/>
      <c r="K51" s="162"/>
      <c r="L51" s="129"/>
      <c r="M51" s="129"/>
      <c r="N51" s="130" t="str">
        <f t="shared" si="0"/>
        <v/>
      </c>
      <c r="O51" s="131" t="str">
        <f>+IFERROR(INDEX([7]PARÁMETROS!$B$11:$B$37,MATCH(N51,[7]PARÁMETROS!$A$11:$A$37,0)),"")</f>
        <v/>
      </c>
      <c r="P51" s="163"/>
      <c r="Q51" s="131"/>
      <c r="R51" s="123"/>
      <c r="S51" s="134"/>
      <c r="T51" s="135"/>
      <c r="U51" s="131" t="str">
        <f t="shared" si="1"/>
        <v/>
      </c>
      <c r="V51" s="136" t="str">
        <f t="shared" si="2"/>
        <v/>
      </c>
      <c r="W51" s="136" t="str">
        <f t="shared" si="3"/>
        <v/>
      </c>
      <c r="X51" s="277" t="str">
        <f>+IF(W51="","",IF(W51&gt;=[7]PARÁMETROS!$J$5,"CUMPLE","NO CUMPLE"))</f>
        <v/>
      </c>
      <c r="Y51" s="138"/>
      <c r="Z51" s="109"/>
    </row>
    <row r="52" spans="1:26" s="72" customFormat="1" ht="30" customHeight="1">
      <c r="A52" s="796"/>
      <c r="B52" s="58"/>
      <c r="C52" s="464"/>
      <c r="D52" s="60" t="str">
        <f>+IFERROR(INDEX([7]CONSOLIDADO!$D$4:$D$91,MATCH('EXP ESPEC. 34-40'!B52,[7]CONSOLIDADO!$C$4:$C$91,0)),"")</f>
        <v/>
      </c>
      <c r="E52" s="61"/>
      <c r="F52" s="61"/>
      <c r="G52" s="277"/>
      <c r="H52" s="277"/>
      <c r="I52" s="277"/>
      <c r="J52" s="277"/>
      <c r="K52" s="73"/>
      <c r="L52" s="64"/>
      <c r="M52" s="64"/>
      <c r="N52" s="65" t="str">
        <f t="shared" si="0"/>
        <v/>
      </c>
      <c r="O52" s="66" t="str">
        <f>+IFERROR(INDEX([7]PARÁMETROS!$B$11:$B$37,MATCH(N52,[7]PARÁMETROS!$A$11:$A$37,0)),"")</f>
        <v/>
      </c>
      <c r="P52" s="74"/>
      <c r="Q52" s="66"/>
      <c r="R52" s="58"/>
      <c r="S52" s="69"/>
      <c r="T52" s="70"/>
      <c r="U52" s="66" t="str">
        <f t="shared" si="1"/>
        <v/>
      </c>
      <c r="V52" s="55" t="str">
        <f t="shared" si="2"/>
        <v/>
      </c>
      <c r="W52" s="55" t="str">
        <f t="shared" si="3"/>
        <v/>
      </c>
      <c r="X52" s="277" t="str">
        <f>+IF(W52="","",IF(W52&gt;=[7]PARÁMETROS!$J$5,"CUMPLE","NO CUMPLE"))</f>
        <v/>
      </c>
      <c r="Y52" s="139"/>
      <c r="Z52" s="109"/>
    </row>
    <row r="53" spans="1:26" s="72" customFormat="1" ht="30" customHeight="1">
      <c r="A53" s="796"/>
      <c r="B53" s="58"/>
      <c r="C53" s="464"/>
      <c r="D53" s="60" t="str">
        <f>+IFERROR(INDEX([7]CONSOLIDADO!$D$4:$D$91,MATCH('EXP ESPEC. 34-40'!B53,[7]CONSOLIDADO!$C$4:$C$91,0)),"")</f>
        <v/>
      </c>
      <c r="E53" s="61"/>
      <c r="F53" s="61"/>
      <c r="G53" s="277"/>
      <c r="H53" s="277"/>
      <c r="I53" s="277"/>
      <c r="J53" s="277"/>
      <c r="K53" s="73"/>
      <c r="L53" s="64"/>
      <c r="M53" s="64"/>
      <c r="N53" s="65" t="str">
        <f t="shared" si="0"/>
        <v/>
      </c>
      <c r="O53" s="66" t="str">
        <f>+IFERROR(INDEX([7]PARÁMETROS!$B$11:$B$37,MATCH(N53,[7]PARÁMETROS!$A$11:$A$37,0)),"")</f>
        <v/>
      </c>
      <c r="P53" s="74"/>
      <c r="Q53" s="66"/>
      <c r="R53" s="58"/>
      <c r="S53" s="69"/>
      <c r="T53" s="70"/>
      <c r="U53" s="66" t="str">
        <f t="shared" si="1"/>
        <v/>
      </c>
      <c r="V53" s="55" t="str">
        <f t="shared" si="2"/>
        <v/>
      </c>
      <c r="W53" s="55" t="str">
        <f t="shared" si="3"/>
        <v/>
      </c>
      <c r="X53" s="277" t="str">
        <f>+IF(W53="","",IF(W53&gt;=[7]PARÁMETROS!$J$5,"CUMPLE","NO CUMPLE"))</f>
        <v/>
      </c>
      <c r="Y53" s="139"/>
      <c r="Z53" s="109"/>
    </row>
    <row r="54" spans="1:26" s="72" customFormat="1" ht="30" customHeight="1" thickBot="1">
      <c r="A54" s="806"/>
      <c r="B54" s="141"/>
      <c r="C54" s="404"/>
      <c r="D54" s="143" t="str">
        <f>+IFERROR(INDEX([7]CONSOLIDADO!$D$4:$D$91,MATCH('EXP ESPEC. 34-40'!B54,[7]CONSOLIDADO!$C$4:$C$91,0)),"")</f>
        <v/>
      </c>
      <c r="E54" s="144"/>
      <c r="F54" s="144"/>
      <c r="G54" s="278"/>
      <c r="H54" s="278"/>
      <c r="I54" s="278"/>
      <c r="J54" s="278"/>
      <c r="K54" s="164"/>
      <c r="L54" s="147"/>
      <c r="M54" s="147"/>
      <c r="N54" s="148" t="str">
        <f t="shared" si="0"/>
        <v/>
      </c>
      <c r="O54" s="149" t="str">
        <f>+IFERROR(INDEX([7]PARÁMETROS!$B$11:$B$37,MATCH(N54,[7]PARÁMETROS!$A$11:$A$37,0)),"")</f>
        <v/>
      </c>
      <c r="P54" s="165"/>
      <c r="Q54" s="149"/>
      <c r="R54" s="141"/>
      <c r="S54" s="152"/>
      <c r="T54" s="153"/>
      <c r="U54" s="149" t="str">
        <f t="shared" si="1"/>
        <v/>
      </c>
      <c r="V54" s="154" t="str">
        <f t="shared" si="2"/>
        <v/>
      </c>
      <c r="W54" s="154" t="str">
        <f t="shared" si="3"/>
        <v/>
      </c>
      <c r="X54" s="277" t="str">
        <f>+IF(W54="","",IF(W54&gt;=[7]PARÁMETROS!$J$5,"CUMPLE","NO CUMPLE"))</f>
        <v/>
      </c>
      <c r="Y54" s="155"/>
      <c r="Z54" s="109"/>
    </row>
    <row r="55" spans="1:26" s="72" customFormat="1" ht="30" customHeight="1">
      <c r="A55" s="110"/>
      <c r="B55" s="110"/>
      <c r="C55" s="111"/>
      <c r="D55" s="112"/>
      <c r="E55" s="113"/>
      <c r="F55" s="113"/>
      <c r="G55" s="113"/>
      <c r="H55" s="113"/>
      <c r="I55" s="113"/>
      <c r="J55" s="113"/>
      <c r="K55" s="159"/>
      <c r="L55" s="116"/>
      <c r="M55" s="116"/>
      <c r="N55" s="160"/>
      <c r="O55" s="117"/>
      <c r="P55" s="161"/>
      <c r="Q55" s="117"/>
      <c r="R55" s="110"/>
      <c r="S55" s="120"/>
      <c r="T55" s="121"/>
      <c r="U55" s="117"/>
      <c r="V55" s="122"/>
      <c r="W55" s="122"/>
      <c r="X55" s="280"/>
      <c r="Y55" s="113"/>
    </row>
    <row r="56" spans="1:26" s="72" customFormat="1" ht="30" customHeight="1">
      <c r="A56" s="58"/>
      <c r="B56" s="58"/>
      <c r="C56" s="75"/>
      <c r="D56" s="60"/>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75"/>
      <c r="D57" s="60"/>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75"/>
      <c r="D58" s="60"/>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75"/>
      <c r="D59" s="60"/>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75"/>
      <c r="D60" s="60"/>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75"/>
      <c r="D61" s="60"/>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75"/>
      <c r="D62" s="60"/>
      <c r="E62" s="61"/>
      <c r="F62" s="61"/>
      <c r="G62" s="61"/>
      <c r="H62" s="61"/>
      <c r="I62" s="61"/>
      <c r="J62" s="61"/>
      <c r="K62" s="73"/>
      <c r="L62" s="64"/>
      <c r="M62" s="64"/>
      <c r="N62" s="65"/>
      <c r="O62" s="66"/>
      <c r="P62" s="74"/>
      <c r="Q62" s="66"/>
      <c r="R62" s="58"/>
      <c r="S62" s="69"/>
      <c r="T62" s="70"/>
      <c r="U62" s="66"/>
      <c r="V62" s="55"/>
      <c r="W62" s="55"/>
      <c r="X62" s="277"/>
      <c r="Y62" s="61"/>
    </row>
    <row r="63" spans="1:26" s="72" customFormat="1" ht="30" customHeight="1">
      <c r="A63" s="58"/>
      <c r="B63" s="58"/>
      <c r="C63" s="75"/>
      <c r="D63" s="60"/>
      <c r="E63" s="61"/>
      <c r="F63" s="61"/>
      <c r="G63" s="61"/>
      <c r="H63" s="61"/>
      <c r="I63" s="61"/>
      <c r="J63" s="61"/>
      <c r="K63" s="73"/>
      <c r="L63" s="64"/>
      <c r="M63" s="64"/>
      <c r="N63" s="65"/>
      <c r="O63" s="66"/>
      <c r="P63" s="74"/>
      <c r="Q63" s="66"/>
      <c r="R63" s="58"/>
      <c r="S63" s="69"/>
      <c r="T63" s="70"/>
      <c r="U63" s="66"/>
      <c r="V63" s="55"/>
      <c r="W63" s="55"/>
      <c r="X63" s="277"/>
      <c r="Y63" s="61"/>
    </row>
    <row r="64" spans="1:26" s="72" customFormat="1" ht="30" customHeight="1">
      <c r="A64" s="58"/>
      <c r="B64" s="58"/>
      <c r="C64" s="75"/>
      <c r="D64" s="60"/>
      <c r="E64" s="61"/>
      <c r="F64" s="61"/>
      <c r="G64" s="61"/>
      <c r="H64" s="61"/>
      <c r="I64" s="61"/>
      <c r="J64" s="61"/>
      <c r="K64" s="73"/>
      <c r="L64" s="64"/>
      <c r="M64" s="64"/>
      <c r="N64" s="65"/>
      <c r="O64" s="66"/>
      <c r="P64" s="74"/>
      <c r="Q64" s="66"/>
      <c r="R64" s="58"/>
      <c r="S64" s="69"/>
      <c r="T64" s="70"/>
      <c r="U64" s="66"/>
      <c r="V64" s="55"/>
      <c r="W64" s="55"/>
      <c r="X64" s="277"/>
      <c r="Y64" s="61"/>
    </row>
    <row r="65" spans="1:25" s="72" customFormat="1" ht="30" customHeight="1">
      <c r="A65" s="58"/>
      <c r="B65" s="58"/>
      <c r="C65" s="75"/>
      <c r="D65" s="60"/>
      <c r="E65" s="61"/>
      <c r="F65" s="61"/>
      <c r="G65" s="61"/>
      <c r="H65" s="61"/>
      <c r="I65" s="61"/>
      <c r="J65" s="61"/>
      <c r="K65" s="73"/>
      <c r="L65" s="64"/>
      <c r="M65" s="64"/>
      <c r="N65" s="65"/>
      <c r="O65" s="66"/>
      <c r="P65" s="74"/>
      <c r="Q65" s="66"/>
      <c r="R65" s="58"/>
      <c r="S65" s="69"/>
      <c r="T65" s="70"/>
      <c r="U65" s="66"/>
      <c r="V65" s="55"/>
      <c r="W65" s="55"/>
      <c r="X65" s="277"/>
      <c r="Y65" s="61"/>
    </row>
    <row r="66" spans="1:25" s="72" customFormat="1" ht="30" customHeight="1">
      <c r="A66" s="58"/>
      <c r="B66" s="58"/>
      <c r="C66" s="75"/>
      <c r="D66" s="60"/>
      <c r="E66" s="61"/>
      <c r="F66" s="61"/>
      <c r="G66" s="61"/>
      <c r="H66" s="61"/>
      <c r="I66" s="61"/>
      <c r="J66" s="61"/>
      <c r="K66" s="73"/>
      <c r="L66" s="64"/>
      <c r="M66" s="64"/>
      <c r="N66" s="65"/>
      <c r="O66" s="66"/>
      <c r="P66" s="74"/>
      <c r="Q66" s="66"/>
      <c r="R66" s="58"/>
      <c r="S66" s="69"/>
      <c r="T66" s="70"/>
      <c r="U66" s="66"/>
      <c r="V66" s="55"/>
      <c r="W66" s="55"/>
      <c r="X66" s="277"/>
      <c r="Y66" s="61"/>
    </row>
    <row r="67" spans="1:25" s="99" customFormat="1" ht="30" customHeight="1">
      <c r="A67" s="89"/>
      <c r="B67" s="89"/>
      <c r="C67" s="90"/>
      <c r="D67" s="91"/>
      <c r="E67" s="92"/>
      <c r="F67" s="92"/>
      <c r="G67" s="92"/>
      <c r="H67" s="92"/>
      <c r="I67" s="92"/>
      <c r="J67" s="92"/>
      <c r="K67" s="93"/>
      <c r="L67" s="94"/>
      <c r="M67" s="94"/>
      <c r="N67" s="95"/>
      <c r="O67" s="66"/>
      <c r="P67" s="96"/>
      <c r="Q67" s="97"/>
      <c r="R67" s="58"/>
      <c r="S67" s="69"/>
      <c r="T67" s="70"/>
      <c r="U67" s="66"/>
      <c r="V67" s="55"/>
      <c r="W67" s="55"/>
      <c r="X67" s="277"/>
      <c r="Y67" s="92"/>
    </row>
    <row r="68" spans="1:25" s="99" customFormat="1" ht="30" customHeight="1">
      <c r="A68" s="89"/>
      <c r="B68" s="89"/>
      <c r="C68" s="90"/>
      <c r="D68" s="91"/>
      <c r="E68" s="92"/>
      <c r="F68" s="92"/>
      <c r="G68" s="92"/>
      <c r="H68" s="92"/>
      <c r="I68" s="92"/>
      <c r="J68" s="92"/>
      <c r="K68" s="93"/>
      <c r="L68" s="94"/>
      <c r="M68" s="94"/>
      <c r="N68" s="95"/>
      <c r="O68" s="66"/>
      <c r="P68" s="96"/>
      <c r="Q68" s="97"/>
      <c r="R68" s="58"/>
      <c r="S68" s="69"/>
      <c r="T68" s="70"/>
      <c r="U68" s="66"/>
      <c r="V68" s="55"/>
      <c r="W68" s="55"/>
      <c r="X68" s="277"/>
      <c r="Y68" s="92"/>
    </row>
    <row r="69" spans="1:25" s="99" customFormat="1" ht="30" customHeight="1">
      <c r="A69" s="89"/>
      <c r="B69" s="89"/>
      <c r="C69" s="90"/>
      <c r="D69" s="91"/>
      <c r="E69" s="92"/>
      <c r="F69" s="92"/>
      <c r="G69" s="92"/>
      <c r="H69" s="92"/>
      <c r="I69" s="92"/>
      <c r="J69" s="92"/>
      <c r="K69" s="93"/>
      <c r="L69" s="94"/>
      <c r="M69" s="94"/>
      <c r="N69" s="95"/>
      <c r="O69" s="66"/>
      <c r="P69" s="96"/>
      <c r="Q69" s="97"/>
      <c r="R69" s="58"/>
      <c r="S69" s="69"/>
      <c r="T69" s="70"/>
      <c r="U69" s="66"/>
      <c r="V69" s="55"/>
      <c r="W69" s="55"/>
      <c r="X69" s="277"/>
      <c r="Y69" s="92"/>
    </row>
    <row r="70" spans="1:25" s="99" customFormat="1" ht="30" customHeight="1">
      <c r="A70" s="89"/>
      <c r="B70" s="89"/>
      <c r="C70" s="90"/>
      <c r="D70" s="91"/>
      <c r="E70" s="92"/>
      <c r="F70" s="92"/>
      <c r="G70" s="92"/>
      <c r="H70" s="92"/>
      <c r="I70" s="92"/>
      <c r="J70" s="92"/>
      <c r="K70" s="93"/>
      <c r="L70" s="94"/>
      <c r="M70" s="94"/>
      <c r="N70" s="95"/>
      <c r="O70" s="66"/>
      <c r="P70" s="96"/>
      <c r="Q70" s="97"/>
      <c r="R70" s="58"/>
      <c r="S70" s="69"/>
      <c r="T70" s="70"/>
      <c r="U70" s="66"/>
      <c r="V70" s="55"/>
      <c r="W70" s="55"/>
      <c r="X70" s="277"/>
      <c r="Y70" s="92"/>
    </row>
    <row r="71" spans="1:25" s="99" customFormat="1" ht="30" customHeight="1">
      <c r="A71" s="89"/>
      <c r="B71" s="89"/>
      <c r="C71" s="90"/>
      <c r="D71" s="91"/>
      <c r="E71" s="92"/>
      <c r="F71" s="92"/>
      <c r="G71" s="92"/>
      <c r="H71" s="92"/>
      <c r="I71" s="92"/>
      <c r="J71" s="92"/>
      <c r="K71" s="93"/>
      <c r="L71" s="94"/>
      <c r="M71" s="94"/>
      <c r="N71" s="95"/>
      <c r="O71" s="66"/>
      <c r="P71" s="96"/>
      <c r="Q71" s="97"/>
      <c r="R71" s="58"/>
      <c r="S71" s="69"/>
      <c r="T71" s="70"/>
      <c r="U71" s="66"/>
      <c r="V71" s="55"/>
      <c r="W71" s="55"/>
      <c r="X71" s="277"/>
      <c r="Y71" s="92"/>
    </row>
    <row r="72" spans="1:25" s="99" customFormat="1" ht="30" customHeight="1">
      <c r="A72" s="89"/>
      <c r="B72" s="89"/>
      <c r="C72" s="90"/>
      <c r="D72" s="91"/>
      <c r="E72" s="92"/>
      <c r="F72" s="92"/>
      <c r="G72" s="92"/>
      <c r="H72" s="92"/>
      <c r="I72" s="92"/>
      <c r="J72" s="92"/>
      <c r="K72" s="93"/>
      <c r="L72" s="94"/>
      <c r="M72" s="94"/>
      <c r="N72" s="95"/>
      <c r="O72" s="66"/>
      <c r="P72" s="96"/>
      <c r="Q72" s="97"/>
      <c r="R72" s="58"/>
      <c r="S72" s="69"/>
      <c r="T72" s="70"/>
      <c r="U72" s="66"/>
      <c r="V72" s="55"/>
      <c r="W72" s="55"/>
      <c r="X72" s="277"/>
      <c r="Y72" s="92"/>
    </row>
    <row r="73" spans="1:25" s="99" customFormat="1" ht="30" customHeight="1">
      <c r="A73" s="89"/>
      <c r="B73" s="89"/>
      <c r="C73" s="90"/>
      <c r="D73" s="91"/>
      <c r="E73" s="92"/>
      <c r="F73" s="92"/>
      <c r="G73" s="92"/>
      <c r="H73" s="92"/>
      <c r="I73" s="92"/>
      <c r="J73" s="92"/>
      <c r="K73" s="93"/>
      <c r="L73" s="94"/>
      <c r="M73" s="94"/>
      <c r="N73" s="95"/>
      <c r="O73" s="66"/>
      <c r="P73" s="96"/>
      <c r="Q73" s="97"/>
      <c r="R73" s="58"/>
      <c r="S73" s="69"/>
      <c r="T73" s="70"/>
      <c r="U73" s="66"/>
      <c r="V73" s="55"/>
      <c r="W73" s="55"/>
      <c r="X73" s="277"/>
      <c r="Y73" s="92"/>
    </row>
    <row r="74" spans="1:25" s="99" customFormat="1" ht="30" customHeight="1">
      <c r="A74" s="89"/>
      <c r="B74" s="89"/>
      <c r="C74" s="90"/>
      <c r="D74" s="91"/>
      <c r="E74" s="92"/>
      <c r="F74" s="92"/>
      <c r="G74" s="92"/>
      <c r="H74" s="92"/>
      <c r="I74" s="92"/>
      <c r="J74" s="92"/>
      <c r="K74" s="93"/>
      <c r="L74" s="94"/>
      <c r="M74" s="94"/>
      <c r="N74" s="95"/>
      <c r="O74" s="66"/>
      <c r="P74" s="96"/>
      <c r="Q74" s="97"/>
      <c r="R74" s="58"/>
      <c r="S74" s="69"/>
      <c r="T74" s="70"/>
      <c r="U74" s="66"/>
      <c r="V74" s="55"/>
      <c r="W74" s="55"/>
      <c r="X74" s="277"/>
      <c r="Y74" s="92"/>
    </row>
    <row r="75" spans="1:25" s="99" customFormat="1" ht="30" customHeight="1">
      <c r="A75" s="89"/>
      <c r="B75" s="89"/>
      <c r="C75" s="90"/>
      <c r="D75" s="91"/>
      <c r="E75" s="92"/>
      <c r="F75" s="92"/>
      <c r="G75" s="92"/>
      <c r="H75" s="92"/>
      <c r="I75" s="92"/>
      <c r="J75" s="92"/>
      <c r="K75" s="93"/>
      <c r="L75" s="94"/>
      <c r="M75" s="94"/>
      <c r="N75" s="95"/>
      <c r="O75" s="66"/>
      <c r="P75" s="96"/>
      <c r="Q75" s="97"/>
      <c r="R75" s="58"/>
      <c r="S75" s="69"/>
      <c r="T75" s="70"/>
      <c r="U75" s="66"/>
      <c r="V75" s="55"/>
      <c r="W75" s="55"/>
      <c r="X75" s="277"/>
      <c r="Y75" s="92"/>
    </row>
    <row r="76" spans="1:25" s="99" customFormat="1" ht="30" customHeight="1">
      <c r="A76" s="89"/>
      <c r="B76" s="89"/>
      <c r="C76" s="90"/>
      <c r="D76" s="91"/>
      <c r="E76" s="92"/>
      <c r="F76" s="92"/>
      <c r="G76" s="92"/>
      <c r="H76" s="92"/>
      <c r="I76" s="92"/>
      <c r="J76" s="92"/>
      <c r="K76" s="93"/>
      <c r="L76" s="94"/>
      <c r="M76" s="94"/>
      <c r="N76" s="95"/>
      <c r="O76" s="66"/>
      <c r="P76" s="96"/>
      <c r="Q76" s="97"/>
      <c r="R76" s="58"/>
      <c r="S76" s="69"/>
      <c r="T76" s="70"/>
      <c r="U76" s="66"/>
      <c r="V76" s="55"/>
      <c r="W76" s="55"/>
      <c r="X76" s="277"/>
      <c r="Y76" s="92"/>
    </row>
    <row r="77" spans="1:25" s="99" customFormat="1" ht="30" customHeight="1">
      <c r="A77" s="89"/>
      <c r="B77" s="89"/>
      <c r="C77" s="90"/>
      <c r="D77" s="91"/>
      <c r="E77" s="92"/>
      <c r="F77" s="92"/>
      <c r="G77" s="92"/>
      <c r="H77" s="92"/>
      <c r="I77" s="92"/>
      <c r="J77" s="92"/>
      <c r="K77" s="93"/>
      <c r="L77" s="94"/>
      <c r="M77" s="94"/>
      <c r="N77" s="95"/>
      <c r="O77" s="66"/>
      <c r="P77" s="96"/>
      <c r="Q77" s="97"/>
      <c r="R77" s="58"/>
      <c r="S77" s="69"/>
      <c r="T77" s="70"/>
      <c r="U77" s="66"/>
      <c r="V77" s="55"/>
      <c r="W77" s="55"/>
      <c r="X77" s="277"/>
      <c r="Y77" s="92"/>
    </row>
    <row r="78" spans="1:25" s="99" customFormat="1" ht="30" customHeight="1">
      <c r="A78" s="89"/>
      <c r="B78" s="89"/>
      <c r="C78" s="90"/>
      <c r="D78" s="91"/>
      <c r="E78" s="92"/>
      <c r="F78" s="92"/>
      <c r="G78" s="92"/>
      <c r="H78" s="92"/>
      <c r="I78" s="92"/>
      <c r="J78" s="92"/>
      <c r="K78" s="93"/>
      <c r="L78" s="94"/>
      <c r="M78" s="94"/>
      <c r="N78" s="95"/>
      <c r="O78" s="66"/>
      <c r="P78" s="96"/>
      <c r="Q78" s="97"/>
      <c r="R78" s="58"/>
      <c r="S78" s="69"/>
      <c r="T78" s="70"/>
      <c r="U78" s="66"/>
      <c r="V78" s="55"/>
      <c r="W78" s="55"/>
      <c r="X78" s="277"/>
      <c r="Y78" s="92"/>
    </row>
    <row r="79" spans="1:25" s="99" customFormat="1" ht="30" customHeight="1">
      <c r="A79" s="89"/>
      <c r="B79" s="89"/>
      <c r="C79" s="90"/>
      <c r="D79" s="91"/>
      <c r="E79" s="92"/>
      <c r="F79" s="92"/>
      <c r="G79" s="92"/>
      <c r="H79" s="92"/>
      <c r="I79" s="92"/>
      <c r="J79" s="92"/>
      <c r="K79" s="93"/>
      <c r="L79" s="94"/>
      <c r="M79" s="94"/>
      <c r="N79" s="95"/>
      <c r="O79" s="66"/>
      <c r="P79" s="96"/>
      <c r="Q79" s="97"/>
      <c r="R79" s="58"/>
      <c r="S79" s="69"/>
      <c r="T79" s="70"/>
      <c r="U79" s="66"/>
      <c r="V79" s="55"/>
      <c r="W79" s="55"/>
      <c r="X79" s="277"/>
      <c r="Y79" s="92"/>
    </row>
    <row r="80" spans="1:25" s="99" customFormat="1" ht="30" customHeight="1">
      <c r="A80" s="89"/>
      <c r="B80" s="89"/>
      <c r="C80" s="90"/>
      <c r="D80" s="91"/>
      <c r="E80" s="92"/>
      <c r="F80" s="92"/>
      <c r="G80" s="92"/>
      <c r="H80" s="92"/>
      <c r="I80" s="92"/>
      <c r="J80" s="92"/>
      <c r="K80" s="93"/>
      <c r="L80" s="94"/>
      <c r="M80" s="94"/>
      <c r="N80" s="95"/>
      <c r="O80" s="66"/>
      <c r="P80" s="96"/>
      <c r="Q80" s="97"/>
      <c r="R80" s="58"/>
      <c r="S80" s="69"/>
      <c r="T80" s="70"/>
      <c r="U80" s="66"/>
      <c r="V80" s="55"/>
      <c r="W80" s="55"/>
      <c r="X80" s="277"/>
      <c r="Y80" s="92"/>
    </row>
    <row r="81" spans="1:25" s="99" customFormat="1" ht="30" customHeight="1">
      <c r="A81" s="89"/>
      <c r="B81" s="89"/>
      <c r="C81" s="90"/>
      <c r="D81" s="91"/>
      <c r="E81" s="92"/>
      <c r="F81" s="92"/>
      <c r="G81" s="92"/>
      <c r="H81" s="92"/>
      <c r="I81" s="92"/>
      <c r="J81" s="92"/>
      <c r="K81" s="93"/>
      <c r="L81" s="94"/>
      <c r="M81" s="94"/>
      <c r="N81" s="95"/>
      <c r="O81" s="66"/>
      <c r="P81" s="96"/>
      <c r="Q81" s="97"/>
      <c r="R81" s="58"/>
      <c r="S81" s="69"/>
      <c r="T81" s="70"/>
      <c r="U81" s="66"/>
      <c r="V81" s="55"/>
      <c r="W81" s="55"/>
      <c r="X81" s="277"/>
      <c r="Y81" s="92"/>
    </row>
    <row r="82" spans="1:25" s="99" customFormat="1" ht="30" customHeight="1">
      <c r="A82" s="89"/>
      <c r="B82" s="89"/>
      <c r="C82" s="90"/>
      <c r="D82" s="91"/>
      <c r="E82" s="92"/>
      <c r="F82" s="92"/>
      <c r="G82" s="92"/>
      <c r="H82" s="92"/>
      <c r="I82" s="92"/>
      <c r="J82" s="92"/>
      <c r="K82" s="93"/>
      <c r="L82" s="94"/>
      <c r="M82" s="94"/>
      <c r="N82" s="95"/>
      <c r="O82" s="66"/>
      <c r="P82" s="96"/>
      <c r="Q82" s="97"/>
      <c r="R82" s="58"/>
      <c r="S82" s="69"/>
      <c r="T82" s="70"/>
      <c r="U82" s="66"/>
      <c r="V82" s="55"/>
      <c r="W82" s="55"/>
      <c r="X82" s="277"/>
      <c r="Y82" s="92"/>
    </row>
    <row r="83" spans="1:25" s="99" customFormat="1" ht="30" customHeight="1">
      <c r="A83" s="89"/>
      <c r="B83" s="89"/>
      <c r="C83" s="90"/>
      <c r="D83" s="91"/>
      <c r="E83" s="92"/>
      <c r="F83" s="92"/>
      <c r="G83" s="92"/>
      <c r="H83" s="92"/>
      <c r="I83" s="92"/>
      <c r="J83" s="92"/>
      <c r="K83" s="93"/>
      <c r="L83" s="94"/>
      <c r="M83" s="94"/>
      <c r="N83" s="95"/>
      <c r="O83" s="66"/>
      <c r="P83" s="96"/>
      <c r="Q83" s="97"/>
      <c r="R83" s="58"/>
      <c r="S83" s="69"/>
      <c r="T83" s="70"/>
      <c r="U83" s="66"/>
      <c r="V83" s="55"/>
      <c r="W83" s="55"/>
      <c r="X83" s="277"/>
      <c r="Y83" s="92"/>
    </row>
    <row r="84" spans="1:25" s="99" customFormat="1" ht="30" customHeight="1">
      <c r="A84" s="89"/>
      <c r="B84" s="89"/>
      <c r="C84" s="90"/>
      <c r="D84" s="91"/>
      <c r="E84" s="92"/>
      <c r="F84" s="92"/>
      <c r="G84" s="92"/>
      <c r="H84" s="92"/>
      <c r="I84" s="92"/>
      <c r="J84" s="92"/>
      <c r="K84" s="93"/>
      <c r="L84" s="94"/>
      <c r="M84" s="94"/>
      <c r="N84" s="95"/>
      <c r="O84" s="66"/>
      <c r="P84" s="96"/>
      <c r="Q84" s="97"/>
      <c r="R84" s="58"/>
      <c r="S84" s="69"/>
      <c r="T84" s="70"/>
      <c r="U84" s="66"/>
      <c r="V84" s="55"/>
      <c r="W84" s="55"/>
      <c r="X84" s="277"/>
      <c r="Y84" s="92"/>
    </row>
    <row r="85" spans="1:25" s="99" customFormat="1" ht="30" customHeight="1">
      <c r="A85" s="89"/>
      <c r="B85" s="89"/>
      <c r="C85" s="90"/>
      <c r="D85" s="91"/>
      <c r="E85" s="92"/>
      <c r="F85" s="92"/>
      <c r="G85" s="92"/>
      <c r="H85" s="92"/>
      <c r="I85" s="92"/>
      <c r="J85" s="92"/>
      <c r="K85" s="93"/>
      <c r="L85" s="94"/>
      <c r="M85" s="94"/>
      <c r="N85" s="95"/>
      <c r="O85" s="66"/>
      <c r="P85" s="96"/>
      <c r="Q85" s="97"/>
      <c r="R85" s="58"/>
      <c r="S85" s="69"/>
      <c r="T85" s="70"/>
      <c r="U85" s="66"/>
      <c r="V85" s="55"/>
      <c r="W85" s="55"/>
      <c r="X85" s="277"/>
      <c r="Y85" s="92"/>
    </row>
    <row r="86" spans="1:25" s="99" customFormat="1" ht="30" customHeight="1">
      <c r="A86" s="89"/>
      <c r="B86" s="89"/>
      <c r="C86" s="90"/>
      <c r="D86" s="91"/>
      <c r="E86" s="92"/>
      <c r="F86" s="92"/>
      <c r="G86" s="92"/>
      <c r="H86" s="92"/>
      <c r="I86" s="92"/>
      <c r="J86" s="92"/>
      <c r="K86" s="93"/>
      <c r="L86" s="94"/>
      <c r="M86" s="94"/>
      <c r="N86" s="95"/>
      <c r="O86" s="66"/>
      <c r="P86" s="96"/>
      <c r="Q86" s="97"/>
      <c r="R86" s="58"/>
      <c r="S86" s="69"/>
      <c r="T86" s="70"/>
      <c r="U86" s="66"/>
      <c r="V86" s="55"/>
      <c r="W86" s="55"/>
      <c r="X86" s="277"/>
      <c r="Y86" s="92"/>
    </row>
    <row r="87" spans="1:25" s="99" customFormat="1" ht="30" customHeight="1">
      <c r="A87" s="89"/>
      <c r="B87" s="89"/>
      <c r="C87" s="90"/>
      <c r="D87" s="91"/>
      <c r="E87" s="92"/>
      <c r="F87" s="92"/>
      <c r="G87" s="92"/>
      <c r="H87" s="92"/>
      <c r="I87" s="92"/>
      <c r="J87" s="92"/>
      <c r="K87" s="93"/>
      <c r="L87" s="94"/>
      <c r="M87" s="94"/>
      <c r="N87" s="95"/>
      <c r="O87" s="66"/>
      <c r="P87" s="96"/>
      <c r="Q87" s="97"/>
      <c r="R87" s="58"/>
      <c r="S87" s="69"/>
      <c r="T87" s="70"/>
      <c r="U87" s="66"/>
      <c r="V87" s="55"/>
      <c r="W87" s="55"/>
      <c r="X87" s="277"/>
      <c r="Y87" s="92"/>
    </row>
    <row r="88" spans="1:25" s="99" customFormat="1" ht="30" customHeight="1">
      <c r="A88" s="89"/>
      <c r="B88" s="89"/>
      <c r="C88" s="90"/>
      <c r="D88" s="91"/>
      <c r="E88" s="92"/>
      <c r="F88" s="92"/>
      <c r="G88" s="92"/>
      <c r="H88" s="92"/>
      <c r="I88" s="92"/>
      <c r="J88" s="92"/>
      <c r="K88" s="93"/>
      <c r="L88" s="94"/>
      <c r="M88" s="94"/>
      <c r="N88" s="95"/>
      <c r="O88" s="66"/>
      <c r="P88" s="96"/>
      <c r="Q88" s="97"/>
      <c r="R88" s="58"/>
      <c r="S88" s="69"/>
      <c r="T88" s="70"/>
      <c r="U88" s="66"/>
      <c r="V88" s="55"/>
      <c r="W88" s="55"/>
      <c r="X88" s="277"/>
      <c r="Y88" s="92"/>
    </row>
    <row r="89" spans="1:25" s="99" customFormat="1" ht="30" customHeight="1">
      <c r="A89" s="89"/>
      <c r="B89" s="89"/>
      <c r="C89" s="90"/>
      <c r="D89" s="91"/>
      <c r="E89" s="92"/>
      <c r="F89" s="92"/>
      <c r="G89" s="92"/>
      <c r="H89" s="92"/>
      <c r="I89" s="92"/>
      <c r="J89" s="92"/>
      <c r="K89" s="93"/>
      <c r="L89" s="94"/>
      <c r="M89" s="94"/>
      <c r="N89" s="95"/>
      <c r="O89" s="66"/>
      <c r="P89" s="96"/>
      <c r="Q89" s="97"/>
      <c r="R89" s="58"/>
      <c r="S89" s="69"/>
      <c r="T89" s="70"/>
      <c r="U89" s="66"/>
      <c r="V89" s="55"/>
      <c r="W89" s="55"/>
      <c r="X89" s="277"/>
      <c r="Y89" s="92"/>
    </row>
    <row r="90" spans="1:25" s="99" customFormat="1" ht="30" customHeight="1">
      <c r="A90" s="89"/>
      <c r="B90" s="89"/>
      <c r="C90" s="90"/>
      <c r="D90" s="91"/>
      <c r="E90" s="92"/>
      <c r="F90" s="92"/>
      <c r="G90" s="92"/>
      <c r="H90" s="92"/>
      <c r="I90" s="92"/>
      <c r="J90" s="92"/>
      <c r="K90" s="93"/>
      <c r="L90" s="94"/>
      <c r="M90" s="94"/>
      <c r="N90" s="95"/>
      <c r="O90" s="66"/>
      <c r="P90" s="96"/>
      <c r="Q90" s="97"/>
      <c r="R90" s="58"/>
      <c r="S90" s="69"/>
      <c r="T90" s="70"/>
      <c r="U90" s="66"/>
      <c r="V90" s="55"/>
      <c r="W90" s="55"/>
      <c r="X90" s="277"/>
      <c r="Y90" s="92"/>
    </row>
    <row r="91" spans="1:25" s="99" customFormat="1" ht="30" customHeight="1">
      <c r="A91" s="89"/>
      <c r="B91" s="89"/>
      <c r="C91" s="90"/>
      <c r="D91" s="91"/>
      <c r="E91" s="92"/>
      <c r="F91" s="92"/>
      <c r="G91" s="92"/>
      <c r="H91" s="92"/>
      <c r="I91" s="92"/>
      <c r="J91" s="92"/>
      <c r="K91" s="93"/>
      <c r="L91" s="94"/>
      <c r="M91" s="94"/>
      <c r="N91" s="95"/>
      <c r="O91" s="66"/>
      <c r="P91" s="96"/>
      <c r="Q91" s="97"/>
      <c r="R91" s="58"/>
      <c r="S91" s="69"/>
      <c r="T91" s="70"/>
      <c r="U91" s="66"/>
      <c r="V91" s="55"/>
      <c r="W91" s="55"/>
      <c r="X91" s="277"/>
      <c r="Y91" s="92"/>
    </row>
    <row r="92" spans="1:25" s="99" customFormat="1" ht="30" customHeight="1">
      <c r="A92" s="89"/>
      <c r="B92" s="89"/>
      <c r="C92" s="90"/>
      <c r="D92" s="91"/>
      <c r="E92" s="92"/>
      <c r="F92" s="92"/>
      <c r="G92" s="92"/>
      <c r="H92" s="92"/>
      <c r="I92" s="92"/>
      <c r="J92" s="92"/>
      <c r="K92" s="93"/>
      <c r="L92" s="94"/>
      <c r="M92" s="94"/>
      <c r="N92" s="95"/>
      <c r="O92" s="66"/>
      <c r="P92" s="96"/>
      <c r="Q92" s="97"/>
      <c r="R92" s="58"/>
      <c r="S92" s="69"/>
      <c r="T92" s="70"/>
      <c r="U92" s="66"/>
      <c r="V92" s="55"/>
      <c r="W92" s="55"/>
      <c r="X92" s="277"/>
      <c r="Y92" s="92"/>
    </row>
    <row r="93" spans="1:25" s="99" customFormat="1" ht="30" customHeight="1">
      <c r="A93" s="89"/>
      <c r="B93" s="89"/>
      <c r="C93" s="90"/>
      <c r="D93" s="91"/>
      <c r="E93" s="92"/>
      <c r="F93" s="92"/>
      <c r="G93" s="92"/>
      <c r="H93" s="92"/>
      <c r="I93" s="92"/>
      <c r="J93" s="92"/>
      <c r="K93" s="93"/>
      <c r="L93" s="94"/>
      <c r="M93" s="94"/>
      <c r="N93" s="95"/>
      <c r="O93" s="66"/>
      <c r="P93" s="96"/>
      <c r="Q93" s="97"/>
      <c r="R93" s="58"/>
      <c r="S93" s="69"/>
      <c r="T93" s="70"/>
      <c r="U93" s="66"/>
      <c r="V93" s="55"/>
      <c r="W93" s="55"/>
      <c r="X93" s="277"/>
      <c r="Y93" s="92"/>
    </row>
    <row r="94" spans="1:25" s="99" customFormat="1" ht="30" customHeight="1">
      <c r="A94" s="89"/>
      <c r="B94" s="89"/>
      <c r="C94" s="90"/>
      <c r="D94" s="91"/>
      <c r="E94" s="92"/>
      <c r="F94" s="92"/>
      <c r="G94" s="92"/>
      <c r="H94" s="92"/>
      <c r="I94" s="92"/>
      <c r="J94" s="92"/>
      <c r="K94" s="93"/>
      <c r="L94" s="94"/>
      <c r="M94" s="94"/>
      <c r="N94" s="95"/>
      <c r="O94" s="66"/>
      <c r="P94" s="96"/>
      <c r="Q94" s="97"/>
      <c r="R94" s="58"/>
      <c r="S94" s="69"/>
      <c r="T94" s="70"/>
      <c r="U94" s="66"/>
      <c r="V94" s="55"/>
      <c r="W94" s="55"/>
      <c r="X94" s="277"/>
      <c r="Y94" s="92"/>
    </row>
    <row r="95" spans="1:25" s="99" customFormat="1" ht="30" customHeight="1">
      <c r="A95" s="89"/>
      <c r="B95" s="89"/>
      <c r="C95" s="90"/>
      <c r="D95" s="91"/>
      <c r="E95" s="92"/>
      <c r="F95" s="92"/>
      <c r="G95" s="92"/>
      <c r="H95" s="92"/>
      <c r="I95" s="92"/>
      <c r="J95" s="92"/>
      <c r="K95" s="93"/>
      <c r="L95" s="94"/>
      <c r="M95" s="94"/>
      <c r="N95" s="95"/>
      <c r="O95" s="66"/>
      <c r="P95" s="96"/>
      <c r="Q95" s="97"/>
      <c r="R95" s="58"/>
      <c r="S95" s="69"/>
      <c r="T95" s="70"/>
      <c r="U95" s="66"/>
      <c r="V95" s="55"/>
      <c r="W95" s="55"/>
      <c r="X95" s="277"/>
      <c r="Y95" s="92"/>
    </row>
    <row r="96" spans="1:25" s="99" customFormat="1" ht="30" customHeight="1">
      <c r="A96" s="89"/>
      <c r="B96" s="89"/>
      <c r="C96" s="90"/>
      <c r="D96" s="91"/>
      <c r="E96" s="92"/>
      <c r="F96" s="92"/>
      <c r="G96" s="92"/>
      <c r="H96" s="92"/>
      <c r="I96" s="92"/>
      <c r="J96" s="92"/>
      <c r="K96" s="93"/>
      <c r="L96" s="94"/>
      <c r="M96" s="94"/>
      <c r="N96" s="95"/>
      <c r="O96" s="66"/>
      <c r="P96" s="96"/>
      <c r="Q96" s="97"/>
      <c r="R96" s="58"/>
      <c r="S96" s="69"/>
      <c r="T96" s="70"/>
      <c r="U96" s="66"/>
      <c r="V96" s="55"/>
      <c r="W96" s="55"/>
      <c r="X96" s="277"/>
      <c r="Y96" s="92"/>
    </row>
    <row r="97" spans="1:25" s="99" customFormat="1" ht="30" customHeight="1">
      <c r="A97" s="89"/>
      <c r="B97" s="89"/>
      <c r="C97" s="90"/>
      <c r="D97" s="91"/>
      <c r="E97" s="92"/>
      <c r="F97" s="92"/>
      <c r="G97" s="92"/>
      <c r="H97" s="92"/>
      <c r="I97" s="92"/>
      <c r="J97" s="92"/>
      <c r="K97" s="93"/>
      <c r="L97" s="94"/>
      <c r="M97" s="94"/>
      <c r="N97" s="95"/>
      <c r="O97" s="66"/>
      <c r="P97" s="96"/>
      <c r="Q97" s="97"/>
      <c r="R97" s="58"/>
      <c r="S97" s="69"/>
      <c r="T97" s="70"/>
      <c r="U97" s="66"/>
      <c r="V97" s="55"/>
      <c r="W97" s="55"/>
      <c r="X97" s="277"/>
      <c r="Y97" s="92"/>
    </row>
    <row r="98" spans="1:25" s="99" customFormat="1" ht="30" customHeight="1">
      <c r="A98" s="89"/>
      <c r="B98" s="89"/>
      <c r="C98" s="90"/>
      <c r="D98" s="91"/>
      <c r="E98" s="92"/>
      <c r="F98" s="92"/>
      <c r="G98" s="92"/>
      <c r="H98" s="92"/>
      <c r="I98" s="92"/>
      <c r="J98" s="92"/>
      <c r="K98" s="93"/>
      <c r="L98" s="94"/>
      <c r="M98" s="94"/>
      <c r="N98" s="95"/>
      <c r="O98" s="66"/>
      <c r="P98" s="96"/>
      <c r="Q98" s="97"/>
      <c r="R98" s="58"/>
      <c r="S98" s="69"/>
      <c r="T98" s="70"/>
      <c r="U98" s="66"/>
      <c r="V98" s="55"/>
      <c r="W98" s="55"/>
      <c r="X98" s="277"/>
      <c r="Y98" s="92"/>
    </row>
    <row r="99" spans="1:25" s="99" customFormat="1" ht="30" customHeight="1">
      <c r="A99" s="89"/>
      <c r="B99" s="89"/>
      <c r="C99" s="90"/>
      <c r="D99" s="91"/>
      <c r="E99" s="92"/>
      <c r="F99" s="92"/>
      <c r="G99" s="92"/>
      <c r="H99" s="92"/>
      <c r="I99" s="92"/>
      <c r="J99" s="92"/>
      <c r="K99" s="93"/>
      <c r="L99" s="94"/>
      <c r="M99" s="94"/>
      <c r="N99" s="95"/>
      <c r="O99" s="66"/>
      <c r="P99" s="96"/>
      <c r="Q99" s="97"/>
      <c r="R99" s="58"/>
      <c r="S99" s="69"/>
      <c r="T99" s="70"/>
      <c r="U99" s="66"/>
      <c r="V99" s="55"/>
      <c r="W99" s="55"/>
      <c r="X99" s="277"/>
      <c r="Y99" s="92"/>
    </row>
    <row r="100" spans="1:25" s="99" customFormat="1" ht="30" customHeight="1">
      <c r="A100" s="89"/>
      <c r="B100" s="89"/>
      <c r="C100" s="90"/>
      <c r="D100" s="91"/>
      <c r="E100" s="92"/>
      <c r="F100" s="92"/>
      <c r="G100" s="92"/>
      <c r="H100" s="92"/>
      <c r="I100" s="92"/>
      <c r="J100" s="92"/>
      <c r="K100" s="93"/>
      <c r="L100" s="94"/>
      <c r="M100" s="94"/>
      <c r="N100" s="95"/>
      <c r="O100" s="66"/>
      <c r="P100" s="96"/>
      <c r="Q100" s="97"/>
      <c r="R100" s="58"/>
      <c r="S100" s="69"/>
      <c r="T100" s="70"/>
      <c r="U100" s="66"/>
      <c r="V100" s="55"/>
      <c r="W100" s="55"/>
      <c r="X100" s="277"/>
      <c r="Y100" s="92"/>
    </row>
    <row r="101" spans="1:25" s="99" customFormat="1" ht="30" customHeight="1">
      <c r="A101" s="89"/>
      <c r="B101" s="89"/>
      <c r="C101" s="90"/>
      <c r="D101" s="91"/>
      <c r="E101" s="92"/>
      <c r="F101" s="92"/>
      <c r="G101" s="92"/>
      <c r="H101" s="92"/>
      <c r="I101" s="92"/>
      <c r="J101" s="92"/>
      <c r="K101" s="93"/>
      <c r="L101" s="94"/>
      <c r="M101" s="94"/>
      <c r="N101" s="95"/>
      <c r="O101" s="66"/>
      <c r="P101" s="96"/>
      <c r="Q101" s="97"/>
      <c r="R101" s="58"/>
      <c r="S101" s="69"/>
      <c r="T101" s="70"/>
      <c r="U101" s="66"/>
      <c r="V101" s="55"/>
      <c r="W101" s="55"/>
      <c r="X101" s="277"/>
      <c r="Y101" s="92"/>
    </row>
    <row r="102" spans="1:25" s="99" customFormat="1" ht="30" customHeight="1">
      <c r="A102" s="89"/>
      <c r="B102" s="89"/>
      <c r="C102" s="90"/>
      <c r="D102" s="91"/>
      <c r="E102" s="92"/>
      <c r="F102" s="92"/>
      <c r="G102" s="92"/>
      <c r="H102" s="92"/>
      <c r="I102" s="92"/>
      <c r="J102" s="92"/>
      <c r="K102" s="93"/>
      <c r="L102" s="94"/>
      <c r="M102" s="94"/>
      <c r="N102" s="95"/>
      <c r="O102" s="66"/>
      <c r="P102" s="96"/>
      <c r="Q102" s="97"/>
      <c r="R102" s="58"/>
      <c r="S102" s="69"/>
      <c r="T102" s="70"/>
      <c r="U102" s="66"/>
      <c r="V102" s="55"/>
      <c r="W102" s="55"/>
      <c r="X102" s="277"/>
      <c r="Y102" s="92"/>
    </row>
    <row r="103" spans="1:25" s="99" customFormat="1" ht="30" customHeight="1">
      <c r="A103" s="89"/>
      <c r="B103" s="89"/>
      <c r="C103" s="90"/>
      <c r="D103" s="91"/>
      <c r="E103" s="92"/>
      <c r="F103" s="92"/>
      <c r="G103" s="92"/>
      <c r="H103" s="92"/>
      <c r="I103" s="92"/>
      <c r="J103" s="92"/>
      <c r="K103" s="93"/>
      <c r="L103" s="94"/>
      <c r="M103" s="94"/>
      <c r="N103" s="95"/>
      <c r="O103" s="66"/>
      <c r="P103" s="96"/>
      <c r="Q103" s="97"/>
      <c r="R103" s="58"/>
      <c r="S103" s="69"/>
      <c r="T103" s="70"/>
      <c r="U103" s="66"/>
      <c r="V103" s="55"/>
      <c r="W103" s="55"/>
      <c r="X103" s="277"/>
      <c r="Y103" s="92"/>
    </row>
    <row r="104" spans="1:25" s="99" customFormat="1" ht="30" customHeight="1">
      <c r="A104" s="89"/>
      <c r="B104" s="89"/>
      <c r="C104" s="90"/>
      <c r="D104" s="91"/>
      <c r="E104" s="92"/>
      <c r="F104" s="92"/>
      <c r="G104" s="92"/>
      <c r="H104" s="92"/>
      <c r="I104" s="92"/>
      <c r="J104" s="92"/>
      <c r="K104" s="93"/>
      <c r="L104" s="94"/>
      <c r="M104" s="94"/>
      <c r="N104" s="95"/>
      <c r="O104" s="66"/>
      <c r="P104" s="96"/>
      <c r="Q104" s="97"/>
      <c r="R104" s="58"/>
      <c r="S104" s="69"/>
      <c r="T104" s="70"/>
      <c r="U104" s="66"/>
      <c r="V104" s="55"/>
      <c r="W104" s="55"/>
      <c r="X104" s="277"/>
      <c r="Y104" s="92"/>
    </row>
    <row r="105" spans="1:25" s="99" customFormat="1" ht="30" customHeight="1">
      <c r="A105" s="89"/>
      <c r="B105" s="89"/>
      <c r="C105" s="90"/>
      <c r="D105" s="91"/>
      <c r="E105" s="92"/>
      <c r="F105" s="92"/>
      <c r="G105" s="92"/>
      <c r="H105" s="92"/>
      <c r="I105" s="92"/>
      <c r="J105" s="92"/>
      <c r="K105" s="93"/>
      <c r="L105" s="94"/>
      <c r="M105" s="94"/>
      <c r="N105" s="95"/>
      <c r="O105" s="66"/>
      <c r="P105" s="96"/>
      <c r="Q105" s="97"/>
      <c r="R105" s="58"/>
      <c r="S105" s="69"/>
      <c r="T105" s="70"/>
      <c r="U105" s="66"/>
      <c r="V105" s="55"/>
      <c r="W105" s="55"/>
      <c r="X105" s="277"/>
      <c r="Y105" s="92"/>
    </row>
    <row r="106" spans="1:25" s="99" customFormat="1" ht="30" customHeight="1">
      <c r="A106" s="89"/>
      <c r="B106" s="89"/>
      <c r="C106" s="90"/>
      <c r="D106" s="91"/>
      <c r="E106" s="92"/>
      <c r="F106" s="92"/>
      <c r="G106" s="92"/>
      <c r="H106" s="92"/>
      <c r="I106" s="92"/>
      <c r="J106" s="92"/>
      <c r="K106" s="93"/>
      <c r="L106" s="94"/>
      <c r="M106" s="94"/>
      <c r="N106" s="95"/>
      <c r="O106" s="66"/>
      <c r="P106" s="96"/>
      <c r="Q106" s="97"/>
      <c r="R106" s="58"/>
      <c r="S106" s="69"/>
      <c r="T106" s="70"/>
      <c r="U106" s="66"/>
      <c r="V106" s="55"/>
      <c r="W106" s="55"/>
      <c r="X106" s="277"/>
      <c r="Y106" s="92"/>
    </row>
    <row r="107" spans="1:25" s="99" customFormat="1" ht="30" customHeight="1">
      <c r="A107" s="89"/>
      <c r="B107" s="89"/>
      <c r="C107" s="90"/>
      <c r="D107" s="91"/>
      <c r="E107" s="92"/>
      <c r="F107" s="92"/>
      <c r="G107" s="92"/>
      <c r="H107" s="92"/>
      <c r="I107" s="92"/>
      <c r="J107" s="92"/>
      <c r="K107" s="93"/>
      <c r="L107" s="94"/>
      <c r="M107" s="94"/>
      <c r="N107" s="95"/>
      <c r="O107" s="66"/>
      <c r="P107" s="96"/>
      <c r="Q107" s="97"/>
      <c r="R107" s="58"/>
      <c r="S107" s="69"/>
      <c r="T107" s="70"/>
      <c r="U107" s="66"/>
      <c r="V107" s="55"/>
      <c r="W107" s="55"/>
      <c r="X107" s="277"/>
      <c r="Y107" s="92"/>
    </row>
    <row r="108" spans="1:25" s="99" customFormat="1" ht="30" customHeight="1">
      <c r="A108" s="89"/>
      <c r="B108" s="89"/>
      <c r="C108" s="90"/>
      <c r="D108" s="91"/>
      <c r="E108" s="92"/>
      <c r="F108" s="92"/>
      <c r="G108" s="92"/>
      <c r="H108" s="92"/>
      <c r="I108" s="92"/>
      <c r="J108" s="92"/>
      <c r="K108" s="93"/>
      <c r="L108" s="94"/>
      <c r="M108" s="94"/>
      <c r="N108" s="95"/>
      <c r="O108" s="66"/>
      <c r="P108" s="96"/>
      <c r="Q108" s="97"/>
      <c r="R108" s="58"/>
      <c r="S108" s="69"/>
      <c r="T108" s="70"/>
      <c r="U108" s="66"/>
      <c r="V108" s="55"/>
      <c r="W108" s="55"/>
      <c r="X108" s="277"/>
      <c r="Y108" s="92"/>
    </row>
    <row r="109" spans="1:25" s="99" customFormat="1" ht="30" customHeight="1">
      <c r="A109" s="89"/>
      <c r="B109" s="89"/>
      <c r="C109" s="90"/>
      <c r="D109" s="91"/>
      <c r="E109" s="92"/>
      <c r="F109" s="92"/>
      <c r="G109" s="92"/>
      <c r="H109" s="92"/>
      <c r="I109" s="92"/>
      <c r="J109" s="92"/>
      <c r="K109" s="93"/>
      <c r="L109" s="94"/>
      <c r="M109" s="94"/>
      <c r="N109" s="95"/>
      <c r="O109" s="66"/>
      <c r="P109" s="96"/>
      <c r="Q109" s="97"/>
      <c r="R109" s="58"/>
      <c r="S109" s="69"/>
      <c r="T109" s="70"/>
      <c r="U109" s="66"/>
      <c r="V109" s="55"/>
      <c r="W109" s="55"/>
      <c r="X109" s="277"/>
      <c r="Y109" s="92"/>
    </row>
    <row r="110" spans="1:25" s="99" customFormat="1" ht="65.099999999999994" customHeight="1">
      <c r="A110" s="89"/>
      <c r="B110" s="89"/>
      <c r="C110" s="90"/>
      <c r="D110" s="91"/>
      <c r="E110" s="92"/>
      <c r="F110" s="92"/>
      <c r="G110" s="92"/>
      <c r="H110" s="92"/>
      <c r="I110" s="92"/>
      <c r="J110" s="92"/>
      <c r="K110" s="93"/>
      <c r="L110" s="94"/>
      <c r="M110" s="94"/>
      <c r="N110" s="95"/>
      <c r="O110" s="66"/>
      <c r="P110" s="96"/>
      <c r="Q110" s="97"/>
      <c r="R110" s="58"/>
      <c r="S110" s="69"/>
      <c r="T110" s="70"/>
      <c r="U110" s="66"/>
      <c r="V110" s="55"/>
      <c r="W110" s="55"/>
      <c r="X110" s="277"/>
      <c r="Y110" s="92"/>
    </row>
    <row r="111" spans="1:25" s="99" customFormat="1" ht="65.099999999999994" customHeight="1">
      <c r="A111" s="89"/>
      <c r="B111" s="89"/>
      <c r="C111" s="90"/>
      <c r="D111" s="91"/>
      <c r="E111" s="92"/>
      <c r="F111" s="92"/>
      <c r="G111" s="92"/>
      <c r="H111" s="92"/>
      <c r="I111" s="92"/>
      <c r="J111" s="92"/>
      <c r="K111" s="93"/>
      <c r="L111" s="94"/>
      <c r="M111" s="94"/>
      <c r="N111" s="95"/>
      <c r="O111" s="66"/>
      <c r="P111" s="96"/>
      <c r="Q111" s="97"/>
      <c r="R111" s="58"/>
      <c r="S111" s="69"/>
      <c r="T111" s="70"/>
      <c r="U111" s="66"/>
      <c r="V111" s="55"/>
      <c r="W111" s="55"/>
      <c r="X111" s="277"/>
      <c r="Y111" s="92"/>
    </row>
    <row r="112" spans="1:25" s="99" customFormat="1" ht="65.099999999999994" customHeight="1">
      <c r="A112" s="89"/>
      <c r="B112" s="89"/>
      <c r="C112" s="90"/>
      <c r="D112" s="91"/>
      <c r="E112" s="92"/>
      <c r="F112" s="92"/>
      <c r="G112" s="92"/>
      <c r="H112" s="92"/>
      <c r="I112" s="92"/>
      <c r="J112" s="92"/>
      <c r="K112" s="93"/>
      <c r="L112" s="94"/>
      <c r="M112" s="94"/>
      <c r="N112" s="95"/>
      <c r="O112" s="66"/>
      <c r="P112" s="96"/>
      <c r="Q112" s="97"/>
      <c r="R112" s="58"/>
      <c r="S112" s="69"/>
      <c r="T112" s="70"/>
      <c r="U112" s="66"/>
      <c r="V112" s="55"/>
      <c r="W112" s="55"/>
      <c r="X112" s="277"/>
      <c r="Y112" s="92"/>
    </row>
    <row r="113" spans="1:25" s="99" customFormat="1" ht="65.099999999999994" customHeight="1">
      <c r="A113" s="89"/>
      <c r="B113" s="89"/>
      <c r="C113" s="90"/>
      <c r="D113" s="91"/>
      <c r="E113" s="92"/>
      <c r="F113" s="92"/>
      <c r="G113" s="92"/>
      <c r="H113" s="92"/>
      <c r="I113" s="92"/>
      <c r="J113" s="92"/>
      <c r="K113" s="93"/>
      <c r="L113" s="94"/>
      <c r="M113" s="94"/>
      <c r="N113" s="95"/>
      <c r="O113" s="66"/>
      <c r="P113" s="96"/>
      <c r="Q113" s="97"/>
      <c r="R113" s="58"/>
      <c r="S113" s="69"/>
      <c r="T113" s="70"/>
      <c r="U113" s="66"/>
      <c r="V113" s="55"/>
      <c r="W113" s="55"/>
      <c r="X113" s="277"/>
      <c r="Y113" s="92"/>
    </row>
    <row r="114" spans="1:25" s="99" customFormat="1" ht="65.099999999999994" customHeight="1">
      <c r="A114" s="89"/>
      <c r="B114" s="89"/>
      <c r="C114" s="90"/>
      <c r="D114" s="91"/>
      <c r="E114" s="92"/>
      <c r="F114" s="92"/>
      <c r="G114" s="92"/>
      <c r="H114" s="92"/>
      <c r="I114" s="92"/>
      <c r="J114" s="92"/>
      <c r="K114" s="93"/>
      <c r="L114" s="94"/>
      <c r="M114" s="94"/>
      <c r="N114" s="95"/>
      <c r="O114" s="66"/>
      <c r="P114" s="96"/>
      <c r="Q114" s="97"/>
      <c r="R114" s="58"/>
      <c r="S114" s="69"/>
      <c r="T114" s="70"/>
      <c r="U114" s="66"/>
      <c r="V114" s="55"/>
      <c r="W114" s="55"/>
      <c r="X114" s="277"/>
      <c r="Y114" s="92"/>
    </row>
    <row r="115" spans="1:25" s="99" customFormat="1" ht="65.099999999999994" customHeight="1">
      <c r="A115" s="89"/>
      <c r="B115" s="89"/>
      <c r="C115" s="90"/>
      <c r="D115" s="91"/>
      <c r="E115" s="92"/>
      <c r="F115" s="92"/>
      <c r="G115" s="92"/>
      <c r="H115" s="92"/>
      <c r="I115" s="92"/>
      <c r="J115" s="92"/>
      <c r="K115" s="93"/>
      <c r="L115" s="94"/>
      <c r="M115" s="94"/>
      <c r="N115" s="95"/>
      <c r="O115" s="66"/>
      <c r="P115" s="96"/>
      <c r="Q115" s="97"/>
      <c r="R115" s="58"/>
      <c r="S115" s="69"/>
      <c r="T115" s="70"/>
      <c r="U115" s="66"/>
      <c r="V115" s="55"/>
      <c r="W115" s="55"/>
      <c r="X115" s="277"/>
      <c r="Y115" s="92"/>
    </row>
    <row r="116" spans="1:25" s="99" customFormat="1" ht="65.099999999999994" customHeight="1">
      <c r="A116" s="89"/>
      <c r="B116" s="89"/>
      <c r="C116" s="90"/>
      <c r="D116" s="91"/>
      <c r="E116" s="92"/>
      <c r="F116" s="92"/>
      <c r="G116" s="92"/>
      <c r="H116" s="92"/>
      <c r="I116" s="92"/>
      <c r="J116" s="92"/>
      <c r="K116" s="93"/>
      <c r="L116" s="94"/>
      <c r="M116" s="94"/>
      <c r="N116" s="95"/>
      <c r="O116" s="66"/>
      <c r="P116" s="96"/>
      <c r="Q116" s="97"/>
      <c r="R116" s="58"/>
      <c r="S116" s="69"/>
      <c r="T116" s="70"/>
      <c r="U116" s="66"/>
      <c r="V116" s="55"/>
      <c r="W116" s="55"/>
      <c r="X116" s="277"/>
      <c r="Y116" s="92"/>
    </row>
    <row r="117" spans="1:25" s="99" customFormat="1" ht="65.099999999999994" customHeight="1">
      <c r="A117" s="89"/>
      <c r="B117" s="89"/>
      <c r="C117" s="90"/>
      <c r="D117" s="91"/>
      <c r="E117" s="92"/>
      <c r="F117" s="92"/>
      <c r="G117" s="92"/>
      <c r="H117" s="92"/>
      <c r="I117" s="92"/>
      <c r="J117" s="92"/>
      <c r="K117" s="93"/>
      <c r="L117" s="94"/>
      <c r="M117" s="94"/>
      <c r="N117" s="95"/>
      <c r="O117" s="66"/>
      <c r="P117" s="96"/>
      <c r="Q117" s="97"/>
      <c r="R117" s="58"/>
      <c r="S117" s="69"/>
      <c r="T117" s="70"/>
      <c r="U117" s="66"/>
      <c r="V117" s="55"/>
      <c r="W117" s="55"/>
      <c r="X117" s="277"/>
      <c r="Y117" s="92"/>
    </row>
    <row r="118" spans="1:25" s="99" customFormat="1" ht="65.099999999999994" customHeight="1">
      <c r="A118" s="89"/>
      <c r="B118" s="89"/>
      <c r="C118" s="90"/>
      <c r="D118" s="91"/>
      <c r="E118" s="92"/>
      <c r="F118" s="92"/>
      <c r="G118" s="92"/>
      <c r="H118" s="92"/>
      <c r="I118" s="92"/>
      <c r="J118" s="92"/>
      <c r="K118" s="93"/>
      <c r="L118" s="94"/>
      <c r="M118" s="94"/>
      <c r="N118" s="95"/>
      <c r="O118" s="66"/>
      <c r="P118" s="96"/>
      <c r="Q118" s="97"/>
      <c r="R118" s="58"/>
      <c r="S118" s="69"/>
      <c r="T118" s="70"/>
      <c r="U118" s="66"/>
      <c r="V118" s="55"/>
      <c r="W118" s="55"/>
      <c r="X118" s="277"/>
      <c r="Y118" s="92"/>
    </row>
    <row r="119" spans="1:25" s="99" customFormat="1" ht="65.099999999999994" customHeight="1">
      <c r="A119" s="89"/>
      <c r="B119" s="89"/>
      <c r="C119" s="90"/>
      <c r="D119" s="91"/>
      <c r="E119" s="92"/>
      <c r="F119" s="92"/>
      <c r="G119" s="92"/>
      <c r="H119" s="92"/>
      <c r="I119" s="92"/>
      <c r="J119" s="92"/>
      <c r="K119" s="93"/>
      <c r="L119" s="94"/>
      <c r="M119" s="94"/>
      <c r="N119" s="95"/>
      <c r="O119" s="66"/>
      <c r="P119" s="96"/>
      <c r="Q119" s="97"/>
      <c r="R119" s="58"/>
      <c r="S119" s="69"/>
      <c r="T119" s="70"/>
      <c r="U119" s="66"/>
      <c r="V119" s="55"/>
      <c r="W119" s="55"/>
      <c r="X119" s="277"/>
      <c r="Y119" s="92"/>
    </row>
    <row r="120" spans="1:25" s="99" customFormat="1" ht="65.099999999999994" customHeight="1">
      <c r="A120" s="89"/>
      <c r="B120" s="89"/>
      <c r="C120" s="90"/>
      <c r="D120" s="91"/>
      <c r="E120" s="92"/>
      <c r="F120" s="92"/>
      <c r="G120" s="92"/>
      <c r="H120" s="92"/>
      <c r="I120" s="92"/>
      <c r="J120" s="92"/>
      <c r="K120" s="93"/>
      <c r="L120" s="94"/>
      <c r="M120" s="94"/>
      <c r="N120" s="95"/>
      <c r="O120" s="66"/>
      <c r="P120" s="96"/>
      <c r="Q120" s="97"/>
      <c r="R120" s="58"/>
      <c r="S120" s="69"/>
      <c r="T120" s="70"/>
      <c r="U120" s="66"/>
      <c r="V120" s="55"/>
      <c r="W120" s="55"/>
      <c r="X120" s="277"/>
      <c r="Y120" s="92"/>
    </row>
    <row r="121" spans="1:25" s="99" customFormat="1" ht="65.099999999999994" customHeight="1">
      <c r="A121" s="89"/>
      <c r="B121" s="89"/>
      <c r="C121" s="90"/>
      <c r="D121" s="91"/>
      <c r="E121" s="92"/>
      <c r="F121" s="92"/>
      <c r="G121" s="92"/>
      <c r="H121" s="92"/>
      <c r="I121" s="92"/>
      <c r="J121" s="92"/>
      <c r="K121" s="93"/>
      <c r="L121" s="94"/>
      <c r="M121" s="94"/>
      <c r="N121" s="95"/>
      <c r="O121" s="66"/>
      <c r="P121" s="96"/>
      <c r="Q121" s="97"/>
      <c r="R121" s="58"/>
      <c r="S121" s="69"/>
      <c r="T121" s="70"/>
      <c r="U121" s="66"/>
      <c r="V121" s="55"/>
      <c r="W121" s="55"/>
      <c r="X121" s="277"/>
      <c r="Y121" s="92"/>
    </row>
    <row r="122" spans="1:25" s="99" customFormat="1" ht="65.099999999999994" customHeight="1">
      <c r="A122" s="89"/>
      <c r="B122" s="89"/>
      <c r="C122" s="90"/>
      <c r="D122" s="91"/>
      <c r="E122" s="92"/>
      <c r="F122" s="92"/>
      <c r="G122" s="92"/>
      <c r="H122" s="92"/>
      <c r="I122" s="92"/>
      <c r="J122" s="92"/>
      <c r="K122" s="93"/>
      <c r="L122" s="94"/>
      <c r="M122" s="94"/>
      <c r="N122" s="95"/>
      <c r="O122" s="66"/>
      <c r="P122" s="96"/>
      <c r="Q122" s="97"/>
      <c r="R122" s="58"/>
      <c r="S122" s="69"/>
      <c r="T122" s="70"/>
      <c r="U122" s="66"/>
      <c r="V122" s="55"/>
      <c r="W122" s="55"/>
      <c r="X122" s="277"/>
      <c r="Y122" s="92"/>
    </row>
    <row r="123" spans="1:25" s="99" customFormat="1" ht="65.099999999999994" customHeight="1">
      <c r="A123" s="89"/>
      <c r="B123" s="89"/>
      <c r="C123" s="90"/>
      <c r="D123" s="91"/>
      <c r="E123" s="92"/>
      <c r="F123" s="92"/>
      <c r="G123" s="92"/>
      <c r="H123" s="92"/>
      <c r="I123" s="92"/>
      <c r="J123" s="92"/>
      <c r="K123" s="93"/>
      <c r="L123" s="94"/>
      <c r="M123" s="94"/>
      <c r="N123" s="95"/>
      <c r="O123" s="66"/>
      <c r="P123" s="96"/>
      <c r="Q123" s="97"/>
      <c r="R123" s="58"/>
      <c r="S123" s="69"/>
      <c r="T123" s="70"/>
      <c r="U123" s="66"/>
      <c r="V123" s="55"/>
      <c r="W123" s="55"/>
      <c r="X123" s="277"/>
      <c r="Y123" s="92"/>
    </row>
    <row r="124" spans="1:25" s="99" customFormat="1" ht="65.099999999999994" customHeight="1">
      <c r="A124" s="89"/>
      <c r="B124" s="89"/>
      <c r="C124" s="90"/>
      <c r="D124" s="91"/>
      <c r="E124" s="92"/>
      <c r="F124" s="92"/>
      <c r="G124" s="92"/>
      <c r="H124" s="92"/>
      <c r="I124" s="92"/>
      <c r="J124" s="92"/>
      <c r="K124" s="93"/>
      <c r="L124" s="94"/>
      <c r="M124" s="94"/>
      <c r="N124" s="95"/>
      <c r="O124" s="66"/>
      <c r="P124" s="96"/>
      <c r="Q124" s="97"/>
      <c r="R124" s="58"/>
      <c r="S124" s="69"/>
      <c r="T124" s="70"/>
      <c r="U124" s="66"/>
      <c r="V124" s="55"/>
      <c r="W124" s="55"/>
      <c r="X124" s="277"/>
      <c r="Y124" s="92"/>
    </row>
    <row r="125" spans="1:25" s="99" customFormat="1" ht="65.099999999999994" customHeight="1">
      <c r="A125" s="89"/>
      <c r="B125" s="89"/>
      <c r="C125" s="90"/>
      <c r="D125" s="91"/>
      <c r="E125" s="92"/>
      <c r="F125" s="92"/>
      <c r="G125" s="92"/>
      <c r="H125" s="92"/>
      <c r="I125" s="92"/>
      <c r="J125" s="92"/>
      <c r="K125" s="93"/>
      <c r="L125" s="94"/>
      <c r="M125" s="94"/>
      <c r="N125" s="95"/>
      <c r="O125" s="66"/>
      <c r="P125" s="96"/>
      <c r="Q125" s="97"/>
      <c r="R125" s="58"/>
      <c r="S125" s="69"/>
      <c r="T125" s="70"/>
      <c r="U125" s="66"/>
      <c r="V125" s="55"/>
      <c r="W125" s="55"/>
      <c r="X125" s="277"/>
      <c r="Y125" s="92"/>
    </row>
    <row r="126" spans="1:25" s="99" customFormat="1" ht="65.099999999999994" customHeight="1">
      <c r="A126" s="89"/>
      <c r="B126" s="89"/>
      <c r="C126" s="90"/>
      <c r="D126" s="91"/>
      <c r="E126" s="92"/>
      <c r="F126" s="92"/>
      <c r="G126" s="92"/>
      <c r="H126" s="92"/>
      <c r="I126" s="92"/>
      <c r="J126" s="92"/>
      <c r="K126" s="93"/>
      <c r="L126" s="94"/>
      <c r="M126" s="94"/>
      <c r="N126" s="95"/>
      <c r="O126" s="66"/>
      <c r="P126" s="96"/>
      <c r="Q126" s="97"/>
      <c r="R126" s="58"/>
      <c r="S126" s="69"/>
      <c r="T126" s="70"/>
      <c r="U126" s="66"/>
      <c r="V126" s="55"/>
      <c r="W126" s="55"/>
      <c r="X126" s="277"/>
      <c r="Y126" s="92"/>
    </row>
    <row r="127" spans="1:25" s="99" customFormat="1" ht="65.099999999999994" customHeight="1">
      <c r="A127" s="89"/>
      <c r="B127" s="89"/>
      <c r="C127" s="90"/>
      <c r="D127" s="91"/>
      <c r="E127" s="92"/>
      <c r="F127" s="92"/>
      <c r="G127" s="92"/>
      <c r="H127" s="92"/>
      <c r="I127" s="92"/>
      <c r="J127" s="92"/>
      <c r="K127" s="93"/>
      <c r="L127" s="94"/>
      <c r="M127" s="94"/>
      <c r="N127" s="95"/>
      <c r="O127" s="66"/>
      <c r="P127" s="96"/>
      <c r="Q127" s="97"/>
      <c r="R127" s="58"/>
      <c r="S127" s="69"/>
      <c r="T127" s="70"/>
      <c r="U127" s="66"/>
      <c r="V127" s="55"/>
      <c r="W127" s="55"/>
      <c r="X127" s="277"/>
      <c r="Y127" s="92"/>
    </row>
    <row r="128" spans="1:25" s="99" customFormat="1" ht="65.099999999999994" customHeight="1">
      <c r="A128" s="89"/>
      <c r="B128" s="89"/>
      <c r="C128" s="90"/>
      <c r="D128" s="91"/>
      <c r="E128" s="92"/>
      <c r="F128" s="92"/>
      <c r="G128" s="92"/>
      <c r="H128" s="92"/>
      <c r="I128" s="92"/>
      <c r="J128" s="92"/>
      <c r="K128" s="93"/>
      <c r="L128" s="94"/>
      <c r="M128" s="94"/>
      <c r="N128" s="95"/>
      <c r="O128" s="66"/>
      <c r="P128" s="96"/>
      <c r="Q128" s="97"/>
      <c r="R128" s="58"/>
      <c r="S128" s="69"/>
      <c r="T128" s="70"/>
      <c r="U128" s="66"/>
      <c r="V128" s="55"/>
      <c r="W128" s="55"/>
      <c r="X128" s="277"/>
      <c r="Y128" s="92"/>
    </row>
    <row r="129" spans="1:25" s="99" customFormat="1" ht="65.099999999999994" customHeight="1">
      <c r="A129" s="89"/>
      <c r="B129" s="89"/>
      <c r="C129" s="90"/>
      <c r="D129" s="91"/>
      <c r="E129" s="92"/>
      <c r="F129" s="92"/>
      <c r="G129" s="92"/>
      <c r="H129" s="92"/>
      <c r="I129" s="92"/>
      <c r="J129" s="92"/>
      <c r="K129" s="93"/>
      <c r="L129" s="94"/>
      <c r="M129" s="94"/>
      <c r="N129" s="95"/>
      <c r="O129" s="66"/>
      <c r="P129" s="96"/>
      <c r="Q129" s="97"/>
      <c r="R129" s="58"/>
      <c r="S129" s="69"/>
      <c r="T129" s="70"/>
      <c r="U129" s="66"/>
      <c r="V129" s="55"/>
      <c r="W129" s="55"/>
      <c r="X129" s="277"/>
      <c r="Y129" s="92"/>
    </row>
    <row r="130" spans="1:25" s="99" customFormat="1" ht="65.099999999999994" customHeight="1">
      <c r="A130" s="89"/>
      <c r="B130" s="89"/>
      <c r="C130" s="90"/>
      <c r="D130" s="91"/>
      <c r="E130" s="92"/>
      <c r="F130" s="92"/>
      <c r="G130" s="92"/>
      <c r="H130" s="92"/>
      <c r="I130" s="92"/>
      <c r="J130" s="92"/>
      <c r="K130" s="93"/>
      <c r="L130" s="94"/>
      <c r="M130" s="94"/>
      <c r="N130" s="95"/>
      <c r="O130" s="66"/>
      <c r="P130" s="96"/>
      <c r="Q130" s="97"/>
      <c r="R130" s="58"/>
      <c r="S130" s="69"/>
      <c r="T130" s="70"/>
      <c r="U130" s="66"/>
      <c r="V130" s="55"/>
      <c r="W130" s="55"/>
      <c r="X130" s="277"/>
      <c r="Y130" s="92"/>
    </row>
    <row r="131" spans="1:25" s="99" customFormat="1" ht="65.099999999999994" customHeight="1">
      <c r="A131" s="89"/>
      <c r="B131" s="89"/>
      <c r="C131" s="90"/>
      <c r="D131" s="91"/>
      <c r="E131" s="92"/>
      <c r="F131" s="92"/>
      <c r="G131" s="92"/>
      <c r="H131" s="92"/>
      <c r="I131" s="92"/>
      <c r="J131" s="92"/>
      <c r="K131" s="93"/>
      <c r="L131" s="94"/>
      <c r="M131" s="94"/>
      <c r="N131" s="95"/>
      <c r="O131" s="66"/>
      <c r="P131" s="96"/>
      <c r="Q131" s="97"/>
      <c r="R131" s="58"/>
      <c r="S131" s="69"/>
      <c r="T131" s="70"/>
      <c r="U131" s="66"/>
      <c r="V131" s="55"/>
      <c r="W131" s="55"/>
      <c r="X131" s="277"/>
      <c r="Y131" s="92"/>
    </row>
    <row r="132" spans="1:25" s="99" customFormat="1" ht="65.099999999999994" customHeight="1">
      <c r="A132" s="89"/>
      <c r="B132" s="89"/>
      <c r="C132" s="90"/>
      <c r="D132" s="91"/>
      <c r="E132" s="92"/>
      <c r="F132" s="92"/>
      <c r="G132" s="92"/>
      <c r="H132" s="92"/>
      <c r="I132" s="92"/>
      <c r="J132" s="92"/>
      <c r="K132" s="93"/>
      <c r="L132" s="94"/>
      <c r="M132" s="94"/>
      <c r="N132" s="95"/>
      <c r="O132" s="66"/>
      <c r="P132" s="96"/>
      <c r="Q132" s="97"/>
      <c r="R132" s="58"/>
      <c r="S132" s="69"/>
      <c r="T132" s="70"/>
      <c r="U132" s="66"/>
      <c r="V132" s="55"/>
      <c r="W132" s="55"/>
      <c r="X132" s="277"/>
      <c r="Y132" s="92"/>
    </row>
    <row r="133" spans="1:25" s="99" customFormat="1" ht="65.099999999999994" customHeight="1">
      <c r="A133" s="89"/>
      <c r="B133" s="89"/>
      <c r="C133" s="90"/>
      <c r="D133" s="91"/>
      <c r="E133" s="92"/>
      <c r="F133" s="92"/>
      <c r="G133" s="92"/>
      <c r="H133" s="92"/>
      <c r="I133" s="92"/>
      <c r="J133" s="92"/>
      <c r="K133" s="93"/>
      <c r="L133" s="94"/>
      <c r="M133" s="94"/>
      <c r="N133" s="95"/>
      <c r="O133" s="66"/>
      <c r="P133" s="96"/>
      <c r="Q133" s="97"/>
      <c r="R133" s="58"/>
      <c r="S133" s="69"/>
      <c r="T133" s="70"/>
      <c r="U133" s="66"/>
      <c r="V133" s="55"/>
      <c r="W133" s="55"/>
      <c r="X133" s="277"/>
      <c r="Y133" s="92"/>
    </row>
    <row r="134" spans="1:25" s="99" customFormat="1" ht="65.099999999999994" customHeight="1">
      <c r="A134" s="89"/>
      <c r="B134" s="89"/>
      <c r="C134" s="90"/>
      <c r="D134" s="91"/>
      <c r="E134" s="92"/>
      <c r="F134" s="92"/>
      <c r="G134" s="92"/>
      <c r="H134" s="92"/>
      <c r="I134" s="92"/>
      <c r="J134" s="92"/>
      <c r="K134" s="93"/>
      <c r="L134" s="94"/>
      <c r="M134" s="94"/>
      <c r="N134" s="95"/>
      <c r="O134" s="66"/>
      <c r="P134" s="96"/>
      <c r="Q134" s="97"/>
      <c r="R134" s="58"/>
      <c r="S134" s="69"/>
      <c r="T134" s="70"/>
      <c r="U134" s="66"/>
      <c r="V134" s="55"/>
      <c r="W134" s="55"/>
      <c r="X134" s="277"/>
      <c r="Y134" s="92"/>
    </row>
    <row r="135" spans="1:25" s="99" customFormat="1" ht="65.099999999999994" customHeight="1">
      <c r="A135" s="89"/>
      <c r="B135" s="89"/>
      <c r="C135" s="90"/>
      <c r="D135" s="91"/>
      <c r="E135" s="92"/>
      <c r="F135" s="92"/>
      <c r="G135" s="92"/>
      <c r="H135" s="92"/>
      <c r="I135" s="92"/>
      <c r="J135" s="92"/>
      <c r="K135" s="93"/>
      <c r="L135" s="94"/>
      <c r="M135" s="94"/>
      <c r="N135" s="95"/>
      <c r="O135" s="66"/>
      <c r="P135" s="96"/>
      <c r="Q135" s="97"/>
      <c r="R135" s="58"/>
      <c r="S135" s="69"/>
      <c r="T135" s="70"/>
      <c r="U135" s="66"/>
      <c r="V135" s="55"/>
      <c r="W135" s="55"/>
      <c r="X135" s="277"/>
      <c r="Y135" s="92"/>
    </row>
    <row r="136" spans="1:25" s="99" customFormat="1" ht="65.099999999999994" customHeight="1">
      <c r="A136" s="89"/>
      <c r="B136" s="89"/>
      <c r="C136" s="90"/>
      <c r="D136" s="91"/>
      <c r="E136" s="92"/>
      <c r="F136" s="92"/>
      <c r="G136" s="92"/>
      <c r="H136" s="92"/>
      <c r="I136" s="92"/>
      <c r="J136" s="92"/>
      <c r="K136" s="93"/>
      <c r="L136" s="94"/>
      <c r="M136" s="94"/>
      <c r="N136" s="95"/>
      <c r="O136" s="66"/>
      <c r="P136" s="96"/>
      <c r="Q136" s="97"/>
      <c r="R136" s="58"/>
      <c r="S136" s="69"/>
      <c r="T136" s="70"/>
      <c r="U136" s="66"/>
      <c r="V136" s="55"/>
      <c r="W136" s="55"/>
      <c r="X136" s="277"/>
      <c r="Y136" s="92"/>
    </row>
    <row r="137" spans="1:25" s="99" customFormat="1" ht="65.099999999999994" customHeight="1">
      <c r="A137" s="89"/>
      <c r="B137" s="89"/>
      <c r="C137" s="90"/>
      <c r="D137" s="91"/>
      <c r="E137" s="92"/>
      <c r="F137" s="92"/>
      <c r="G137" s="92"/>
      <c r="H137" s="92"/>
      <c r="I137" s="92"/>
      <c r="J137" s="92"/>
      <c r="K137" s="93"/>
      <c r="L137" s="94"/>
      <c r="M137" s="94"/>
      <c r="N137" s="95"/>
      <c r="O137" s="66"/>
      <c r="P137" s="96"/>
      <c r="Q137" s="97"/>
      <c r="R137" s="58"/>
      <c r="S137" s="69"/>
      <c r="T137" s="70"/>
      <c r="U137" s="66"/>
      <c r="V137" s="55"/>
      <c r="W137" s="55"/>
      <c r="X137" s="277"/>
      <c r="Y137" s="92"/>
    </row>
    <row r="138" spans="1:25" s="99" customFormat="1" ht="65.099999999999994" customHeight="1">
      <c r="A138" s="89"/>
      <c r="B138" s="89"/>
      <c r="C138" s="90"/>
      <c r="D138" s="91"/>
      <c r="E138" s="92"/>
      <c r="F138" s="92"/>
      <c r="G138" s="92"/>
      <c r="H138" s="92"/>
      <c r="I138" s="92"/>
      <c r="J138" s="92"/>
      <c r="K138" s="93"/>
      <c r="L138" s="94"/>
      <c r="M138" s="94"/>
      <c r="N138" s="95"/>
      <c r="O138" s="66"/>
      <c r="P138" s="96"/>
      <c r="Q138" s="97"/>
      <c r="R138" s="58"/>
      <c r="S138" s="69"/>
      <c r="T138" s="70"/>
      <c r="U138" s="66"/>
      <c r="V138" s="55"/>
      <c r="W138" s="55"/>
      <c r="X138" s="277"/>
      <c r="Y138" s="92"/>
    </row>
    <row r="139" spans="1:25" s="99" customFormat="1" ht="65.099999999999994" customHeight="1">
      <c r="A139" s="89"/>
      <c r="B139" s="89"/>
      <c r="C139" s="90"/>
      <c r="D139" s="91"/>
      <c r="E139" s="92"/>
      <c r="F139" s="92"/>
      <c r="G139" s="92"/>
      <c r="H139" s="92"/>
      <c r="I139" s="92"/>
      <c r="J139" s="92"/>
      <c r="K139" s="93"/>
      <c r="L139" s="94"/>
      <c r="M139" s="94"/>
      <c r="N139" s="95"/>
      <c r="O139" s="66"/>
      <c r="P139" s="96"/>
      <c r="Q139" s="97"/>
      <c r="R139" s="58"/>
      <c r="S139" s="69"/>
      <c r="T139" s="70"/>
      <c r="U139" s="66"/>
      <c r="V139" s="55"/>
      <c r="W139" s="55"/>
      <c r="X139" s="277"/>
      <c r="Y139" s="92"/>
    </row>
    <row r="140" spans="1:25" s="99" customFormat="1" ht="65.099999999999994" customHeight="1">
      <c r="A140" s="89"/>
      <c r="B140" s="89"/>
      <c r="C140" s="90"/>
      <c r="D140" s="91"/>
      <c r="E140" s="92"/>
      <c r="F140" s="92"/>
      <c r="G140" s="92"/>
      <c r="H140" s="92"/>
      <c r="I140" s="92"/>
      <c r="J140" s="92"/>
      <c r="K140" s="93"/>
      <c r="L140" s="94"/>
      <c r="M140" s="94"/>
      <c r="N140" s="95"/>
      <c r="O140" s="66"/>
      <c r="P140" s="96"/>
      <c r="Q140" s="97"/>
      <c r="R140" s="58"/>
      <c r="S140" s="69"/>
      <c r="T140" s="70"/>
      <c r="U140" s="66"/>
      <c r="V140" s="55"/>
      <c r="W140" s="55"/>
      <c r="X140" s="277"/>
      <c r="Y140" s="92"/>
    </row>
    <row r="141" spans="1:25" s="99" customFormat="1" ht="65.099999999999994" customHeight="1">
      <c r="A141" s="89"/>
      <c r="B141" s="89"/>
      <c r="C141" s="90"/>
      <c r="D141" s="91"/>
      <c r="E141" s="92"/>
      <c r="F141" s="92"/>
      <c r="G141" s="92"/>
      <c r="H141" s="92"/>
      <c r="I141" s="92"/>
      <c r="J141" s="92"/>
      <c r="K141" s="93"/>
      <c r="L141" s="94"/>
      <c r="M141" s="94"/>
      <c r="N141" s="95"/>
      <c r="O141" s="66"/>
      <c r="P141" s="96"/>
      <c r="Q141" s="97"/>
      <c r="R141" s="58"/>
      <c r="S141" s="69"/>
      <c r="T141" s="70"/>
      <c r="U141" s="66"/>
      <c r="V141" s="55"/>
      <c r="W141" s="55"/>
      <c r="X141" s="277"/>
      <c r="Y141" s="92"/>
    </row>
    <row r="142" spans="1:25" s="99" customFormat="1" ht="65.099999999999994" customHeight="1">
      <c r="A142" s="89"/>
      <c r="B142" s="89"/>
      <c r="C142" s="90"/>
      <c r="D142" s="91"/>
      <c r="E142" s="92"/>
      <c r="F142" s="92"/>
      <c r="G142" s="92"/>
      <c r="H142" s="92"/>
      <c r="I142" s="92"/>
      <c r="J142" s="92"/>
      <c r="K142" s="93"/>
      <c r="L142" s="94"/>
      <c r="M142" s="94"/>
      <c r="N142" s="95"/>
      <c r="O142" s="66"/>
      <c r="P142" s="96"/>
      <c r="Q142" s="97"/>
      <c r="R142" s="58"/>
      <c r="S142" s="69"/>
      <c r="T142" s="70"/>
      <c r="U142" s="66"/>
      <c r="V142" s="55"/>
      <c r="W142" s="55"/>
      <c r="X142" s="277"/>
      <c r="Y142" s="92"/>
    </row>
    <row r="143" spans="1:25" s="99" customFormat="1" ht="65.099999999999994" customHeight="1">
      <c r="A143" s="89"/>
      <c r="B143" s="89"/>
      <c r="C143" s="90"/>
      <c r="D143" s="91"/>
      <c r="E143" s="92"/>
      <c r="F143" s="92"/>
      <c r="G143" s="92"/>
      <c r="H143" s="92"/>
      <c r="I143" s="92"/>
      <c r="J143" s="92"/>
      <c r="K143" s="93"/>
      <c r="L143" s="94"/>
      <c r="M143" s="94"/>
      <c r="N143" s="95"/>
      <c r="O143" s="66"/>
      <c r="P143" s="96"/>
      <c r="Q143" s="97"/>
      <c r="R143" s="58"/>
      <c r="S143" s="69"/>
      <c r="T143" s="70"/>
      <c r="U143" s="66"/>
      <c r="V143" s="55"/>
      <c r="W143" s="55"/>
      <c r="X143" s="277"/>
      <c r="Y143" s="92"/>
    </row>
    <row r="144" spans="1:25" s="99" customFormat="1" ht="65.099999999999994" customHeight="1">
      <c r="A144" s="89"/>
      <c r="B144" s="89"/>
      <c r="C144" s="90"/>
      <c r="D144" s="91"/>
      <c r="E144" s="92"/>
      <c r="F144" s="92"/>
      <c r="G144" s="92"/>
      <c r="H144" s="92"/>
      <c r="I144" s="92"/>
      <c r="J144" s="92"/>
      <c r="K144" s="93"/>
      <c r="L144" s="94"/>
      <c r="M144" s="94"/>
      <c r="N144" s="95"/>
      <c r="O144" s="66"/>
      <c r="P144" s="96"/>
      <c r="Q144" s="97"/>
      <c r="R144" s="58"/>
      <c r="S144" s="69"/>
      <c r="T144" s="70"/>
      <c r="U144" s="66"/>
      <c r="V144" s="55"/>
      <c r="W144" s="55"/>
      <c r="X144" s="277"/>
      <c r="Y144" s="92"/>
    </row>
    <row r="145" spans="1:25" s="99" customFormat="1" ht="65.099999999999994" customHeight="1">
      <c r="A145" s="89"/>
      <c r="B145" s="89"/>
      <c r="C145" s="90"/>
      <c r="D145" s="91"/>
      <c r="E145" s="92"/>
      <c r="F145" s="92"/>
      <c r="G145" s="92"/>
      <c r="H145" s="92"/>
      <c r="I145" s="92"/>
      <c r="J145" s="92"/>
      <c r="K145" s="93"/>
      <c r="L145" s="94"/>
      <c r="M145" s="94"/>
      <c r="N145" s="95"/>
      <c r="O145" s="66"/>
      <c r="P145" s="96"/>
      <c r="Q145" s="97"/>
      <c r="R145" s="58"/>
      <c r="S145" s="69"/>
      <c r="T145" s="70"/>
      <c r="U145" s="66"/>
      <c r="V145" s="55"/>
      <c r="W145" s="55"/>
      <c r="X145" s="277"/>
      <c r="Y145" s="92"/>
    </row>
    <row r="146" spans="1:25" s="99" customFormat="1" ht="65.099999999999994" customHeight="1">
      <c r="A146" s="89"/>
      <c r="B146" s="89"/>
      <c r="C146" s="90"/>
      <c r="D146" s="91"/>
      <c r="E146" s="92"/>
      <c r="F146" s="92"/>
      <c r="G146" s="92"/>
      <c r="H146" s="92"/>
      <c r="I146" s="92"/>
      <c r="J146" s="92"/>
      <c r="K146" s="93"/>
      <c r="L146" s="94"/>
      <c r="M146" s="94"/>
      <c r="N146" s="95"/>
      <c r="O146" s="66"/>
      <c r="P146" s="96"/>
      <c r="Q146" s="97"/>
      <c r="R146" s="58"/>
      <c r="S146" s="69"/>
      <c r="T146" s="70"/>
      <c r="U146" s="66"/>
      <c r="V146" s="55"/>
      <c r="W146" s="55"/>
      <c r="X146" s="277"/>
      <c r="Y146" s="92"/>
    </row>
    <row r="147" spans="1:25" s="99" customFormat="1" ht="65.099999999999994" customHeight="1">
      <c r="A147" s="89"/>
      <c r="B147" s="89"/>
      <c r="C147" s="90"/>
      <c r="D147" s="91"/>
      <c r="E147" s="92"/>
      <c r="F147" s="92"/>
      <c r="G147" s="92"/>
      <c r="H147" s="92"/>
      <c r="I147" s="92"/>
      <c r="J147" s="92"/>
      <c r="K147" s="93"/>
      <c r="L147" s="94"/>
      <c r="M147" s="94"/>
      <c r="N147" s="95"/>
      <c r="O147" s="66"/>
      <c r="P147" s="96"/>
      <c r="Q147" s="97"/>
      <c r="R147" s="58"/>
      <c r="S147" s="69"/>
      <c r="T147" s="70"/>
      <c r="U147" s="66"/>
      <c r="V147" s="55"/>
      <c r="W147" s="55"/>
      <c r="X147" s="277"/>
      <c r="Y147" s="92"/>
    </row>
    <row r="148" spans="1:25" s="99" customFormat="1" ht="65.099999999999994" customHeight="1">
      <c r="A148" s="89"/>
      <c r="B148" s="89"/>
      <c r="C148" s="90"/>
      <c r="D148" s="91"/>
      <c r="E148" s="92"/>
      <c r="F148" s="92"/>
      <c r="G148" s="92"/>
      <c r="H148" s="92"/>
      <c r="I148" s="92"/>
      <c r="J148" s="92"/>
      <c r="K148" s="93"/>
      <c r="L148" s="94"/>
      <c r="M148" s="94"/>
      <c r="N148" s="95"/>
      <c r="O148" s="66"/>
      <c r="P148" s="96"/>
      <c r="Q148" s="97"/>
      <c r="R148" s="58"/>
      <c r="S148" s="69"/>
      <c r="T148" s="70"/>
      <c r="U148" s="66"/>
      <c r="V148" s="55"/>
      <c r="W148" s="55"/>
      <c r="X148" s="277"/>
      <c r="Y148" s="92"/>
    </row>
    <row r="149" spans="1:25" s="99" customFormat="1" ht="65.099999999999994" customHeight="1">
      <c r="A149" s="89"/>
      <c r="B149" s="89"/>
      <c r="C149" s="90"/>
      <c r="D149" s="91"/>
      <c r="E149" s="92"/>
      <c r="F149" s="92"/>
      <c r="G149" s="92"/>
      <c r="H149" s="92"/>
      <c r="I149" s="92"/>
      <c r="J149" s="92"/>
      <c r="K149" s="93"/>
      <c r="L149" s="94"/>
      <c r="M149" s="94"/>
      <c r="N149" s="95"/>
      <c r="O149" s="66"/>
      <c r="P149" s="96"/>
      <c r="Q149" s="97"/>
      <c r="R149" s="58"/>
      <c r="S149" s="69"/>
      <c r="T149" s="70"/>
      <c r="U149" s="66"/>
      <c r="V149" s="55"/>
      <c r="W149" s="55"/>
      <c r="X149" s="277"/>
      <c r="Y149" s="92"/>
    </row>
    <row r="150" spans="1:25" s="99" customFormat="1" ht="65.099999999999994" customHeight="1">
      <c r="A150" s="89"/>
      <c r="B150" s="89"/>
      <c r="C150" s="90"/>
      <c r="D150" s="91"/>
      <c r="E150" s="92"/>
      <c r="F150" s="92"/>
      <c r="G150" s="92"/>
      <c r="H150" s="92"/>
      <c r="I150" s="92"/>
      <c r="J150" s="92"/>
      <c r="K150" s="93"/>
      <c r="L150" s="94"/>
      <c r="M150" s="94"/>
      <c r="N150" s="95"/>
      <c r="O150" s="66"/>
      <c r="P150" s="96"/>
      <c r="Q150" s="97"/>
      <c r="R150" s="58"/>
      <c r="S150" s="69"/>
      <c r="T150" s="70"/>
      <c r="U150" s="66"/>
      <c r="V150" s="55"/>
      <c r="W150" s="55"/>
      <c r="X150" s="277"/>
      <c r="Y150" s="92"/>
    </row>
    <row r="151" spans="1:25" s="99" customFormat="1" ht="65.099999999999994" customHeight="1">
      <c r="A151" s="89"/>
      <c r="B151" s="89"/>
      <c r="C151" s="90"/>
      <c r="D151" s="91"/>
      <c r="E151" s="92"/>
      <c r="F151" s="92"/>
      <c r="G151" s="92"/>
      <c r="H151" s="92"/>
      <c r="I151" s="92"/>
      <c r="J151" s="92"/>
      <c r="K151" s="93"/>
      <c r="L151" s="94"/>
      <c r="M151" s="94"/>
      <c r="N151" s="95"/>
      <c r="O151" s="66"/>
      <c r="P151" s="96"/>
      <c r="Q151" s="97"/>
      <c r="R151" s="58"/>
      <c r="S151" s="69"/>
      <c r="T151" s="70"/>
      <c r="U151" s="66"/>
      <c r="V151" s="55"/>
      <c r="W151" s="55"/>
      <c r="X151" s="277"/>
      <c r="Y151" s="92"/>
    </row>
    <row r="152" spans="1:25" s="99" customFormat="1" ht="65.099999999999994" customHeight="1">
      <c r="A152" s="89"/>
      <c r="B152" s="89"/>
      <c r="C152" s="90"/>
      <c r="D152" s="91"/>
      <c r="E152" s="92"/>
      <c r="F152" s="92"/>
      <c r="G152" s="92"/>
      <c r="H152" s="92"/>
      <c r="I152" s="92"/>
      <c r="J152" s="92"/>
      <c r="K152" s="93"/>
      <c r="L152" s="94"/>
      <c r="M152" s="94"/>
      <c r="N152" s="95"/>
      <c r="O152" s="66"/>
      <c r="P152" s="96"/>
      <c r="Q152" s="97"/>
      <c r="R152" s="58"/>
      <c r="S152" s="69"/>
      <c r="T152" s="70"/>
      <c r="U152" s="66"/>
      <c r="V152" s="55"/>
      <c r="W152" s="55"/>
      <c r="X152" s="277"/>
      <c r="Y152" s="92"/>
    </row>
    <row r="153" spans="1:25" s="99" customFormat="1" ht="65.099999999999994" customHeight="1">
      <c r="A153" s="89"/>
      <c r="B153" s="89"/>
      <c r="C153" s="90"/>
      <c r="D153" s="91"/>
      <c r="E153" s="92"/>
      <c r="F153" s="92"/>
      <c r="G153" s="92"/>
      <c r="H153" s="92"/>
      <c r="I153" s="92"/>
      <c r="J153" s="92"/>
      <c r="K153" s="93"/>
      <c r="L153" s="94"/>
      <c r="M153" s="94"/>
      <c r="N153" s="95"/>
      <c r="O153" s="66"/>
      <c r="P153" s="96"/>
      <c r="Q153" s="97"/>
      <c r="R153" s="58"/>
      <c r="S153" s="69"/>
      <c r="T153" s="70"/>
      <c r="U153" s="66"/>
      <c r="V153" s="55"/>
      <c r="W153" s="55"/>
      <c r="X153" s="277"/>
      <c r="Y153" s="92"/>
    </row>
    <row r="154" spans="1:25" s="99" customFormat="1" ht="65.099999999999994" customHeight="1">
      <c r="A154" s="89"/>
      <c r="B154" s="89"/>
      <c r="C154" s="90"/>
      <c r="D154" s="91"/>
      <c r="E154" s="92"/>
      <c r="F154" s="92"/>
      <c r="G154" s="92"/>
      <c r="H154" s="92"/>
      <c r="I154" s="92"/>
      <c r="J154" s="92"/>
      <c r="K154" s="93"/>
      <c r="L154" s="94"/>
      <c r="M154" s="94"/>
      <c r="N154" s="95"/>
      <c r="O154" s="66"/>
      <c r="P154" s="96"/>
      <c r="Q154" s="97"/>
      <c r="R154" s="58"/>
      <c r="S154" s="69"/>
      <c r="T154" s="70"/>
      <c r="U154" s="66"/>
      <c r="V154" s="55"/>
      <c r="W154" s="55"/>
      <c r="X154" s="277"/>
      <c r="Y154" s="92"/>
    </row>
    <row r="155" spans="1:25" s="99" customFormat="1" ht="65.099999999999994" customHeight="1">
      <c r="A155" s="89"/>
      <c r="B155" s="89"/>
      <c r="C155" s="90"/>
      <c r="D155" s="91"/>
      <c r="E155" s="92"/>
      <c r="F155" s="92"/>
      <c r="G155" s="92"/>
      <c r="H155" s="92"/>
      <c r="I155" s="92"/>
      <c r="J155" s="92"/>
      <c r="K155" s="93"/>
      <c r="L155" s="94"/>
      <c r="M155" s="94"/>
      <c r="N155" s="95"/>
      <c r="O155" s="66"/>
      <c r="P155" s="96"/>
      <c r="Q155" s="97"/>
      <c r="R155" s="58"/>
      <c r="S155" s="69"/>
      <c r="T155" s="70"/>
      <c r="U155" s="66"/>
      <c r="V155" s="55"/>
      <c r="W155" s="55"/>
      <c r="X155" s="277"/>
      <c r="Y155" s="92"/>
    </row>
    <row r="156" spans="1:25" s="99" customFormat="1" ht="65.099999999999994" customHeight="1">
      <c r="A156" s="89"/>
      <c r="B156" s="89"/>
      <c r="C156" s="90"/>
      <c r="D156" s="91"/>
      <c r="E156" s="92"/>
      <c r="F156" s="92"/>
      <c r="G156" s="92"/>
      <c r="H156" s="92"/>
      <c r="I156" s="92"/>
      <c r="J156" s="92"/>
      <c r="K156" s="93"/>
      <c r="L156" s="94"/>
      <c r="M156" s="94"/>
      <c r="N156" s="95"/>
      <c r="O156" s="66"/>
      <c r="P156" s="96"/>
      <c r="Q156" s="97"/>
      <c r="R156" s="58"/>
      <c r="S156" s="69"/>
      <c r="T156" s="70"/>
      <c r="U156" s="66"/>
      <c r="V156" s="55"/>
      <c r="W156" s="55"/>
      <c r="X156" s="277"/>
      <c r="Y156" s="92"/>
    </row>
    <row r="157" spans="1:25" s="99" customFormat="1" ht="65.099999999999994" customHeight="1">
      <c r="A157" s="89"/>
      <c r="B157" s="89"/>
      <c r="C157" s="90"/>
      <c r="D157" s="91"/>
      <c r="E157" s="92"/>
      <c r="F157" s="92"/>
      <c r="G157" s="92"/>
      <c r="H157" s="92"/>
      <c r="I157" s="92"/>
      <c r="J157" s="92"/>
      <c r="K157" s="93"/>
      <c r="L157" s="94"/>
      <c r="M157" s="94"/>
      <c r="N157" s="95"/>
      <c r="O157" s="66"/>
      <c r="P157" s="96"/>
      <c r="Q157" s="97"/>
      <c r="R157" s="58"/>
      <c r="S157" s="69"/>
      <c r="T157" s="70"/>
      <c r="U157" s="66"/>
      <c r="V157" s="55"/>
      <c r="W157" s="55"/>
      <c r="X157" s="277"/>
      <c r="Y157" s="92"/>
    </row>
    <row r="158" spans="1:25" s="99" customFormat="1" ht="65.099999999999994" customHeight="1">
      <c r="A158" s="89"/>
      <c r="B158" s="89"/>
      <c r="C158" s="90"/>
      <c r="D158" s="91"/>
      <c r="E158" s="92"/>
      <c r="F158" s="92"/>
      <c r="G158" s="92"/>
      <c r="H158" s="92"/>
      <c r="I158" s="92"/>
      <c r="J158" s="92"/>
      <c r="K158" s="93"/>
      <c r="L158" s="94"/>
      <c r="M158" s="94"/>
      <c r="N158" s="95"/>
      <c r="O158" s="66"/>
      <c r="P158" s="96"/>
      <c r="Q158" s="97"/>
      <c r="R158" s="58"/>
      <c r="S158" s="69"/>
      <c r="T158" s="70"/>
      <c r="U158" s="66"/>
      <c r="V158" s="55"/>
      <c r="W158" s="55"/>
      <c r="X158" s="277"/>
      <c r="Y158" s="92"/>
    </row>
    <row r="159" spans="1:25" s="99" customFormat="1" ht="65.099999999999994" customHeight="1">
      <c r="A159" s="89"/>
      <c r="B159" s="89"/>
      <c r="C159" s="90"/>
      <c r="D159" s="91"/>
      <c r="E159" s="92"/>
      <c r="F159" s="92"/>
      <c r="G159" s="92"/>
      <c r="H159" s="92"/>
      <c r="I159" s="92"/>
      <c r="J159" s="92"/>
      <c r="K159" s="93"/>
      <c r="L159" s="94"/>
      <c r="M159" s="94"/>
      <c r="N159" s="95"/>
      <c r="O159" s="66"/>
      <c r="P159" s="96"/>
      <c r="Q159" s="97"/>
      <c r="R159" s="58"/>
      <c r="S159" s="69"/>
      <c r="T159" s="70"/>
      <c r="U159" s="66"/>
      <c r="V159" s="55"/>
      <c r="W159" s="55"/>
      <c r="X159" s="277"/>
      <c r="Y159" s="92"/>
    </row>
    <row r="160" spans="1:25" s="99" customFormat="1" ht="65.099999999999994" customHeight="1">
      <c r="A160" s="89"/>
      <c r="B160" s="89"/>
      <c r="C160" s="90"/>
      <c r="D160" s="91"/>
      <c r="E160" s="92"/>
      <c r="F160" s="92"/>
      <c r="G160" s="92"/>
      <c r="H160" s="92"/>
      <c r="I160" s="92"/>
      <c r="J160" s="92"/>
      <c r="K160" s="93"/>
      <c r="L160" s="94"/>
      <c r="M160" s="94"/>
      <c r="N160" s="95"/>
      <c r="O160" s="66"/>
      <c r="P160" s="96"/>
      <c r="Q160" s="97"/>
      <c r="R160" s="58"/>
      <c r="S160" s="69"/>
      <c r="T160" s="70"/>
      <c r="U160" s="66"/>
      <c r="V160" s="55"/>
      <c r="W160" s="55"/>
      <c r="X160" s="277"/>
      <c r="Y160" s="92"/>
    </row>
    <row r="161" spans="1:25" s="99" customFormat="1" ht="65.099999999999994" customHeight="1">
      <c r="A161" s="89"/>
      <c r="B161" s="89"/>
      <c r="C161" s="90"/>
      <c r="D161" s="91"/>
      <c r="E161" s="92"/>
      <c r="F161" s="92"/>
      <c r="G161" s="92"/>
      <c r="H161" s="92"/>
      <c r="I161" s="92"/>
      <c r="J161" s="92"/>
      <c r="K161" s="93"/>
      <c r="L161" s="94"/>
      <c r="M161" s="94"/>
      <c r="N161" s="95"/>
      <c r="O161" s="66"/>
      <c r="P161" s="96"/>
      <c r="Q161" s="97"/>
      <c r="R161" s="58"/>
      <c r="S161" s="69"/>
      <c r="T161" s="70"/>
      <c r="U161" s="66"/>
      <c r="V161" s="55"/>
      <c r="W161" s="55"/>
      <c r="X161" s="277"/>
      <c r="Y161" s="92"/>
    </row>
    <row r="162" spans="1:25" s="99" customFormat="1" ht="65.099999999999994" customHeight="1">
      <c r="A162" s="89"/>
      <c r="B162" s="89"/>
      <c r="C162" s="90"/>
      <c r="D162" s="91"/>
      <c r="E162" s="92"/>
      <c r="F162" s="92"/>
      <c r="G162" s="92"/>
      <c r="H162" s="92"/>
      <c r="I162" s="92"/>
      <c r="J162" s="92"/>
      <c r="K162" s="93"/>
      <c r="L162" s="94"/>
      <c r="M162" s="94"/>
      <c r="N162" s="95"/>
      <c r="O162" s="66"/>
      <c r="P162" s="96"/>
      <c r="Q162" s="97"/>
      <c r="R162" s="58"/>
      <c r="S162" s="69"/>
      <c r="T162" s="70"/>
      <c r="U162" s="66"/>
      <c r="V162" s="55"/>
      <c r="W162" s="55"/>
      <c r="X162" s="277"/>
      <c r="Y162" s="92"/>
    </row>
    <row r="163" spans="1:25" s="99" customFormat="1" ht="65.099999999999994" customHeight="1">
      <c r="A163" s="89"/>
      <c r="B163" s="89"/>
      <c r="C163" s="90"/>
      <c r="D163" s="91"/>
      <c r="E163" s="92"/>
      <c r="F163" s="92"/>
      <c r="G163" s="92"/>
      <c r="H163" s="92"/>
      <c r="I163" s="92"/>
      <c r="J163" s="92"/>
      <c r="K163" s="93"/>
      <c r="L163" s="94"/>
      <c r="M163" s="94"/>
      <c r="N163" s="95"/>
      <c r="O163" s="66"/>
      <c r="P163" s="96"/>
      <c r="Q163" s="97"/>
      <c r="R163" s="58"/>
      <c r="S163" s="69"/>
      <c r="T163" s="70"/>
      <c r="U163" s="66"/>
      <c r="V163" s="55"/>
      <c r="W163" s="55"/>
      <c r="X163" s="277"/>
      <c r="Y163" s="92"/>
    </row>
    <row r="164" spans="1:25" s="99" customFormat="1" ht="65.099999999999994" customHeight="1">
      <c r="A164" s="89"/>
      <c r="B164" s="89"/>
      <c r="C164" s="90"/>
      <c r="D164" s="91"/>
      <c r="E164" s="92"/>
      <c r="F164" s="92"/>
      <c r="G164" s="92"/>
      <c r="H164" s="92"/>
      <c r="I164" s="92"/>
      <c r="J164" s="92"/>
      <c r="K164" s="93"/>
      <c r="L164" s="94"/>
      <c r="M164" s="94"/>
      <c r="N164" s="95"/>
      <c r="O164" s="66"/>
      <c r="P164" s="96"/>
      <c r="Q164" s="97"/>
      <c r="R164" s="58"/>
      <c r="S164" s="69"/>
      <c r="T164" s="70"/>
      <c r="U164" s="66"/>
      <c r="V164" s="55"/>
      <c r="W164" s="55"/>
      <c r="X164" s="277"/>
      <c r="Y164" s="92"/>
    </row>
    <row r="165" spans="1:25" s="99" customFormat="1" ht="65.099999999999994" customHeight="1">
      <c r="A165" s="89"/>
      <c r="B165" s="89"/>
      <c r="C165" s="90"/>
      <c r="D165" s="91"/>
      <c r="E165" s="92"/>
      <c r="F165" s="92"/>
      <c r="G165" s="92"/>
      <c r="H165" s="92"/>
      <c r="I165" s="92"/>
      <c r="J165" s="92"/>
      <c r="K165" s="93"/>
      <c r="L165" s="94"/>
      <c r="M165" s="94"/>
      <c r="N165" s="95"/>
      <c r="O165" s="66"/>
      <c r="P165" s="96"/>
      <c r="Q165" s="97"/>
      <c r="R165" s="58"/>
      <c r="S165" s="69"/>
      <c r="T165" s="70"/>
      <c r="U165" s="66"/>
      <c r="V165" s="55"/>
      <c r="W165" s="55"/>
      <c r="X165" s="277"/>
      <c r="Y165" s="92"/>
    </row>
    <row r="166" spans="1:25" s="99" customFormat="1" ht="65.099999999999994" customHeight="1">
      <c r="A166" s="89"/>
      <c r="B166" s="89"/>
      <c r="C166" s="90"/>
      <c r="D166" s="91"/>
      <c r="E166" s="92"/>
      <c r="F166" s="92"/>
      <c r="G166" s="92"/>
      <c r="H166" s="92"/>
      <c r="I166" s="92"/>
      <c r="J166" s="92"/>
      <c r="K166" s="93"/>
      <c r="L166" s="94"/>
      <c r="M166" s="94"/>
      <c r="N166" s="95"/>
      <c r="O166" s="66"/>
      <c r="P166" s="96"/>
      <c r="Q166" s="97"/>
      <c r="R166" s="58"/>
      <c r="S166" s="69"/>
      <c r="T166" s="70"/>
      <c r="U166" s="66"/>
      <c r="V166" s="55"/>
      <c r="W166" s="55"/>
      <c r="X166" s="277"/>
      <c r="Y166" s="92"/>
    </row>
    <row r="167" spans="1:25" s="99" customFormat="1" ht="65.099999999999994" customHeight="1">
      <c r="A167" s="89"/>
      <c r="B167" s="89"/>
      <c r="C167" s="90"/>
      <c r="D167" s="91"/>
      <c r="E167" s="92"/>
      <c r="F167" s="92"/>
      <c r="G167" s="92"/>
      <c r="H167" s="92"/>
      <c r="I167" s="92"/>
      <c r="J167" s="92"/>
      <c r="K167" s="93"/>
      <c r="L167" s="94"/>
      <c r="M167" s="94"/>
      <c r="N167" s="95"/>
      <c r="O167" s="66"/>
      <c r="P167" s="96"/>
      <c r="Q167" s="97"/>
      <c r="R167" s="58"/>
      <c r="S167" s="69"/>
      <c r="T167" s="70"/>
      <c r="U167" s="66"/>
      <c r="V167" s="55"/>
      <c r="W167" s="55"/>
      <c r="X167" s="277"/>
      <c r="Y167" s="92"/>
    </row>
    <row r="168" spans="1:25" s="99" customFormat="1" ht="65.099999999999994" customHeight="1">
      <c r="A168" s="89"/>
      <c r="B168" s="89"/>
      <c r="C168" s="90"/>
      <c r="D168" s="91"/>
      <c r="E168" s="92"/>
      <c r="F168" s="92"/>
      <c r="G168" s="92"/>
      <c r="H168" s="92"/>
      <c r="I168" s="92"/>
      <c r="J168" s="92"/>
      <c r="K168" s="93"/>
      <c r="L168" s="94"/>
      <c r="M168" s="94"/>
      <c r="N168" s="95"/>
      <c r="O168" s="66"/>
      <c r="P168" s="96"/>
      <c r="Q168" s="97"/>
      <c r="R168" s="58"/>
      <c r="S168" s="69"/>
      <c r="T168" s="70"/>
      <c r="U168" s="66"/>
      <c r="V168" s="55"/>
      <c r="W168" s="55"/>
      <c r="X168" s="277"/>
      <c r="Y168" s="92"/>
    </row>
    <row r="169" spans="1:25" s="99" customFormat="1" ht="65.099999999999994" customHeight="1">
      <c r="A169" s="89"/>
      <c r="B169" s="89"/>
      <c r="C169" s="90"/>
      <c r="D169" s="91"/>
      <c r="E169" s="92"/>
      <c r="F169" s="92"/>
      <c r="G169" s="92"/>
      <c r="H169" s="92"/>
      <c r="I169" s="92"/>
      <c r="J169" s="92"/>
      <c r="K169" s="93"/>
      <c r="L169" s="94"/>
      <c r="M169" s="94"/>
      <c r="N169" s="95"/>
      <c r="O169" s="66"/>
      <c r="P169" s="96"/>
      <c r="Q169" s="97"/>
      <c r="R169" s="58"/>
      <c r="S169" s="69"/>
      <c r="T169" s="70"/>
      <c r="U169" s="66"/>
      <c r="V169" s="55"/>
      <c r="W169" s="55"/>
      <c r="X169" s="277"/>
      <c r="Y169" s="92"/>
    </row>
    <row r="170" spans="1:25" s="99" customFormat="1" ht="65.099999999999994" customHeight="1">
      <c r="A170" s="89"/>
      <c r="B170" s="89"/>
      <c r="C170" s="90"/>
      <c r="D170" s="91"/>
      <c r="E170" s="92"/>
      <c r="F170" s="92"/>
      <c r="G170" s="92"/>
      <c r="H170" s="92"/>
      <c r="I170" s="92"/>
      <c r="J170" s="92"/>
      <c r="K170" s="93"/>
      <c r="L170" s="94"/>
      <c r="M170" s="94"/>
      <c r="N170" s="95"/>
      <c r="O170" s="66"/>
      <c r="P170" s="96"/>
      <c r="Q170" s="97"/>
      <c r="R170" s="58"/>
      <c r="S170" s="69"/>
      <c r="T170" s="70"/>
      <c r="U170" s="66"/>
      <c r="V170" s="55"/>
      <c r="W170" s="55"/>
      <c r="X170" s="277"/>
      <c r="Y170" s="92"/>
    </row>
    <row r="171" spans="1:25" s="99" customFormat="1" ht="65.099999999999994" customHeight="1">
      <c r="A171" s="89"/>
      <c r="B171" s="89"/>
      <c r="C171" s="90"/>
      <c r="D171" s="91"/>
      <c r="E171" s="92"/>
      <c r="F171" s="92"/>
      <c r="G171" s="92"/>
      <c r="H171" s="92"/>
      <c r="I171" s="92"/>
      <c r="J171" s="92"/>
      <c r="K171" s="93"/>
      <c r="L171" s="94"/>
      <c r="M171" s="94"/>
      <c r="N171" s="95"/>
      <c r="O171" s="66"/>
      <c r="P171" s="96"/>
      <c r="Q171" s="97"/>
      <c r="R171" s="58"/>
      <c r="S171" s="69"/>
      <c r="T171" s="70"/>
      <c r="U171" s="66"/>
      <c r="V171" s="55"/>
      <c r="W171" s="55"/>
      <c r="X171" s="277"/>
      <c r="Y171" s="92"/>
    </row>
    <row r="172" spans="1:25" s="99" customFormat="1" ht="65.099999999999994" customHeight="1">
      <c r="A172" s="89"/>
      <c r="B172" s="89"/>
      <c r="C172" s="90"/>
      <c r="D172" s="91"/>
      <c r="E172" s="92"/>
      <c r="F172" s="92"/>
      <c r="G172" s="92"/>
      <c r="H172" s="92"/>
      <c r="I172" s="92"/>
      <c r="J172" s="92"/>
      <c r="K172" s="93"/>
      <c r="L172" s="94"/>
      <c r="M172" s="94"/>
      <c r="N172" s="95"/>
      <c r="O172" s="66"/>
      <c r="P172" s="96"/>
      <c r="Q172" s="97"/>
      <c r="R172" s="58"/>
      <c r="S172" s="69"/>
      <c r="T172" s="70"/>
      <c r="U172" s="66"/>
      <c r="V172" s="55"/>
      <c r="W172" s="55"/>
      <c r="X172" s="277"/>
      <c r="Y172" s="92"/>
    </row>
    <row r="173" spans="1:25" s="99" customFormat="1" ht="65.099999999999994" customHeight="1">
      <c r="A173" s="89"/>
      <c r="B173" s="89"/>
      <c r="C173" s="90"/>
      <c r="D173" s="91"/>
      <c r="E173" s="92"/>
      <c r="F173" s="92"/>
      <c r="G173" s="92"/>
      <c r="H173" s="92"/>
      <c r="I173" s="92"/>
      <c r="J173" s="92"/>
      <c r="K173" s="93"/>
      <c r="L173" s="94"/>
      <c r="M173" s="94"/>
      <c r="N173" s="95"/>
      <c r="O173" s="66"/>
      <c r="P173" s="96"/>
      <c r="Q173" s="97"/>
      <c r="R173" s="58"/>
      <c r="S173" s="69"/>
      <c r="T173" s="70"/>
      <c r="U173" s="66"/>
      <c r="V173" s="55"/>
      <c r="W173" s="55"/>
      <c r="X173" s="277"/>
      <c r="Y173" s="92"/>
    </row>
    <row r="174" spans="1:25" s="99" customFormat="1" ht="65.099999999999994" customHeight="1">
      <c r="A174" s="89"/>
      <c r="B174" s="89"/>
      <c r="C174" s="90"/>
      <c r="D174" s="91"/>
      <c r="E174" s="92"/>
      <c r="F174" s="92"/>
      <c r="G174" s="92"/>
      <c r="H174" s="92"/>
      <c r="I174" s="92"/>
      <c r="J174" s="92"/>
      <c r="K174" s="93"/>
      <c r="L174" s="94"/>
      <c r="M174" s="94"/>
      <c r="N174" s="95"/>
      <c r="O174" s="66"/>
      <c r="P174" s="96"/>
      <c r="Q174" s="97"/>
      <c r="R174" s="58"/>
      <c r="S174" s="69"/>
      <c r="T174" s="70"/>
      <c r="U174" s="66"/>
      <c r="V174" s="55"/>
      <c r="W174" s="55"/>
      <c r="X174" s="277"/>
      <c r="Y174" s="92"/>
    </row>
    <row r="175" spans="1:25" s="99" customFormat="1" ht="65.099999999999994" customHeight="1">
      <c r="A175" s="89"/>
      <c r="B175" s="89"/>
      <c r="C175" s="90"/>
      <c r="D175" s="91"/>
      <c r="E175" s="92"/>
      <c r="F175" s="92"/>
      <c r="G175" s="92"/>
      <c r="H175" s="92"/>
      <c r="I175" s="92"/>
      <c r="J175" s="92"/>
      <c r="K175" s="93"/>
      <c r="L175" s="94"/>
      <c r="M175" s="94"/>
      <c r="N175" s="95"/>
      <c r="O175" s="66"/>
      <c r="P175" s="96"/>
      <c r="Q175" s="97"/>
      <c r="R175" s="58"/>
      <c r="S175" s="69"/>
      <c r="T175" s="70"/>
      <c r="U175" s="66"/>
      <c r="V175" s="55"/>
      <c r="W175" s="55"/>
      <c r="X175" s="277"/>
      <c r="Y175" s="92"/>
    </row>
    <row r="176" spans="1:25" s="99" customFormat="1" ht="65.099999999999994" customHeight="1">
      <c r="A176" s="89"/>
      <c r="B176" s="89"/>
      <c r="C176" s="90"/>
      <c r="D176" s="91"/>
      <c r="E176" s="92"/>
      <c r="F176" s="92"/>
      <c r="G176" s="92"/>
      <c r="H176" s="92"/>
      <c r="I176" s="92"/>
      <c r="J176" s="92"/>
      <c r="K176" s="93"/>
      <c r="L176" s="94"/>
      <c r="M176" s="94"/>
      <c r="N176" s="95"/>
      <c r="O176" s="66"/>
      <c r="P176" s="96"/>
      <c r="Q176" s="97"/>
      <c r="R176" s="58"/>
      <c r="S176" s="69"/>
      <c r="T176" s="70"/>
      <c r="U176" s="66"/>
      <c r="V176" s="55"/>
      <c r="W176" s="55"/>
      <c r="X176" s="277"/>
      <c r="Y176" s="92"/>
    </row>
    <row r="177" spans="1:25" s="99" customFormat="1" ht="65.099999999999994" customHeight="1">
      <c r="A177" s="89"/>
      <c r="B177" s="89"/>
      <c r="C177" s="90"/>
      <c r="D177" s="91"/>
      <c r="E177" s="92"/>
      <c r="F177" s="92"/>
      <c r="G177" s="92"/>
      <c r="H177" s="92"/>
      <c r="I177" s="92"/>
      <c r="J177" s="92"/>
      <c r="K177" s="93"/>
      <c r="L177" s="94"/>
      <c r="M177" s="94"/>
      <c r="N177" s="95"/>
      <c r="O177" s="66"/>
      <c r="P177" s="96"/>
      <c r="Q177" s="97"/>
      <c r="R177" s="58"/>
      <c r="S177" s="69"/>
      <c r="T177" s="70"/>
      <c r="U177" s="66"/>
      <c r="V177" s="55"/>
      <c r="W177" s="55"/>
      <c r="X177" s="277"/>
      <c r="Y177" s="92"/>
    </row>
    <row r="178" spans="1:25" s="99" customFormat="1" ht="65.099999999999994" customHeight="1">
      <c r="A178" s="89"/>
      <c r="B178" s="89"/>
      <c r="C178" s="90"/>
      <c r="D178" s="91"/>
      <c r="E178" s="92"/>
      <c r="F178" s="92"/>
      <c r="G178" s="92"/>
      <c r="H178" s="92"/>
      <c r="I178" s="92"/>
      <c r="J178" s="92"/>
      <c r="K178" s="93"/>
      <c r="L178" s="94"/>
      <c r="M178" s="94"/>
      <c r="N178" s="95"/>
      <c r="O178" s="66"/>
      <c r="P178" s="96"/>
      <c r="Q178" s="97"/>
      <c r="R178" s="58"/>
      <c r="S178" s="69"/>
      <c r="T178" s="70"/>
      <c r="U178" s="66"/>
      <c r="V178" s="55"/>
      <c r="W178" s="55"/>
      <c r="X178" s="277"/>
      <c r="Y178" s="92"/>
    </row>
    <row r="179" spans="1:25" s="99" customFormat="1" ht="65.099999999999994" customHeight="1">
      <c r="A179" s="89"/>
      <c r="B179" s="89"/>
      <c r="C179" s="90"/>
      <c r="D179" s="91"/>
      <c r="E179" s="92"/>
      <c r="F179" s="92"/>
      <c r="G179" s="92"/>
      <c r="H179" s="92"/>
      <c r="I179" s="92"/>
      <c r="J179" s="92"/>
      <c r="K179" s="93"/>
      <c r="L179" s="94"/>
      <c r="M179" s="94"/>
      <c r="N179" s="95"/>
      <c r="O179" s="66"/>
      <c r="P179" s="96"/>
      <c r="Q179" s="97"/>
      <c r="R179" s="58"/>
      <c r="S179" s="69"/>
      <c r="T179" s="70"/>
      <c r="U179" s="66"/>
      <c r="V179" s="55"/>
      <c r="W179" s="55"/>
      <c r="X179" s="277"/>
      <c r="Y179" s="92"/>
    </row>
    <row r="180" spans="1:25" s="99" customFormat="1" ht="65.099999999999994" customHeight="1">
      <c r="A180" s="89"/>
      <c r="B180" s="89"/>
      <c r="C180" s="90"/>
      <c r="D180" s="91"/>
      <c r="E180" s="92"/>
      <c r="F180" s="92"/>
      <c r="G180" s="92"/>
      <c r="H180" s="92"/>
      <c r="I180" s="92"/>
      <c r="J180" s="92"/>
      <c r="K180" s="93"/>
      <c r="L180" s="94"/>
      <c r="M180" s="94"/>
      <c r="N180" s="95"/>
      <c r="O180" s="66"/>
      <c r="P180" s="96"/>
      <c r="Q180" s="97"/>
      <c r="R180" s="58"/>
      <c r="S180" s="69"/>
      <c r="T180" s="70"/>
      <c r="U180" s="66"/>
      <c r="V180" s="55"/>
      <c r="W180" s="55"/>
      <c r="X180" s="277"/>
      <c r="Y180" s="92"/>
    </row>
    <row r="181" spans="1:25" s="99" customFormat="1" ht="65.099999999999994" customHeight="1">
      <c r="A181" s="89"/>
      <c r="B181" s="89"/>
      <c r="C181" s="90"/>
      <c r="D181" s="91"/>
      <c r="E181" s="92"/>
      <c r="F181" s="92"/>
      <c r="G181" s="92"/>
      <c r="H181" s="92"/>
      <c r="I181" s="92"/>
      <c r="J181" s="92"/>
      <c r="K181" s="93"/>
      <c r="L181" s="94"/>
      <c r="M181" s="94"/>
      <c r="N181" s="95"/>
      <c r="O181" s="66"/>
      <c r="P181" s="96"/>
      <c r="Q181" s="97"/>
      <c r="R181" s="58"/>
      <c r="S181" s="69"/>
      <c r="T181" s="70"/>
      <c r="U181" s="66"/>
      <c r="V181" s="55"/>
      <c r="W181" s="55"/>
      <c r="X181" s="277"/>
      <c r="Y181" s="92"/>
    </row>
    <row r="182" spans="1:25" s="99" customFormat="1" ht="65.099999999999994" customHeight="1">
      <c r="A182" s="89"/>
      <c r="B182" s="89"/>
      <c r="C182" s="90"/>
      <c r="D182" s="91"/>
      <c r="E182" s="92"/>
      <c r="F182" s="92"/>
      <c r="G182" s="92"/>
      <c r="H182" s="92"/>
      <c r="I182" s="92"/>
      <c r="J182" s="92"/>
      <c r="K182" s="93"/>
      <c r="L182" s="94"/>
      <c r="M182" s="94"/>
      <c r="N182" s="95"/>
      <c r="O182" s="66"/>
      <c r="P182" s="96"/>
      <c r="Q182" s="97"/>
      <c r="R182" s="58"/>
      <c r="S182" s="69"/>
      <c r="T182" s="70"/>
      <c r="U182" s="66"/>
      <c r="V182" s="55"/>
      <c r="W182" s="55"/>
      <c r="X182" s="277"/>
      <c r="Y182" s="92"/>
    </row>
    <row r="183" spans="1:25" s="99" customFormat="1" ht="65.099999999999994" customHeight="1">
      <c r="A183" s="89"/>
      <c r="B183" s="89"/>
      <c r="C183" s="90"/>
      <c r="D183" s="91"/>
      <c r="E183" s="92"/>
      <c r="F183" s="92"/>
      <c r="G183" s="92"/>
      <c r="H183" s="92"/>
      <c r="I183" s="92"/>
      <c r="J183" s="92"/>
      <c r="K183" s="93"/>
      <c r="L183" s="94"/>
      <c r="M183" s="94"/>
      <c r="N183" s="95"/>
      <c r="O183" s="66"/>
      <c r="P183" s="96"/>
      <c r="Q183" s="97"/>
      <c r="R183" s="58"/>
      <c r="S183" s="69"/>
      <c r="T183" s="70"/>
      <c r="U183" s="66"/>
      <c r="V183" s="55"/>
      <c r="W183" s="55"/>
      <c r="X183" s="277"/>
      <c r="Y183" s="92"/>
    </row>
    <row r="184" spans="1:25" s="99" customFormat="1" ht="65.099999999999994" customHeight="1">
      <c r="A184" s="89"/>
      <c r="B184" s="89"/>
      <c r="C184" s="90"/>
      <c r="D184" s="91"/>
      <c r="E184" s="92"/>
      <c r="F184" s="92"/>
      <c r="G184" s="92"/>
      <c r="H184" s="92"/>
      <c r="I184" s="92"/>
      <c r="J184" s="92"/>
      <c r="K184" s="93"/>
      <c r="L184" s="94"/>
      <c r="M184" s="94"/>
      <c r="N184" s="95"/>
      <c r="O184" s="66"/>
      <c r="P184" s="96"/>
      <c r="Q184" s="97"/>
      <c r="R184" s="58"/>
      <c r="S184" s="69"/>
      <c r="T184" s="70"/>
      <c r="U184" s="66"/>
      <c r="V184" s="55"/>
      <c r="W184" s="55"/>
      <c r="X184" s="277"/>
      <c r="Y184" s="92"/>
    </row>
    <row r="185" spans="1:25" s="99" customFormat="1" ht="65.099999999999994" customHeight="1">
      <c r="A185" s="89"/>
      <c r="B185" s="89"/>
      <c r="C185" s="90"/>
      <c r="D185" s="91"/>
      <c r="E185" s="92"/>
      <c r="F185" s="92"/>
      <c r="G185" s="92"/>
      <c r="H185" s="92"/>
      <c r="I185" s="92"/>
      <c r="J185" s="92"/>
      <c r="K185" s="93"/>
      <c r="L185" s="94"/>
      <c r="M185" s="94"/>
      <c r="N185" s="95"/>
      <c r="O185" s="66"/>
      <c r="P185" s="96"/>
      <c r="Q185" s="97"/>
      <c r="R185" s="58"/>
      <c r="S185" s="69"/>
      <c r="T185" s="70"/>
      <c r="U185" s="66"/>
      <c r="V185" s="55"/>
      <c r="W185" s="55"/>
      <c r="X185" s="277"/>
      <c r="Y185" s="92"/>
    </row>
    <row r="186" spans="1:25" s="99" customFormat="1" ht="65.099999999999994" customHeight="1">
      <c r="A186" s="89"/>
      <c r="B186" s="89"/>
      <c r="C186" s="90"/>
      <c r="D186" s="91"/>
      <c r="E186" s="92"/>
      <c r="F186" s="92"/>
      <c r="G186" s="92"/>
      <c r="H186" s="92"/>
      <c r="I186" s="92"/>
      <c r="J186" s="92"/>
      <c r="K186" s="93"/>
      <c r="L186" s="94"/>
      <c r="M186" s="94"/>
      <c r="N186" s="95"/>
      <c r="O186" s="66"/>
      <c r="P186" s="96"/>
      <c r="Q186" s="97"/>
      <c r="R186" s="58"/>
      <c r="S186" s="69"/>
      <c r="T186" s="70"/>
      <c r="U186" s="66"/>
      <c r="V186" s="55"/>
      <c r="W186" s="55"/>
      <c r="X186" s="277"/>
      <c r="Y186" s="92"/>
    </row>
    <row r="187" spans="1:25" s="99" customFormat="1" ht="65.099999999999994" customHeight="1">
      <c r="A187" s="89"/>
      <c r="B187" s="89"/>
      <c r="C187" s="90"/>
      <c r="D187" s="91"/>
      <c r="E187" s="92"/>
      <c r="F187" s="92"/>
      <c r="G187" s="92"/>
      <c r="H187" s="92"/>
      <c r="I187" s="92"/>
      <c r="J187" s="92"/>
      <c r="K187" s="93"/>
      <c r="L187" s="94"/>
      <c r="M187" s="94"/>
      <c r="N187" s="95"/>
      <c r="O187" s="66"/>
      <c r="P187" s="96"/>
      <c r="Q187" s="97"/>
      <c r="R187" s="58"/>
      <c r="S187" s="69"/>
      <c r="T187" s="70"/>
      <c r="U187" s="66"/>
      <c r="V187" s="55"/>
      <c r="W187" s="55"/>
      <c r="X187" s="277"/>
      <c r="Y187" s="92"/>
    </row>
    <row r="188" spans="1:25" s="99" customFormat="1" ht="65.099999999999994" customHeight="1">
      <c r="A188" s="89"/>
      <c r="B188" s="89"/>
      <c r="C188" s="90"/>
      <c r="D188" s="91"/>
      <c r="E188" s="92"/>
      <c r="F188" s="92"/>
      <c r="G188" s="92"/>
      <c r="H188" s="92"/>
      <c r="I188" s="92"/>
      <c r="J188" s="92"/>
      <c r="K188" s="93"/>
      <c r="L188" s="94"/>
      <c r="M188" s="94"/>
      <c r="N188" s="95"/>
      <c r="O188" s="66"/>
      <c r="P188" s="96"/>
      <c r="Q188" s="97"/>
      <c r="R188" s="58"/>
      <c r="S188" s="69"/>
      <c r="T188" s="70"/>
      <c r="U188" s="66"/>
      <c r="V188" s="55"/>
      <c r="W188" s="55"/>
      <c r="X188" s="277"/>
      <c r="Y188" s="92"/>
    </row>
    <row r="189" spans="1:25" s="99" customFormat="1" ht="65.099999999999994" customHeight="1">
      <c r="A189" s="89"/>
      <c r="B189" s="89"/>
      <c r="C189" s="90"/>
      <c r="D189" s="91"/>
      <c r="E189" s="92"/>
      <c r="F189" s="92"/>
      <c r="G189" s="92"/>
      <c r="H189" s="92"/>
      <c r="I189" s="92"/>
      <c r="J189" s="92"/>
      <c r="K189" s="93"/>
      <c r="L189" s="94"/>
      <c r="M189" s="94"/>
      <c r="N189" s="95"/>
      <c r="O189" s="66"/>
      <c r="P189" s="96"/>
      <c r="Q189" s="97"/>
      <c r="R189" s="58"/>
      <c r="S189" s="69"/>
      <c r="T189" s="70"/>
      <c r="U189" s="66"/>
      <c r="V189" s="55"/>
      <c r="W189" s="55"/>
      <c r="X189" s="277"/>
      <c r="Y189" s="92"/>
    </row>
    <row r="190" spans="1:25" s="99" customFormat="1" ht="65.099999999999994" customHeight="1">
      <c r="A190" s="89"/>
      <c r="B190" s="89"/>
      <c r="C190" s="90"/>
      <c r="D190" s="91"/>
      <c r="E190" s="92"/>
      <c r="F190" s="92"/>
      <c r="G190" s="92"/>
      <c r="H190" s="92"/>
      <c r="I190" s="92"/>
      <c r="J190" s="92"/>
      <c r="K190" s="93"/>
      <c r="L190" s="94"/>
      <c r="M190" s="94"/>
      <c r="N190" s="95"/>
      <c r="O190" s="66"/>
      <c r="P190" s="96"/>
      <c r="Q190" s="97"/>
      <c r="R190" s="58"/>
      <c r="S190" s="69"/>
      <c r="T190" s="70"/>
      <c r="U190" s="66"/>
      <c r="V190" s="55"/>
      <c r="W190" s="55"/>
      <c r="X190" s="277"/>
      <c r="Y190" s="92"/>
    </row>
    <row r="191" spans="1:25" s="99" customFormat="1" ht="65.099999999999994" customHeight="1">
      <c r="A191" s="89"/>
      <c r="B191" s="89"/>
      <c r="C191" s="90"/>
      <c r="D191" s="91"/>
      <c r="E191" s="92"/>
      <c r="F191" s="92"/>
      <c r="G191" s="92"/>
      <c r="H191" s="92"/>
      <c r="I191" s="92"/>
      <c r="J191" s="92"/>
      <c r="K191" s="93"/>
      <c r="L191" s="94"/>
      <c r="M191" s="94"/>
      <c r="N191" s="95"/>
      <c r="O191" s="66"/>
      <c r="P191" s="96"/>
      <c r="Q191" s="97"/>
      <c r="R191" s="58"/>
      <c r="S191" s="69"/>
      <c r="T191" s="70"/>
      <c r="U191" s="66"/>
      <c r="V191" s="55"/>
      <c r="W191" s="55"/>
      <c r="X191" s="277"/>
      <c r="Y191" s="92"/>
    </row>
    <row r="192" spans="1:25" s="99" customFormat="1" ht="65.099999999999994" customHeight="1">
      <c r="A192" s="89"/>
      <c r="B192" s="89"/>
      <c r="C192" s="90"/>
      <c r="D192" s="91"/>
      <c r="E192" s="92"/>
      <c r="F192" s="92"/>
      <c r="G192" s="92"/>
      <c r="H192" s="92"/>
      <c r="I192" s="92"/>
      <c r="J192" s="92"/>
      <c r="K192" s="93"/>
      <c r="L192" s="94"/>
      <c r="M192" s="94"/>
      <c r="N192" s="95"/>
      <c r="O192" s="66"/>
      <c r="P192" s="96"/>
      <c r="Q192" s="97"/>
      <c r="R192" s="58"/>
      <c r="S192" s="69"/>
      <c r="T192" s="70"/>
      <c r="U192" s="66"/>
      <c r="V192" s="55"/>
      <c r="W192" s="55"/>
      <c r="X192" s="277"/>
      <c r="Y192" s="92"/>
    </row>
    <row r="193" spans="1:25" s="99" customFormat="1" ht="65.099999999999994" customHeight="1">
      <c r="A193" s="89"/>
      <c r="B193" s="89"/>
      <c r="C193" s="90"/>
      <c r="D193" s="91"/>
      <c r="E193" s="92"/>
      <c r="F193" s="92"/>
      <c r="G193" s="92"/>
      <c r="H193" s="92"/>
      <c r="I193" s="92"/>
      <c r="J193" s="92"/>
      <c r="K193" s="93"/>
      <c r="L193" s="94"/>
      <c r="M193" s="94"/>
      <c r="N193" s="95"/>
      <c r="O193" s="66"/>
      <c r="P193" s="96"/>
      <c r="Q193" s="97"/>
      <c r="R193" s="58"/>
      <c r="S193" s="69"/>
      <c r="T193" s="70"/>
      <c r="U193" s="66"/>
      <c r="V193" s="55"/>
      <c r="W193" s="55"/>
      <c r="X193" s="277"/>
      <c r="Y193" s="92"/>
    </row>
    <row r="194" spans="1:25" s="99" customFormat="1" ht="65.099999999999994" customHeight="1">
      <c r="A194" s="89"/>
      <c r="B194" s="89"/>
      <c r="C194" s="90"/>
      <c r="D194" s="91"/>
      <c r="E194" s="92"/>
      <c r="F194" s="92"/>
      <c r="G194" s="92"/>
      <c r="H194" s="92"/>
      <c r="I194" s="92"/>
      <c r="J194" s="92"/>
      <c r="K194" s="93"/>
      <c r="L194" s="94"/>
      <c r="M194" s="94"/>
      <c r="N194" s="95"/>
      <c r="O194" s="66"/>
      <c r="P194" s="96"/>
      <c r="Q194" s="97"/>
      <c r="R194" s="58"/>
      <c r="S194" s="69"/>
      <c r="T194" s="70"/>
      <c r="U194" s="66"/>
      <c r="V194" s="55"/>
      <c r="W194" s="55"/>
      <c r="X194" s="277"/>
      <c r="Y194" s="92"/>
    </row>
    <row r="195" spans="1:25" s="99" customFormat="1" ht="65.099999999999994" customHeight="1">
      <c r="A195" s="89"/>
      <c r="B195" s="89"/>
      <c r="C195" s="90"/>
      <c r="D195" s="91"/>
      <c r="E195" s="92"/>
      <c r="F195" s="92"/>
      <c r="G195" s="92"/>
      <c r="H195" s="92"/>
      <c r="I195" s="92"/>
      <c r="J195" s="92"/>
      <c r="K195" s="93"/>
      <c r="L195" s="94"/>
      <c r="M195" s="94"/>
      <c r="N195" s="95"/>
      <c r="O195" s="66"/>
      <c r="P195" s="96"/>
      <c r="Q195" s="97"/>
      <c r="R195" s="58"/>
      <c r="S195" s="69"/>
      <c r="T195" s="70"/>
      <c r="U195" s="66"/>
      <c r="V195" s="55"/>
      <c r="W195" s="55"/>
      <c r="X195" s="277"/>
      <c r="Y195" s="92"/>
    </row>
    <row r="196" spans="1:25" s="99" customFormat="1" ht="65.099999999999994" customHeight="1">
      <c r="A196" s="89"/>
      <c r="B196" s="89"/>
      <c r="C196" s="90"/>
      <c r="D196" s="91"/>
      <c r="E196" s="92"/>
      <c r="F196" s="92"/>
      <c r="G196" s="92"/>
      <c r="H196" s="92"/>
      <c r="I196" s="92"/>
      <c r="J196" s="92"/>
      <c r="K196" s="93"/>
      <c r="L196" s="94"/>
      <c r="M196" s="94"/>
      <c r="N196" s="95"/>
      <c r="O196" s="66"/>
      <c r="P196" s="96"/>
      <c r="Q196" s="97"/>
      <c r="R196" s="58"/>
      <c r="S196" s="69"/>
      <c r="T196" s="70"/>
      <c r="U196" s="66"/>
      <c r="V196" s="55"/>
      <c r="W196" s="55"/>
      <c r="X196" s="277"/>
      <c r="Y196" s="92"/>
    </row>
    <row r="197" spans="1:25" s="99" customFormat="1" ht="65.099999999999994" customHeight="1">
      <c r="A197" s="89"/>
      <c r="B197" s="89"/>
      <c r="C197" s="90"/>
      <c r="D197" s="91"/>
      <c r="E197" s="92"/>
      <c r="F197" s="92"/>
      <c r="G197" s="92"/>
      <c r="H197" s="92"/>
      <c r="I197" s="92"/>
      <c r="J197" s="92"/>
      <c r="K197" s="93"/>
      <c r="L197" s="94"/>
      <c r="M197" s="94"/>
      <c r="N197" s="95"/>
      <c r="O197" s="66"/>
      <c r="P197" s="96"/>
      <c r="Q197" s="97"/>
      <c r="R197" s="58"/>
      <c r="S197" s="69"/>
      <c r="T197" s="70"/>
      <c r="U197" s="66"/>
      <c r="V197" s="55"/>
      <c r="W197" s="55"/>
      <c r="X197" s="277"/>
      <c r="Y197" s="92"/>
    </row>
    <row r="198" spans="1:25" s="99" customFormat="1" ht="65.099999999999994" customHeight="1">
      <c r="A198" s="89"/>
      <c r="B198" s="89"/>
      <c r="C198" s="90"/>
      <c r="D198" s="91"/>
      <c r="E198" s="92"/>
      <c r="F198" s="92"/>
      <c r="G198" s="92"/>
      <c r="H198" s="92"/>
      <c r="I198" s="92"/>
      <c r="J198" s="92"/>
      <c r="K198" s="93"/>
      <c r="L198" s="94"/>
      <c r="M198" s="94"/>
      <c r="N198" s="95"/>
      <c r="O198" s="66"/>
      <c r="P198" s="96"/>
      <c r="Q198" s="97"/>
      <c r="R198" s="58"/>
      <c r="S198" s="69"/>
      <c r="T198" s="70"/>
      <c r="U198" s="66"/>
      <c r="V198" s="55"/>
      <c r="W198" s="55"/>
      <c r="X198" s="277"/>
      <c r="Y198" s="92"/>
    </row>
  </sheetData>
  <autoFilter ref="A1:Y17"/>
  <mergeCells count="38">
    <mergeCell ref="A47:A50"/>
    <mergeCell ref="A51:A54"/>
    <mergeCell ref="A23:A26"/>
    <mergeCell ref="A27:A30"/>
    <mergeCell ref="A31:A34"/>
    <mergeCell ref="A35:A38"/>
    <mergeCell ref="A39:A42"/>
    <mergeCell ref="A43:A46"/>
    <mergeCell ref="Y1:Y2"/>
    <mergeCell ref="A3:A6"/>
    <mergeCell ref="A7:A10"/>
    <mergeCell ref="A11:A14"/>
    <mergeCell ref="A15:A18"/>
    <mergeCell ref="W1:W2"/>
    <mergeCell ref="X1:X2"/>
    <mergeCell ref="L1:L2"/>
    <mergeCell ref="A1:A2"/>
    <mergeCell ref="B1:B2"/>
    <mergeCell ref="C1:C2"/>
    <mergeCell ref="D1:D2"/>
    <mergeCell ref="E1:E2"/>
    <mergeCell ref="F1:F2"/>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s>
  <conditionalFormatting sqref="G3:J18 G29:J54 G23:J27">
    <cfRule type="containsText" dxfId="23" priority="7" operator="containsText" text="NO">
      <formula>NOT(ISERROR(SEARCH("NO",G3)))</formula>
    </cfRule>
  </conditionalFormatting>
  <conditionalFormatting sqref="X3">
    <cfRule type="containsText" dxfId="22" priority="6" operator="containsText" text="NO CUMPLE">
      <formula>NOT(ISERROR(SEARCH("NO CUMPLE",X3)))</formula>
    </cfRule>
  </conditionalFormatting>
  <conditionalFormatting sqref="X4">
    <cfRule type="containsText" dxfId="21" priority="5" operator="containsText" text="NO CUMPLE">
      <formula>NOT(ISERROR(SEARCH("NO CUMPLE",X4)))</formula>
    </cfRule>
  </conditionalFormatting>
  <conditionalFormatting sqref="X5:X18 X23:X54">
    <cfRule type="containsText" dxfId="20" priority="4" operator="containsText" text="NO CUMPLE">
      <formula>NOT(ISERROR(SEARCH("NO CUMPLE",X5)))</formula>
    </cfRule>
  </conditionalFormatting>
  <conditionalFormatting sqref="G19:J22">
    <cfRule type="containsText" dxfId="19" priority="3" operator="containsText" text="NO">
      <formula>NOT(ISERROR(SEARCH("NO",G19)))</formula>
    </cfRule>
  </conditionalFormatting>
  <conditionalFormatting sqref="G28:J28">
    <cfRule type="containsText" dxfId="18" priority="2" operator="containsText" text="NO">
      <formula>NOT(ISERROR(SEARCH("NO",G28)))</formula>
    </cfRule>
  </conditionalFormatting>
  <conditionalFormatting sqref="X19:X22">
    <cfRule type="containsText" dxfId="17" priority="1" operator="containsText" text="NO CUMPLE">
      <formula>NOT(ISERROR(SEARCH("NO CUMPLE",X19)))</formula>
    </cfRule>
  </conditionalFormatting>
  <dataValidations count="1">
    <dataValidation type="list" allowBlank="1" showInputMessage="1" showErrorMessage="1" sqref="G3:J54">
      <formula1>$AA$1:$AB$1</formula1>
    </dataValidation>
  </dataValidations>
  <pageMargins left="0.75" right="0.75" top="1" bottom="1" header="0.5" footer="0.5"/>
  <pageSetup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M224"/>
  <sheetViews>
    <sheetView zoomScale="40" zoomScaleNormal="40" zoomScalePageLayoutView="75" workbookViewId="0">
      <pane xSplit="1" ySplit="2" topLeftCell="S3" activePane="bottomRight" state="frozen"/>
      <selection activeCell="F7" sqref="F7"/>
      <selection pane="topRight" activeCell="F7" sqref="F7"/>
      <selection pane="bottomLeft" activeCell="F7" sqref="F7"/>
      <selection pane="bottomRight" activeCell="AI6" sqref="AI6"/>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12.5" style="101" customWidth="1"/>
    <col min="9" max="9" width="13.625" style="102" customWidth="1"/>
    <col min="10" max="10" width="10.625" style="103" customWidth="1"/>
    <col min="11" max="11" width="11" style="104" customWidth="1"/>
    <col min="12" max="12" width="11" style="105" customWidth="1"/>
    <col min="13" max="13" width="11" style="68" customWidth="1"/>
    <col min="14" max="14" width="18.5" style="106" customWidth="1"/>
    <col min="15" max="15" width="8.75" style="106" customWidth="1"/>
    <col min="16" max="16" width="9.5" style="68" customWidth="1"/>
    <col min="17" max="17" width="12.5" style="68" customWidth="1"/>
    <col min="18" max="18" width="9.625" style="68" customWidth="1"/>
    <col min="19"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107" bestFit="1" customWidth="1"/>
    <col min="30" max="30" width="7.375" style="107" bestFit="1" customWidth="1"/>
    <col min="31" max="31" width="6.375" style="107" customWidth="1"/>
    <col min="32" max="35" width="19.5" style="58" customWidth="1"/>
    <col min="36" max="36" width="59.125" style="92" customWidth="1"/>
    <col min="37" max="39" width="10.875" style="108"/>
    <col min="40" max="41" width="15.125" style="108" bestFit="1" customWidth="1"/>
    <col min="42" max="16384" width="10.875" style="108"/>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776" t="s">
        <v>17</v>
      </c>
      <c r="O1" s="776" t="s">
        <v>18</v>
      </c>
      <c r="P1" s="780" t="s">
        <v>19</v>
      </c>
      <c r="Q1" s="780" t="s">
        <v>20</v>
      </c>
      <c r="R1" s="780" t="s">
        <v>21</v>
      </c>
      <c r="S1" s="778" t="s">
        <v>22</v>
      </c>
      <c r="T1" s="778" t="s">
        <v>23</v>
      </c>
      <c r="U1" s="778" t="s">
        <v>70</v>
      </c>
      <c r="V1" s="819" t="s">
        <v>62</v>
      </c>
      <c r="W1" s="776" t="s">
        <v>28</v>
      </c>
      <c r="X1" s="776"/>
      <c r="Y1" s="776"/>
      <c r="Z1" s="776" t="s">
        <v>29</v>
      </c>
      <c r="AA1" s="776"/>
      <c r="AB1" s="776"/>
      <c r="AC1" s="776" t="s">
        <v>30</v>
      </c>
      <c r="AD1" s="776"/>
      <c r="AE1" s="776"/>
      <c r="AF1" s="780" t="s">
        <v>31</v>
      </c>
      <c r="AG1" s="788" t="s">
        <v>339</v>
      </c>
      <c r="AH1" s="789" t="s">
        <v>175</v>
      </c>
      <c r="AI1" s="788" t="s">
        <v>736</v>
      </c>
      <c r="AJ1" s="791" t="s">
        <v>3</v>
      </c>
      <c r="AL1" s="57" t="s">
        <v>10</v>
      </c>
      <c r="AM1" s="57" t="s">
        <v>11</v>
      </c>
    </row>
    <row r="2" spans="1:39" s="56" customFormat="1" ht="62.25" customHeight="1" thickBot="1">
      <c r="A2" s="777"/>
      <c r="B2" s="777"/>
      <c r="C2" s="777"/>
      <c r="D2" s="779"/>
      <c r="E2" s="777"/>
      <c r="F2" s="777"/>
      <c r="G2" s="781"/>
      <c r="H2" s="781"/>
      <c r="I2" s="783"/>
      <c r="J2" s="785"/>
      <c r="K2" s="785"/>
      <c r="L2" s="787"/>
      <c r="M2" s="779"/>
      <c r="N2" s="777"/>
      <c r="O2" s="777"/>
      <c r="P2" s="781"/>
      <c r="Q2" s="781"/>
      <c r="R2" s="781"/>
      <c r="S2" s="779"/>
      <c r="T2" s="779"/>
      <c r="U2" s="779"/>
      <c r="V2" s="820"/>
      <c r="W2" s="281" t="s">
        <v>32</v>
      </c>
      <c r="X2" s="281" t="s">
        <v>33</v>
      </c>
      <c r="Y2" s="281" t="s">
        <v>34</v>
      </c>
      <c r="Z2" s="281" t="s">
        <v>35</v>
      </c>
      <c r="AA2" s="281" t="s">
        <v>33</v>
      </c>
      <c r="AB2" s="281" t="s">
        <v>36</v>
      </c>
      <c r="AC2" s="281" t="s">
        <v>35</v>
      </c>
      <c r="AD2" s="281" t="s">
        <v>33</v>
      </c>
      <c r="AE2" s="281" t="s">
        <v>37</v>
      </c>
      <c r="AF2" s="781"/>
      <c r="AG2" s="789"/>
      <c r="AH2" s="790"/>
      <c r="AI2" s="789"/>
      <c r="AJ2" s="792"/>
    </row>
    <row r="3" spans="1:39" s="72" customFormat="1" ht="88.5" customHeight="1">
      <c r="A3" s="795" t="s">
        <v>330</v>
      </c>
      <c r="B3" s="123" t="s">
        <v>170</v>
      </c>
      <c r="C3" s="124">
        <v>198</v>
      </c>
      <c r="D3" s="125" t="str">
        <f>+IFERROR(INDEX([1]CONSOLIDADO!$D$4:$D$91,MATCH('EXP GEN. 41'!B3,[1]CONSOLIDADO!$C$4:$C$91,0)),"")</f>
        <v>LA VIABILIDAD LTDA</v>
      </c>
      <c r="E3" s="126" t="s">
        <v>371</v>
      </c>
      <c r="F3" s="127" t="s">
        <v>729</v>
      </c>
      <c r="G3" s="279" t="s">
        <v>10</v>
      </c>
      <c r="H3" s="279" t="s">
        <v>10</v>
      </c>
      <c r="I3" s="63">
        <v>1</v>
      </c>
      <c r="J3" s="129">
        <v>38331</v>
      </c>
      <c r="K3" s="129">
        <v>40329</v>
      </c>
      <c r="L3" s="130">
        <f>IF(K3="","",YEAR(K3))</f>
        <v>2010</v>
      </c>
      <c r="M3" s="131">
        <f>+IFERROR(INDEX([1]PARÁMETROS!$B$11:$B$37,MATCH(L3,[1]PARÁMETROS!$A$11:$A$37,0)),"")</f>
        <v>515000</v>
      </c>
      <c r="N3" s="132">
        <v>4862658335</v>
      </c>
      <c r="O3" s="133" t="s">
        <v>25</v>
      </c>
      <c r="P3" s="123" t="s">
        <v>61</v>
      </c>
      <c r="Q3" s="134" t="s">
        <v>61</v>
      </c>
      <c r="R3" s="135">
        <v>1</v>
      </c>
      <c r="S3" s="131">
        <f>IF(R3&lt;&gt;"",N3*R3,"")</f>
        <v>4862658335</v>
      </c>
      <c r="T3" s="136">
        <f>+IFERROR(S3/M3,"")</f>
        <v>9442.0550194174757</v>
      </c>
      <c r="U3" s="136">
        <f>IFERROR(T3*I3,"")</f>
        <v>9442.0550194174757</v>
      </c>
      <c r="V3" s="137">
        <v>5</v>
      </c>
      <c r="W3" s="798" t="s">
        <v>11</v>
      </c>
      <c r="X3" s="798"/>
      <c r="Y3" s="798"/>
      <c r="Z3" s="798" t="s">
        <v>10</v>
      </c>
      <c r="AA3" s="798"/>
      <c r="AB3" s="798"/>
      <c r="AC3" s="798" t="s">
        <v>10</v>
      </c>
      <c r="AD3" s="798"/>
      <c r="AE3" s="798"/>
      <c r="AF3" s="279" t="s">
        <v>10</v>
      </c>
      <c r="AG3" s="798" t="str">
        <f>IF(U3="","",IF(SUM(U3:U8)&gt;=[1]PARÁMETROS!$D$5,"HÁBIL","NO HÁBIL"))</f>
        <v>HÁBIL</v>
      </c>
      <c r="AH3" s="798" t="str">
        <f>IF(U3="","",IF(U3+U4&gt;=[1]PARÁMETROS!$H$5,"HÁBIL","NO HÁBIL"))</f>
        <v>HÁBIL</v>
      </c>
      <c r="AI3" s="168" t="str">
        <f>+IF(U3="","",IF(U3&gt;=[1]PARÁMETROS!$F$5,"CUMPLE","NO CUMPLE"))</f>
        <v>CUMPLE</v>
      </c>
      <c r="AJ3" s="138"/>
      <c r="AK3" s="109"/>
    </row>
    <row r="4" spans="1:39" s="72" customFormat="1" ht="72.75" customHeight="1">
      <c r="A4" s="796"/>
      <c r="B4" s="58" t="s">
        <v>170</v>
      </c>
      <c r="C4" s="59">
        <v>208</v>
      </c>
      <c r="D4" s="60" t="str">
        <f>+IFERROR(INDEX([1]CONSOLIDADO!$D$4:$D$91,MATCH('EXP GEN. 41'!B4,[1]CONSOLIDADO!$C$4:$C$91,0)),"")</f>
        <v>LA VIABILIDAD LTDA</v>
      </c>
      <c r="E4" s="61" t="s">
        <v>371</v>
      </c>
      <c r="F4" s="61" t="s">
        <v>730</v>
      </c>
      <c r="G4" s="277" t="s">
        <v>10</v>
      </c>
      <c r="H4" s="277" t="s">
        <v>10</v>
      </c>
      <c r="I4" s="63">
        <v>1</v>
      </c>
      <c r="J4" s="64">
        <v>37271</v>
      </c>
      <c r="K4" s="64">
        <v>38292</v>
      </c>
      <c r="L4" s="65">
        <f t="shared" ref="L4:L67" si="0">IF(K4="","",YEAR(K4))</f>
        <v>2004</v>
      </c>
      <c r="M4" s="66">
        <f>+IFERROR(INDEX([1]PARÁMETROS!$B$11:$B$37,MATCH(L4,[1]PARÁMETROS!$A$11:$A$37,0)),"")</f>
        <v>358000</v>
      </c>
      <c r="N4" s="74">
        <v>2019668213</v>
      </c>
      <c r="O4" s="66" t="s">
        <v>25</v>
      </c>
      <c r="P4" s="58" t="s">
        <v>61</v>
      </c>
      <c r="Q4" s="69" t="s">
        <v>61</v>
      </c>
      <c r="R4" s="70">
        <v>1</v>
      </c>
      <c r="S4" s="66">
        <f t="shared" ref="S4:S67" si="1">IF(R4&lt;&gt;"",N4*R4,"")</f>
        <v>2019668213</v>
      </c>
      <c r="T4" s="55">
        <f t="shared" ref="T4:T67" si="2">+IFERROR(S4/M4,"")</f>
        <v>5641.5313212290503</v>
      </c>
      <c r="U4" s="55">
        <f t="shared" ref="U4:U67" si="3">IFERROR(T4*I4,"")</f>
        <v>5641.5313212290503</v>
      </c>
      <c r="V4" s="71">
        <v>18</v>
      </c>
      <c r="W4" s="799" t="s">
        <v>11</v>
      </c>
      <c r="X4" s="799"/>
      <c r="Y4" s="799"/>
      <c r="Z4" s="799" t="s">
        <v>10</v>
      </c>
      <c r="AA4" s="799"/>
      <c r="AB4" s="799"/>
      <c r="AC4" s="799" t="s">
        <v>10</v>
      </c>
      <c r="AD4" s="799"/>
      <c r="AE4" s="799"/>
      <c r="AF4" s="277" t="s">
        <v>10</v>
      </c>
      <c r="AG4" s="799"/>
      <c r="AH4" s="799"/>
      <c r="AI4" s="277" t="str">
        <f>+IF(U4="","",IF(U4&gt;=[1]PARÁMETROS!$F$5,"CUMPLE","NO CUMPLE"))</f>
        <v>CUMPLE</v>
      </c>
      <c r="AJ4" s="139"/>
      <c r="AK4" s="109"/>
    </row>
    <row r="5" spans="1:39" s="72" customFormat="1" ht="65.099999999999994" customHeight="1">
      <c r="A5" s="796"/>
      <c r="B5" s="58" t="s">
        <v>172</v>
      </c>
      <c r="C5" s="59">
        <v>230</v>
      </c>
      <c r="D5" s="60" t="str">
        <f>+IFERROR(INDEX([1]CONSOLIDADO!$D$4:$D$91,MATCH('EXP GEN. 41'!B5,[1]CONSOLIDADO!$C$4:$C$91,0)),"")</f>
        <v>SESAC SA</v>
      </c>
      <c r="E5" s="61" t="s">
        <v>397</v>
      </c>
      <c r="F5" s="62" t="s">
        <v>731</v>
      </c>
      <c r="G5" s="277" t="s">
        <v>10</v>
      </c>
      <c r="H5" s="277" t="s">
        <v>10</v>
      </c>
      <c r="I5" s="63">
        <v>1</v>
      </c>
      <c r="J5" s="64">
        <v>38937</v>
      </c>
      <c r="K5" s="64">
        <v>40305</v>
      </c>
      <c r="L5" s="65">
        <f t="shared" si="0"/>
        <v>2010</v>
      </c>
      <c r="M5" s="66">
        <f>+IFERROR(INDEX([1]PARÁMETROS!$B$11:$B$37,MATCH(L5,[1]PARÁMETROS!$A$11:$A$37,0)),"")</f>
        <v>515000</v>
      </c>
      <c r="N5" s="67">
        <v>2538434857</v>
      </c>
      <c r="O5" s="68" t="s">
        <v>25</v>
      </c>
      <c r="P5" s="58" t="s">
        <v>61</v>
      </c>
      <c r="Q5" s="69" t="s">
        <v>61</v>
      </c>
      <c r="R5" s="70">
        <v>1</v>
      </c>
      <c r="S5" s="66">
        <f t="shared" si="1"/>
        <v>2538434857</v>
      </c>
      <c r="T5" s="55">
        <f t="shared" si="2"/>
        <v>4928.999722330097</v>
      </c>
      <c r="U5" s="55">
        <f t="shared" si="3"/>
        <v>4928.999722330097</v>
      </c>
      <c r="V5" s="71">
        <v>8</v>
      </c>
      <c r="W5" s="799" t="s">
        <v>10</v>
      </c>
      <c r="X5" s="799"/>
      <c r="Y5" s="799"/>
      <c r="Z5" s="799" t="s">
        <v>10</v>
      </c>
      <c r="AA5" s="799"/>
      <c r="AB5" s="799"/>
      <c r="AC5" s="799" t="s">
        <v>10</v>
      </c>
      <c r="AD5" s="799"/>
      <c r="AE5" s="799"/>
      <c r="AF5" s="277" t="s">
        <v>10</v>
      </c>
      <c r="AG5" s="799"/>
      <c r="AH5" s="799"/>
      <c r="AI5" s="277" t="str">
        <f>+IF(U5="","",IF(U5&gt;=[1]PARÁMETROS!$F$5,"CUMPLE","NO CUMPLE"))</f>
        <v>CUMPLE</v>
      </c>
      <c r="AJ5" s="140"/>
      <c r="AK5" s="109"/>
    </row>
    <row r="6" spans="1:39" s="72" customFormat="1" ht="65.099999999999994" customHeight="1">
      <c r="A6" s="796"/>
      <c r="B6" s="58" t="s">
        <v>334</v>
      </c>
      <c r="C6" s="59">
        <v>246</v>
      </c>
      <c r="D6" s="60" t="str">
        <f>+IFERROR(INDEX([1]CONSOLIDADO!$D$4:$D$91,MATCH('EXP GEN. 41'!B6,[1]CONSOLIDADO!$C$4:$C$91,0)),"")</f>
        <v>SILVIA CARREÑO Y ASOCIADOS SAS</v>
      </c>
      <c r="E6" s="61" t="s">
        <v>371</v>
      </c>
      <c r="F6" s="62" t="s">
        <v>732</v>
      </c>
      <c r="G6" s="277" t="s">
        <v>10</v>
      </c>
      <c r="H6" s="277" t="s">
        <v>10</v>
      </c>
      <c r="I6" s="63">
        <v>1</v>
      </c>
      <c r="J6" s="64">
        <v>36992</v>
      </c>
      <c r="K6" s="64">
        <v>37636</v>
      </c>
      <c r="L6" s="65">
        <f t="shared" si="0"/>
        <v>2003</v>
      </c>
      <c r="M6" s="66">
        <f>+IFERROR(INDEX([1]PARÁMETROS!$B$11:$B$37,MATCH(L6,[1]PARÁMETROS!$A$11:$A$37,0)),"")</f>
        <v>332000</v>
      </c>
      <c r="N6" s="67">
        <v>1135751411</v>
      </c>
      <c r="O6" s="68" t="s">
        <v>25</v>
      </c>
      <c r="P6" s="58" t="s">
        <v>61</v>
      </c>
      <c r="Q6" s="69" t="s">
        <v>61</v>
      </c>
      <c r="R6" s="70">
        <v>1</v>
      </c>
      <c r="S6" s="66">
        <f t="shared" si="1"/>
        <v>1135751411</v>
      </c>
      <c r="T6" s="55">
        <f t="shared" si="2"/>
        <v>3420.9379849397592</v>
      </c>
      <c r="U6" s="55">
        <f t="shared" si="3"/>
        <v>3420.9379849397592</v>
      </c>
      <c r="V6" s="71">
        <v>10</v>
      </c>
      <c r="W6" s="803" t="s">
        <v>11</v>
      </c>
      <c r="X6" s="804"/>
      <c r="Y6" s="805"/>
      <c r="Z6" s="803" t="s">
        <v>10</v>
      </c>
      <c r="AA6" s="804"/>
      <c r="AB6" s="805"/>
      <c r="AC6" s="803" t="s">
        <v>10</v>
      </c>
      <c r="AD6" s="804"/>
      <c r="AE6" s="805"/>
      <c r="AF6" s="277" t="s">
        <v>10</v>
      </c>
      <c r="AG6" s="799"/>
      <c r="AH6" s="799"/>
      <c r="AI6" s="277" t="str">
        <f>+IF(U6="","",IF(U6&gt;=[1]PARÁMETROS!$F$5,"CUMPLE","NO CUMPLE"))</f>
        <v>CUMPLE</v>
      </c>
      <c r="AJ6" s="140"/>
      <c r="AK6" s="109"/>
    </row>
    <row r="7" spans="1:39" s="72" customFormat="1" ht="65.099999999999994" customHeight="1">
      <c r="A7" s="796"/>
      <c r="B7" s="58" t="s">
        <v>334</v>
      </c>
      <c r="C7" s="59">
        <v>243</v>
      </c>
      <c r="D7" s="60" t="str">
        <f>+IFERROR(INDEX([1]CONSOLIDADO!$D$4:$D$91,MATCH('EXP GEN. 41'!B7,[1]CONSOLIDADO!$C$4:$C$91,0)),"")</f>
        <v>SILVIA CARREÑO Y ASOCIADOS SAS</v>
      </c>
      <c r="E7" s="61" t="s">
        <v>733</v>
      </c>
      <c r="F7" s="62" t="s">
        <v>734</v>
      </c>
      <c r="G7" s="277" t="s">
        <v>10</v>
      </c>
      <c r="H7" s="277" t="s">
        <v>10</v>
      </c>
      <c r="I7" s="63">
        <v>0.6</v>
      </c>
      <c r="J7" s="64">
        <v>41198</v>
      </c>
      <c r="K7" s="64">
        <v>41699</v>
      </c>
      <c r="L7" s="65">
        <f t="shared" si="0"/>
        <v>2014</v>
      </c>
      <c r="M7" s="66">
        <f>+IFERROR(INDEX([1]PARÁMETROS!$B$11:$B$37,MATCH(L7,[1]PARÁMETROS!$A$11:$A$37,0)),"")</f>
        <v>616000</v>
      </c>
      <c r="N7" s="67">
        <v>2668542300</v>
      </c>
      <c r="O7" s="68" t="s">
        <v>25</v>
      </c>
      <c r="P7" s="58" t="s">
        <v>61</v>
      </c>
      <c r="Q7" s="69" t="s">
        <v>61</v>
      </c>
      <c r="R7" s="70">
        <v>1</v>
      </c>
      <c r="S7" s="66">
        <f t="shared" si="1"/>
        <v>2668542300</v>
      </c>
      <c r="T7" s="55">
        <f t="shared" si="2"/>
        <v>4332.0491883116883</v>
      </c>
      <c r="U7" s="55">
        <f t="shared" si="3"/>
        <v>2599.2295129870131</v>
      </c>
      <c r="V7" s="71">
        <v>4</v>
      </c>
      <c r="W7" s="799" t="s">
        <v>11</v>
      </c>
      <c r="X7" s="799"/>
      <c r="Y7" s="799"/>
      <c r="Z7" s="799" t="s">
        <v>10</v>
      </c>
      <c r="AA7" s="799"/>
      <c r="AB7" s="799"/>
      <c r="AC7" s="799" t="s">
        <v>10</v>
      </c>
      <c r="AD7" s="799"/>
      <c r="AE7" s="799"/>
      <c r="AF7" s="277" t="s">
        <v>10</v>
      </c>
      <c r="AG7" s="799"/>
      <c r="AH7" s="799"/>
      <c r="AI7" s="277" t="str">
        <f>+IF(U7="","",IF(U7&gt;=[1]PARÁMETROS!$F$5,"CUMPLE","NO CUMPLE"))</f>
        <v>CUMPLE</v>
      </c>
      <c r="AJ7" s="140"/>
      <c r="AK7" s="109"/>
    </row>
    <row r="8" spans="1:39" s="72" customFormat="1" ht="65.099999999999994" customHeight="1" thickBot="1">
      <c r="A8" s="806"/>
      <c r="B8" s="141" t="s">
        <v>336</v>
      </c>
      <c r="C8" s="142">
        <v>249</v>
      </c>
      <c r="D8" s="143" t="str">
        <f>+IFERROR(INDEX([1]CONSOLIDADO!$D$4:$D$91,MATCH('EXP GEN. 41'!B8,[1]CONSOLIDADO!$C$4:$C$91,0)),"")</f>
        <v>ARENAS DE LA HOZ CONSULTORES S.A.S</v>
      </c>
      <c r="E8" s="144" t="s">
        <v>371</v>
      </c>
      <c r="F8" s="145" t="s">
        <v>735</v>
      </c>
      <c r="G8" s="278" t="s">
        <v>10</v>
      </c>
      <c r="H8" s="278" t="s">
        <v>10</v>
      </c>
      <c r="I8" s="146">
        <v>1</v>
      </c>
      <c r="J8" s="147">
        <v>41123</v>
      </c>
      <c r="K8" s="147">
        <v>41779</v>
      </c>
      <c r="L8" s="148">
        <f t="shared" si="0"/>
        <v>2014</v>
      </c>
      <c r="M8" s="149">
        <f>+IFERROR(INDEX([1]PARÁMETROS!$B$11:$B$37,MATCH(L8,[1]PARÁMETROS!$A$11:$A$37,0)),"")</f>
        <v>616000</v>
      </c>
      <c r="N8" s="150">
        <v>1605385195.3199999</v>
      </c>
      <c r="O8" s="151" t="s">
        <v>25</v>
      </c>
      <c r="P8" s="141" t="s">
        <v>61</v>
      </c>
      <c r="Q8" s="152" t="s">
        <v>61</v>
      </c>
      <c r="R8" s="153">
        <v>1</v>
      </c>
      <c r="S8" s="149">
        <f t="shared" si="1"/>
        <v>1605385195.3199999</v>
      </c>
      <c r="T8" s="154">
        <f t="shared" si="2"/>
        <v>2606.1447975974024</v>
      </c>
      <c r="U8" s="154">
        <f t="shared" si="3"/>
        <v>2606.1447975974024</v>
      </c>
      <c r="V8" s="71">
        <v>55</v>
      </c>
      <c r="W8" s="801" t="s">
        <v>10</v>
      </c>
      <c r="X8" s="801"/>
      <c r="Y8" s="801"/>
      <c r="Z8" s="801" t="s">
        <v>10</v>
      </c>
      <c r="AA8" s="801"/>
      <c r="AB8" s="801"/>
      <c r="AC8" s="801" t="s">
        <v>10</v>
      </c>
      <c r="AD8" s="801"/>
      <c r="AE8" s="801"/>
      <c r="AF8" s="278" t="s">
        <v>10</v>
      </c>
      <c r="AG8" s="801"/>
      <c r="AH8" s="801"/>
      <c r="AI8" s="280" t="str">
        <f>+IF(U8="","",IF(U8&gt;=[1]PARÁMETROS!$F$5,"CUMPLE","NO CUMPLE"))</f>
        <v>CUMPLE</v>
      </c>
      <c r="AJ8" s="155"/>
      <c r="AK8" s="109"/>
    </row>
    <row r="9" spans="1:39" s="72" customFormat="1" ht="30" customHeight="1">
      <c r="A9" s="834"/>
      <c r="B9" s="110"/>
      <c r="C9" s="111"/>
      <c r="D9" s="112" t="str">
        <f>+IFERROR(INDEX([1]CONSOLIDADO!$D$4:$D$91,MATCH('EXP GEN. 41'!B9,[1]CONSOLIDADO!$C$4:$C$91,0)),"")</f>
        <v/>
      </c>
      <c r="E9" s="113"/>
      <c r="F9" s="114"/>
      <c r="G9" s="280"/>
      <c r="H9" s="280"/>
      <c r="I9" s="115"/>
      <c r="J9" s="116"/>
      <c r="K9" s="116"/>
      <c r="L9" s="160" t="str">
        <f t="shared" si="0"/>
        <v/>
      </c>
      <c r="M9" s="117" t="str">
        <f>+IFERROR(INDEX([1]PARÁMETROS!$B$11:$B$37,MATCH(L9,[1]PARÁMETROS!$A$11:$A$37,0)),"")</f>
        <v/>
      </c>
      <c r="N9" s="118"/>
      <c r="O9" s="119"/>
      <c r="P9" s="110"/>
      <c r="Q9" s="120"/>
      <c r="R9" s="121"/>
      <c r="S9" s="117" t="str">
        <f t="shared" si="1"/>
        <v/>
      </c>
      <c r="T9" s="122" t="str">
        <f t="shared" si="2"/>
        <v/>
      </c>
      <c r="U9" s="122" t="str">
        <f t="shared" si="3"/>
        <v/>
      </c>
      <c r="V9" s="122"/>
      <c r="W9" s="828"/>
      <c r="X9" s="829"/>
      <c r="Y9" s="830"/>
      <c r="Z9" s="828"/>
      <c r="AA9" s="829"/>
      <c r="AB9" s="830"/>
      <c r="AC9" s="828"/>
      <c r="AD9" s="829"/>
      <c r="AE9" s="830"/>
      <c r="AF9" s="280"/>
      <c r="AG9" s="824" t="str">
        <f>IF(U9="","",IF(SUM(U9:U11)&gt;=[1]PARÁMETROS!$H$5,"HÁBIL","NO HÁBIL"))</f>
        <v/>
      </c>
      <c r="AH9" s="824" t="str">
        <f>IF(U9="","",IF(U9&gt;=[1]PARÁMETROS!$F$5,"HÁBIL","NO HÁBIL"))</f>
        <v/>
      </c>
      <c r="AI9" s="280" t="str">
        <f>+IF(U9="","",IF(U9&gt;=[1]PARÁMETROS!$D$5,"CUMPLE","NO CUMPLE"))</f>
        <v/>
      </c>
      <c r="AJ9" s="167"/>
      <c r="AK9" s="109"/>
    </row>
    <row r="10" spans="1:39" s="72" customFormat="1" ht="30" customHeight="1">
      <c r="A10" s="835"/>
      <c r="B10" s="58"/>
      <c r="C10" s="75"/>
      <c r="D10" s="60" t="str">
        <f>+IFERROR(INDEX([1]CONSOLIDADO!$D$4:$D$91,MATCH('EXP GEN. 41'!B10,[1]CONSOLIDADO!$C$4:$C$91,0)),"")</f>
        <v/>
      </c>
      <c r="E10" s="61"/>
      <c r="F10" s="62"/>
      <c r="G10" s="277"/>
      <c r="H10" s="277"/>
      <c r="I10" s="63"/>
      <c r="J10" s="64"/>
      <c r="K10" s="64"/>
      <c r="L10" s="65" t="str">
        <f t="shared" si="0"/>
        <v/>
      </c>
      <c r="M10" s="66" t="str">
        <f>+IFERROR(INDEX([1]PARÁMETROS!$B$11:$B$37,MATCH(L10,[1]PARÁMETROS!$A$11:$A$37,0)),"")</f>
        <v/>
      </c>
      <c r="N10" s="67"/>
      <c r="O10" s="68"/>
      <c r="P10" s="58"/>
      <c r="Q10" s="69"/>
      <c r="R10" s="70"/>
      <c r="S10" s="66" t="str">
        <f t="shared" si="1"/>
        <v/>
      </c>
      <c r="T10" s="55" t="str">
        <f t="shared" si="2"/>
        <v/>
      </c>
      <c r="U10" s="55" t="str">
        <f t="shared" si="3"/>
        <v/>
      </c>
      <c r="V10" s="55"/>
      <c r="W10" s="803"/>
      <c r="X10" s="804"/>
      <c r="Y10" s="805"/>
      <c r="Z10" s="803"/>
      <c r="AA10" s="804"/>
      <c r="AB10" s="805"/>
      <c r="AC10" s="803"/>
      <c r="AD10" s="804"/>
      <c r="AE10" s="805"/>
      <c r="AF10" s="277"/>
      <c r="AG10" s="850"/>
      <c r="AH10" s="850"/>
      <c r="AI10" s="277" t="str">
        <f>+IF(U10="","",IF(U10&gt;=[1]PARÁMETROS!$D$5,"CUMPLE","NO CUMPLE"))</f>
        <v/>
      </c>
      <c r="AJ10" s="139"/>
      <c r="AK10" s="109"/>
    </row>
    <row r="11" spans="1:39" s="72" customFormat="1" ht="30" customHeight="1">
      <c r="A11" s="835"/>
      <c r="B11" s="58"/>
      <c r="C11" s="75"/>
      <c r="D11" s="60" t="str">
        <f>+IFERROR(INDEX([1]CONSOLIDADO!$D$4:$D$91,MATCH('EXP GEN. 41'!B11,[1]CONSOLIDADO!$C$4:$C$91,0)),"")</f>
        <v/>
      </c>
      <c r="E11" s="61"/>
      <c r="F11" s="62"/>
      <c r="G11" s="277"/>
      <c r="H11" s="277"/>
      <c r="I11" s="63"/>
      <c r="J11" s="64"/>
      <c r="K11" s="64"/>
      <c r="L11" s="65" t="str">
        <f t="shared" si="0"/>
        <v/>
      </c>
      <c r="M11" s="66" t="str">
        <f>+IFERROR(INDEX([1]PARÁMETROS!$B$11:$B$37,MATCH(L11,[1]PARÁMETROS!$A$11:$A$37,0)),"")</f>
        <v/>
      </c>
      <c r="N11" s="67"/>
      <c r="O11" s="68"/>
      <c r="P11" s="58"/>
      <c r="Q11" s="69"/>
      <c r="R11" s="70"/>
      <c r="S11" s="66" t="str">
        <f t="shared" si="1"/>
        <v/>
      </c>
      <c r="T11" s="55" t="str">
        <f t="shared" si="2"/>
        <v/>
      </c>
      <c r="U11" s="55" t="str">
        <f t="shared" si="3"/>
        <v/>
      </c>
      <c r="V11" s="55"/>
      <c r="W11" s="803"/>
      <c r="X11" s="804"/>
      <c r="Y11" s="805"/>
      <c r="Z11" s="803"/>
      <c r="AA11" s="804"/>
      <c r="AB11" s="805"/>
      <c r="AC11" s="803"/>
      <c r="AD11" s="804"/>
      <c r="AE11" s="805"/>
      <c r="AF11" s="277"/>
      <c r="AG11" s="850"/>
      <c r="AH11" s="850"/>
      <c r="AI11" s="277" t="str">
        <f>+IF(U11="","",IF(U11&gt;=[1]PARÁMETROS!$D$5,"CUMPLE","NO CUMPLE"))</f>
        <v/>
      </c>
      <c r="AJ11" s="139"/>
      <c r="AK11" s="109"/>
    </row>
    <row r="12" spans="1:39" s="72" customFormat="1" ht="30" customHeight="1">
      <c r="A12" s="835"/>
      <c r="B12" s="58"/>
      <c r="C12" s="75"/>
      <c r="D12" s="60" t="str">
        <f>+IFERROR(INDEX([1]CONSOLIDADO!$D$4:$D$91,MATCH('EXP GEN. 41'!B12,[1]CONSOLIDADO!$C$4:$C$91,0)),"")</f>
        <v/>
      </c>
      <c r="E12" s="61"/>
      <c r="F12" s="62"/>
      <c r="G12" s="277"/>
      <c r="H12" s="277"/>
      <c r="I12" s="63"/>
      <c r="J12" s="64"/>
      <c r="K12" s="64"/>
      <c r="L12" s="65" t="str">
        <f t="shared" si="0"/>
        <v/>
      </c>
      <c r="M12" s="66" t="str">
        <f>+IFERROR(INDEX([1]PARÁMETROS!$B$11:$B$37,MATCH(L12,[1]PARÁMETROS!$A$11:$A$37,0)),"")</f>
        <v/>
      </c>
      <c r="N12" s="67"/>
      <c r="O12" s="68"/>
      <c r="P12" s="58"/>
      <c r="Q12" s="69"/>
      <c r="R12" s="70"/>
      <c r="S12" s="66" t="str">
        <f t="shared" si="1"/>
        <v/>
      </c>
      <c r="T12" s="55" t="str">
        <f t="shared" si="2"/>
        <v/>
      </c>
      <c r="U12" s="55" t="str">
        <f t="shared" si="3"/>
        <v/>
      </c>
      <c r="V12" s="55"/>
      <c r="W12" s="803"/>
      <c r="X12" s="804"/>
      <c r="Y12" s="805"/>
      <c r="Z12" s="803"/>
      <c r="AA12" s="804"/>
      <c r="AB12" s="805"/>
      <c r="AC12" s="803"/>
      <c r="AD12" s="804"/>
      <c r="AE12" s="805"/>
      <c r="AF12" s="277"/>
      <c r="AG12" s="850"/>
      <c r="AH12" s="850"/>
      <c r="AI12" s="277" t="str">
        <f>+IF(U12="","",IF(U12&gt;=[1]PARÁMETROS!$D$5,"CUMPLE","NO CUMPLE"))</f>
        <v/>
      </c>
      <c r="AJ12" s="139"/>
      <c r="AK12" s="109"/>
    </row>
    <row r="13" spans="1:39" s="72" customFormat="1" ht="30" customHeight="1">
      <c r="A13" s="835"/>
      <c r="B13" s="58"/>
      <c r="C13" s="75"/>
      <c r="D13" s="60" t="str">
        <f>+IFERROR(INDEX([1]CONSOLIDADO!$D$4:$D$91,MATCH('EXP GEN. 41'!B13,[1]CONSOLIDADO!$C$4:$C$91,0)),"")</f>
        <v/>
      </c>
      <c r="E13" s="61"/>
      <c r="F13" s="62"/>
      <c r="G13" s="277"/>
      <c r="H13" s="277"/>
      <c r="I13" s="63"/>
      <c r="J13" s="64"/>
      <c r="K13" s="64"/>
      <c r="L13" s="65" t="str">
        <f t="shared" si="0"/>
        <v/>
      </c>
      <c r="M13" s="66" t="str">
        <f>+IFERROR(INDEX([1]PARÁMETROS!$B$11:$B$37,MATCH(L13,[1]PARÁMETROS!$A$11:$A$37,0)),"")</f>
        <v/>
      </c>
      <c r="N13" s="67"/>
      <c r="O13" s="68"/>
      <c r="P13" s="58"/>
      <c r="Q13" s="69"/>
      <c r="R13" s="70"/>
      <c r="S13" s="66" t="str">
        <f t="shared" si="1"/>
        <v/>
      </c>
      <c r="T13" s="55" t="str">
        <f t="shared" si="2"/>
        <v/>
      </c>
      <c r="U13" s="55" t="str">
        <f t="shared" si="3"/>
        <v/>
      </c>
      <c r="V13" s="55"/>
      <c r="W13" s="803"/>
      <c r="X13" s="804"/>
      <c r="Y13" s="805"/>
      <c r="Z13" s="803"/>
      <c r="AA13" s="804"/>
      <c r="AB13" s="805"/>
      <c r="AC13" s="803"/>
      <c r="AD13" s="804"/>
      <c r="AE13" s="805"/>
      <c r="AF13" s="277"/>
      <c r="AG13" s="850"/>
      <c r="AH13" s="850"/>
      <c r="AI13" s="277" t="str">
        <f>+IF(U13="","",IF(U13&gt;=[1]PARÁMETROS!$D$5,"CUMPLE","NO CUMPLE"))</f>
        <v/>
      </c>
      <c r="AJ13" s="139"/>
      <c r="AK13" s="109"/>
    </row>
    <row r="14" spans="1:39" s="72" customFormat="1" ht="30" customHeight="1" thickBot="1">
      <c r="A14" s="836"/>
      <c r="B14" s="141"/>
      <c r="C14" s="142"/>
      <c r="D14" s="143" t="str">
        <f>+IFERROR(INDEX([1]CONSOLIDADO!$D$4:$D$91,MATCH('EXP GEN. 41'!B14,[1]CONSOLIDADO!$C$4:$C$91,0)),"")</f>
        <v/>
      </c>
      <c r="E14" s="144"/>
      <c r="F14" s="145"/>
      <c r="G14" s="278"/>
      <c r="H14" s="278"/>
      <c r="I14" s="146"/>
      <c r="J14" s="147"/>
      <c r="K14" s="147"/>
      <c r="L14" s="148" t="str">
        <f t="shared" si="0"/>
        <v/>
      </c>
      <c r="M14" s="149" t="str">
        <f>+IFERROR(INDEX([1]PARÁMETROS!$B$11:$B$37,MATCH(L14,[1]PARÁMETROS!$A$11:$A$37,0)),"")</f>
        <v/>
      </c>
      <c r="N14" s="150"/>
      <c r="O14" s="151"/>
      <c r="P14" s="141"/>
      <c r="Q14" s="152"/>
      <c r="R14" s="153"/>
      <c r="S14" s="149" t="str">
        <f t="shared" si="1"/>
        <v/>
      </c>
      <c r="T14" s="154" t="str">
        <f t="shared" si="2"/>
        <v/>
      </c>
      <c r="U14" s="154" t="str">
        <f t="shared" si="3"/>
        <v/>
      </c>
      <c r="V14" s="154"/>
      <c r="W14" s="825"/>
      <c r="X14" s="826"/>
      <c r="Y14" s="827"/>
      <c r="Z14" s="825"/>
      <c r="AA14" s="826"/>
      <c r="AB14" s="827"/>
      <c r="AC14" s="825"/>
      <c r="AD14" s="826"/>
      <c r="AE14" s="827"/>
      <c r="AF14" s="278"/>
      <c r="AG14" s="851"/>
      <c r="AH14" s="851"/>
      <c r="AI14" s="278" t="str">
        <f>+IF(U14="","",IF(U14&gt;=[1]PARÁMETROS!$D$5,"CUMPLE","NO CUMPLE"))</f>
        <v/>
      </c>
      <c r="AJ14" s="155"/>
      <c r="AK14" s="109"/>
    </row>
    <row r="15" spans="1:39" s="72" customFormat="1" ht="30" customHeight="1">
      <c r="A15" s="834"/>
      <c r="B15" s="123"/>
      <c r="C15" s="157"/>
      <c r="D15" s="125" t="str">
        <f>+IFERROR(INDEX([1]CONSOLIDADO!$D$4:$D$91,MATCH('EXP GEN. 41'!B15,[1]CONSOLIDADO!$C$4:$C$91,0)),"")</f>
        <v/>
      </c>
      <c r="E15" s="126"/>
      <c r="F15" s="127"/>
      <c r="G15" s="279"/>
      <c r="H15" s="279"/>
      <c r="I15" s="128"/>
      <c r="J15" s="129"/>
      <c r="K15" s="129"/>
      <c r="L15" s="130" t="str">
        <f t="shared" si="0"/>
        <v/>
      </c>
      <c r="M15" s="131" t="str">
        <f>+IFERROR(INDEX([1]PARÁMETROS!$B$11:$B$37,MATCH(L15,[1]PARÁMETROS!$A$11:$A$37,0)),"")</f>
        <v/>
      </c>
      <c r="N15" s="132"/>
      <c r="O15" s="133"/>
      <c r="P15" s="123"/>
      <c r="Q15" s="134"/>
      <c r="R15" s="135"/>
      <c r="S15" s="131" t="str">
        <f t="shared" si="1"/>
        <v/>
      </c>
      <c r="T15" s="136" t="str">
        <f t="shared" si="2"/>
        <v/>
      </c>
      <c r="U15" s="136" t="str">
        <f t="shared" si="3"/>
        <v/>
      </c>
      <c r="V15" s="136"/>
      <c r="W15" s="828"/>
      <c r="X15" s="829"/>
      <c r="Y15" s="830"/>
      <c r="Z15" s="828"/>
      <c r="AA15" s="829"/>
      <c r="AB15" s="830"/>
      <c r="AC15" s="828"/>
      <c r="AD15" s="829"/>
      <c r="AE15" s="830"/>
      <c r="AF15" s="279"/>
      <c r="AG15" s="824" t="str">
        <f>IF(U15="","",IF(SUM(U15:U17)&gt;=[1]PARÁMETROS!$H$5,"HÁBIL","NO HÁBIL"))</f>
        <v/>
      </c>
      <c r="AH15" s="824" t="str">
        <f>IF(U15="","",IF(U15&gt;=[1]PARÁMETROS!$F$5,"HÁBIL","NO HÁBIL"))</f>
        <v/>
      </c>
      <c r="AI15" s="279" t="str">
        <f>+IF(U15="","",IF(U15&gt;=[1]PARÁMETROS!$D$5,"CUMPLE","NO CUMPLE"))</f>
        <v/>
      </c>
      <c r="AJ15" s="138"/>
      <c r="AK15" s="109"/>
    </row>
    <row r="16" spans="1:39" s="72" customFormat="1" ht="30" customHeight="1">
      <c r="A16" s="835"/>
      <c r="B16" s="58"/>
      <c r="C16" s="75"/>
      <c r="D16" s="60" t="str">
        <f>+IFERROR(INDEX([1]CONSOLIDADO!$D$4:$D$91,MATCH('EXP GEN. 41'!B16,[1]CONSOLIDADO!$C$4:$C$91,0)),"")</f>
        <v/>
      </c>
      <c r="E16" s="61"/>
      <c r="F16" s="61"/>
      <c r="G16" s="277"/>
      <c r="H16" s="277"/>
      <c r="I16" s="73"/>
      <c r="J16" s="64"/>
      <c r="K16" s="64"/>
      <c r="L16" s="65" t="str">
        <f t="shared" si="0"/>
        <v/>
      </c>
      <c r="M16" s="66" t="str">
        <f>+IFERROR(INDEX([1]PARÁMETROS!$B$11:$B$37,MATCH(L16,[1]PARÁMETROS!$A$11:$A$37,0)),"")</f>
        <v/>
      </c>
      <c r="N16" s="74"/>
      <c r="O16" s="66"/>
      <c r="P16" s="58"/>
      <c r="Q16" s="69"/>
      <c r="R16" s="70"/>
      <c r="S16" s="66" t="str">
        <f t="shared" si="1"/>
        <v/>
      </c>
      <c r="T16" s="55" t="str">
        <f t="shared" si="2"/>
        <v/>
      </c>
      <c r="U16" s="55" t="str">
        <f t="shared" si="3"/>
        <v/>
      </c>
      <c r="V16" s="55"/>
      <c r="W16" s="803"/>
      <c r="X16" s="804"/>
      <c r="Y16" s="805"/>
      <c r="Z16" s="803"/>
      <c r="AA16" s="804"/>
      <c r="AB16" s="805"/>
      <c r="AC16" s="803"/>
      <c r="AD16" s="804"/>
      <c r="AE16" s="805"/>
      <c r="AF16" s="277"/>
      <c r="AG16" s="850"/>
      <c r="AH16" s="850"/>
      <c r="AI16" s="277" t="str">
        <f>+IF(U16="","",IF(U16&gt;=[1]PARÁMETROS!$D$5,"CUMPLE","NO CUMPLE"))</f>
        <v/>
      </c>
      <c r="AJ16" s="139"/>
      <c r="AK16" s="109"/>
    </row>
    <row r="17" spans="1:37" s="72" customFormat="1" ht="30" customHeight="1">
      <c r="A17" s="835"/>
      <c r="B17" s="58"/>
      <c r="C17" s="75"/>
      <c r="D17" s="60" t="str">
        <f>+IFERROR(INDEX([1]CONSOLIDADO!$D$4:$D$91,MATCH('EXP GEN. 41'!B17,[1]CONSOLIDADO!$C$4:$C$91,0)),"")</f>
        <v/>
      </c>
      <c r="E17" s="61"/>
      <c r="F17" s="62"/>
      <c r="G17" s="277"/>
      <c r="H17" s="277"/>
      <c r="I17" s="63"/>
      <c r="J17" s="64"/>
      <c r="K17" s="64"/>
      <c r="L17" s="65" t="str">
        <f t="shared" si="0"/>
        <v/>
      </c>
      <c r="M17" s="66" t="str">
        <f>+IFERROR(INDEX([1]PARÁMETROS!$B$11:$B$37,MATCH(L17,[1]PARÁMETROS!$A$11:$A$37,0)),"")</f>
        <v/>
      </c>
      <c r="N17" s="67"/>
      <c r="O17" s="68"/>
      <c r="P17" s="58"/>
      <c r="Q17" s="69"/>
      <c r="R17" s="70"/>
      <c r="S17" s="66" t="str">
        <f t="shared" si="1"/>
        <v/>
      </c>
      <c r="T17" s="55" t="str">
        <f t="shared" si="2"/>
        <v/>
      </c>
      <c r="U17" s="55" t="str">
        <f t="shared" si="3"/>
        <v/>
      </c>
      <c r="V17" s="55"/>
      <c r="W17" s="803"/>
      <c r="X17" s="804"/>
      <c r="Y17" s="805"/>
      <c r="Z17" s="803"/>
      <c r="AA17" s="804"/>
      <c r="AB17" s="805"/>
      <c r="AC17" s="803"/>
      <c r="AD17" s="804"/>
      <c r="AE17" s="805"/>
      <c r="AF17" s="277"/>
      <c r="AG17" s="850"/>
      <c r="AH17" s="850"/>
      <c r="AI17" s="277" t="str">
        <f>+IF(U17="","",IF(U17&gt;=[1]PARÁMETROS!$D$5,"CUMPLE","NO CUMPLE"))</f>
        <v/>
      </c>
      <c r="AJ17" s="139"/>
      <c r="AK17" s="109"/>
    </row>
    <row r="18" spans="1:37" s="72" customFormat="1" ht="30" customHeight="1">
      <c r="A18" s="835"/>
      <c r="B18" s="58"/>
      <c r="C18" s="75"/>
      <c r="D18" s="60" t="str">
        <f>+IFERROR(INDEX([1]CONSOLIDADO!$D$4:$D$91,MATCH('EXP GEN. 41'!B18,[1]CONSOLIDADO!$C$4:$C$91,0)),"")</f>
        <v/>
      </c>
      <c r="E18" s="61"/>
      <c r="F18" s="76"/>
      <c r="G18" s="277"/>
      <c r="H18" s="277"/>
      <c r="I18" s="63"/>
      <c r="J18" s="64"/>
      <c r="K18" s="64"/>
      <c r="L18" s="65" t="str">
        <f t="shared" si="0"/>
        <v/>
      </c>
      <c r="M18" s="66" t="str">
        <f>+IFERROR(INDEX([1]PARÁMETROS!$B$11:$B$37,MATCH(L18,[1]PARÁMETROS!$A$11:$A$37,0)),"")</f>
        <v/>
      </c>
      <c r="N18" s="67"/>
      <c r="O18" s="68"/>
      <c r="P18" s="58"/>
      <c r="Q18" s="69"/>
      <c r="R18" s="70"/>
      <c r="S18" s="66" t="str">
        <f t="shared" si="1"/>
        <v/>
      </c>
      <c r="T18" s="55" t="str">
        <f t="shared" si="2"/>
        <v/>
      </c>
      <c r="U18" s="55" t="str">
        <f t="shared" si="3"/>
        <v/>
      </c>
      <c r="V18" s="55"/>
      <c r="W18" s="803"/>
      <c r="X18" s="804"/>
      <c r="Y18" s="805"/>
      <c r="Z18" s="803"/>
      <c r="AA18" s="804"/>
      <c r="AB18" s="805"/>
      <c r="AC18" s="803"/>
      <c r="AD18" s="804"/>
      <c r="AE18" s="805"/>
      <c r="AF18" s="277"/>
      <c r="AG18" s="850"/>
      <c r="AH18" s="850"/>
      <c r="AI18" s="277" t="str">
        <f>+IF(U18="","",IF(U18&gt;=[1]PARÁMETROS!$D$5,"CUMPLE","NO CUMPLE"))</f>
        <v/>
      </c>
      <c r="AJ18" s="139"/>
      <c r="AK18" s="109"/>
    </row>
    <row r="19" spans="1:37" s="72" customFormat="1" ht="30" customHeight="1">
      <c r="A19" s="835"/>
      <c r="B19" s="58"/>
      <c r="C19" s="75"/>
      <c r="D19" s="60" t="str">
        <f>+IFERROR(INDEX([1]CONSOLIDADO!$D$4:$D$91,MATCH('EXP GEN. 41'!B19,[1]CONSOLIDADO!$C$4:$C$91,0)),"")</f>
        <v/>
      </c>
      <c r="E19" s="61"/>
      <c r="F19" s="62"/>
      <c r="G19" s="277"/>
      <c r="H19" s="277"/>
      <c r="I19" s="63"/>
      <c r="J19" s="64"/>
      <c r="K19" s="64"/>
      <c r="L19" s="65" t="str">
        <f t="shared" si="0"/>
        <v/>
      </c>
      <c r="M19" s="66" t="str">
        <f>+IFERROR(INDEX([1]PARÁMETROS!$B$11:$B$37,MATCH(L19,[1]PARÁMETROS!$A$11:$A$37,0)),"")</f>
        <v/>
      </c>
      <c r="N19" s="67"/>
      <c r="O19" s="68"/>
      <c r="P19" s="58"/>
      <c r="Q19" s="69"/>
      <c r="R19" s="70"/>
      <c r="S19" s="66" t="str">
        <f t="shared" si="1"/>
        <v/>
      </c>
      <c r="T19" s="55" t="str">
        <f t="shared" si="2"/>
        <v/>
      </c>
      <c r="U19" s="55" t="str">
        <f t="shared" si="3"/>
        <v/>
      </c>
      <c r="V19" s="55"/>
      <c r="W19" s="803"/>
      <c r="X19" s="804"/>
      <c r="Y19" s="805"/>
      <c r="Z19" s="803"/>
      <c r="AA19" s="804"/>
      <c r="AB19" s="805"/>
      <c r="AC19" s="803"/>
      <c r="AD19" s="804"/>
      <c r="AE19" s="805"/>
      <c r="AF19" s="277"/>
      <c r="AG19" s="850"/>
      <c r="AH19" s="850"/>
      <c r="AI19" s="277" t="str">
        <f>+IF(U19="","",IF(U19&gt;=[1]PARÁMETROS!$D$5,"CUMPLE","NO CUMPLE"))</f>
        <v/>
      </c>
      <c r="AJ19" s="139"/>
      <c r="AK19" s="109"/>
    </row>
    <row r="20" spans="1:37" s="72" customFormat="1" ht="30" customHeight="1" thickBot="1">
      <c r="A20" s="836"/>
      <c r="B20" s="141"/>
      <c r="C20" s="142"/>
      <c r="D20" s="143" t="str">
        <f>+IFERROR(INDEX([1]CONSOLIDADO!$D$4:$D$91,MATCH('EXP GEN. 41'!B20,[1]CONSOLIDADO!$C$4:$C$91,0)),"")</f>
        <v/>
      </c>
      <c r="E20" s="144"/>
      <c r="F20" s="145"/>
      <c r="G20" s="278"/>
      <c r="H20" s="278"/>
      <c r="I20" s="146"/>
      <c r="J20" s="147"/>
      <c r="K20" s="147"/>
      <c r="L20" s="148" t="str">
        <f t="shared" si="0"/>
        <v/>
      </c>
      <c r="M20" s="149" t="str">
        <f>+IFERROR(INDEX([1]PARÁMETROS!$B$11:$B$37,MATCH(L20,[1]PARÁMETROS!$A$11:$A$37,0)),"")</f>
        <v/>
      </c>
      <c r="N20" s="150"/>
      <c r="O20" s="151"/>
      <c r="P20" s="141"/>
      <c r="Q20" s="152"/>
      <c r="R20" s="153"/>
      <c r="S20" s="149" t="str">
        <f t="shared" si="1"/>
        <v/>
      </c>
      <c r="T20" s="154" t="str">
        <f t="shared" si="2"/>
        <v/>
      </c>
      <c r="U20" s="154" t="str">
        <f t="shared" si="3"/>
        <v/>
      </c>
      <c r="V20" s="154"/>
      <c r="W20" s="825"/>
      <c r="X20" s="826"/>
      <c r="Y20" s="827"/>
      <c r="Z20" s="825"/>
      <c r="AA20" s="826"/>
      <c r="AB20" s="827"/>
      <c r="AC20" s="825"/>
      <c r="AD20" s="826"/>
      <c r="AE20" s="827"/>
      <c r="AF20" s="278"/>
      <c r="AG20" s="851"/>
      <c r="AH20" s="851"/>
      <c r="AI20" s="278" t="str">
        <f>+IF(U20="","",IF(U20&gt;=[1]PARÁMETROS!$D$5,"CUMPLE","NO CUMPLE"))</f>
        <v/>
      </c>
      <c r="AJ20" s="155"/>
      <c r="AK20" s="109"/>
    </row>
    <row r="21" spans="1:37" s="72" customFormat="1" ht="30" customHeight="1">
      <c r="A21" s="834"/>
      <c r="B21" s="123"/>
      <c r="C21" s="157"/>
      <c r="D21" s="125" t="str">
        <f>+IFERROR(INDEX([1]CONSOLIDADO!$D$4:$D$91,MATCH('EXP GEN. 41'!B21,[1]CONSOLIDADO!$C$4:$C$91,0)),"")</f>
        <v/>
      </c>
      <c r="E21" s="126"/>
      <c r="F21" s="127"/>
      <c r="G21" s="279"/>
      <c r="H21" s="279"/>
      <c r="I21" s="128"/>
      <c r="J21" s="129"/>
      <c r="K21" s="129"/>
      <c r="L21" s="130" t="str">
        <f t="shared" si="0"/>
        <v/>
      </c>
      <c r="M21" s="131" t="str">
        <f>+IFERROR(INDEX([1]PARÁMETROS!$B$11:$B$37,MATCH(L21,[1]PARÁMETROS!$A$11:$A$37,0)),"")</f>
        <v/>
      </c>
      <c r="N21" s="132"/>
      <c r="O21" s="133"/>
      <c r="P21" s="123"/>
      <c r="Q21" s="134"/>
      <c r="R21" s="135"/>
      <c r="S21" s="131" t="str">
        <f t="shared" si="1"/>
        <v/>
      </c>
      <c r="T21" s="136" t="str">
        <f t="shared" si="2"/>
        <v/>
      </c>
      <c r="U21" s="136" t="str">
        <f t="shared" si="3"/>
        <v/>
      </c>
      <c r="V21" s="136"/>
      <c r="W21" s="828"/>
      <c r="X21" s="829"/>
      <c r="Y21" s="830"/>
      <c r="Z21" s="828"/>
      <c r="AA21" s="829"/>
      <c r="AB21" s="830"/>
      <c r="AC21" s="828"/>
      <c r="AD21" s="829"/>
      <c r="AE21" s="830"/>
      <c r="AF21" s="279"/>
      <c r="AG21" s="824" t="str">
        <f>IF(U21="","",IF(SUM(U21:U23)&gt;=[1]PARÁMETROS!$H$5,"HÁBIL","NO HÁBIL"))</f>
        <v/>
      </c>
      <c r="AH21" s="824" t="str">
        <f>IF(U21="","",IF(U21&gt;=[1]PARÁMETROS!$F$5,"HÁBIL","NO HÁBIL"))</f>
        <v/>
      </c>
      <c r="AI21" s="279" t="str">
        <f>+IF(U21="","",IF(U21&gt;=[1]PARÁMETROS!$D$5,"CUMPLE","NO CUMPLE"))</f>
        <v/>
      </c>
      <c r="AJ21" s="138"/>
      <c r="AK21" s="109"/>
    </row>
    <row r="22" spans="1:37" s="72" customFormat="1" ht="30" customHeight="1">
      <c r="A22" s="835"/>
      <c r="B22" s="58"/>
      <c r="C22" s="75"/>
      <c r="D22" s="60" t="str">
        <f>+IFERROR(INDEX([1]CONSOLIDADO!$D$4:$D$91,MATCH('EXP GEN. 41'!B22,[1]CONSOLIDADO!$C$4:$C$91,0)),"")</f>
        <v/>
      </c>
      <c r="E22" s="61"/>
      <c r="F22" s="62"/>
      <c r="G22" s="277"/>
      <c r="H22" s="277"/>
      <c r="I22" s="63"/>
      <c r="J22" s="64"/>
      <c r="K22" s="64"/>
      <c r="L22" s="65" t="str">
        <f t="shared" si="0"/>
        <v/>
      </c>
      <c r="M22" s="66" t="str">
        <f>+IFERROR(INDEX([1]PARÁMETROS!$B$11:$B$37,MATCH(L22,[1]PARÁMETROS!$A$11:$A$37,0)),"")</f>
        <v/>
      </c>
      <c r="N22" s="67"/>
      <c r="O22" s="68"/>
      <c r="P22" s="58"/>
      <c r="Q22" s="69"/>
      <c r="R22" s="70"/>
      <c r="S22" s="66" t="str">
        <f t="shared" si="1"/>
        <v/>
      </c>
      <c r="T22" s="55" t="str">
        <f t="shared" si="2"/>
        <v/>
      </c>
      <c r="U22" s="55" t="str">
        <f t="shared" si="3"/>
        <v/>
      </c>
      <c r="V22" s="55"/>
      <c r="W22" s="803"/>
      <c r="X22" s="804"/>
      <c r="Y22" s="805"/>
      <c r="Z22" s="803"/>
      <c r="AA22" s="804"/>
      <c r="AB22" s="805"/>
      <c r="AC22" s="803"/>
      <c r="AD22" s="804"/>
      <c r="AE22" s="805"/>
      <c r="AF22" s="277"/>
      <c r="AG22" s="850"/>
      <c r="AH22" s="850"/>
      <c r="AI22" s="277" t="str">
        <f>+IF(U22="","",IF(U22&gt;=[1]PARÁMETROS!$D$5,"CUMPLE","NO CUMPLE"))</f>
        <v/>
      </c>
      <c r="AJ22" s="139"/>
      <c r="AK22" s="109"/>
    </row>
    <row r="23" spans="1:37" s="72" customFormat="1" ht="30" customHeight="1">
      <c r="A23" s="835"/>
      <c r="B23" s="58"/>
      <c r="C23" s="75"/>
      <c r="D23" s="60" t="str">
        <f>+IFERROR(INDEX([1]CONSOLIDADO!$D$4:$D$91,MATCH('EXP GEN. 41'!B23,[1]CONSOLIDADO!$C$4:$C$91,0)),"")</f>
        <v/>
      </c>
      <c r="E23" s="61"/>
      <c r="F23" s="62"/>
      <c r="G23" s="277"/>
      <c r="H23" s="277"/>
      <c r="I23" s="63"/>
      <c r="J23" s="64"/>
      <c r="K23" s="64"/>
      <c r="L23" s="65" t="str">
        <f t="shared" si="0"/>
        <v/>
      </c>
      <c r="M23" s="66" t="str">
        <f>+IFERROR(INDEX([1]PARÁMETROS!$B$11:$B$37,MATCH(L23,[1]PARÁMETROS!$A$11:$A$37,0)),"")</f>
        <v/>
      </c>
      <c r="N23" s="67"/>
      <c r="O23" s="68"/>
      <c r="P23" s="58"/>
      <c r="Q23" s="69"/>
      <c r="R23" s="70"/>
      <c r="S23" s="66" t="str">
        <f t="shared" si="1"/>
        <v/>
      </c>
      <c r="T23" s="55" t="str">
        <f t="shared" si="2"/>
        <v/>
      </c>
      <c r="U23" s="55" t="str">
        <f t="shared" si="3"/>
        <v/>
      </c>
      <c r="V23" s="55"/>
      <c r="W23" s="803"/>
      <c r="X23" s="804"/>
      <c r="Y23" s="805"/>
      <c r="Z23" s="803"/>
      <c r="AA23" s="804"/>
      <c r="AB23" s="805"/>
      <c r="AC23" s="803"/>
      <c r="AD23" s="804"/>
      <c r="AE23" s="805"/>
      <c r="AF23" s="277"/>
      <c r="AG23" s="850"/>
      <c r="AH23" s="850"/>
      <c r="AI23" s="277" t="str">
        <f>+IF(U23="","",IF(U23&gt;=[1]PARÁMETROS!$D$5,"CUMPLE","NO CUMPLE"))</f>
        <v/>
      </c>
      <c r="AJ23" s="139"/>
      <c r="AK23" s="109"/>
    </row>
    <row r="24" spans="1:37" s="72" customFormat="1" ht="30" customHeight="1">
      <c r="A24" s="835"/>
      <c r="B24" s="58"/>
      <c r="C24" s="75"/>
      <c r="D24" s="60" t="str">
        <f>+IFERROR(INDEX([1]CONSOLIDADO!$D$4:$D$91,MATCH('EXP GEN. 41'!B24,[1]CONSOLIDADO!$C$4:$C$91,0)),"")</f>
        <v/>
      </c>
      <c r="E24" s="61"/>
      <c r="F24" s="62"/>
      <c r="G24" s="277"/>
      <c r="H24" s="277"/>
      <c r="I24" s="63"/>
      <c r="J24" s="64"/>
      <c r="K24" s="64"/>
      <c r="L24" s="65" t="str">
        <f t="shared" si="0"/>
        <v/>
      </c>
      <c r="M24" s="66" t="str">
        <f>+IFERROR(INDEX([1]PARÁMETROS!$B$11:$B$37,MATCH(L24,[1]PARÁMETROS!$A$11:$A$37,0)),"")</f>
        <v/>
      </c>
      <c r="N24" s="67"/>
      <c r="O24" s="68"/>
      <c r="P24" s="58"/>
      <c r="Q24" s="69"/>
      <c r="R24" s="70"/>
      <c r="S24" s="66" t="str">
        <f t="shared" si="1"/>
        <v/>
      </c>
      <c r="T24" s="55" t="str">
        <f t="shared" si="2"/>
        <v/>
      </c>
      <c r="U24" s="55" t="str">
        <f t="shared" si="3"/>
        <v/>
      </c>
      <c r="V24" s="55"/>
      <c r="W24" s="803"/>
      <c r="X24" s="804"/>
      <c r="Y24" s="805"/>
      <c r="Z24" s="803"/>
      <c r="AA24" s="804"/>
      <c r="AB24" s="805"/>
      <c r="AC24" s="803"/>
      <c r="AD24" s="804"/>
      <c r="AE24" s="805"/>
      <c r="AF24" s="277"/>
      <c r="AG24" s="850"/>
      <c r="AH24" s="850"/>
      <c r="AI24" s="277" t="str">
        <f>+IF(U24="","",IF(U24&gt;=[1]PARÁMETROS!$D$5,"CUMPLE","NO CUMPLE"))</f>
        <v/>
      </c>
      <c r="AJ24" s="139"/>
      <c r="AK24" s="109"/>
    </row>
    <row r="25" spans="1:37" s="72" customFormat="1" ht="30" customHeight="1">
      <c r="A25" s="835"/>
      <c r="B25" s="58"/>
      <c r="C25" s="75"/>
      <c r="D25" s="60" t="str">
        <f>+IFERROR(INDEX([1]CONSOLIDADO!$D$4:$D$91,MATCH('EXP GEN. 41'!B25,[1]CONSOLIDADO!$C$4:$C$91,0)),"")</f>
        <v/>
      </c>
      <c r="E25" s="61"/>
      <c r="F25" s="62"/>
      <c r="G25" s="277"/>
      <c r="H25" s="277"/>
      <c r="I25" s="63"/>
      <c r="J25" s="64"/>
      <c r="K25" s="64"/>
      <c r="L25" s="65" t="str">
        <f t="shared" si="0"/>
        <v/>
      </c>
      <c r="M25" s="66" t="str">
        <f>+IFERROR(INDEX([1]PARÁMETROS!$B$11:$B$37,MATCH(L25,[1]PARÁMETROS!$A$11:$A$37,0)),"")</f>
        <v/>
      </c>
      <c r="N25" s="67"/>
      <c r="O25" s="68"/>
      <c r="P25" s="58"/>
      <c r="Q25" s="69"/>
      <c r="R25" s="70"/>
      <c r="S25" s="66" t="str">
        <f t="shared" si="1"/>
        <v/>
      </c>
      <c r="T25" s="55" t="str">
        <f t="shared" si="2"/>
        <v/>
      </c>
      <c r="U25" s="55" t="str">
        <f t="shared" si="3"/>
        <v/>
      </c>
      <c r="V25" s="55"/>
      <c r="W25" s="803"/>
      <c r="X25" s="804"/>
      <c r="Y25" s="805"/>
      <c r="Z25" s="803"/>
      <c r="AA25" s="804"/>
      <c r="AB25" s="805"/>
      <c r="AC25" s="803"/>
      <c r="AD25" s="804"/>
      <c r="AE25" s="805"/>
      <c r="AF25" s="277"/>
      <c r="AG25" s="850"/>
      <c r="AH25" s="850"/>
      <c r="AI25" s="277" t="str">
        <f>+IF(U25="","",IF(U25&gt;=[1]PARÁMETROS!$D$5,"CUMPLE","NO CUMPLE"))</f>
        <v/>
      </c>
      <c r="AJ25" s="139"/>
      <c r="AK25" s="109"/>
    </row>
    <row r="26" spans="1:37" s="72" customFormat="1" ht="30" customHeight="1" thickBot="1">
      <c r="A26" s="836"/>
      <c r="B26" s="141"/>
      <c r="C26" s="142"/>
      <c r="D26" s="143" t="str">
        <f>+IFERROR(INDEX([1]CONSOLIDADO!$D$4:$D$91,MATCH('EXP GEN. 41'!B26,[1]CONSOLIDADO!$C$4:$C$91,0)),"")</f>
        <v/>
      </c>
      <c r="E26" s="144"/>
      <c r="F26" s="145"/>
      <c r="G26" s="278"/>
      <c r="H26" s="278"/>
      <c r="I26" s="146"/>
      <c r="J26" s="147"/>
      <c r="K26" s="147"/>
      <c r="L26" s="148" t="str">
        <f t="shared" si="0"/>
        <v/>
      </c>
      <c r="M26" s="149" t="str">
        <f>+IFERROR(INDEX([1]PARÁMETROS!$B$11:$B$37,MATCH(L26,[1]PARÁMETROS!$A$11:$A$37,0)),"")</f>
        <v/>
      </c>
      <c r="N26" s="150"/>
      <c r="O26" s="151"/>
      <c r="P26" s="141"/>
      <c r="Q26" s="152"/>
      <c r="R26" s="153"/>
      <c r="S26" s="149" t="str">
        <f t="shared" si="1"/>
        <v/>
      </c>
      <c r="T26" s="154" t="str">
        <f t="shared" si="2"/>
        <v/>
      </c>
      <c r="U26" s="154" t="str">
        <f t="shared" si="3"/>
        <v/>
      </c>
      <c r="V26" s="154"/>
      <c r="W26" s="825"/>
      <c r="X26" s="826"/>
      <c r="Y26" s="827"/>
      <c r="Z26" s="825"/>
      <c r="AA26" s="826"/>
      <c r="AB26" s="827"/>
      <c r="AC26" s="825"/>
      <c r="AD26" s="826"/>
      <c r="AE26" s="827"/>
      <c r="AF26" s="278"/>
      <c r="AG26" s="851"/>
      <c r="AH26" s="851"/>
      <c r="AI26" s="278" t="str">
        <f>+IF(U26="","",IF(U26&gt;=[1]PARÁMETROS!$D$5,"CUMPLE","NO CUMPLE"))</f>
        <v/>
      </c>
      <c r="AJ26" s="155"/>
      <c r="AK26" s="109"/>
    </row>
    <row r="27" spans="1:37" s="72" customFormat="1" ht="30" customHeight="1">
      <c r="A27" s="834"/>
      <c r="B27" s="123"/>
      <c r="C27" s="157"/>
      <c r="D27" s="125" t="str">
        <f>+IFERROR(INDEX([1]CONSOLIDADO!$D$4:$D$91,MATCH('EXP GEN. 41'!B27,[1]CONSOLIDADO!$C$4:$C$91,0)),"")</f>
        <v/>
      </c>
      <c r="E27" s="126"/>
      <c r="F27" s="127"/>
      <c r="G27" s="279"/>
      <c r="H27" s="279"/>
      <c r="I27" s="128"/>
      <c r="J27" s="129"/>
      <c r="K27" s="129"/>
      <c r="L27" s="130" t="str">
        <f t="shared" si="0"/>
        <v/>
      </c>
      <c r="M27" s="131" t="str">
        <f>+IFERROR(INDEX([1]PARÁMETROS!$B$11:$B$37,MATCH(L27,[1]PARÁMETROS!$A$11:$A$37,0)),"")</f>
        <v/>
      </c>
      <c r="N27" s="132"/>
      <c r="O27" s="133"/>
      <c r="P27" s="123"/>
      <c r="Q27" s="134"/>
      <c r="R27" s="135"/>
      <c r="S27" s="131" t="str">
        <f t="shared" si="1"/>
        <v/>
      </c>
      <c r="T27" s="136" t="str">
        <f t="shared" si="2"/>
        <v/>
      </c>
      <c r="U27" s="136" t="str">
        <f t="shared" si="3"/>
        <v/>
      </c>
      <c r="V27" s="136"/>
      <c r="W27" s="828"/>
      <c r="X27" s="829"/>
      <c r="Y27" s="830"/>
      <c r="Z27" s="828"/>
      <c r="AA27" s="829"/>
      <c r="AB27" s="830"/>
      <c r="AC27" s="828"/>
      <c r="AD27" s="829"/>
      <c r="AE27" s="830"/>
      <c r="AF27" s="279"/>
      <c r="AG27" s="824" t="str">
        <f>IF(U27="","",IF(SUM(U27:U29)&gt;=[1]PARÁMETROS!$H$5,"HÁBIL","NO HÁBIL"))</f>
        <v/>
      </c>
      <c r="AH27" s="824" t="str">
        <f>IF(U27="","",IF(U27&gt;=[1]PARÁMETROS!$F$5,"HÁBIL","NO HÁBIL"))</f>
        <v/>
      </c>
      <c r="AI27" s="279" t="str">
        <f>+IF(U27="","",IF(U27&gt;=[1]PARÁMETROS!$D$5,"CUMPLE","NO CUMPLE"))</f>
        <v/>
      </c>
      <c r="AJ27" s="138"/>
      <c r="AK27" s="109"/>
    </row>
    <row r="28" spans="1:37" s="72" customFormat="1" ht="30" customHeight="1">
      <c r="A28" s="835"/>
      <c r="B28" s="58"/>
      <c r="C28" s="75"/>
      <c r="D28" s="60" t="str">
        <f>+IFERROR(INDEX([1]CONSOLIDADO!$D$4:$D$91,MATCH('EXP GEN. 41'!B28,[1]CONSOLIDADO!$C$4:$C$91,0)),"")</f>
        <v/>
      </c>
      <c r="E28" s="61"/>
      <c r="F28" s="62"/>
      <c r="G28" s="277"/>
      <c r="H28" s="277"/>
      <c r="I28" s="63"/>
      <c r="J28" s="64"/>
      <c r="K28" s="64"/>
      <c r="L28" s="65" t="str">
        <f t="shared" si="0"/>
        <v/>
      </c>
      <c r="M28" s="66" t="str">
        <f>+IFERROR(INDEX([1]PARÁMETROS!$B$11:$B$37,MATCH(L28,[1]PARÁMETROS!$A$11:$A$37,0)),"")</f>
        <v/>
      </c>
      <c r="N28" s="67"/>
      <c r="O28" s="68"/>
      <c r="P28" s="58"/>
      <c r="Q28" s="69"/>
      <c r="R28" s="70"/>
      <c r="S28" s="66" t="str">
        <f t="shared" si="1"/>
        <v/>
      </c>
      <c r="T28" s="55" t="str">
        <f t="shared" si="2"/>
        <v/>
      </c>
      <c r="U28" s="55" t="str">
        <f t="shared" si="3"/>
        <v/>
      </c>
      <c r="V28" s="55"/>
      <c r="W28" s="803"/>
      <c r="X28" s="804"/>
      <c r="Y28" s="805"/>
      <c r="Z28" s="803"/>
      <c r="AA28" s="804"/>
      <c r="AB28" s="805"/>
      <c r="AC28" s="803"/>
      <c r="AD28" s="804"/>
      <c r="AE28" s="805"/>
      <c r="AF28" s="277"/>
      <c r="AG28" s="850"/>
      <c r="AH28" s="850"/>
      <c r="AI28" s="277" t="str">
        <f>+IF(U28="","",IF(U28&gt;=[1]PARÁMETROS!$D$5,"CUMPLE","NO CUMPLE"))</f>
        <v/>
      </c>
      <c r="AJ28" s="139"/>
      <c r="AK28" s="109"/>
    </row>
    <row r="29" spans="1:37" s="72" customFormat="1" ht="30" customHeight="1">
      <c r="A29" s="835"/>
      <c r="B29" s="58"/>
      <c r="C29" s="75"/>
      <c r="D29" s="60" t="str">
        <f>+IFERROR(INDEX([1]CONSOLIDADO!$D$4:$D$91,MATCH('EXP GEN. 41'!B29,[1]CONSOLIDADO!$C$4:$C$91,0)),"")</f>
        <v/>
      </c>
      <c r="E29" s="76"/>
      <c r="F29" s="76"/>
      <c r="G29" s="277"/>
      <c r="H29" s="277"/>
      <c r="I29" s="77"/>
      <c r="J29" s="64"/>
      <c r="K29" s="64"/>
      <c r="L29" s="65" t="str">
        <f t="shared" si="0"/>
        <v/>
      </c>
      <c r="M29" s="66" t="str">
        <f>+IFERROR(INDEX([1]PARÁMETROS!$B$11:$B$37,MATCH(L29,[1]PARÁMETROS!$A$11:$A$37,0)),"")</f>
        <v/>
      </c>
      <c r="N29" s="67"/>
      <c r="O29" s="68"/>
      <c r="P29" s="58"/>
      <c r="Q29" s="69"/>
      <c r="R29" s="70"/>
      <c r="S29" s="66" t="str">
        <f t="shared" si="1"/>
        <v/>
      </c>
      <c r="T29" s="55" t="str">
        <f t="shared" si="2"/>
        <v/>
      </c>
      <c r="U29" s="55" t="str">
        <f t="shared" si="3"/>
        <v/>
      </c>
      <c r="V29" s="55"/>
      <c r="W29" s="803"/>
      <c r="X29" s="804"/>
      <c r="Y29" s="805"/>
      <c r="Z29" s="803"/>
      <c r="AA29" s="804"/>
      <c r="AB29" s="805"/>
      <c r="AC29" s="803"/>
      <c r="AD29" s="804"/>
      <c r="AE29" s="805"/>
      <c r="AF29" s="277"/>
      <c r="AG29" s="850"/>
      <c r="AH29" s="850"/>
      <c r="AI29" s="277" t="str">
        <f>+IF(U29="","",IF(U29&gt;=[1]PARÁMETROS!$D$5,"CUMPLE","NO CUMPLE"))</f>
        <v/>
      </c>
      <c r="AJ29" s="166"/>
      <c r="AK29" s="109"/>
    </row>
    <row r="30" spans="1:37" s="82" customFormat="1" ht="30" customHeight="1">
      <c r="A30" s="835"/>
      <c r="B30" s="58"/>
      <c r="C30" s="72"/>
      <c r="D30" s="60" t="str">
        <f>+IFERROR(INDEX([1]CONSOLIDADO!$D$4:$D$91,MATCH('EXP GEN. 41'!B30,[1]CONSOLIDADO!$C$4:$C$91,0)),"")</f>
        <v/>
      </c>
      <c r="E30" s="61"/>
      <c r="F30" s="62"/>
      <c r="G30" s="277"/>
      <c r="H30" s="277"/>
      <c r="I30" s="78"/>
      <c r="J30" s="79"/>
      <c r="K30" s="80"/>
      <c r="L30" s="65" t="str">
        <f t="shared" si="0"/>
        <v/>
      </c>
      <c r="M30" s="66" t="str">
        <f>+IFERROR(INDEX([1]PARÁMETROS!$B$11:$B$37,MATCH(L30,[1]PARÁMETROS!$A$11:$A$37,0)),"")</f>
        <v/>
      </c>
      <c r="N30" s="68"/>
      <c r="O30" s="68"/>
      <c r="P30" s="68"/>
      <c r="Q30" s="68"/>
      <c r="R30" s="68"/>
      <c r="S30" s="66" t="str">
        <f t="shared" si="1"/>
        <v/>
      </c>
      <c r="T30" s="55" t="str">
        <f t="shared" si="2"/>
        <v/>
      </c>
      <c r="U30" s="55" t="str">
        <f t="shared" si="3"/>
        <v/>
      </c>
      <c r="V30" s="81"/>
      <c r="W30" s="803"/>
      <c r="X30" s="804"/>
      <c r="Y30" s="805"/>
      <c r="Z30" s="803"/>
      <c r="AA30" s="804"/>
      <c r="AB30" s="805"/>
      <c r="AC30" s="803"/>
      <c r="AD30" s="804"/>
      <c r="AE30" s="805"/>
      <c r="AF30" s="277"/>
      <c r="AG30" s="850"/>
      <c r="AH30" s="850"/>
      <c r="AI30" s="277" t="str">
        <f>+IF(U30="","",IF(U30&gt;=[1]PARÁMETROS!$D$5,"CUMPLE","NO CUMPLE"))</f>
        <v/>
      </c>
      <c r="AJ30" s="139"/>
      <c r="AK30" s="158"/>
    </row>
    <row r="31" spans="1:37" s="72" customFormat="1" ht="30" customHeight="1">
      <c r="A31" s="835"/>
      <c r="B31" s="58"/>
      <c r="C31" s="75"/>
      <c r="D31" s="60" t="str">
        <f>+IFERROR(INDEX([1]CONSOLIDADO!$D$4:$D$91,MATCH('EXP GEN. 41'!B31,[1]CONSOLIDADO!$C$4:$C$91,0)),"")</f>
        <v/>
      </c>
      <c r="E31" s="61"/>
      <c r="F31" s="62"/>
      <c r="G31" s="277"/>
      <c r="H31" s="277"/>
      <c r="I31" s="63"/>
      <c r="J31" s="64"/>
      <c r="K31" s="64"/>
      <c r="L31" s="65" t="str">
        <f t="shared" si="0"/>
        <v/>
      </c>
      <c r="M31" s="66" t="str">
        <f>+IFERROR(INDEX([1]PARÁMETROS!$B$11:$B$37,MATCH(L31,[1]PARÁMETROS!$A$11:$A$37,0)),"")</f>
        <v/>
      </c>
      <c r="N31" s="67"/>
      <c r="O31" s="68"/>
      <c r="P31" s="58"/>
      <c r="Q31" s="69"/>
      <c r="R31" s="70"/>
      <c r="S31" s="66" t="str">
        <f t="shared" si="1"/>
        <v/>
      </c>
      <c r="T31" s="55" t="str">
        <f t="shared" si="2"/>
        <v/>
      </c>
      <c r="U31" s="55" t="str">
        <f t="shared" si="3"/>
        <v/>
      </c>
      <c r="V31" s="55"/>
      <c r="W31" s="803"/>
      <c r="X31" s="804"/>
      <c r="Y31" s="805"/>
      <c r="Z31" s="803"/>
      <c r="AA31" s="804"/>
      <c r="AB31" s="805"/>
      <c r="AC31" s="803"/>
      <c r="AD31" s="804"/>
      <c r="AE31" s="805"/>
      <c r="AF31" s="277"/>
      <c r="AG31" s="850"/>
      <c r="AH31" s="850"/>
      <c r="AI31" s="277" t="str">
        <f>+IF(U31="","",IF(U31&gt;=[1]PARÁMETROS!$D$5,"CUMPLE","NO CUMPLE"))</f>
        <v/>
      </c>
      <c r="AJ31" s="139"/>
      <c r="AK31" s="109"/>
    </row>
    <row r="32" spans="1:37" s="72" customFormat="1" ht="30" customHeight="1" thickBot="1">
      <c r="A32" s="836"/>
      <c r="B32" s="141"/>
      <c r="C32" s="142"/>
      <c r="D32" s="143" t="str">
        <f>+IFERROR(INDEX([1]CONSOLIDADO!$D$4:$D$91,MATCH('EXP GEN. 41'!B32,[1]CONSOLIDADO!$C$4:$C$91,0)),"")</f>
        <v/>
      </c>
      <c r="E32" s="144"/>
      <c r="F32" s="145"/>
      <c r="G32" s="278"/>
      <c r="H32" s="278"/>
      <c r="I32" s="146"/>
      <c r="J32" s="147"/>
      <c r="K32" s="147"/>
      <c r="L32" s="148" t="str">
        <f t="shared" si="0"/>
        <v/>
      </c>
      <c r="M32" s="149" t="str">
        <f>+IFERROR(INDEX([1]PARÁMETROS!$B$11:$B$37,MATCH(L32,[1]PARÁMETROS!$A$11:$A$37,0)),"")</f>
        <v/>
      </c>
      <c r="N32" s="150"/>
      <c r="O32" s="151"/>
      <c r="P32" s="141"/>
      <c r="Q32" s="152"/>
      <c r="R32" s="153"/>
      <c r="S32" s="149" t="str">
        <f t="shared" si="1"/>
        <v/>
      </c>
      <c r="T32" s="154" t="str">
        <f t="shared" si="2"/>
        <v/>
      </c>
      <c r="U32" s="154" t="str">
        <f t="shared" si="3"/>
        <v/>
      </c>
      <c r="V32" s="154"/>
      <c r="W32" s="825"/>
      <c r="X32" s="826"/>
      <c r="Y32" s="827"/>
      <c r="Z32" s="825"/>
      <c r="AA32" s="826"/>
      <c r="AB32" s="827"/>
      <c r="AC32" s="825"/>
      <c r="AD32" s="826"/>
      <c r="AE32" s="827"/>
      <c r="AF32" s="278"/>
      <c r="AG32" s="851"/>
      <c r="AH32" s="851"/>
      <c r="AI32" s="278" t="str">
        <f>+IF(U32="","",IF(U32&gt;=[1]PARÁMETROS!$D$5,"CUMPLE","NO CUMPLE"))</f>
        <v/>
      </c>
      <c r="AJ32" s="155"/>
      <c r="AK32" s="109"/>
    </row>
    <row r="33" spans="1:37" s="72" customFormat="1" ht="30" customHeight="1">
      <c r="A33" s="834"/>
      <c r="B33" s="123"/>
      <c r="C33" s="157"/>
      <c r="D33" s="125" t="str">
        <f>+IFERROR(INDEX([1]CONSOLIDADO!$D$4:$D$91,MATCH('EXP GEN. 41'!B33,[1]CONSOLIDADO!$C$4:$C$91,0)),"")</f>
        <v/>
      </c>
      <c r="E33" s="126"/>
      <c r="F33" s="127"/>
      <c r="G33" s="279"/>
      <c r="H33" s="279"/>
      <c r="I33" s="128"/>
      <c r="J33" s="129"/>
      <c r="K33" s="129"/>
      <c r="L33" s="130" t="str">
        <f t="shared" si="0"/>
        <v/>
      </c>
      <c r="M33" s="131" t="str">
        <f>+IFERROR(INDEX([1]PARÁMETROS!$B$11:$B$37,MATCH(L33,[1]PARÁMETROS!$A$11:$A$37,0)),"")</f>
        <v/>
      </c>
      <c r="N33" s="132"/>
      <c r="O33" s="133"/>
      <c r="P33" s="123"/>
      <c r="Q33" s="134"/>
      <c r="R33" s="135"/>
      <c r="S33" s="131" t="str">
        <f t="shared" si="1"/>
        <v/>
      </c>
      <c r="T33" s="136" t="str">
        <f t="shared" si="2"/>
        <v/>
      </c>
      <c r="U33" s="136" t="str">
        <f t="shared" si="3"/>
        <v/>
      </c>
      <c r="V33" s="136"/>
      <c r="W33" s="828"/>
      <c r="X33" s="829"/>
      <c r="Y33" s="830"/>
      <c r="Z33" s="828"/>
      <c r="AA33" s="829"/>
      <c r="AB33" s="830"/>
      <c r="AC33" s="828"/>
      <c r="AD33" s="829"/>
      <c r="AE33" s="830"/>
      <c r="AF33" s="279"/>
      <c r="AG33" s="824" t="str">
        <f>IF(U33="","",IF(SUM(U33:U35)&gt;=[1]PARÁMETROS!$H$5,"HÁBIL","NO HÁBIL"))</f>
        <v/>
      </c>
      <c r="AH33" s="824" t="str">
        <f>IF(U33="","",IF(U33&gt;=[1]PARÁMETROS!$F$5,"HÁBIL","NO HÁBIL"))</f>
        <v/>
      </c>
      <c r="AI33" s="279" t="str">
        <f>+IF(U33="","",IF(U33&gt;=[1]PARÁMETROS!$D$5,"CUMPLE","NO CUMPLE"))</f>
        <v/>
      </c>
      <c r="AJ33" s="138"/>
      <c r="AK33" s="109"/>
    </row>
    <row r="34" spans="1:37" s="72" customFormat="1" ht="30" customHeight="1">
      <c r="A34" s="835"/>
      <c r="B34" s="58"/>
      <c r="C34" s="75"/>
      <c r="D34" s="60" t="str">
        <f>+IFERROR(INDEX([1]CONSOLIDADO!$D$4:$D$91,MATCH('EXP GEN. 41'!B34,[1]CONSOLIDADO!$C$4:$C$91,0)),"")</f>
        <v/>
      </c>
      <c r="E34" s="61"/>
      <c r="F34" s="62"/>
      <c r="G34" s="277"/>
      <c r="H34" s="277"/>
      <c r="I34" s="63"/>
      <c r="J34" s="64"/>
      <c r="K34" s="64"/>
      <c r="L34" s="65" t="str">
        <f t="shared" si="0"/>
        <v/>
      </c>
      <c r="M34" s="66" t="str">
        <f>+IFERROR(INDEX([1]PARÁMETROS!$B$11:$B$37,MATCH(L34,[1]PARÁMETROS!$A$11:$A$37,0)),"")</f>
        <v/>
      </c>
      <c r="N34" s="67"/>
      <c r="O34" s="68"/>
      <c r="P34" s="58"/>
      <c r="Q34" s="69"/>
      <c r="R34" s="70"/>
      <c r="S34" s="66" t="str">
        <f t="shared" si="1"/>
        <v/>
      </c>
      <c r="T34" s="55" t="str">
        <f t="shared" si="2"/>
        <v/>
      </c>
      <c r="U34" s="55" t="str">
        <f t="shared" si="3"/>
        <v/>
      </c>
      <c r="V34" s="55"/>
      <c r="W34" s="803"/>
      <c r="X34" s="804"/>
      <c r="Y34" s="805"/>
      <c r="Z34" s="803"/>
      <c r="AA34" s="804"/>
      <c r="AB34" s="805"/>
      <c r="AC34" s="803"/>
      <c r="AD34" s="804"/>
      <c r="AE34" s="805"/>
      <c r="AF34" s="277"/>
      <c r="AG34" s="850"/>
      <c r="AH34" s="850"/>
      <c r="AI34" s="277" t="str">
        <f>+IF(U34="","",IF(U34&gt;=[1]PARÁMETROS!$D$5,"CUMPLE","NO CUMPLE"))</f>
        <v/>
      </c>
      <c r="AJ34" s="139"/>
      <c r="AK34" s="109"/>
    </row>
    <row r="35" spans="1:37" s="72" customFormat="1" ht="30" customHeight="1">
      <c r="A35" s="835"/>
      <c r="B35" s="58"/>
      <c r="C35" s="75"/>
      <c r="D35" s="60" t="str">
        <f>+IFERROR(INDEX([1]CONSOLIDADO!$D$4:$D$91,MATCH('EXP GEN. 41'!B35,[1]CONSOLIDADO!$C$4:$C$91,0)),"")</f>
        <v/>
      </c>
      <c r="E35" s="61"/>
      <c r="F35" s="62"/>
      <c r="G35" s="277"/>
      <c r="H35" s="277"/>
      <c r="I35" s="63"/>
      <c r="J35" s="64"/>
      <c r="K35" s="64"/>
      <c r="L35" s="65" t="str">
        <f t="shared" si="0"/>
        <v/>
      </c>
      <c r="M35" s="66" t="str">
        <f>+IFERROR(INDEX([1]PARÁMETROS!$B$11:$B$37,MATCH(L35,[1]PARÁMETROS!$A$11:$A$37,0)),"")</f>
        <v/>
      </c>
      <c r="N35" s="67"/>
      <c r="O35" s="68"/>
      <c r="P35" s="58"/>
      <c r="Q35" s="69"/>
      <c r="R35" s="70"/>
      <c r="S35" s="66" t="str">
        <f t="shared" si="1"/>
        <v/>
      </c>
      <c r="T35" s="55" t="str">
        <f t="shared" si="2"/>
        <v/>
      </c>
      <c r="U35" s="55" t="str">
        <f t="shared" si="3"/>
        <v/>
      </c>
      <c r="V35" s="55"/>
      <c r="W35" s="803"/>
      <c r="X35" s="804"/>
      <c r="Y35" s="805"/>
      <c r="Z35" s="803"/>
      <c r="AA35" s="804"/>
      <c r="AB35" s="805"/>
      <c r="AC35" s="803"/>
      <c r="AD35" s="804"/>
      <c r="AE35" s="805"/>
      <c r="AF35" s="277"/>
      <c r="AG35" s="850"/>
      <c r="AH35" s="850"/>
      <c r="AI35" s="277" t="str">
        <f>+IF(U35="","",IF(U35&gt;=[1]PARÁMETROS!$D$5,"CUMPLE","NO CUMPLE"))</f>
        <v/>
      </c>
      <c r="AJ35" s="139"/>
      <c r="AK35" s="109"/>
    </row>
    <row r="36" spans="1:37" s="72" customFormat="1" ht="30" customHeight="1">
      <c r="A36" s="835"/>
      <c r="B36" s="58"/>
      <c r="C36" s="75"/>
      <c r="D36" s="60" t="str">
        <f>+IFERROR(INDEX([1]CONSOLIDADO!$D$4:$D$91,MATCH('EXP GEN. 41'!B36,[1]CONSOLIDADO!$C$4:$C$91,0)),"")</f>
        <v/>
      </c>
      <c r="E36" s="61"/>
      <c r="F36" s="62"/>
      <c r="G36" s="277"/>
      <c r="H36" s="277"/>
      <c r="I36" s="63"/>
      <c r="J36" s="64"/>
      <c r="K36" s="64"/>
      <c r="L36" s="65" t="str">
        <f t="shared" si="0"/>
        <v/>
      </c>
      <c r="M36" s="66" t="str">
        <f>+IFERROR(INDEX([1]PARÁMETROS!$B$11:$B$37,MATCH(L36,[1]PARÁMETROS!$A$11:$A$37,0)),"")</f>
        <v/>
      </c>
      <c r="N36" s="67"/>
      <c r="O36" s="68"/>
      <c r="P36" s="58"/>
      <c r="Q36" s="69"/>
      <c r="R36" s="70"/>
      <c r="S36" s="66" t="str">
        <f t="shared" si="1"/>
        <v/>
      </c>
      <c r="T36" s="55" t="str">
        <f t="shared" si="2"/>
        <v/>
      </c>
      <c r="U36" s="55" t="str">
        <f t="shared" si="3"/>
        <v/>
      </c>
      <c r="V36" s="55"/>
      <c r="W36" s="803"/>
      <c r="X36" s="804"/>
      <c r="Y36" s="805"/>
      <c r="Z36" s="803"/>
      <c r="AA36" s="804"/>
      <c r="AB36" s="805"/>
      <c r="AC36" s="803"/>
      <c r="AD36" s="804"/>
      <c r="AE36" s="805"/>
      <c r="AF36" s="277"/>
      <c r="AG36" s="850"/>
      <c r="AH36" s="850"/>
      <c r="AI36" s="277" t="str">
        <f>+IF(U36="","",IF(U36&gt;=[1]PARÁMETROS!$D$5,"CUMPLE","NO CUMPLE"))</f>
        <v/>
      </c>
      <c r="AJ36" s="139"/>
      <c r="AK36" s="109"/>
    </row>
    <row r="37" spans="1:37" s="72" customFormat="1" ht="30" customHeight="1">
      <c r="A37" s="835"/>
      <c r="B37" s="58"/>
      <c r="C37" s="75"/>
      <c r="D37" s="60" t="str">
        <f>+IFERROR(INDEX([1]CONSOLIDADO!$D$4:$D$91,MATCH('EXP GEN. 41'!B37,[1]CONSOLIDADO!$C$4:$C$91,0)),"")</f>
        <v/>
      </c>
      <c r="E37" s="61"/>
      <c r="F37" s="62"/>
      <c r="G37" s="277"/>
      <c r="H37" s="277"/>
      <c r="I37" s="63"/>
      <c r="J37" s="64"/>
      <c r="K37" s="64"/>
      <c r="L37" s="65" t="str">
        <f t="shared" si="0"/>
        <v/>
      </c>
      <c r="M37" s="66" t="str">
        <f>+IFERROR(INDEX([1]PARÁMETROS!$B$11:$B$37,MATCH(L37,[1]PARÁMETROS!$A$11:$A$37,0)),"")</f>
        <v/>
      </c>
      <c r="N37" s="67"/>
      <c r="O37" s="68"/>
      <c r="P37" s="58"/>
      <c r="Q37" s="69"/>
      <c r="R37" s="70"/>
      <c r="S37" s="66" t="str">
        <f t="shared" si="1"/>
        <v/>
      </c>
      <c r="T37" s="55" t="str">
        <f t="shared" si="2"/>
        <v/>
      </c>
      <c r="U37" s="55" t="str">
        <f t="shared" si="3"/>
        <v/>
      </c>
      <c r="V37" s="55"/>
      <c r="W37" s="803"/>
      <c r="X37" s="804"/>
      <c r="Y37" s="805"/>
      <c r="Z37" s="803"/>
      <c r="AA37" s="804"/>
      <c r="AB37" s="805"/>
      <c r="AC37" s="803"/>
      <c r="AD37" s="804"/>
      <c r="AE37" s="805"/>
      <c r="AF37" s="277"/>
      <c r="AG37" s="850"/>
      <c r="AH37" s="850"/>
      <c r="AI37" s="277" t="str">
        <f>+IF(U37="","",IF(U37&gt;=[1]PARÁMETROS!$D$5,"CUMPLE","NO CUMPLE"))</f>
        <v/>
      </c>
      <c r="AJ37" s="139"/>
      <c r="AK37" s="109"/>
    </row>
    <row r="38" spans="1:37" s="72" customFormat="1" ht="30" customHeight="1" thickBot="1">
      <c r="A38" s="836"/>
      <c r="B38" s="141"/>
      <c r="C38" s="142"/>
      <c r="D38" s="143" t="str">
        <f>+IFERROR(INDEX([1]CONSOLIDADO!$D$4:$D$91,MATCH('EXP GEN. 41'!B38,[1]CONSOLIDADO!$C$4:$C$91,0)),"")</f>
        <v/>
      </c>
      <c r="E38" s="144"/>
      <c r="F38" s="145"/>
      <c r="G38" s="278"/>
      <c r="H38" s="278"/>
      <c r="I38" s="146"/>
      <c r="J38" s="147"/>
      <c r="K38" s="147"/>
      <c r="L38" s="148" t="str">
        <f t="shared" si="0"/>
        <v/>
      </c>
      <c r="M38" s="149" t="str">
        <f>+IFERROR(INDEX([1]PARÁMETROS!$B$11:$B$37,MATCH(L38,[1]PARÁMETROS!$A$11:$A$37,0)),"")</f>
        <v/>
      </c>
      <c r="N38" s="150"/>
      <c r="O38" s="151"/>
      <c r="P38" s="141"/>
      <c r="Q38" s="152"/>
      <c r="R38" s="153"/>
      <c r="S38" s="149" t="str">
        <f t="shared" si="1"/>
        <v/>
      </c>
      <c r="T38" s="154" t="str">
        <f t="shared" si="2"/>
        <v/>
      </c>
      <c r="U38" s="154" t="str">
        <f t="shared" si="3"/>
        <v/>
      </c>
      <c r="V38" s="154"/>
      <c r="W38" s="825"/>
      <c r="X38" s="826"/>
      <c r="Y38" s="827"/>
      <c r="Z38" s="825"/>
      <c r="AA38" s="826"/>
      <c r="AB38" s="827"/>
      <c r="AC38" s="825"/>
      <c r="AD38" s="826"/>
      <c r="AE38" s="827"/>
      <c r="AF38" s="278"/>
      <c r="AG38" s="851"/>
      <c r="AH38" s="851"/>
      <c r="AI38" s="278" t="str">
        <f>+IF(U38="","",IF(U38&gt;=[1]PARÁMETROS!$D$5,"CUMPLE","NO CUMPLE"))</f>
        <v/>
      </c>
      <c r="AJ38" s="155"/>
      <c r="AK38" s="109"/>
    </row>
    <row r="39" spans="1:37" s="72" customFormat="1" ht="30" customHeight="1">
      <c r="A39" s="834"/>
      <c r="B39" s="123"/>
      <c r="C39" s="157"/>
      <c r="D39" s="125" t="str">
        <f>+IFERROR(INDEX([1]CONSOLIDADO!$D$4:$D$91,MATCH('EXP GEN. 41'!B39,[1]CONSOLIDADO!$C$4:$C$91,0)),"")</f>
        <v/>
      </c>
      <c r="E39" s="126"/>
      <c r="F39" s="127"/>
      <c r="G39" s="279"/>
      <c r="H39" s="279"/>
      <c r="I39" s="128"/>
      <c r="J39" s="129"/>
      <c r="K39" s="129"/>
      <c r="L39" s="130" t="str">
        <f t="shared" si="0"/>
        <v/>
      </c>
      <c r="M39" s="131" t="str">
        <f>+IFERROR(INDEX([1]PARÁMETROS!$B$11:$B$37,MATCH(L39,[1]PARÁMETROS!$A$11:$A$37,0)),"")</f>
        <v/>
      </c>
      <c r="N39" s="132"/>
      <c r="O39" s="133"/>
      <c r="P39" s="123"/>
      <c r="Q39" s="134"/>
      <c r="R39" s="135"/>
      <c r="S39" s="131" t="str">
        <f t="shared" si="1"/>
        <v/>
      </c>
      <c r="T39" s="136" t="str">
        <f t="shared" si="2"/>
        <v/>
      </c>
      <c r="U39" s="136" t="str">
        <f t="shared" si="3"/>
        <v/>
      </c>
      <c r="V39" s="136"/>
      <c r="W39" s="828"/>
      <c r="X39" s="829"/>
      <c r="Y39" s="830"/>
      <c r="Z39" s="828"/>
      <c r="AA39" s="829"/>
      <c r="AB39" s="830"/>
      <c r="AC39" s="828"/>
      <c r="AD39" s="829"/>
      <c r="AE39" s="830"/>
      <c r="AF39" s="279"/>
      <c r="AG39" s="824" t="str">
        <f>IF(U39="","",IF(SUM(U39:U41)&gt;=[1]PARÁMETROS!$H$5,"HÁBIL","NO HÁBIL"))</f>
        <v/>
      </c>
      <c r="AH39" s="824" t="str">
        <f>IF(U39="","",IF(U39&gt;=[1]PARÁMETROS!$F$5,"HÁBIL","NO HÁBIL"))</f>
        <v/>
      </c>
      <c r="AI39" s="279" t="str">
        <f>+IF(U39="","",IF(U39&gt;=[1]PARÁMETROS!$D$5,"CUMPLE","NO CUMPLE"))</f>
        <v/>
      </c>
      <c r="AJ39" s="138"/>
      <c r="AK39" s="109"/>
    </row>
    <row r="40" spans="1:37" s="72" customFormat="1" ht="30" customHeight="1">
      <c r="A40" s="835"/>
      <c r="B40" s="58"/>
      <c r="C40" s="75"/>
      <c r="D40" s="60" t="str">
        <f>+IFERROR(INDEX([1]CONSOLIDADO!$D$4:$D$91,MATCH('EXP GEN. 41'!B40,[1]CONSOLIDADO!$C$4:$C$91,0)),"")</f>
        <v/>
      </c>
      <c r="E40" s="61"/>
      <c r="F40" s="62"/>
      <c r="G40" s="277"/>
      <c r="H40" s="277"/>
      <c r="I40" s="63"/>
      <c r="J40" s="64"/>
      <c r="K40" s="64"/>
      <c r="L40" s="65" t="str">
        <f t="shared" si="0"/>
        <v/>
      </c>
      <c r="M40" s="66" t="str">
        <f>+IFERROR(INDEX([1]PARÁMETROS!$B$11:$B$37,MATCH(L40,[1]PARÁMETROS!$A$11:$A$37,0)),"")</f>
        <v/>
      </c>
      <c r="N40" s="67"/>
      <c r="O40" s="68"/>
      <c r="P40" s="58"/>
      <c r="Q40" s="69"/>
      <c r="R40" s="70"/>
      <c r="S40" s="66" t="str">
        <f t="shared" si="1"/>
        <v/>
      </c>
      <c r="T40" s="55" t="str">
        <f t="shared" si="2"/>
        <v/>
      </c>
      <c r="U40" s="55" t="str">
        <f t="shared" si="3"/>
        <v/>
      </c>
      <c r="V40" s="55"/>
      <c r="W40" s="803"/>
      <c r="X40" s="804"/>
      <c r="Y40" s="805"/>
      <c r="Z40" s="803"/>
      <c r="AA40" s="804"/>
      <c r="AB40" s="805"/>
      <c r="AC40" s="803"/>
      <c r="AD40" s="804"/>
      <c r="AE40" s="805"/>
      <c r="AF40" s="277"/>
      <c r="AG40" s="850"/>
      <c r="AH40" s="850"/>
      <c r="AI40" s="277" t="str">
        <f>+IF(U40="","",IF(U40&gt;=[1]PARÁMETROS!$D$5,"CUMPLE","NO CUMPLE"))</f>
        <v/>
      </c>
      <c r="AJ40" s="139"/>
      <c r="AK40" s="109"/>
    </row>
    <row r="41" spans="1:37" s="72" customFormat="1" ht="30" customHeight="1">
      <c r="A41" s="835"/>
      <c r="B41" s="58"/>
      <c r="C41" s="75"/>
      <c r="D41" s="60" t="str">
        <f>+IFERROR(INDEX([1]CONSOLIDADO!$D$4:$D$91,MATCH('EXP GEN. 41'!B41,[1]CONSOLIDADO!$C$4:$C$91,0)),"")</f>
        <v/>
      </c>
      <c r="E41" s="61"/>
      <c r="F41" s="62"/>
      <c r="G41" s="277"/>
      <c r="H41" s="277"/>
      <c r="I41" s="63"/>
      <c r="J41" s="64"/>
      <c r="K41" s="64"/>
      <c r="L41" s="65" t="str">
        <f t="shared" si="0"/>
        <v/>
      </c>
      <c r="M41" s="66" t="str">
        <f>+IFERROR(INDEX([1]PARÁMETROS!$B$11:$B$37,MATCH(L41,[1]PARÁMETROS!$A$11:$A$37,0)),"")</f>
        <v/>
      </c>
      <c r="N41" s="67"/>
      <c r="O41" s="68"/>
      <c r="P41" s="58"/>
      <c r="Q41" s="69"/>
      <c r="R41" s="70"/>
      <c r="S41" s="66" t="str">
        <f t="shared" si="1"/>
        <v/>
      </c>
      <c r="T41" s="55" t="str">
        <f t="shared" si="2"/>
        <v/>
      </c>
      <c r="U41" s="55" t="str">
        <f t="shared" si="3"/>
        <v/>
      </c>
      <c r="V41" s="55"/>
      <c r="W41" s="803"/>
      <c r="X41" s="804"/>
      <c r="Y41" s="805"/>
      <c r="Z41" s="803"/>
      <c r="AA41" s="804"/>
      <c r="AB41" s="805"/>
      <c r="AC41" s="803"/>
      <c r="AD41" s="804"/>
      <c r="AE41" s="805"/>
      <c r="AF41" s="277"/>
      <c r="AG41" s="850"/>
      <c r="AH41" s="850"/>
      <c r="AI41" s="277" t="str">
        <f>+IF(U41="","",IF(U41&gt;=[1]PARÁMETROS!$D$5,"CUMPLE","NO CUMPLE"))</f>
        <v/>
      </c>
      <c r="AJ41" s="139"/>
      <c r="AK41" s="109"/>
    </row>
    <row r="42" spans="1:37" s="72" customFormat="1" ht="30" customHeight="1">
      <c r="A42" s="835"/>
      <c r="B42" s="58"/>
      <c r="C42" s="75"/>
      <c r="D42" s="60" t="str">
        <f>+IFERROR(INDEX([1]CONSOLIDADO!$D$4:$D$91,MATCH('EXP GEN. 41'!B42,[1]CONSOLIDADO!$C$4:$C$91,0)),"")</f>
        <v/>
      </c>
      <c r="E42" s="83"/>
      <c r="F42" s="84"/>
      <c r="G42" s="277"/>
      <c r="H42" s="277"/>
      <c r="I42" s="85"/>
      <c r="J42" s="86"/>
      <c r="K42" s="86"/>
      <c r="L42" s="65" t="str">
        <f t="shared" si="0"/>
        <v/>
      </c>
      <c r="M42" s="66" t="str">
        <f>+IFERROR(INDEX([1]PARÁMETROS!$B$11:$B$37,MATCH(L42,[1]PARÁMETROS!$A$11:$A$37,0)),"")</f>
        <v/>
      </c>
      <c r="N42" s="87"/>
      <c r="O42" s="88"/>
      <c r="P42" s="58"/>
      <c r="Q42" s="69"/>
      <c r="R42" s="70"/>
      <c r="S42" s="66" t="str">
        <f t="shared" si="1"/>
        <v/>
      </c>
      <c r="T42" s="55" t="str">
        <f t="shared" si="2"/>
        <v/>
      </c>
      <c r="U42" s="55" t="str">
        <f t="shared" si="3"/>
        <v/>
      </c>
      <c r="V42" s="55"/>
      <c r="W42" s="803"/>
      <c r="X42" s="804"/>
      <c r="Y42" s="805"/>
      <c r="Z42" s="803"/>
      <c r="AA42" s="804"/>
      <c r="AB42" s="805"/>
      <c r="AC42" s="803"/>
      <c r="AD42" s="804"/>
      <c r="AE42" s="805"/>
      <c r="AF42" s="277"/>
      <c r="AG42" s="850"/>
      <c r="AH42" s="850"/>
      <c r="AI42" s="277" t="str">
        <f>+IF(U42="","",IF(U42&gt;=[1]PARÁMETROS!$D$5,"CUMPLE","NO CUMPLE"))</f>
        <v/>
      </c>
      <c r="AJ42" s="140"/>
      <c r="AK42" s="109"/>
    </row>
    <row r="43" spans="1:37" s="72" customFormat="1" ht="30" customHeight="1">
      <c r="A43" s="835"/>
      <c r="B43" s="58"/>
      <c r="C43" s="75"/>
      <c r="D43" s="60" t="str">
        <f>+IFERROR(INDEX([1]CONSOLIDADO!$D$4:$D$91,MATCH('EXP GEN. 41'!B43,[1]CONSOLIDADO!$C$4:$C$91,0)),"")</f>
        <v/>
      </c>
      <c r="E43" s="61"/>
      <c r="F43" s="62"/>
      <c r="G43" s="277"/>
      <c r="H43" s="277"/>
      <c r="I43" s="63"/>
      <c r="J43" s="64"/>
      <c r="K43" s="64"/>
      <c r="L43" s="65" t="str">
        <f t="shared" si="0"/>
        <v/>
      </c>
      <c r="M43" s="66" t="str">
        <f>+IFERROR(INDEX([1]PARÁMETROS!$B$11:$B$37,MATCH(L43,[1]PARÁMETROS!$A$11:$A$37,0)),"")</f>
        <v/>
      </c>
      <c r="N43" s="67"/>
      <c r="O43" s="68"/>
      <c r="P43" s="58"/>
      <c r="Q43" s="69"/>
      <c r="R43" s="70"/>
      <c r="S43" s="66" t="str">
        <f t="shared" si="1"/>
        <v/>
      </c>
      <c r="T43" s="55" t="str">
        <f t="shared" si="2"/>
        <v/>
      </c>
      <c r="U43" s="55" t="str">
        <f t="shared" si="3"/>
        <v/>
      </c>
      <c r="V43" s="55"/>
      <c r="W43" s="803"/>
      <c r="X43" s="804"/>
      <c r="Y43" s="805"/>
      <c r="Z43" s="803"/>
      <c r="AA43" s="804"/>
      <c r="AB43" s="805"/>
      <c r="AC43" s="803"/>
      <c r="AD43" s="804"/>
      <c r="AE43" s="805"/>
      <c r="AF43" s="277"/>
      <c r="AG43" s="850"/>
      <c r="AH43" s="850"/>
      <c r="AI43" s="277" t="str">
        <f>+IF(U43="","",IF(U43&gt;=[1]PARÁMETROS!$D$5,"CUMPLE","NO CUMPLE"))</f>
        <v/>
      </c>
      <c r="AJ43" s="139"/>
      <c r="AK43" s="109"/>
    </row>
    <row r="44" spans="1:37" s="72" customFormat="1" ht="30" customHeight="1" thickBot="1">
      <c r="A44" s="836"/>
      <c r="B44" s="141"/>
      <c r="C44" s="142"/>
      <c r="D44" s="143" t="str">
        <f>+IFERROR(INDEX([1]CONSOLIDADO!$D$4:$D$91,MATCH('EXP GEN. 41'!B44,[1]CONSOLIDADO!$C$4:$C$91,0)),"")</f>
        <v/>
      </c>
      <c r="E44" s="144"/>
      <c r="F44" s="145"/>
      <c r="G44" s="278"/>
      <c r="H44" s="278"/>
      <c r="I44" s="146"/>
      <c r="J44" s="147"/>
      <c r="K44" s="147"/>
      <c r="L44" s="148" t="str">
        <f t="shared" si="0"/>
        <v/>
      </c>
      <c r="M44" s="149" t="str">
        <f>+IFERROR(INDEX([1]PARÁMETROS!$B$11:$B$37,MATCH(L44,[1]PARÁMETROS!$A$11:$A$37,0)),"")</f>
        <v/>
      </c>
      <c r="N44" s="150"/>
      <c r="O44" s="151"/>
      <c r="P44" s="141"/>
      <c r="Q44" s="152"/>
      <c r="R44" s="153"/>
      <c r="S44" s="149" t="str">
        <f t="shared" si="1"/>
        <v/>
      </c>
      <c r="T44" s="154" t="str">
        <f t="shared" si="2"/>
        <v/>
      </c>
      <c r="U44" s="154" t="str">
        <f t="shared" si="3"/>
        <v/>
      </c>
      <c r="V44" s="154"/>
      <c r="W44" s="825"/>
      <c r="X44" s="826"/>
      <c r="Y44" s="827"/>
      <c r="Z44" s="825"/>
      <c r="AA44" s="826"/>
      <c r="AB44" s="827"/>
      <c r="AC44" s="825"/>
      <c r="AD44" s="826"/>
      <c r="AE44" s="827"/>
      <c r="AF44" s="278"/>
      <c r="AG44" s="851"/>
      <c r="AH44" s="851"/>
      <c r="AI44" s="278" t="str">
        <f>+IF(U44="","",IF(U44&gt;=[1]PARÁMETROS!$D$5,"CUMPLE","NO CUMPLE"))</f>
        <v/>
      </c>
      <c r="AJ44" s="155"/>
      <c r="AK44" s="109"/>
    </row>
    <row r="45" spans="1:37" s="72" customFormat="1" ht="30" customHeight="1">
      <c r="A45" s="834"/>
      <c r="B45" s="123"/>
      <c r="C45" s="157"/>
      <c r="D45" s="125" t="str">
        <f>+IFERROR(INDEX([1]CONSOLIDADO!$D$4:$D$91,MATCH('EXP GEN. 41'!B45,[1]CONSOLIDADO!$C$4:$C$91,0)),"")</f>
        <v/>
      </c>
      <c r="E45" s="126"/>
      <c r="F45" s="127"/>
      <c r="G45" s="279"/>
      <c r="H45" s="279"/>
      <c r="I45" s="128"/>
      <c r="J45" s="129"/>
      <c r="K45" s="129"/>
      <c r="L45" s="130" t="str">
        <f t="shared" si="0"/>
        <v/>
      </c>
      <c r="M45" s="131" t="str">
        <f>+IFERROR(INDEX([1]PARÁMETROS!$B$11:$B$37,MATCH(L45,[1]PARÁMETROS!$A$11:$A$37,0)),"")</f>
        <v/>
      </c>
      <c r="N45" s="132"/>
      <c r="O45" s="133"/>
      <c r="P45" s="123"/>
      <c r="Q45" s="134"/>
      <c r="R45" s="135"/>
      <c r="S45" s="131" t="str">
        <f t="shared" si="1"/>
        <v/>
      </c>
      <c r="T45" s="136" t="str">
        <f t="shared" si="2"/>
        <v/>
      </c>
      <c r="U45" s="136" t="str">
        <f t="shared" si="3"/>
        <v/>
      </c>
      <c r="V45" s="136"/>
      <c r="W45" s="828"/>
      <c r="X45" s="829"/>
      <c r="Y45" s="830"/>
      <c r="Z45" s="828"/>
      <c r="AA45" s="829"/>
      <c r="AB45" s="830"/>
      <c r="AC45" s="828"/>
      <c r="AD45" s="829"/>
      <c r="AE45" s="830"/>
      <c r="AF45" s="279"/>
      <c r="AG45" s="824" t="str">
        <f>IF(U45="","",IF(SUM(U45:U47)&gt;=[1]PARÁMETROS!$H$5,"HÁBIL","NO HÁBIL"))</f>
        <v/>
      </c>
      <c r="AH45" s="824" t="str">
        <f>IF(U45="","",IF(U45&gt;=[1]PARÁMETROS!$F$5,"HÁBIL","NO HÁBIL"))</f>
        <v/>
      </c>
      <c r="AI45" s="279" t="str">
        <f>+IF(U45="","",IF(U45&gt;=[1]PARÁMETROS!$D$5,"CUMPLE","NO CUMPLE"))</f>
        <v/>
      </c>
      <c r="AJ45" s="138"/>
      <c r="AK45" s="109"/>
    </row>
    <row r="46" spans="1:37" s="72" customFormat="1" ht="30" customHeight="1">
      <c r="A46" s="835"/>
      <c r="B46" s="58"/>
      <c r="C46" s="75"/>
      <c r="D46" s="60" t="str">
        <f>+IFERROR(INDEX([1]CONSOLIDADO!$D$4:$D$91,MATCH('EXP GEN. 41'!B46,[1]CONSOLIDADO!$C$4:$C$91,0)),"")</f>
        <v/>
      </c>
      <c r="E46" s="61"/>
      <c r="F46" s="62"/>
      <c r="G46" s="277"/>
      <c r="H46" s="277"/>
      <c r="I46" s="63"/>
      <c r="J46" s="64"/>
      <c r="K46" s="64"/>
      <c r="L46" s="65" t="str">
        <f t="shared" si="0"/>
        <v/>
      </c>
      <c r="M46" s="66" t="str">
        <f>+IFERROR(INDEX([1]PARÁMETROS!$B$11:$B$37,MATCH(L46,[1]PARÁMETROS!$A$11:$A$37,0)),"")</f>
        <v/>
      </c>
      <c r="N46" s="67"/>
      <c r="O46" s="68"/>
      <c r="P46" s="58"/>
      <c r="Q46" s="69"/>
      <c r="R46" s="70"/>
      <c r="S46" s="66" t="str">
        <f t="shared" si="1"/>
        <v/>
      </c>
      <c r="T46" s="55" t="str">
        <f t="shared" si="2"/>
        <v/>
      </c>
      <c r="U46" s="55" t="str">
        <f t="shared" si="3"/>
        <v/>
      </c>
      <c r="V46" s="55"/>
      <c r="W46" s="803"/>
      <c r="X46" s="804"/>
      <c r="Y46" s="805"/>
      <c r="Z46" s="803"/>
      <c r="AA46" s="804"/>
      <c r="AB46" s="805"/>
      <c r="AC46" s="803"/>
      <c r="AD46" s="804"/>
      <c r="AE46" s="805"/>
      <c r="AF46" s="277"/>
      <c r="AG46" s="850"/>
      <c r="AH46" s="850"/>
      <c r="AI46" s="277" t="str">
        <f>+IF(U46="","",IF(U46&gt;=[1]PARÁMETROS!$D$5,"CUMPLE","NO CUMPLE"))</f>
        <v/>
      </c>
      <c r="AJ46" s="139"/>
      <c r="AK46" s="109"/>
    </row>
    <row r="47" spans="1:37" s="72" customFormat="1" ht="30" customHeight="1">
      <c r="A47" s="835"/>
      <c r="B47" s="58"/>
      <c r="C47" s="75"/>
      <c r="D47" s="60" t="str">
        <f>+IFERROR(INDEX([1]CONSOLIDADO!$D$4:$D$91,MATCH('EXP GEN. 41'!B47,[1]CONSOLIDADO!$C$4:$C$91,0)),"")</f>
        <v/>
      </c>
      <c r="E47" s="61"/>
      <c r="F47" s="62"/>
      <c r="G47" s="277"/>
      <c r="H47" s="277"/>
      <c r="I47" s="63"/>
      <c r="J47" s="64"/>
      <c r="K47" s="64"/>
      <c r="L47" s="65" t="str">
        <f t="shared" si="0"/>
        <v/>
      </c>
      <c r="M47" s="66" t="str">
        <f>+IFERROR(INDEX([1]PARÁMETROS!$B$11:$B$37,MATCH(L47,[1]PARÁMETROS!$A$11:$A$37,0)),"")</f>
        <v/>
      </c>
      <c r="N47" s="67"/>
      <c r="O47" s="68"/>
      <c r="P47" s="58"/>
      <c r="Q47" s="69"/>
      <c r="R47" s="70"/>
      <c r="S47" s="66" t="str">
        <f t="shared" si="1"/>
        <v/>
      </c>
      <c r="T47" s="55" t="str">
        <f t="shared" si="2"/>
        <v/>
      </c>
      <c r="U47" s="55" t="str">
        <f t="shared" si="3"/>
        <v/>
      </c>
      <c r="V47" s="55"/>
      <c r="W47" s="803"/>
      <c r="X47" s="804"/>
      <c r="Y47" s="805"/>
      <c r="Z47" s="803"/>
      <c r="AA47" s="804"/>
      <c r="AB47" s="805"/>
      <c r="AC47" s="803"/>
      <c r="AD47" s="804"/>
      <c r="AE47" s="805"/>
      <c r="AF47" s="277"/>
      <c r="AG47" s="850"/>
      <c r="AH47" s="850"/>
      <c r="AI47" s="277" t="str">
        <f>+IF(U47="","",IF(U47&gt;=[1]PARÁMETROS!$D$5,"CUMPLE","NO CUMPLE"))</f>
        <v/>
      </c>
      <c r="AJ47" s="139"/>
      <c r="AK47" s="109"/>
    </row>
    <row r="48" spans="1:37" s="72" customFormat="1" ht="30" customHeight="1">
      <c r="A48" s="835"/>
      <c r="B48" s="58"/>
      <c r="C48" s="75"/>
      <c r="D48" s="60" t="str">
        <f>+IFERROR(INDEX([1]CONSOLIDADO!$D$4:$D$91,MATCH('EXP GEN. 41'!B48,[1]CONSOLIDADO!$C$4:$C$91,0)),"")</f>
        <v/>
      </c>
      <c r="E48" s="61"/>
      <c r="F48" s="62"/>
      <c r="G48" s="277"/>
      <c r="H48" s="277"/>
      <c r="I48" s="63"/>
      <c r="J48" s="64"/>
      <c r="K48" s="64"/>
      <c r="L48" s="65" t="str">
        <f t="shared" si="0"/>
        <v/>
      </c>
      <c r="M48" s="66" t="str">
        <f>+IFERROR(INDEX([1]PARÁMETROS!$B$11:$B$37,MATCH(L48,[1]PARÁMETROS!$A$11:$A$37,0)),"")</f>
        <v/>
      </c>
      <c r="N48" s="67"/>
      <c r="O48" s="68"/>
      <c r="P48" s="58"/>
      <c r="Q48" s="69"/>
      <c r="R48" s="70"/>
      <c r="S48" s="66" t="str">
        <f t="shared" si="1"/>
        <v/>
      </c>
      <c r="T48" s="55" t="str">
        <f t="shared" si="2"/>
        <v/>
      </c>
      <c r="U48" s="55" t="str">
        <f t="shared" si="3"/>
        <v/>
      </c>
      <c r="V48" s="55"/>
      <c r="W48" s="803"/>
      <c r="X48" s="804"/>
      <c r="Y48" s="805"/>
      <c r="Z48" s="803"/>
      <c r="AA48" s="804"/>
      <c r="AB48" s="805"/>
      <c r="AC48" s="803"/>
      <c r="AD48" s="804"/>
      <c r="AE48" s="805"/>
      <c r="AF48" s="277"/>
      <c r="AG48" s="850"/>
      <c r="AH48" s="850"/>
      <c r="AI48" s="277" t="str">
        <f>+IF(U48="","",IF(U48&gt;=[1]PARÁMETROS!$D$5,"CUMPLE","NO CUMPLE"))</f>
        <v/>
      </c>
      <c r="AJ48" s="139"/>
      <c r="AK48" s="109"/>
    </row>
    <row r="49" spans="1:37" s="72" customFormat="1" ht="30" customHeight="1">
      <c r="A49" s="835"/>
      <c r="B49" s="58"/>
      <c r="C49" s="75"/>
      <c r="D49" s="60" t="str">
        <f>+IFERROR(INDEX([1]CONSOLIDADO!$D$4:$D$91,MATCH('EXP GEN. 41'!B49,[1]CONSOLIDADO!$C$4:$C$91,0)),"")</f>
        <v/>
      </c>
      <c r="E49" s="61"/>
      <c r="F49" s="61"/>
      <c r="G49" s="277"/>
      <c r="H49" s="277"/>
      <c r="I49" s="73"/>
      <c r="J49" s="64"/>
      <c r="K49" s="64"/>
      <c r="L49" s="65" t="str">
        <f t="shared" si="0"/>
        <v/>
      </c>
      <c r="M49" s="66" t="str">
        <f>+IFERROR(INDEX([1]PARÁMETROS!$B$11:$B$37,MATCH(L49,[1]PARÁMETROS!$A$11:$A$37,0)),"")</f>
        <v/>
      </c>
      <c r="N49" s="74"/>
      <c r="O49" s="66"/>
      <c r="P49" s="58"/>
      <c r="Q49" s="69"/>
      <c r="R49" s="70"/>
      <c r="S49" s="66" t="str">
        <f t="shared" si="1"/>
        <v/>
      </c>
      <c r="T49" s="55" t="str">
        <f t="shared" si="2"/>
        <v/>
      </c>
      <c r="U49" s="55" t="str">
        <f t="shared" si="3"/>
        <v/>
      </c>
      <c r="V49" s="55"/>
      <c r="W49" s="803"/>
      <c r="X49" s="804"/>
      <c r="Y49" s="805"/>
      <c r="Z49" s="803"/>
      <c r="AA49" s="804"/>
      <c r="AB49" s="805"/>
      <c r="AC49" s="803"/>
      <c r="AD49" s="804"/>
      <c r="AE49" s="805"/>
      <c r="AF49" s="277"/>
      <c r="AG49" s="850"/>
      <c r="AH49" s="850"/>
      <c r="AI49" s="277" t="str">
        <f>+IF(U49="","",IF(U49&gt;=[1]PARÁMETROS!$D$5,"CUMPLE","NO CUMPLE"))</f>
        <v/>
      </c>
      <c r="AJ49" s="139"/>
      <c r="AK49" s="109"/>
    </row>
    <row r="50" spans="1:37" s="72" customFormat="1" ht="30" customHeight="1" thickBot="1">
      <c r="A50" s="836"/>
      <c r="B50" s="141"/>
      <c r="C50" s="142"/>
      <c r="D50" s="143" t="str">
        <f>+IFERROR(INDEX([1]CONSOLIDADO!$D$4:$D$91,MATCH('EXP GEN. 41'!B50,[1]CONSOLIDADO!$C$4:$C$91,0)),"")</f>
        <v/>
      </c>
      <c r="E50" s="144"/>
      <c r="F50" s="144"/>
      <c r="G50" s="278"/>
      <c r="H50" s="278"/>
      <c r="I50" s="164"/>
      <c r="J50" s="147"/>
      <c r="K50" s="147"/>
      <c r="L50" s="148" t="str">
        <f t="shared" si="0"/>
        <v/>
      </c>
      <c r="M50" s="149" t="str">
        <f>+IFERROR(INDEX([1]PARÁMETROS!$B$11:$B$37,MATCH(L50,[1]PARÁMETROS!$A$11:$A$37,0)),"")</f>
        <v/>
      </c>
      <c r="N50" s="165"/>
      <c r="O50" s="149"/>
      <c r="P50" s="141"/>
      <c r="Q50" s="152"/>
      <c r="R50" s="153"/>
      <c r="S50" s="149" t="str">
        <f t="shared" si="1"/>
        <v/>
      </c>
      <c r="T50" s="154" t="str">
        <f t="shared" si="2"/>
        <v/>
      </c>
      <c r="U50" s="154" t="str">
        <f t="shared" si="3"/>
        <v/>
      </c>
      <c r="V50" s="154"/>
      <c r="W50" s="825"/>
      <c r="X50" s="826"/>
      <c r="Y50" s="827"/>
      <c r="Z50" s="825"/>
      <c r="AA50" s="826"/>
      <c r="AB50" s="827"/>
      <c r="AC50" s="825"/>
      <c r="AD50" s="826"/>
      <c r="AE50" s="827"/>
      <c r="AF50" s="278"/>
      <c r="AG50" s="851"/>
      <c r="AH50" s="851"/>
      <c r="AI50" s="278" t="str">
        <f>+IF(U50="","",IF(U50&gt;=[1]PARÁMETROS!$D$5,"CUMPLE","NO CUMPLE"))</f>
        <v/>
      </c>
      <c r="AJ50" s="155"/>
      <c r="AK50" s="109"/>
    </row>
    <row r="51" spans="1:37" s="72" customFormat="1" ht="30" customHeight="1">
      <c r="A51" s="834"/>
      <c r="B51" s="123"/>
      <c r="C51" s="157"/>
      <c r="D51" s="125" t="str">
        <f>+IFERROR(INDEX([1]CONSOLIDADO!$D$4:$D$91,MATCH('EXP GEN. 41'!B51,[1]CONSOLIDADO!$C$4:$C$91,0)),"")</f>
        <v/>
      </c>
      <c r="E51" s="126"/>
      <c r="F51" s="126"/>
      <c r="G51" s="279"/>
      <c r="H51" s="279"/>
      <c r="I51" s="162"/>
      <c r="J51" s="129"/>
      <c r="K51" s="129"/>
      <c r="L51" s="130" t="str">
        <f t="shared" si="0"/>
        <v/>
      </c>
      <c r="M51" s="131" t="str">
        <f>+IFERROR(INDEX([1]PARÁMETROS!$B$11:$B$37,MATCH(L51,[1]PARÁMETROS!$A$11:$A$37,0)),"")</f>
        <v/>
      </c>
      <c r="N51" s="163"/>
      <c r="O51" s="131"/>
      <c r="P51" s="123"/>
      <c r="Q51" s="134"/>
      <c r="R51" s="135"/>
      <c r="S51" s="131" t="str">
        <f t="shared" si="1"/>
        <v/>
      </c>
      <c r="T51" s="136" t="str">
        <f t="shared" si="2"/>
        <v/>
      </c>
      <c r="U51" s="136" t="str">
        <f t="shared" si="3"/>
        <v/>
      </c>
      <c r="V51" s="136"/>
      <c r="W51" s="828"/>
      <c r="X51" s="829"/>
      <c r="Y51" s="830"/>
      <c r="Z51" s="828"/>
      <c r="AA51" s="829"/>
      <c r="AB51" s="830"/>
      <c r="AC51" s="828"/>
      <c r="AD51" s="829"/>
      <c r="AE51" s="830"/>
      <c r="AF51" s="279"/>
      <c r="AG51" s="824" t="str">
        <f>IF(U51="","",IF(SUM(U51:U53)&gt;=[1]PARÁMETROS!$H$5,"HÁBIL","NO HÁBIL"))</f>
        <v/>
      </c>
      <c r="AH51" s="824" t="str">
        <f>IF(U51="","",IF(U51&gt;=[1]PARÁMETROS!$F$5,"HÁBIL","NO HÁBIL"))</f>
        <v/>
      </c>
      <c r="AI51" s="279" t="str">
        <f>+IF(U51="","",IF(U51&gt;=[1]PARÁMETROS!$D$5,"CUMPLE","NO CUMPLE"))</f>
        <v/>
      </c>
      <c r="AJ51" s="138"/>
      <c r="AK51" s="109"/>
    </row>
    <row r="52" spans="1:37" s="72" customFormat="1" ht="30" customHeight="1">
      <c r="A52" s="835"/>
      <c r="B52" s="58"/>
      <c r="C52" s="75"/>
      <c r="D52" s="60" t="str">
        <f>+IFERROR(INDEX([1]CONSOLIDADO!$D$4:$D$91,MATCH('EXP GEN. 41'!B52,[1]CONSOLIDADO!$C$4:$C$91,0)),"")</f>
        <v/>
      </c>
      <c r="E52" s="61"/>
      <c r="F52" s="61"/>
      <c r="G52" s="277"/>
      <c r="H52" s="277"/>
      <c r="I52" s="73"/>
      <c r="J52" s="64"/>
      <c r="K52" s="64"/>
      <c r="L52" s="65" t="str">
        <f t="shared" si="0"/>
        <v/>
      </c>
      <c r="M52" s="66" t="str">
        <f>+IFERROR(INDEX([1]PARÁMETROS!$B$11:$B$37,MATCH(L52,[1]PARÁMETROS!$A$11:$A$37,0)),"")</f>
        <v/>
      </c>
      <c r="N52" s="74"/>
      <c r="O52" s="66"/>
      <c r="P52" s="58"/>
      <c r="Q52" s="69"/>
      <c r="R52" s="70"/>
      <c r="S52" s="66" t="str">
        <f t="shared" si="1"/>
        <v/>
      </c>
      <c r="T52" s="55" t="str">
        <f t="shared" si="2"/>
        <v/>
      </c>
      <c r="U52" s="55" t="str">
        <f t="shared" si="3"/>
        <v/>
      </c>
      <c r="V52" s="55"/>
      <c r="W52" s="803"/>
      <c r="X52" s="804"/>
      <c r="Y52" s="805"/>
      <c r="Z52" s="803"/>
      <c r="AA52" s="804"/>
      <c r="AB52" s="805"/>
      <c r="AC52" s="803"/>
      <c r="AD52" s="804"/>
      <c r="AE52" s="805"/>
      <c r="AF52" s="277"/>
      <c r="AG52" s="850"/>
      <c r="AH52" s="850"/>
      <c r="AI52" s="277" t="str">
        <f>+IF(U52="","",IF(U52&gt;=[1]PARÁMETROS!$D$5,"CUMPLE","NO CUMPLE"))</f>
        <v/>
      </c>
      <c r="AJ52" s="139"/>
      <c r="AK52" s="109"/>
    </row>
    <row r="53" spans="1:37" s="72" customFormat="1" ht="30" customHeight="1">
      <c r="A53" s="835"/>
      <c r="B53" s="58"/>
      <c r="C53" s="75"/>
      <c r="D53" s="60" t="str">
        <f>+IFERROR(INDEX([1]CONSOLIDADO!$D$4:$D$91,MATCH('EXP GEN. 41'!B53,[1]CONSOLIDADO!$C$4:$C$91,0)),"")</f>
        <v/>
      </c>
      <c r="E53" s="61"/>
      <c r="F53" s="61"/>
      <c r="G53" s="277"/>
      <c r="H53" s="277"/>
      <c r="I53" s="73"/>
      <c r="J53" s="64"/>
      <c r="K53" s="64"/>
      <c r="L53" s="65" t="str">
        <f t="shared" si="0"/>
        <v/>
      </c>
      <c r="M53" s="66" t="str">
        <f>+IFERROR(INDEX([1]PARÁMETROS!$B$11:$B$37,MATCH(L53,[1]PARÁMETROS!$A$11:$A$37,0)),"")</f>
        <v/>
      </c>
      <c r="N53" s="74"/>
      <c r="O53" s="66"/>
      <c r="P53" s="58"/>
      <c r="Q53" s="69"/>
      <c r="R53" s="70"/>
      <c r="S53" s="66" t="str">
        <f t="shared" si="1"/>
        <v/>
      </c>
      <c r="T53" s="55" t="str">
        <f t="shared" si="2"/>
        <v/>
      </c>
      <c r="U53" s="55" t="str">
        <f t="shared" si="3"/>
        <v/>
      </c>
      <c r="V53" s="55"/>
      <c r="W53" s="803"/>
      <c r="X53" s="804"/>
      <c r="Y53" s="805"/>
      <c r="Z53" s="803"/>
      <c r="AA53" s="804"/>
      <c r="AB53" s="805"/>
      <c r="AC53" s="803"/>
      <c r="AD53" s="804"/>
      <c r="AE53" s="805"/>
      <c r="AF53" s="277"/>
      <c r="AG53" s="850"/>
      <c r="AH53" s="850"/>
      <c r="AI53" s="277" t="str">
        <f>+IF(U53="","",IF(U53&gt;=[1]PARÁMETROS!$D$5,"CUMPLE","NO CUMPLE"))</f>
        <v/>
      </c>
      <c r="AJ53" s="139"/>
      <c r="AK53" s="109"/>
    </row>
    <row r="54" spans="1:37" s="72" customFormat="1" ht="30" customHeight="1">
      <c r="A54" s="835"/>
      <c r="B54" s="58"/>
      <c r="C54" s="75"/>
      <c r="D54" s="60" t="str">
        <f>+IFERROR(INDEX([1]CONSOLIDADO!$D$4:$D$91,MATCH('EXP GEN. 41'!B54,[1]CONSOLIDADO!$C$4:$C$91,0)),"")</f>
        <v/>
      </c>
      <c r="E54" s="61"/>
      <c r="F54" s="61"/>
      <c r="G54" s="277"/>
      <c r="H54" s="277"/>
      <c r="I54" s="73"/>
      <c r="J54" s="64"/>
      <c r="K54" s="64"/>
      <c r="L54" s="65" t="str">
        <f t="shared" si="0"/>
        <v/>
      </c>
      <c r="M54" s="66" t="str">
        <f>+IFERROR(INDEX([1]PARÁMETROS!$B$11:$B$37,MATCH(L54,[1]PARÁMETROS!$A$11:$A$37,0)),"")</f>
        <v/>
      </c>
      <c r="N54" s="74"/>
      <c r="O54" s="66"/>
      <c r="P54" s="58"/>
      <c r="Q54" s="69"/>
      <c r="R54" s="70"/>
      <c r="S54" s="66" t="str">
        <f t="shared" si="1"/>
        <v/>
      </c>
      <c r="T54" s="55" t="str">
        <f t="shared" si="2"/>
        <v/>
      </c>
      <c r="U54" s="55" t="str">
        <f t="shared" si="3"/>
        <v/>
      </c>
      <c r="V54" s="55"/>
      <c r="W54" s="803"/>
      <c r="X54" s="804"/>
      <c r="Y54" s="805"/>
      <c r="Z54" s="803"/>
      <c r="AA54" s="804"/>
      <c r="AB54" s="805"/>
      <c r="AC54" s="803"/>
      <c r="AD54" s="804"/>
      <c r="AE54" s="805"/>
      <c r="AF54" s="277"/>
      <c r="AG54" s="850"/>
      <c r="AH54" s="850"/>
      <c r="AI54" s="277" t="str">
        <f>+IF(U54="","",IF(U54&gt;=[1]PARÁMETROS!$D$5,"CUMPLE","NO CUMPLE"))</f>
        <v/>
      </c>
      <c r="AJ54" s="139"/>
      <c r="AK54" s="109"/>
    </row>
    <row r="55" spans="1:37" s="72" customFormat="1" ht="30" customHeight="1">
      <c r="A55" s="835"/>
      <c r="B55" s="58"/>
      <c r="C55" s="75"/>
      <c r="D55" s="60" t="str">
        <f>+IFERROR(INDEX([1]CONSOLIDADO!$D$4:$D$91,MATCH('EXP GEN. 41'!B55,[1]CONSOLIDADO!$C$4:$C$91,0)),"")</f>
        <v/>
      </c>
      <c r="E55" s="61"/>
      <c r="F55" s="61"/>
      <c r="G55" s="277"/>
      <c r="H55" s="277"/>
      <c r="I55" s="73"/>
      <c r="J55" s="64"/>
      <c r="K55" s="64"/>
      <c r="L55" s="65" t="str">
        <f t="shared" si="0"/>
        <v/>
      </c>
      <c r="M55" s="66" t="str">
        <f>+IFERROR(INDEX([1]PARÁMETROS!$B$11:$B$37,MATCH(L55,[1]PARÁMETROS!$A$11:$A$37,0)),"")</f>
        <v/>
      </c>
      <c r="N55" s="74"/>
      <c r="O55" s="66"/>
      <c r="P55" s="58"/>
      <c r="Q55" s="69"/>
      <c r="R55" s="70"/>
      <c r="S55" s="66" t="str">
        <f t="shared" si="1"/>
        <v/>
      </c>
      <c r="T55" s="55" t="str">
        <f t="shared" si="2"/>
        <v/>
      </c>
      <c r="U55" s="55" t="str">
        <f t="shared" si="3"/>
        <v/>
      </c>
      <c r="V55" s="55"/>
      <c r="W55" s="803"/>
      <c r="X55" s="804"/>
      <c r="Y55" s="805"/>
      <c r="Z55" s="803"/>
      <c r="AA55" s="804"/>
      <c r="AB55" s="805"/>
      <c r="AC55" s="803"/>
      <c r="AD55" s="804"/>
      <c r="AE55" s="805"/>
      <c r="AF55" s="277"/>
      <c r="AG55" s="850"/>
      <c r="AH55" s="850"/>
      <c r="AI55" s="277" t="str">
        <f>+IF(U55="","",IF(U55&gt;=[1]PARÁMETROS!$D$5,"CUMPLE","NO CUMPLE"))</f>
        <v/>
      </c>
      <c r="AJ55" s="139"/>
      <c r="AK55" s="109"/>
    </row>
    <row r="56" spans="1:37" s="72" customFormat="1" ht="30" customHeight="1" thickBot="1">
      <c r="A56" s="836"/>
      <c r="B56" s="141"/>
      <c r="C56" s="142"/>
      <c r="D56" s="143" t="str">
        <f>+IFERROR(INDEX([1]CONSOLIDADO!$D$4:$D$91,MATCH('EXP GEN. 41'!B56,[1]CONSOLIDADO!$C$4:$C$91,0)),"")</f>
        <v/>
      </c>
      <c r="E56" s="144"/>
      <c r="F56" s="144"/>
      <c r="G56" s="278"/>
      <c r="H56" s="278"/>
      <c r="I56" s="164"/>
      <c r="J56" s="147"/>
      <c r="K56" s="147"/>
      <c r="L56" s="148" t="str">
        <f t="shared" si="0"/>
        <v/>
      </c>
      <c r="M56" s="149" t="str">
        <f>+IFERROR(INDEX([1]PARÁMETROS!$B$11:$B$37,MATCH(L56,[1]PARÁMETROS!$A$11:$A$37,0)),"")</f>
        <v/>
      </c>
      <c r="N56" s="165"/>
      <c r="O56" s="149"/>
      <c r="P56" s="141"/>
      <c r="Q56" s="152"/>
      <c r="R56" s="153"/>
      <c r="S56" s="149" t="str">
        <f t="shared" si="1"/>
        <v/>
      </c>
      <c r="T56" s="154" t="str">
        <f t="shared" si="2"/>
        <v/>
      </c>
      <c r="U56" s="154" t="str">
        <f t="shared" si="3"/>
        <v/>
      </c>
      <c r="V56" s="154"/>
      <c r="W56" s="825"/>
      <c r="X56" s="826"/>
      <c r="Y56" s="827"/>
      <c r="Z56" s="825"/>
      <c r="AA56" s="826"/>
      <c r="AB56" s="827"/>
      <c r="AC56" s="825"/>
      <c r="AD56" s="826"/>
      <c r="AE56" s="827"/>
      <c r="AF56" s="278"/>
      <c r="AG56" s="851"/>
      <c r="AH56" s="851"/>
      <c r="AI56" s="278" t="str">
        <f>+IF(U56="","",IF(U56&gt;=[1]PARÁMETROS!$D$5,"CUMPLE","NO CUMPLE"))</f>
        <v/>
      </c>
      <c r="AJ56" s="155"/>
      <c r="AK56" s="109"/>
    </row>
    <row r="57" spans="1:37" s="72" customFormat="1" ht="30" customHeight="1">
      <c r="A57" s="834"/>
      <c r="B57" s="123"/>
      <c r="C57" s="157"/>
      <c r="D57" s="125" t="str">
        <f>+IFERROR(INDEX([1]CONSOLIDADO!$D$4:$D$91,MATCH('EXP GEN. 41'!B57,[1]CONSOLIDADO!$C$4:$C$91,0)),"")</f>
        <v/>
      </c>
      <c r="E57" s="126"/>
      <c r="F57" s="126"/>
      <c r="G57" s="279"/>
      <c r="H57" s="279"/>
      <c r="I57" s="162"/>
      <c r="J57" s="129"/>
      <c r="K57" s="129"/>
      <c r="L57" s="130" t="str">
        <f t="shared" si="0"/>
        <v/>
      </c>
      <c r="M57" s="131" t="str">
        <f>+IFERROR(INDEX([1]PARÁMETROS!$B$11:$B$37,MATCH(L57,[1]PARÁMETROS!$A$11:$A$37,0)),"")</f>
        <v/>
      </c>
      <c r="N57" s="163"/>
      <c r="O57" s="131"/>
      <c r="P57" s="123"/>
      <c r="Q57" s="134"/>
      <c r="R57" s="135"/>
      <c r="S57" s="131" t="str">
        <f t="shared" si="1"/>
        <v/>
      </c>
      <c r="T57" s="136" t="str">
        <f t="shared" si="2"/>
        <v/>
      </c>
      <c r="U57" s="136" t="str">
        <f t="shared" si="3"/>
        <v/>
      </c>
      <c r="V57" s="136"/>
      <c r="W57" s="828"/>
      <c r="X57" s="829"/>
      <c r="Y57" s="830"/>
      <c r="Z57" s="828"/>
      <c r="AA57" s="829"/>
      <c r="AB57" s="830"/>
      <c r="AC57" s="828"/>
      <c r="AD57" s="829"/>
      <c r="AE57" s="830"/>
      <c r="AF57" s="279"/>
      <c r="AG57" s="824" t="str">
        <f>IF(U57="","",IF(SUM(U57:U59)&gt;=[1]PARÁMETROS!$H$5,"HÁBIL","NO HÁBIL"))</f>
        <v/>
      </c>
      <c r="AH57" s="824" t="str">
        <f>IF(U57="","",IF(U57&gt;=[1]PARÁMETROS!$F$5,"HÁBIL","NO HÁBIL"))</f>
        <v/>
      </c>
      <c r="AI57" s="279" t="str">
        <f>+IF(U57="","",IF(U57&gt;=[1]PARÁMETROS!$D$5,"CUMPLE","NO CUMPLE"))</f>
        <v/>
      </c>
      <c r="AJ57" s="138"/>
      <c r="AK57" s="109"/>
    </row>
    <row r="58" spans="1:37" s="72" customFormat="1" ht="30" customHeight="1">
      <c r="A58" s="835"/>
      <c r="B58" s="58"/>
      <c r="C58" s="75"/>
      <c r="D58" s="60" t="str">
        <f>+IFERROR(INDEX([1]CONSOLIDADO!$D$4:$D$91,MATCH('EXP GEN. 41'!B58,[1]CONSOLIDADO!$C$4:$C$91,0)),"")</f>
        <v/>
      </c>
      <c r="E58" s="61"/>
      <c r="F58" s="61"/>
      <c r="G58" s="277"/>
      <c r="H58" s="277"/>
      <c r="I58" s="73"/>
      <c r="J58" s="64"/>
      <c r="K58" s="64"/>
      <c r="L58" s="65" t="str">
        <f t="shared" si="0"/>
        <v/>
      </c>
      <c r="M58" s="66" t="str">
        <f>+IFERROR(INDEX([1]PARÁMETROS!$B$11:$B$37,MATCH(L58,[1]PARÁMETROS!$A$11:$A$37,0)),"")</f>
        <v/>
      </c>
      <c r="N58" s="74"/>
      <c r="O58" s="66"/>
      <c r="P58" s="58"/>
      <c r="Q58" s="69"/>
      <c r="R58" s="70"/>
      <c r="S58" s="66" t="str">
        <f t="shared" si="1"/>
        <v/>
      </c>
      <c r="T58" s="55" t="str">
        <f t="shared" si="2"/>
        <v/>
      </c>
      <c r="U58" s="55" t="str">
        <f t="shared" si="3"/>
        <v/>
      </c>
      <c r="V58" s="55"/>
      <c r="W58" s="803"/>
      <c r="X58" s="804"/>
      <c r="Y58" s="805"/>
      <c r="Z58" s="803"/>
      <c r="AA58" s="804"/>
      <c r="AB58" s="805"/>
      <c r="AC58" s="803"/>
      <c r="AD58" s="804"/>
      <c r="AE58" s="805"/>
      <c r="AF58" s="277"/>
      <c r="AG58" s="850"/>
      <c r="AH58" s="850"/>
      <c r="AI58" s="277" t="str">
        <f>+IF(U58="","",IF(U58&gt;=[1]PARÁMETROS!$D$5,"CUMPLE","NO CUMPLE"))</f>
        <v/>
      </c>
      <c r="AJ58" s="139"/>
      <c r="AK58" s="109"/>
    </row>
    <row r="59" spans="1:37" s="72" customFormat="1" ht="30" customHeight="1">
      <c r="A59" s="835"/>
      <c r="B59" s="58"/>
      <c r="C59" s="75"/>
      <c r="D59" s="60" t="str">
        <f>+IFERROR(INDEX([1]CONSOLIDADO!$D$4:$D$91,MATCH('EXP GEN. 41'!B59,[1]CONSOLIDADO!$C$4:$C$91,0)),"")</f>
        <v/>
      </c>
      <c r="E59" s="61"/>
      <c r="F59" s="61"/>
      <c r="G59" s="277"/>
      <c r="H59" s="277"/>
      <c r="I59" s="73"/>
      <c r="J59" s="64"/>
      <c r="K59" s="64"/>
      <c r="L59" s="65" t="str">
        <f t="shared" si="0"/>
        <v/>
      </c>
      <c r="M59" s="66" t="str">
        <f>+IFERROR(INDEX([1]PARÁMETROS!$B$11:$B$37,MATCH(L59,[1]PARÁMETROS!$A$11:$A$37,0)),"")</f>
        <v/>
      </c>
      <c r="N59" s="74"/>
      <c r="O59" s="66"/>
      <c r="P59" s="58"/>
      <c r="Q59" s="69"/>
      <c r="R59" s="70"/>
      <c r="S59" s="66" t="str">
        <f t="shared" si="1"/>
        <v/>
      </c>
      <c r="T59" s="55" t="str">
        <f t="shared" si="2"/>
        <v/>
      </c>
      <c r="U59" s="55" t="str">
        <f t="shared" si="3"/>
        <v/>
      </c>
      <c r="V59" s="55"/>
      <c r="W59" s="803"/>
      <c r="X59" s="804"/>
      <c r="Y59" s="805"/>
      <c r="Z59" s="803"/>
      <c r="AA59" s="804"/>
      <c r="AB59" s="805"/>
      <c r="AC59" s="803"/>
      <c r="AD59" s="804"/>
      <c r="AE59" s="805"/>
      <c r="AF59" s="277"/>
      <c r="AG59" s="850"/>
      <c r="AH59" s="850"/>
      <c r="AI59" s="277" t="str">
        <f>+IF(U59="","",IF(U59&gt;=[1]PARÁMETROS!$D$5,"CUMPLE","NO CUMPLE"))</f>
        <v/>
      </c>
      <c r="AJ59" s="139"/>
      <c r="AK59" s="109"/>
    </row>
    <row r="60" spans="1:37" s="72" customFormat="1" ht="30" customHeight="1">
      <c r="A60" s="835"/>
      <c r="B60" s="58"/>
      <c r="C60" s="75"/>
      <c r="D60" s="60" t="str">
        <f>+IFERROR(INDEX([1]CONSOLIDADO!$D$4:$D$91,MATCH('EXP GEN. 41'!B60,[1]CONSOLIDADO!$C$4:$C$91,0)),"")</f>
        <v/>
      </c>
      <c r="E60" s="61"/>
      <c r="F60" s="61"/>
      <c r="G60" s="277"/>
      <c r="H60" s="277"/>
      <c r="I60" s="73"/>
      <c r="J60" s="64"/>
      <c r="K60" s="64"/>
      <c r="L60" s="65" t="str">
        <f t="shared" si="0"/>
        <v/>
      </c>
      <c r="M60" s="66" t="str">
        <f>+IFERROR(INDEX([1]PARÁMETROS!$B$11:$B$37,MATCH(L60,[1]PARÁMETROS!$A$11:$A$37,0)),"")</f>
        <v/>
      </c>
      <c r="N60" s="74"/>
      <c r="O60" s="66"/>
      <c r="P60" s="58"/>
      <c r="Q60" s="69"/>
      <c r="R60" s="70"/>
      <c r="S60" s="66" t="str">
        <f t="shared" si="1"/>
        <v/>
      </c>
      <c r="T60" s="55" t="str">
        <f t="shared" si="2"/>
        <v/>
      </c>
      <c r="U60" s="55" t="str">
        <f t="shared" si="3"/>
        <v/>
      </c>
      <c r="V60" s="55"/>
      <c r="W60" s="803"/>
      <c r="X60" s="804"/>
      <c r="Y60" s="805"/>
      <c r="Z60" s="803"/>
      <c r="AA60" s="804"/>
      <c r="AB60" s="805"/>
      <c r="AC60" s="803"/>
      <c r="AD60" s="804"/>
      <c r="AE60" s="805"/>
      <c r="AF60" s="277"/>
      <c r="AG60" s="850"/>
      <c r="AH60" s="850"/>
      <c r="AI60" s="277" t="str">
        <f>+IF(U60="","",IF(U60&gt;=[1]PARÁMETROS!$D$5,"CUMPLE","NO CUMPLE"))</f>
        <v/>
      </c>
      <c r="AJ60" s="139"/>
      <c r="AK60" s="109"/>
    </row>
    <row r="61" spans="1:37" s="72" customFormat="1" ht="30" customHeight="1">
      <c r="A61" s="835"/>
      <c r="B61" s="58"/>
      <c r="C61" s="75"/>
      <c r="D61" s="60" t="str">
        <f>+IFERROR(INDEX([1]CONSOLIDADO!$D$4:$D$91,MATCH('EXP GEN. 41'!B61,[1]CONSOLIDADO!$C$4:$C$91,0)),"")</f>
        <v/>
      </c>
      <c r="E61" s="61"/>
      <c r="F61" s="61"/>
      <c r="G61" s="277"/>
      <c r="H61" s="277"/>
      <c r="I61" s="73"/>
      <c r="J61" s="64"/>
      <c r="K61" s="64"/>
      <c r="L61" s="65" t="str">
        <f t="shared" si="0"/>
        <v/>
      </c>
      <c r="M61" s="66" t="str">
        <f>+IFERROR(INDEX([1]PARÁMETROS!$B$11:$B$37,MATCH(L61,[1]PARÁMETROS!$A$11:$A$37,0)),"")</f>
        <v/>
      </c>
      <c r="N61" s="74"/>
      <c r="O61" s="66"/>
      <c r="P61" s="58"/>
      <c r="Q61" s="69"/>
      <c r="R61" s="70"/>
      <c r="S61" s="66" t="str">
        <f t="shared" si="1"/>
        <v/>
      </c>
      <c r="T61" s="55" t="str">
        <f t="shared" si="2"/>
        <v/>
      </c>
      <c r="U61" s="55" t="str">
        <f t="shared" si="3"/>
        <v/>
      </c>
      <c r="V61" s="55"/>
      <c r="W61" s="803"/>
      <c r="X61" s="804"/>
      <c r="Y61" s="805"/>
      <c r="Z61" s="803"/>
      <c r="AA61" s="804"/>
      <c r="AB61" s="805"/>
      <c r="AC61" s="803"/>
      <c r="AD61" s="804"/>
      <c r="AE61" s="805"/>
      <c r="AF61" s="277"/>
      <c r="AG61" s="850"/>
      <c r="AH61" s="850"/>
      <c r="AI61" s="277" t="str">
        <f>+IF(U61="","",IF(U61&gt;=[1]PARÁMETROS!$D$5,"CUMPLE","NO CUMPLE"))</f>
        <v/>
      </c>
      <c r="AJ61" s="139"/>
      <c r="AK61" s="109"/>
    </row>
    <row r="62" spans="1:37" s="72" customFormat="1" ht="30" customHeight="1" thickBot="1">
      <c r="A62" s="836"/>
      <c r="B62" s="141"/>
      <c r="C62" s="142"/>
      <c r="D62" s="143" t="str">
        <f>+IFERROR(INDEX([1]CONSOLIDADO!$D$4:$D$91,MATCH('EXP GEN. 41'!B62,[1]CONSOLIDADO!$C$4:$C$91,0)),"")</f>
        <v/>
      </c>
      <c r="E62" s="144"/>
      <c r="F62" s="144"/>
      <c r="G62" s="278"/>
      <c r="H62" s="278"/>
      <c r="I62" s="164"/>
      <c r="J62" s="147"/>
      <c r="K62" s="147"/>
      <c r="L62" s="148" t="str">
        <f t="shared" si="0"/>
        <v/>
      </c>
      <c r="M62" s="149" t="str">
        <f>+IFERROR(INDEX([1]PARÁMETROS!$B$11:$B$37,MATCH(L62,[1]PARÁMETROS!$A$11:$A$37,0)),"")</f>
        <v/>
      </c>
      <c r="N62" s="165"/>
      <c r="O62" s="149"/>
      <c r="P62" s="141"/>
      <c r="Q62" s="152"/>
      <c r="R62" s="153"/>
      <c r="S62" s="149" t="str">
        <f t="shared" si="1"/>
        <v/>
      </c>
      <c r="T62" s="154" t="str">
        <f t="shared" si="2"/>
        <v/>
      </c>
      <c r="U62" s="154" t="str">
        <f t="shared" si="3"/>
        <v/>
      </c>
      <c r="V62" s="154"/>
      <c r="W62" s="825"/>
      <c r="X62" s="826"/>
      <c r="Y62" s="827"/>
      <c r="Z62" s="825"/>
      <c r="AA62" s="826"/>
      <c r="AB62" s="827"/>
      <c r="AC62" s="825"/>
      <c r="AD62" s="826"/>
      <c r="AE62" s="827"/>
      <c r="AF62" s="278"/>
      <c r="AG62" s="851"/>
      <c r="AH62" s="851"/>
      <c r="AI62" s="278" t="str">
        <f>+IF(U62="","",IF(U62&gt;=[1]PARÁMETROS!$D$5,"CUMPLE","NO CUMPLE"))</f>
        <v/>
      </c>
      <c r="AJ62" s="155"/>
      <c r="AK62" s="109"/>
    </row>
    <row r="63" spans="1:37" s="72" customFormat="1" ht="30" customHeight="1">
      <c r="A63" s="834"/>
      <c r="B63" s="123"/>
      <c r="C63" s="157"/>
      <c r="D63" s="125" t="str">
        <f>+IFERROR(INDEX([1]CONSOLIDADO!$D$4:$D$91,MATCH('EXP GEN. 41'!B63,[1]CONSOLIDADO!$C$4:$C$91,0)),"")</f>
        <v/>
      </c>
      <c r="E63" s="126"/>
      <c r="F63" s="126"/>
      <c r="G63" s="279"/>
      <c r="H63" s="279"/>
      <c r="I63" s="162"/>
      <c r="J63" s="129"/>
      <c r="K63" s="129"/>
      <c r="L63" s="130" t="str">
        <f t="shared" si="0"/>
        <v/>
      </c>
      <c r="M63" s="131" t="str">
        <f>+IFERROR(INDEX([1]PARÁMETROS!$B$11:$B$37,MATCH(L63,[1]PARÁMETROS!$A$11:$A$37,0)),"")</f>
        <v/>
      </c>
      <c r="N63" s="163"/>
      <c r="O63" s="131"/>
      <c r="P63" s="123"/>
      <c r="Q63" s="134"/>
      <c r="R63" s="135"/>
      <c r="S63" s="131" t="str">
        <f t="shared" si="1"/>
        <v/>
      </c>
      <c r="T63" s="136" t="str">
        <f t="shared" si="2"/>
        <v/>
      </c>
      <c r="U63" s="136" t="str">
        <f t="shared" si="3"/>
        <v/>
      </c>
      <c r="V63" s="136"/>
      <c r="W63" s="828"/>
      <c r="X63" s="829"/>
      <c r="Y63" s="830"/>
      <c r="Z63" s="828"/>
      <c r="AA63" s="829"/>
      <c r="AB63" s="830"/>
      <c r="AC63" s="828"/>
      <c r="AD63" s="829"/>
      <c r="AE63" s="830"/>
      <c r="AF63" s="279"/>
      <c r="AG63" s="824" t="str">
        <f>IF(U63="","",IF(SUM(U63:U65)&gt;=[1]PARÁMETROS!$H$5,"HÁBIL","NO HÁBIL"))</f>
        <v/>
      </c>
      <c r="AH63" s="824" t="str">
        <f>IF(U63="","",IF(U63&gt;=[1]PARÁMETROS!$F$5,"HÁBIL","NO HÁBIL"))</f>
        <v/>
      </c>
      <c r="AI63" s="279" t="str">
        <f>+IF(U63="","",IF(U63&gt;=[1]PARÁMETROS!$D$5,"CUMPLE","NO CUMPLE"))</f>
        <v/>
      </c>
      <c r="AJ63" s="138"/>
      <c r="AK63" s="109"/>
    </row>
    <row r="64" spans="1:37" s="72" customFormat="1" ht="30" customHeight="1">
      <c r="A64" s="835"/>
      <c r="B64" s="58"/>
      <c r="C64" s="75"/>
      <c r="D64" s="60" t="str">
        <f>+IFERROR(INDEX([1]CONSOLIDADO!$D$4:$D$91,MATCH('EXP GEN. 41'!B64,[1]CONSOLIDADO!$C$4:$C$91,0)),"")</f>
        <v/>
      </c>
      <c r="E64" s="61"/>
      <c r="F64" s="61"/>
      <c r="G64" s="277"/>
      <c r="H64" s="277"/>
      <c r="I64" s="73"/>
      <c r="J64" s="64"/>
      <c r="K64" s="64"/>
      <c r="L64" s="65" t="str">
        <f t="shared" si="0"/>
        <v/>
      </c>
      <c r="M64" s="66" t="str">
        <f>+IFERROR(INDEX([1]PARÁMETROS!$B$11:$B$37,MATCH(L64,[1]PARÁMETROS!$A$11:$A$37,0)),"")</f>
        <v/>
      </c>
      <c r="N64" s="74"/>
      <c r="O64" s="66"/>
      <c r="P64" s="58"/>
      <c r="Q64" s="69"/>
      <c r="R64" s="70"/>
      <c r="S64" s="66" t="str">
        <f t="shared" si="1"/>
        <v/>
      </c>
      <c r="T64" s="55" t="str">
        <f t="shared" si="2"/>
        <v/>
      </c>
      <c r="U64" s="55" t="str">
        <f t="shared" si="3"/>
        <v/>
      </c>
      <c r="V64" s="55"/>
      <c r="W64" s="803"/>
      <c r="X64" s="804"/>
      <c r="Y64" s="805"/>
      <c r="Z64" s="803"/>
      <c r="AA64" s="804"/>
      <c r="AB64" s="805"/>
      <c r="AC64" s="803"/>
      <c r="AD64" s="804"/>
      <c r="AE64" s="805"/>
      <c r="AF64" s="277"/>
      <c r="AG64" s="850"/>
      <c r="AH64" s="850"/>
      <c r="AI64" s="277" t="str">
        <f>+IF(U64="","",IF(U64&gt;=[1]PARÁMETROS!$D$5,"CUMPLE","NO CUMPLE"))</f>
        <v/>
      </c>
      <c r="AJ64" s="139"/>
      <c r="AK64" s="109"/>
    </row>
    <row r="65" spans="1:37" s="72" customFormat="1" ht="30" customHeight="1">
      <c r="A65" s="835"/>
      <c r="B65" s="58"/>
      <c r="C65" s="75"/>
      <c r="D65" s="60" t="str">
        <f>+IFERROR(INDEX([1]CONSOLIDADO!$D$4:$D$91,MATCH('EXP GEN. 41'!B65,[1]CONSOLIDADO!$C$4:$C$91,0)),"")</f>
        <v/>
      </c>
      <c r="E65" s="61"/>
      <c r="F65" s="61"/>
      <c r="G65" s="277"/>
      <c r="H65" s="277"/>
      <c r="I65" s="73"/>
      <c r="J65" s="64"/>
      <c r="K65" s="64"/>
      <c r="L65" s="65" t="str">
        <f t="shared" si="0"/>
        <v/>
      </c>
      <c r="M65" s="66" t="str">
        <f>+IFERROR(INDEX([1]PARÁMETROS!$B$11:$B$37,MATCH(L65,[1]PARÁMETROS!$A$11:$A$37,0)),"")</f>
        <v/>
      </c>
      <c r="N65" s="74"/>
      <c r="O65" s="66"/>
      <c r="P65" s="58"/>
      <c r="Q65" s="69"/>
      <c r="R65" s="70"/>
      <c r="S65" s="66" t="str">
        <f t="shared" si="1"/>
        <v/>
      </c>
      <c r="T65" s="55" t="str">
        <f t="shared" si="2"/>
        <v/>
      </c>
      <c r="U65" s="55" t="str">
        <f t="shared" si="3"/>
        <v/>
      </c>
      <c r="V65" s="55"/>
      <c r="W65" s="803"/>
      <c r="X65" s="804"/>
      <c r="Y65" s="805"/>
      <c r="Z65" s="803"/>
      <c r="AA65" s="804"/>
      <c r="AB65" s="805"/>
      <c r="AC65" s="803"/>
      <c r="AD65" s="804"/>
      <c r="AE65" s="805"/>
      <c r="AF65" s="277"/>
      <c r="AG65" s="850"/>
      <c r="AH65" s="850"/>
      <c r="AI65" s="277" t="str">
        <f>+IF(U65="","",IF(U65&gt;=[1]PARÁMETROS!$D$5,"CUMPLE","NO CUMPLE"))</f>
        <v/>
      </c>
      <c r="AJ65" s="139"/>
      <c r="AK65" s="109"/>
    </row>
    <row r="66" spans="1:37" s="72" customFormat="1" ht="30" customHeight="1">
      <c r="A66" s="835"/>
      <c r="B66" s="58"/>
      <c r="C66" s="75"/>
      <c r="D66" s="60" t="str">
        <f>+IFERROR(INDEX([1]CONSOLIDADO!$D$4:$D$91,MATCH('EXP GEN. 41'!B66,[1]CONSOLIDADO!$C$4:$C$91,0)),"")</f>
        <v/>
      </c>
      <c r="E66" s="61"/>
      <c r="F66" s="61"/>
      <c r="G66" s="277"/>
      <c r="H66" s="277"/>
      <c r="I66" s="73"/>
      <c r="J66" s="64"/>
      <c r="K66" s="64"/>
      <c r="L66" s="65" t="str">
        <f t="shared" si="0"/>
        <v/>
      </c>
      <c r="M66" s="66" t="str">
        <f>+IFERROR(INDEX([1]PARÁMETROS!$B$11:$B$37,MATCH(L66,[1]PARÁMETROS!$A$11:$A$37,0)),"")</f>
        <v/>
      </c>
      <c r="N66" s="74"/>
      <c r="O66" s="66"/>
      <c r="P66" s="58"/>
      <c r="Q66" s="69"/>
      <c r="R66" s="70"/>
      <c r="S66" s="66" t="str">
        <f t="shared" si="1"/>
        <v/>
      </c>
      <c r="T66" s="55" t="str">
        <f t="shared" si="2"/>
        <v/>
      </c>
      <c r="U66" s="55" t="str">
        <f t="shared" si="3"/>
        <v/>
      </c>
      <c r="V66" s="55"/>
      <c r="W66" s="803"/>
      <c r="X66" s="804"/>
      <c r="Y66" s="805"/>
      <c r="Z66" s="803"/>
      <c r="AA66" s="804"/>
      <c r="AB66" s="805"/>
      <c r="AC66" s="803"/>
      <c r="AD66" s="804"/>
      <c r="AE66" s="805"/>
      <c r="AF66" s="277"/>
      <c r="AG66" s="850"/>
      <c r="AH66" s="850"/>
      <c r="AI66" s="277" t="str">
        <f>+IF(U66="","",IF(U66&gt;=[1]PARÁMETROS!$D$5,"CUMPLE","NO CUMPLE"))</f>
        <v/>
      </c>
      <c r="AJ66" s="139"/>
      <c r="AK66" s="109"/>
    </row>
    <row r="67" spans="1:37" s="72" customFormat="1" ht="30" customHeight="1">
      <c r="A67" s="835"/>
      <c r="B67" s="58"/>
      <c r="C67" s="75"/>
      <c r="D67" s="60" t="str">
        <f>+IFERROR(INDEX([1]CONSOLIDADO!$D$4:$D$91,MATCH('EXP GEN. 41'!B67,[1]CONSOLIDADO!$C$4:$C$91,0)),"")</f>
        <v/>
      </c>
      <c r="E67" s="61"/>
      <c r="F67" s="61"/>
      <c r="G67" s="277"/>
      <c r="H67" s="277"/>
      <c r="I67" s="73"/>
      <c r="J67" s="64"/>
      <c r="K67" s="64"/>
      <c r="L67" s="65" t="str">
        <f t="shared" si="0"/>
        <v/>
      </c>
      <c r="M67" s="66" t="str">
        <f>+IFERROR(INDEX([1]PARÁMETROS!$B$11:$B$37,MATCH(L67,[1]PARÁMETROS!$A$11:$A$37,0)),"")</f>
        <v/>
      </c>
      <c r="N67" s="74"/>
      <c r="O67" s="66"/>
      <c r="P67" s="58"/>
      <c r="Q67" s="69"/>
      <c r="R67" s="70"/>
      <c r="S67" s="66" t="str">
        <f t="shared" si="1"/>
        <v/>
      </c>
      <c r="T67" s="55" t="str">
        <f t="shared" si="2"/>
        <v/>
      </c>
      <c r="U67" s="55" t="str">
        <f t="shared" si="3"/>
        <v/>
      </c>
      <c r="V67" s="55"/>
      <c r="W67" s="803"/>
      <c r="X67" s="804"/>
      <c r="Y67" s="805"/>
      <c r="Z67" s="803"/>
      <c r="AA67" s="804"/>
      <c r="AB67" s="805"/>
      <c r="AC67" s="803"/>
      <c r="AD67" s="804"/>
      <c r="AE67" s="805"/>
      <c r="AF67" s="277"/>
      <c r="AG67" s="850"/>
      <c r="AH67" s="850"/>
      <c r="AI67" s="277" t="str">
        <f>+IF(U67="","",IF(U67&gt;=[1]PARÁMETROS!$D$5,"CUMPLE","NO CUMPLE"))</f>
        <v/>
      </c>
      <c r="AJ67" s="139"/>
      <c r="AK67" s="109"/>
    </row>
    <row r="68" spans="1:37" s="72" customFormat="1" ht="30" customHeight="1" thickBot="1">
      <c r="A68" s="836"/>
      <c r="B68" s="141"/>
      <c r="C68" s="142"/>
      <c r="D68" s="143" t="str">
        <f>+IFERROR(INDEX([1]CONSOLIDADO!$D$4:$D$91,MATCH('EXP GEN. 41'!B68,[1]CONSOLIDADO!$C$4:$C$91,0)),"")</f>
        <v/>
      </c>
      <c r="E68" s="144"/>
      <c r="F68" s="144"/>
      <c r="G68" s="278"/>
      <c r="H68" s="278"/>
      <c r="I68" s="164"/>
      <c r="J68" s="147"/>
      <c r="K68" s="147"/>
      <c r="L68" s="148" t="str">
        <f t="shared" ref="L68:L80" si="4">IF(K68="","",YEAR(K68))</f>
        <v/>
      </c>
      <c r="M68" s="149" t="str">
        <f>+IFERROR(INDEX([1]PARÁMETROS!$B$11:$B$37,MATCH(L68,[1]PARÁMETROS!$A$11:$A$37,0)),"")</f>
        <v/>
      </c>
      <c r="N68" s="165"/>
      <c r="O68" s="149"/>
      <c r="P68" s="141"/>
      <c r="Q68" s="152"/>
      <c r="R68" s="153"/>
      <c r="S68" s="149" t="str">
        <f t="shared" ref="S68:S80" si="5">IF(R68&lt;&gt;"",N68*R68,"")</f>
        <v/>
      </c>
      <c r="T68" s="154" t="str">
        <f t="shared" ref="T68:T80" si="6">+IFERROR(S68/M68,"")</f>
        <v/>
      </c>
      <c r="U68" s="154" t="str">
        <f t="shared" ref="U68:U80" si="7">IFERROR(T68*I68,"")</f>
        <v/>
      </c>
      <c r="V68" s="154"/>
      <c r="W68" s="825"/>
      <c r="X68" s="826"/>
      <c r="Y68" s="827"/>
      <c r="Z68" s="825"/>
      <c r="AA68" s="826"/>
      <c r="AB68" s="827"/>
      <c r="AC68" s="825"/>
      <c r="AD68" s="826"/>
      <c r="AE68" s="827"/>
      <c r="AF68" s="278"/>
      <c r="AG68" s="851"/>
      <c r="AH68" s="851"/>
      <c r="AI68" s="278" t="str">
        <f>+IF(U68="","",IF(U68&gt;=[1]PARÁMETROS!$D$5,"CUMPLE","NO CUMPLE"))</f>
        <v/>
      </c>
      <c r="AJ68" s="155"/>
      <c r="AK68" s="109"/>
    </row>
    <row r="69" spans="1:37" s="72" customFormat="1" ht="30" customHeight="1">
      <c r="A69" s="834"/>
      <c r="B69" s="123"/>
      <c r="C69" s="157"/>
      <c r="D69" s="125" t="str">
        <f>+IFERROR(INDEX([1]CONSOLIDADO!$D$4:$D$91,MATCH('EXP GEN. 41'!B69,[1]CONSOLIDADO!$C$4:$C$91,0)),"")</f>
        <v/>
      </c>
      <c r="E69" s="126"/>
      <c r="F69" s="126"/>
      <c r="G69" s="279"/>
      <c r="H69" s="279"/>
      <c r="I69" s="162"/>
      <c r="J69" s="129"/>
      <c r="K69" s="129"/>
      <c r="L69" s="130" t="str">
        <f t="shared" si="4"/>
        <v/>
      </c>
      <c r="M69" s="131" t="str">
        <f>+IFERROR(INDEX([1]PARÁMETROS!$B$11:$B$37,MATCH(L69,[1]PARÁMETROS!$A$11:$A$37,0)),"")</f>
        <v/>
      </c>
      <c r="N69" s="163"/>
      <c r="O69" s="131"/>
      <c r="P69" s="123"/>
      <c r="Q69" s="134"/>
      <c r="R69" s="135"/>
      <c r="S69" s="131" t="str">
        <f t="shared" si="5"/>
        <v/>
      </c>
      <c r="T69" s="136" t="str">
        <f t="shared" si="6"/>
        <v/>
      </c>
      <c r="U69" s="136" t="str">
        <f t="shared" si="7"/>
        <v/>
      </c>
      <c r="V69" s="136"/>
      <c r="W69" s="828"/>
      <c r="X69" s="829"/>
      <c r="Y69" s="830"/>
      <c r="Z69" s="828"/>
      <c r="AA69" s="829"/>
      <c r="AB69" s="830"/>
      <c r="AC69" s="828"/>
      <c r="AD69" s="829"/>
      <c r="AE69" s="830"/>
      <c r="AF69" s="279"/>
      <c r="AG69" s="824" t="str">
        <f>IF(U69="","",IF(SUM(U69:U71)&gt;=[1]PARÁMETROS!$H$5,"HÁBIL","NO HÁBIL"))</f>
        <v/>
      </c>
      <c r="AH69" s="824" t="str">
        <f>IF(U69="","",IF(U69&gt;=[1]PARÁMETROS!$F$5,"HÁBIL","NO HÁBIL"))</f>
        <v/>
      </c>
      <c r="AI69" s="279" t="str">
        <f>+IF(U69="","",IF(U69&gt;=[1]PARÁMETROS!$D$5,"CUMPLE","NO CUMPLE"))</f>
        <v/>
      </c>
      <c r="AJ69" s="138"/>
      <c r="AK69" s="109"/>
    </row>
    <row r="70" spans="1:37" s="72" customFormat="1" ht="30" customHeight="1">
      <c r="A70" s="835"/>
      <c r="B70" s="58"/>
      <c r="C70" s="75"/>
      <c r="D70" s="60" t="str">
        <f>+IFERROR(INDEX([1]CONSOLIDADO!$D$4:$D$91,MATCH('EXP GEN. 41'!B70,[1]CONSOLIDADO!$C$4:$C$91,0)),"")</f>
        <v/>
      </c>
      <c r="E70" s="61"/>
      <c r="F70" s="61"/>
      <c r="G70" s="277"/>
      <c r="H70" s="277"/>
      <c r="I70" s="73"/>
      <c r="J70" s="64"/>
      <c r="K70" s="64"/>
      <c r="L70" s="65" t="str">
        <f t="shared" si="4"/>
        <v/>
      </c>
      <c r="M70" s="66" t="str">
        <f>+IFERROR(INDEX([1]PARÁMETROS!$B$11:$B$37,MATCH(L70,[1]PARÁMETROS!$A$11:$A$37,0)),"")</f>
        <v/>
      </c>
      <c r="N70" s="74"/>
      <c r="O70" s="66"/>
      <c r="P70" s="58"/>
      <c r="Q70" s="69"/>
      <c r="R70" s="70"/>
      <c r="S70" s="66" t="str">
        <f t="shared" si="5"/>
        <v/>
      </c>
      <c r="T70" s="55" t="str">
        <f t="shared" si="6"/>
        <v/>
      </c>
      <c r="U70" s="55" t="str">
        <f t="shared" si="7"/>
        <v/>
      </c>
      <c r="V70" s="55"/>
      <c r="W70" s="803"/>
      <c r="X70" s="804"/>
      <c r="Y70" s="805"/>
      <c r="Z70" s="803"/>
      <c r="AA70" s="804"/>
      <c r="AB70" s="805"/>
      <c r="AC70" s="803"/>
      <c r="AD70" s="804"/>
      <c r="AE70" s="805"/>
      <c r="AF70" s="277"/>
      <c r="AG70" s="850"/>
      <c r="AH70" s="850"/>
      <c r="AI70" s="277" t="str">
        <f>+IF(U70="","",IF(U70&gt;=[1]PARÁMETROS!$D$5,"CUMPLE","NO CUMPLE"))</f>
        <v/>
      </c>
      <c r="AJ70" s="139"/>
      <c r="AK70" s="109"/>
    </row>
    <row r="71" spans="1:37" s="72" customFormat="1" ht="30" customHeight="1">
      <c r="A71" s="835"/>
      <c r="B71" s="58"/>
      <c r="C71" s="75"/>
      <c r="D71" s="60" t="str">
        <f>+IFERROR(INDEX([1]CONSOLIDADO!$D$4:$D$91,MATCH('EXP GEN. 41'!B71,[1]CONSOLIDADO!$C$4:$C$91,0)),"")</f>
        <v/>
      </c>
      <c r="E71" s="61"/>
      <c r="F71" s="61"/>
      <c r="G71" s="277"/>
      <c r="H71" s="277"/>
      <c r="I71" s="73"/>
      <c r="J71" s="64"/>
      <c r="K71" s="64"/>
      <c r="L71" s="65" t="str">
        <f t="shared" si="4"/>
        <v/>
      </c>
      <c r="M71" s="66" t="str">
        <f>+IFERROR(INDEX([1]PARÁMETROS!$B$11:$B$37,MATCH(L71,[1]PARÁMETROS!$A$11:$A$37,0)),"")</f>
        <v/>
      </c>
      <c r="N71" s="74"/>
      <c r="O71" s="66"/>
      <c r="P71" s="58"/>
      <c r="Q71" s="69"/>
      <c r="R71" s="70"/>
      <c r="S71" s="66" t="str">
        <f t="shared" si="5"/>
        <v/>
      </c>
      <c r="T71" s="55" t="str">
        <f t="shared" si="6"/>
        <v/>
      </c>
      <c r="U71" s="55" t="str">
        <f t="shared" si="7"/>
        <v/>
      </c>
      <c r="V71" s="55"/>
      <c r="W71" s="803"/>
      <c r="X71" s="804"/>
      <c r="Y71" s="805"/>
      <c r="Z71" s="803"/>
      <c r="AA71" s="804"/>
      <c r="AB71" s="805"/>
      <c r="AC71" s="803"/>
      <c r="AD71" s="804"/>
      <c r="AE71" s="805"/>
      <c r="AF71" s="277"/>
      <c r="AG71" s="850"/>
      <c r="AH71" s="850"/>
      <c r="AI71" s="277" t="str">
        <f>+IF(U71="","",IF(U71&gt;=[1]PARÁMETROS!$D$5,"CUMPLE","NO CUMPLE"))</f>
        <v/>
      </c>
      <c r="AJ71" s="139"/>
      <c r="AK71" s="109"/>
    </row>
    <row r="72" spans="1:37" s="72" customFormat="1" ht="30" customHeight="1">
      <c r="A72" s="835"/>
      <c r="B72" s="58"/>
      <c r="C72" s="75"/>
      <c r="D72" s="60" t="str">
        <f>+IFERROR(INDEX([1]CONSOLIDADO!$D$4:$D$91,MATCH('EXP GEN. 41'!B72,[1]CONSOLIDADO!$C$4:$C$91,0)),"")</f>
        <v/>
      </c>
      <c r="E72" s="61"/>
      <c r="F72" s="61"/>
      <c r="G72" s="277"/>
      <c r="H72" s="277"/>
      <c r="I72" s="73"/>
      <c r="J72" s="64"/>
      <c r="K72" s="64"/>
      <c r="L72" s="65" t="str">
        <f t="shared" si="4"/>
        <v/>
      </c>
      <c r="M72" s="66" t="str">
        <f>+IFERROR(INDEX([1]PARÁMETROS!$B$11:$B$37,MATCH(L72,[1]PARÁMETROS!$A$11:$A$37,0)),"")</f>
        <v/>
      </c>
      <c r="N72" s="74"/>
      <c r="O72" s="66"/>
      <c r="P72" s="58"/>
      <c r="Q72" s="69"/>
      <c r="R72" s="70"/>
      <c r="S72" s="66" t="str">
        <f t="shared" si="5"/>
        <v/>
      </c>
      <c r="T72" s="55" t="str">
        <f t="shared" si="6"/>
        <v/>
      </c>
      <c r="U72" s="55" t="str">
        <f t="shared" si="7"/>
        <v/>
      </c>
      <c r="V72" s="55"/>
      <c r="W72" s="803"/>
      <c r="X72" s="804"/>
      <c r="Y72" s="805"/>
      <c r="Z72" s="803"/>
      <c r="AA72" s="804"/>
      <c r="AB72" s="805"/>
      <c r="AC72" s="803"/>
      <c r="AD72" s="804"/>
      <c r="AE72" s="805"/>
      <c r="AF72" s="277"/>
      <c r="AG72" s="850"/>
      <c r="AH72" s="850"/>
      <c r="AI72" s="277" t="str">
        <f>+IF(U72="","",IF(U72&gt;=[1]PARÁMETROS!$D$5,"CUMPLE","NO CUMPLE"))</f>
        <v/>
      </c>
      <c r="AJ72" s="139"/>
      <c r="AK72" s="109"/>
    </row>
    <row r="73" spans="1:37" s="72" customFormat="1" ht="30" customHeight="1">
      <c r="A73" s="835"/>
      <c r="B73" s="58"/>
      <c r="C73" s="75"/>
      <c r="D73" s="60" t="str">
        <f>+IFERROR(INDEX([1]CONSOLIDADO!$D$4:$D$91,MATCH('EXP GEN. 41'!B73,[1]CONSOLIDADO!$C$4:$C$91,0)),"")</f>
        <v/>
      </c>
      <c r="E73" s="61"/>
      <c r="F73" s="61"/>
      <c r="G73" s="277"/>
      <c r="H73" s="277"/>
      <c r="I73" s="73"/>
      <c r="J73" s="64"/>
      <c r="K73" s="64"/>
      <c r="L73" s="65" t="str">
        <f t="shared" si="4"/>
        <v/>
      </c>
      <c r="M73" s="66" t="str">
        <f>+IFERROR(INDEX([1]PARÁMETROS!$B$11:$B$37,MATCH(L73,[1]PARÁMETROS!$A$11:$A$37,0)),"")</f>
        <v/>
      </c>
      <c r="N73" s="74"/>
      <c r="O73" s="66"/>
      <c r="P73" s="58"/>
      <c r="Q73" s="69"/>
      <c r="R73" s="70"/>
      <c r="S73" s="66" t="str">
        <f t="shared" si="5"/>
        <v/>
      </c>
      <c r="T73" s="55" t="str">
        <f t="shared" si="6"/>
        <v/>
      </c>
      <c r="U73" s="55" t="str">
        <f t="shared" si="7"/>
        <v/>
      </c>
      <c r="V73" s="55"/>
      <c r="W73" s="803"/>
      <c r="X73" s="804"/>
      <c r="Y73" s="805"/>
      <c r="Z73" s="803"/>
      <c r="AA73" s="804"/>
      <c r="AB73" s="805"/>
      <c r="AC73" s="803"/>
      <c r="AD73" s="804"/>
      <c r="AE73" s="805"/>
      <c r="AF73" s="277"/>
      <c r="AG73" s="850"/>
      <c r="AH73" s="850"/>
      <c r="AI73" s="277" t="str">
        <f>+IF(U73="","",IF(U73&gt;=[1]PARÁMETROS!$D$5,"CUMPLE","NO CUMPLE"))</f>
        <v/>
      </c>
      <c r="AJ73" s="139"/>
      <c r="AK73" s="109"/>
    </row>
    <row r="74" spans="1:37" s="72" customFormat="1" ht="30" customHeight="1" thickBot="1">
      <c r="A74" s="836"/>
      <c r="B74" s="141"/>
      <c r="C74" s="142"/>
      <c r="D74" s="143" t="str">
        <f>+IFERROR(INDEX([1]CONSOLIDADO!$D$4:$D$91,MATCH('EXP GEN. 41'!B74,[1]CONSOLIDADO!$C$4:$C$91,0)),"")</f>
        <v/>
      </c>
      <c r="E74" s="144"/>
      <c r="F74" s="144"/>
      <c r="G74" s="278"/>
      <c r="H74" s="278"/>
      <c r="I74" s="164"/>
      <c r="J74" s="147"/>
      <c r="K74" s="147"/>
      <c r="L74" s="148" t="str">
        <f t="shared" si="4"/>
        <v/>
      </c>
      <c r="M74" s="149" t="str">
        <f>+IFERROR(INDEX([1]PARÁMETROS!$B$11:$B$37,MATCH(L74,[1]PARÁMETROS!$A$11:$A$37,0)),"")</f>
        <v/>
      </c>
      <c r="N74" s="165"/>
      <c r="O74" s="149"/>
      <c r="P74" s="141"/>
      <c r="Q74" s="152"/>
      <c r="R74" s="153"/>
      <c r="S74" s="149" t="str">
        <f t="shared" si="5"/>
        <v/>
      </c>
      <c r="T74" s="154" t="str">
        <f t="shared" si="6"/>
        <v/>
      </c>
      <c r="U74" s="154" t="str">
        <f t="shared" si="7"/>
        <v/>
      </c>
      <c r="V74" s="154"/>
      <c r="W74" s="825"/>
      <c r="X74" s="826"/>
      <c r="Y74" s="827"/>
      <c r="Z74" s="825"/>
      <c r="AA74" s="826"/>
      <c r="AB74" s="827"/>
      <c r="AC74" s="825"/>
      <c r="AD74" s="826"/>
      <c r="AE74" s="827"/>
      <c r="AF74" s="278"/>
      <c r="AG74" s="851"/>
      <c r="AH74" s="851"/>
      <c r="AI74" s="278" t="str">
        <f>+IF(U74="","",IF(U74&gt;=[1]PARÁMETROS!$D$5,"CUMPLE","NO CUMPLE"))</f>
        <v/>
      </c>
      <c r="AJ74" s="155"/>
      <c r="AK74" s="109"/>
    </row>
    <row r="75" spans="1:37" s="72" customFormat="1" ht="30" customHeight="1">
      <c r="A75" s="834"/>
      <c r="B75" s="123"/>
      <c r="C75" s="157"/>
      <c r="D75" s="125" t="str">
        <f>+IFERROR(INDEX([1]CONSOLIDADO!$D$4:$D$91,MATCH('EXP GEN. 41'!B75,[1]CONSOLIDADO!$C$4:$C$91,0)),"")</f>
        <v/>
      </c>
      <c r="E75" s="126"/>
      <c r="F75" s="126"/>
      <c r="G75" s="279"/>
      <c r="H75" s="279"/>
      <c r="I75" s="162"/>
      <c r="J75" s="129"/>
      <c r="K75" s="129"/>
      <c r="L75" s="130" t="str">
        <f t="shared" si="4"/>
        <v/>
      </c>
      <c r="M75" s="131" t="str">
        <f>+IFERROR(INDEX([1]PARÁMETROS!$B$11:$B$37,MATCH(L75,[1]PARÁMETROS!$A$11:$A$37,0)),"")</f>
        <v/>
      </c>
      <c r="N75" s="163"/>
      <c r="O75" s="131"/>
      <c r="P75" s="123"/>
      <c r="Q75" s="134"/>
      <c r="R75" s="135"/>
      <c r="S75" s="131" t="str">
        <f t="shared" si="5"/>
        <v/>
      </c>
      <c r="T75" s="136" t="str">
        <f t="shared" si="6"/>
        <v/>
      </c>
      <c r="U75" s="136" t="str">
        <f t="shared" si="7"/>
        <v/>
      </c>
      <c r="V75" s="136"/>
      <c r="W75" s="828"/>
      <c r="X75" s="829"/>
      <c r="Y75" s="830"/>
      <c r="Z75" s="828"/>
      <c r="AA75" s="829"/>
      <c r="AB75" s="830"/>
      <c r="AC75" s="828"/>
      <c r="AD75" s="829"/>
      <c r="AE75" s="830"/>
      <c r="AF75" s="279"/>
      <c r="AG75" s="824" t="str">
        <f>IF(U75="","",IF(SUM(U75:U77)&gt;=[1]PARÁMETROS!$H$5,"HÁBIL","NO HÁBIL"))</f>
        <v/>
      </c>
      <c r="AH75" s="824" t="str">
        <f>IF(U75="","",IF(U75&gt;=[1]PARÁMETROS!$F$5,"HÁBIL","NO HÁBIL"))</f>
        <v/>
      </c>
      <c r="AI75" s="279" t="str">
        <f>+IF(U75="","",IF(U75&gt;=[1]PARÁMETROS!$D$5,"CUMPLE","NO CUMPLE"))</f>
        <v/>
      </c>
      <c r="AJ75" s="138"/>
      <c r="AK75" s="109"/>
    </row>
    <row r="76" spans="1:37" s="72" customFormat="1" ht="30" customHeight="1">
      <c r="A76" s="835"/>
      <c r="B76" s="58"/>
      <c r="C76" s="75"/>
      <c r="D76" s="60" t="str">
        <f>+IFERROR(INDEX([1]CONSOLIDADO!$D$4:$D$91,MATCH('EXP GEN. 41'!B76,[1]CONSOLIDADO!$C$4:$C$91,0)),"")</f>
        <v/>
      </c>
      <c r="E76" s="61"/>
      <c r="F76" s="61"/>
      <c r="G76" s="277"/>
      <c r="H76" s="277"/>
      <c r="I76" s="73"/>
      <c r="J76" s="64"/>
      <c r="K76" s="64"/>
      <c r="L76" s="65" t="str">
        <f t="shared" si="4"/>
        <v/>
      </c>
      <c r="M76" s="66" t="str">
        <f>+IFERROR(INDEX([1]PARÁMETROS!$B$11:$B$37,MATCH(L76,[1]PARÁMETROS!$A$11:$A$37,0)),"")</f>
        <v/>
      </c>
      <c r="N76" s="74"/>
      <c r="O76" s="66"/>
      <c r="P76" s="58"/>
      <c r="Q76" s="69"/>
      <c r="R76" s="70"/>
      <c r="S76" s="66" t="str">
        <f t="shared" si="5"/>
        <v/>
      </c>
      <c r="T76" s="55" t="str">
        <f t="shared" si="6"/>
        <v/>
      </c>
      <c r="U76" s="55" t="str">
        <f t="shared" si="7"/>
        <v/>
      </c>
      <c r="V76" s="55"/>
      <c r="W76" s="803"/>
      <c r="X76" s="804"/>
      <c r="Y76" s="805"/>
      <c r="Z76" s="803"/>
      <c r="AA76" s="804"/>
      <c r="AB76" s="805"/>
      <c r="AC76" s="803"/>
      <c r="AD76" s="804"/>
      <c r="AE76" s="805"/>
      <c r="AF76" s="277"/>
      <c r="AG76" s="850"/>
      <c r="AH76" s="850"/>
      <c r="AI76" s="277" t="str">
        <f>+IF(U76="","",IF(U76&gt;=[1]PARÁMETROS!$D$5,"CUMPLE","NO CUMPLE"))</f>
        <v/>
      </c>
      <c r="AJ76" s="139"/>
      <c r="AK76" s="109"/>
    </row>
    <row r="77" spans="1:37" s="72" customFormat="1" ht="30" customHeight="1">
      <c r="A77" s="835"/>
      <c r="B77" s="58"/>
      <c r="C77" s="75"/>
      <c r="D77" s="60" t="str">
        <f>+IFERROR(INDEX([1]CONSOLIDADO!$D$4:$D$91,MATCH('EXP GEN. 41'!B77,[1]CONSOLIDADO!$C$4:$C$91,0)),"")</f>
        <v/>
      </c>
      <c r="E77" s="61"/>
      <c r="F77" s="61"/>
      <c r="G77" s="277"/>
      <c r="H77" s="277"/>
      <c r="I77" s="73"/>
      <c r="J77" s="64"/>
      <c r="K77" s="64"/>
      <c r="L77" s="65" t="str">
        <f t="shared" si="4"/>
        <v/>
      </c>
      <c r="M77" s="66" t="str">
        <f>+IFERROR(INDEX([1]PARÁMETROS!$B$11:$B$37,MATCH(L77,[1]PARÁMETROS!$A$11:$A$37,0)),"")</f>
        <v/>
      </c>
      <c r="N77" s="74"/>
      <c r="O77" s="66"/>
      <c r="P77" s="58"/>
      <c r="Q77" s="69"/>
      <c r="R77" s="70"/>
      <c r="S77" s="66" t="str">
        <f t="shared" si="5"/>
        <v/>
      </c>
      <c r="T77" s="55" t="str">
        <f t="shared" si="6"/>
        <v/>
      </c>
      <c r="U77" s="55" t="str">
        <f t="shared" si="7"/>
        <v/>
      </c>
      <c r="V77" s="55"/>
      <c r="W77" s="803"/>
      <c r="X77" s="804"/>
      <c r="Y77" s="805"/>
      <c r="Z77" s="803"/>
      <c r="AA77" s="804"/>
      <c r="AB77" s="805"/>
      <c r="AC77" s="803"/>
      <c r="AD77" s="804"/>
      <c r="AE77" s="805"/>
      <c r="AF77" s="277"/>
      <c r="AG77" s="850"/>
      <c r="AH77" s="850"/>
      <c r="AI77" s="277" t="str">
        <f>+IF(U77="","",IF(U77&gt;=[1]PARÁMETROS!$D$5,"CUMPLE","NO CUMPLE"))</f>
        <v/>
      </c>
      <c r="AJ77" s="139"/>
      <c r="AK77" s="109"/>
    </row>
    <row r="78" spans="1:37" s="72" customFormat="1" ht="30" customHeight="1">
      <c r="A78" s="835"/>
      <c r="B78" s="58"/>
      <c r="C78" s="75"/>
      <c r="D78" s="60" t="str">
        <f>+IFERROR(INDEX([1]CONSOLIDADO!$D$4:$D$91,MATCH('EXP GEN. 41'!B78,[1]CONSOLIDADO!$C$4:$C$91,0)),"")</f>
        <v/>
      </c>
      <c r="E78" s="61"/>
      <c r="F78" s="61"/>
      <c r="G78" s="277"/>
      <c r="H78" s="277"/>
      <c r="I78" s="73"/>
      <c r="J78" s="64"/>
      <c r="K78" s="64"/>
      <c r="L78" s="65" t="str">
        <f t="shared" si="4"/>
        <v/>
      </c>
      <c r="M78" s="66" t="str">
        <f>+IFERROR(INDEX([1]PARÁMETROS!$B$11:$B$37,MATCH(L78,[1]PARÁMETROS!$A$11:$A$37,0)),"")</f>
        <v/>
      </c>
      <c r="N78" s="74"/>
      <c r="O78" s="66"/>
      <c r="P78" s="58"/>
      <c r="Q78" s="69"/>
      <c r="R78" s="70"/>
      <c r="S78" s="66" t="str">
        <f t="shared" si="5"/>
        <v/>
      </c>
      <c r="T78" s="55" t="str">
        <f t="shared" si="6"/>
        <v/>
      </c>
      <c r="U78" s="55" t="str">
        <f t="shared" si="7"/>
        <v/>
      </c>
      <c r="V78" s="55"/>
      <c r="W78" s="803"/>
      <c r="X78" s="804"/>
      <c r="Y78" s="805"/>
      <c r="Z78" s="803"/>
      <c r="AA78" s="804"/>
      <c r="AB78" s="805"/>
      <c r="AC78" s="803"/>
      <c r="AD78" s="804"/>
      <c r="AE78" s="805"/>
      <c r="AF78" s="277"/>
      <c r="AG78" s="850"/>
      <c r="AH78" s="850"/>
      <c r="AI78" s="277" t="str">
        <f>+IF(U78="","",IF(U78&gt;=[1]PARÁMETROS!$D$5,"CUMPLE","NO CUMPLE"))</f>
        <v/>
      </c>
      <c r="AJ78" s="139"/>
      <c r="AK78" s="109"/>
    </row>
    <row r="79" spans="1:37" s="72" customFormat="1" ht="30" customHeight="1">
      <c r="A79" s="835"/>
      <c r="B79" s="58"/>
      <c r="C79" s="75"/>
      <c r="D79" s="60" t="str">
        <f>+IFERROR(INDEX([1]CONSOLIDADO!$D$4:$D$91,MATCH('EXP GEN. 41'!B79,[1]CONSOLIDADO!$C$4:$C$91,0)),"")</f>
        <v/>
      </c>
      <c r="E79" s="61"/>
      <c r="F79" s="61"/>
      <c r="G79" s="277"/>
      <c r="H79" s="277"/>
      <c r="I79" s="73"/>
      <c r="J79" s="64"/>
      <c r="K79" s="64"/>
      <c r="L79" s="65" t="str">
        <f t="shared" si="4"/>
        <v/>
      </c>
      <c r="M79" s="66" t="str">
        <f>+IFERROR(INDEX([1]PARÁMETROS!$B$11:$B$37,MATCH(L79,[1]PARÁMETROS!$A$11:$A$37,0)),"")</f>
        <v/>
      </c>
      <c r="N79" s="74"/>
      <c r="O79" s="66"/>
      <c r="P79" s="58"/>
      <c r="Q79" s="69"/>
      <c r="R79" s="70"/>
      <c r="S79" s="66" t="str">
        <f t="shared" si="5"/>
        <v/>
      </c>
      <c r="T79" s="55" t="str">
        <f t="shared" si="6"/>
        <v/>
      </c>
      <c r="U79" s="55" t="str">
        <f t="shared" si="7"/>
        <v/>
      </c>
      <c r="V79" s="55"/>
      <c r="W79" s="803"/>
      <c r="X79" s="804"/>
      <c r="Y79" s="805"/>
      <c r="Z79" s="803"/>
      <c r="AA79" s="804"/>
      <c r="AB79" s="805"/>
      <c r="AC79" s="803"/>
      <c r="AD79" s="804"/>
      <c r="AE79" s="805"/>
      <c r="AF79" s="277"/>
      <c r="AG79" s="850"/>
      <c r="AH79" s="850"/>
      <c r="AI79" s="277" t="str">
        <f>+IF(U79="","",IF(U79&gt;=[1]PARÁMETROS!$D$5,"CUMPLE","NO CUMPLE"))</f>
        <v/>
      </c>
      <c r="AJ79" s="139"/>
      <c r="AK79" s="109"/>
    </row>
    <row r="80" spans="1:37" s="72" customFormat="1" ht="30" customHeight="1" thickBot="1">
      <c r="A80" s="836"/>
      <c r="B80" s="141"/>
      <c r="C80" s="142"/>
      <c r="D80" s="143" t="str">
        <f>+IFERROR(INDEX([1]CONSOLIDADO!$D$4:$D$91,MATCH('EXP GEN. 41'!B80,[1]CONSOLIDADO!$C$4:$C$91,0)),"")</f>
        <v/>
      </c>
      <c r="E80" s="144"/>
      <c r="F80" s="144"/>
      <c r="G80" s="278"/>
      <c r="H80" s="278"/>
      <c r="I80" s="164"/>
      <c r="J80" s="147"/>
      <c r="K80" s="147"/>
      <c r="L80" s="148" t="str">
        <f t="shared" si="4"/>
        <v/>
      </c>
      <c r="M80" s="149" t="str">
        <f>+IFERROR(INDEX([1]PARÁMETROS!$B$11:$B$37,MATCH(L80,[1]PARÁMETROS!$A$11:$A$37,0)),"")</f>
        <v/>
      </c>
      <c r="N80" s="165"/>
      <c r="O80" s="149"/>
      <c r="P80" s="141"/>
      <c r="Q80" s="152"/>
      <c r="R80" s="153"/>
      <c r="S80" s="149" t="str">
        <f t="shared" si="5"/>
        <v/>
      </c>
      <c r="T80" s="154" t="str">
        <f t="shared" si="6"/>
        <v/>
      </c>
      <c r="U80" s="154" t="str">
        <f t="shared" si="7"/>
        <v/>
      </c>
      <c r="V80" s="154"/>
      <c r="W80" s="825"/>
      <c r="X80" s="826"/>
      <c r="Y80" s="827"/>
      <c r="Z80" s="825"/>
      <c r="AA80" s="826"/>
      <c r="AB80" s="827"/>
      <c r="AC80" s="825"/>
      <c r="AD80" s="826"/>
      <c r="AE80" s="827"/>
      <c r="AF80" s="278"/>
      <c r="AG80" s="851"/>
      <c r="AH80" s="851"/>
      <c r="AI80" s="278" t="str">
        <f>+IF(U80="","",IF(U80&gt;=[1]PARÁMETROS!$D$5,"CUMPLE","NO CUMPLE"))</f>
        <v/>
      </c>
      <c r="AJ80" s="155"/>
      <c r="AK80" s="109"/>
    </row>
    <row r="81" spans="1:36" s="72" customFormat="1" ht="30" customHeight="1">
      <c r="A81" s="58"/>
      <c r="B81" s="58"/>
      <c r="C81" s="75"/>
      <c r="D81" s="60"/>
      <c r="E81" s="61"/>
      <c r="F81" s="61"/>
      <c r="G81" s="61"/>
      <c r="H81" s="61"/>
      <c r="I81" s="73"/>
      <c r="J81" s="64"/>
      <c r="K81" s="64"/>
      <c r="L81" s="65"/>
      <c r="M81" s="66"/>
      <c r="N81" s="74"/>
      <c r="O81" s="66"/>
      <c r="P81" s="58"/>
      <c r="Q81" s="69"/>
      <c r="R81" s="70"/>
      <c r="S81" s="66"/>
      <c r="T81" s="55"/>
      <c r="U81" s="55"/>
      <c r="V81" s="55"/>
      <c r="W81" s="277"/>
      <c r="X81" s="277"/>
      <c r="Y81" s="277"/>
      <c r="Z81" s="277"/>
      <c r="AA81" s="277"/>
      <c r="AB81" s="277"/>
      <c r="AC81" s="277"/>
      <c r="AD81" s="277"/>
      <c r="AE81" s="277"/>
      <c r="AF81" s="277"/>
      <c r="AG81" s="277"/>
      <c r="AH81" s="277"/>
      <c r="AI81" s="277"/>
      <c r="AJ81" s="61"/>
    </row>
    <row r="82" spans="1:36" s="72" customFormat="1" ht="30" customHeight="1">
      <c r="A82" s="58"/>
      <c r="B82" s="58"/>
      <c r="C82" s="75"/>
      <c r="D82" s="60"/>
      <c r="E82" s="61"/>
      <c r="F82" s="61"/>
      <c r="G82" s="61"/>
      <c r="H82" s="61"/>
      <c r="I82" s="73"/>
      <c r="J82" s="64"/>
      <c r="K82" s="64"/>
      <c r="L82" s="65"/>
      <c r="M82" s="66"/>
      <c r="N82" s="74"/>
      <c r="O82" s="66"/>
      <c r="P82" s="58"/>
      <c r="Q82" s="69"/>
      <c r="R82" s="70"/>
      <c r="S82" s="66"/>
      <c r="T82" s="55"/>
      <c r="U82" s="55"/>
      <c r="V82" s="55"/>
      <c r="W82" s="277"/>
      <c r="X82" s="277"/>
      <c r="Y82" s="277"/>
      <c r="Z82" s="277"/>
      <c r="AA82" s="277"/>
      <c r="AB82" s="277"/>
      <c r="AC82" s="277"/>
      <c r="AD82" s="277"/>
      <c r="AE82" s="277"/>
      <c r="AF82" s="277"/>
      <c r="AG82" s="277"/>
      <c r="AH82" s="277"/>
      <c r="AI82" s="277"/>
      <c r="AJ82" s="61"/>
    </row>
    <row r="83" spans="1:36" s="72" customFormat="1" ht="30" customHeight="1">
      <c r="A83" s="58"/>
      <c r="B83" s="58"/>
      <c r="C83" s="75"/>
      <c r="D83" s="60"/>
      <c r="E83" s="61"/>
      <c r="F83" s="61"/>
      <c r="G83" s="61"/>
      <c r="H83" s="61"/>
      <c r="I83" s="73"/>
      <c r="J83" s="64"/>
      <c r="K83" s="64"/>
      <c r="L83" s="65"/>
      <c r="M83" s="66"/>
      <c r="N83" s="74"/>
      <c r="O83" s="66"/>
      <c r="P83" s="58"/>
      <c r="Q83" s="69"/>
      <c r="R83" s="70"/>
      <c r="S83" s="66"/>
      <c r="T83" s="55"/>
      <c r="U83" s="55"/>
      <c r="V83" s="55"/>
      <c r="W83" s="277"/>
      <c r="X83" s="277"/>
      <c r="Y83" s="277"/>
      <c r="Z83" s="277"/>
      <c r="AA83" s="277"/>
      <c r="AB83" s="277"/>
      <c r="AC83" s="277"/>
      <c r="AD83" s="277"/>
      <c r="AE83" s="277"/>
      <c r="AF83" s="277"/>
      <c r="AG83" s="277"/>
      <c r="AH83" s="277"/>
      <c r="AI83" s="277"/>
      <c r="AJ83" s="61"/>
    </row>
    <row r="84" spans="1:36" s="72" customFormat="1" ht="30" customHeight="1">
      <c r="A84" s="58"/>
      <c r="B84" s="58"/>
      <c r="C84" s="75"/>
      <c r="D84" s="60"/>
      <c r="E84" s="61"/>
      <c r="F84" s="61"/>
      <c r="G84" s="61"/>
      <c r="H84" s="61"/>
      <c r="I84" s="73"/>
      <c r="J84" s="64"/>
      <c r="K84" s="64"/>
      <c r="L84" s="65"/>
      <c r="M84" s="66"/>
      <c r="N84" s="74"/>
      <c r="O84" s="66"/>
      <c r="P84" s="58"/>
      <c r="Q84" s="69"/>
      <c r="R84" s="70"/>
      <c r="S84" s="66"/>
      <c r="T84" s="55"/>
      <c r="U84" s="55"/>
      <c r="V84" s="55"/>
      <c r="W84" s="277"/>
      <c r="X84" s="277"/>
      <c r="Y84" s="277"/>
      <c r="Z84" s="277"/>
      <c r="AA84" s="277"/>
      <c r="AB84" s="277"/>
      <c r="AC84" s="277"/>
      <c r="AD84" s="277"/>
      <c r="AE84" s="277"/>
      <c r="AF84" s="277"/>
      <c r="AG84" s="277"/>
      <c r="AH84" s="277"/>
      <c r="AI84" s="277"/>
      <c r="AJ84" s="61"/>
    </row>
    <row r="85" spans="1:36" s="72" customFormat="1" ht="30" customHeight="1">
      <c r="A85" s="58"/>
      <c r="B85" s="58"/>
      <c r="C85" s="75"/>
      <c r="D85" s="60"/>
      <c r="E85" s="61"/>
      <c r="F85" s="61"/>
      <c r="G85" s="61"/>
      <c r="H85" s="61"/>
      <c r="I85" s="73"/>
      <c r="J85" s="64"/>
      <c r="K85" s="64"/>
      <c r="L85" s="65"/>
      <c r="M85" s="66"/>
      <c r="N85" s="74"/>
      <c r="O85" s="66"/>
      <c r="P85" s="58"/>
      <c r="Q85" s="69"/>
      <c r="R85" s="70"/>
      <c r="S85" s="66"/>
      <c r="T85" s="55"/>
      <c r="U85" s="55"/>
      <c r="V85" s="55"/>
      <c r="W85" s="277"/>
      <c r="X85" s="277"/>
      <c r="Y85" s="277"/>
      <c r="Z85" s="277"/>
      <c r="AA85" s="277"/>
      <c r="AB85" s="277"/>
      <c r="AC85" s="277"/>
      <c r="AD85" s="277"/>
      <c r="AE85" s="277"/>
      <c r="AF85" s="277"/>
      <c r="AG85" s="277"/>
      <c r="AH85" s="277"/>
      <c r="AI85" s="277"/>
      <c r="AJ85" s="61"/>
    </row>
    <row r="86" spans="1:36" s="72" customFormat="1" ht="30" customHeight="1">
      <c r="A86" s="58"/>
      <c r="B86" s="58"/>
      <c r="C86" s="75"/>
      <c r="D86" s="60"/>
      <c r="E86" s="61"/>
      <c r="F86" s="61"/>
      <c r="G86" s="61"/>
      <c r="H86" s="61"/>
      <c r="I86" s="73"/>
      <c r="J86" s="64"/>
      <c r="K86" s="64"/>
      <c r="L86" s="65"/>
      <c r="M86" s="66"/>
      <c r="N86" s="74"/>
      <c r="O86" s="66"/>
      <c r="P86" s="58"/>
      <c r="Q86" s="69"/>
      <c r="R86" s="70"/>
      <c r="S86" s="66"/>
      <c r="T86" s="55"/>
      <c r="U86" s="55"/>
      <c r="V86" s="55"/>
      <c r="W86" s="277"/>
      <c r="X86" s="277"/>
      <c r="Y86" s="277"/>
      <c r="Z86" s="277"/>
      <c r="AA86" s="277"/>
      <c r="AB86" s="277"/>
      <c r="AC86" s="277"/>
      <c r="AD86" s="277"/>
      <c r="AE86" s="277"/>
      <c r="AF86" s="277"/>
      <c r="AG86" s="277"/>
      <c r="AH86" s="277"/>
      <c r="AI86" s="277"/>
      <c r="AJ86" s="61"/>
    </row>
    <row r="87" spans="1:36" s="72" customFormat="1" ht="30" customHeight="1">
      <c r="A87" s="58"/>
      <c r="B87" s="58"/>
      <c r="C87" s="75"/>
      <c r="D87" s="60"/>
      <c r="E87" s="61"/>
      <c r="F87" s="61"/>
      <c r="G87" s="61"/>
      <c r="H87" s="61"/>
      <c r="I87" s="73"/>
      <c r="J87" s="64"/>
      <c r="K87" s="64"/>
      <c r="L87" s="65"/>
      <c r="M87" s="66"/>
      <c r="N87" s="74"/>
      <c r="O87" s="66"/>
      <c r="P87" s="58"/>
      <c r="Q87" s="69"/>
      <c r="R87" s="70"/>
      <c r="S87" s="66"/>
      <c r="T87" s="55"/>
      <c r="U87" s="55"/>
      <c r="V87" s="55"/>
      <c r="W87" s="277"/>
      <c r="X87" s="277"/>
      <c r="Y87" s="277"/>
      <c r="Z87" s="277"/>
      <c r="AA87" s="277"/>
      <c r="AB87" s="277"/>
      <c r="AC87" s="277"/>
      <c r="AD87" s="277"/>
      <c r="AE87" s="277"/>
      <c r="AF87" s="277"/>
      <c r="AG87" s="277"/>
      <c r="AH87" s="277"/>
      <c r="AI87" s="277"/>
      <c r="AJ87" s="61"/>
    </row>
    <row r="88" spans="1:36" s="72" customFormat="1" ht="30" customHeight="1">
      <c r="A88" s="58"/>
      <c r="B88" s="58"/>
      <c r="C88" s="75"/>
      <c r="D88" s="60"/>
      <c r="E88" s="61"/>
      <c r="F88" s="61"/>
      <c r="G88" s="61"/>
      <c r="H88" s="61"/>
      <c r="I88" s="73"/>
      <c r="J88" s="64"/>
      <c r="K88" s="64"/>
      <c r="L88" s="65"/>
      <c r="M88" s="66"/>
      <c r="N88" s="74"/>
      <c r="O88" s="66"/>
      <c r="P88" s="58"/>
      <c r="Q88" s="69"/>
      <c r="R88" s="70"/>
      <c r="S88" s="66"/>
      <c r="T88" s="55"/>
      <c r="U88" s="55"/>
      <c r="V88" s="55"/>
      <c r="W88" s="277"/>
      <c r="X88" s="277"/>
      <c r="Y88" s="277"/>
      <c r="Z88" s="277"/>
      <c r="AA88" s="277"/>
      <c r="AB88" s="277"/>
      <c r="AC88" s="277"/>
      <c r="AD88" s="277"/>
      <c r="AE88" s="277"/>
      <c r="AF88" s="277"/>
      <c r="AG88" s="277"/>
      <c r="AH88" s="277"/>
      <c r="AI88" s="277"/>
      <c r="AJ88" s="61"/>
    </row>
    <row r="89" spans="1:36" s="72" customFormat="1" ht="30" customHeight="1">
      <c r="A89" s="58"/>
      <c r="B89" s="58"/>
      <c r="C89" s="75"/>
      <c r="D89" s="60"/>
      <c r="E89" s="61"/>
      <c r="F89" s="61"/>
      <c r="G89" s="61"/>
      <c r="H89" s="61"/>
      <c r="I89" s="73"/>
      <c r="J89" s="64"/>
      <c r="K89" s="64"/>
      <c r="L89" s="65"/>
      <c r="M89" s="66"/>
      <c r="N89" s="74"/>
      <c r="O89" s="66"/>
      <c r="P89" s="58"/>
      <c r="Q89" s="69"/>
      <c r="R89" s="70"/>
      <c r="S89" s="66"/>
      <c r="T89" s="55"/>
      <c r="U89" s="55"/>
      <c r="V89" s="55"/>
      <c r="W89" s="277"/>
      <c r="X89" s="277"/>
      <c r="Y89" s="277"/>
      <c r="Z89" s="277"/>
      <c r="AA89" s="277"/>
      <c r="AB89" s="277"/>
      <c r="AC89" s="277"/>
      <c r="AD89" s="277"/>
      <c r="AE89" s="277"/>
      <c r="AF89" s="277"/>
      <c r="AG89" s="277"/>
      <c r="AH89" s="277"/>
      <c r="AI89" s="277"/>
      <c r="AJ89" s="61"/>
    </row>
    <row r="90" spans="1:36" s="72" customFormat="1" ht="30" customHeight="1">
      <c r="A90" s="58"/>
      <c r="B90" s="58"/>
      <c r="C90" s="75"/>
      <c r="D90" s="60"/>
      <c r="E90" s="61"/>
      <c r="F90" s="61"/>
      <c r="G90" s="61"/>
      <c r="H90" s="61"/>
      <c r="I90" s="73"/>
      <c r="J90" s="64"/>
      <c r="K90" s="64"/>
      <c r="L90" s="65"/>
      <c r="M90" s="66"/>
      <c r="N90" s="74"/>
      <c r="O90" s="66"/>
      <c r="P90" s="58"/>
      <c r="Q90" s="69"/>
      <c r="R90" s="70"/>
      <c r="S90" s="66"/>
      <c r="T90" s="55"/>
      <c r="U90" s="55"/>
      <c r="V90" s="55"/>
      <c r="W90" s="277"/>
      <c r="X90" s="277"/>
      <c r="Y90" s="277"/>
      <c r="Z90" s="277"/>
      <c r="AA90" s="277"/>
      <c r="AB90" s="277"/>
      <c r="AC90" s="277"/>
      <c r="AD90" s="277"/>
      <c r="AE90" s="277"/>
      <c r="AF90" s="277"/>
      <c r="AG90" s="277"/>
      <c r="AH90" s="277"/>
      <c r="AI90" s="277"/>
      <c r="AJ90" s="61"/>
    </row>
    <row r="91" spans="1:36" s="72" customFormat="1" ht="30" customHeight="1">
      <c r="A91" s="58"/>
      <c r="B91" s="58"/>
      <c r="C91" s="75"/>
      <c r="D91" s="60"/>
      <c r="E91" s="61"/>
      <c r="F91" s="61"/>
      <c r="G91" s="61"/>
      <c r="H91" s="61"/>
      <c r="I91" s="73"/>
      <c r="J91" s="64"/>
      <c r="K91" s="64"/>
      <c r="L91" s="65"/>
      <c r="M91" s="66"/>
      <c r="N91" s="74"/>
      <c r="O91" s="66"/>
      <c r="P91" s="58"/>
      <c r="Q91" s="69"/>
      <c r="R91" s="70"/>
      <c r="S91" s="66"/>
      <c r="T91" s="55"/>
      <c r="U91" s="55"/>
      <c r="V91" s="55"/>
      <c r="W91" s="277"/>
      <c r="X91" s="277"/>
      <c r="Y91" s="277"/>
      <c r="Z91" s="277"/>
      <c r="AA91" s="277"/>
      <c r="AB91" s="277"/>
      <c r="AC91" s="277"/>
      <c r="AD91" s="277"/>
      <c r="AE91" s="277"/>
      <c r="AF91" s="277"/>
      <c r="AG91" s="277"/>
      <c r="AH91" s="277"/>
      <c r="AI91" s="277"/>
      <c r="AJ91" s="61"/>
    </row>
    <row r="92" spans="1:36" s="72" customFormat="1" ht="30" customHeight="1">
      <c r="A92" s="58"/>
      <c r="B92" s="58"/>
      <c r="C92" s="75"/>
      <c r="D92" s="60"/>
      <c r="E92" s="61"/>
      <c r="F92" s="61"/>
      <c r="G92" s="61"/>
      <c r="H92" s="61"/>
      <c r="I92" s="73"/>
      <c r="J92" s="64"/>
      <c r="K92" s="64"/>
      <c r="L92" s="65"/>
      <c r="M92" s="66"/>
      <c r="N92" s="74"/>
      <c r="O92" s="66"/>
      <c r="P92" s="58"/>
      <c r="Q92" s="69"/>
      <c r="R92" s="70"/>
      <c r="S92" s="66"/>
      <c r="T92" s="55"/>
      <c r="U92" s="55"/>
      <c r="V92" s="55"/>
      <c r="W92" s="277"/>
      <c r="X92" s="277"/>
      <c r="Y92" s="277"/>
      <c r="Z92" s="277"/>
      <c r="AA92" s="277"/>
      <c r="AB92" s="277"/>
      <c r="AC92" s="277"/>
      <c r="AD92" s="277"/>
      <c r="AE92" s="277"/>
      <c r="AF92" s="277"/>
      <c r="AG92" s="277"/>
      <c r="AH92" s="277"/>
      <c r="AI92" s="277"/>
      <c r="AJ92" s="61"/>
    </row>
    <row r="93" spans="1:36" s="99" customFormat="1" ht="30" customHeight="1">
      <c r="A93" s="89"/>
      <c r="B93" s="89"/>
      <c r="C93" s="90"/>
      <c r="D93" s="91"/>
      <c r="E93" s="92"/>
      <c r="F93" s="92"/>
      <c r="G93" s="92"/>
      <c r="H93" s="92"/>
      <c r="I93" s="93"/>
      <c r="J93" s="94"/>
      <c r="K93" s="94"/>
      <c r="L93" s="95"/>
      <c r="M93" s="66"/>
      <c r="N93" s="96"/>
      <c r="O93" s="97"/>
      <c r="P93" s="58"/>
      <c r="Q93" s="69"/>
      <c r="R93" s="70"/>
      <c r="S93" s="66"/>
      <c r="T93" s="55"/>
      <c r="U93" s="55"/>
      <c r="V93" s="55"/>
      <c r="W93" s="98"/>
      <c r="X93" s="98"/>
      <c r="Y93" s="98"/>
      <c r="Z93" s="98"/>
      <c r="AA93" s="98"/>
      <c r="AB93" s="98"/>
      <c r="AC93" s="98"/>
      <c r="AD93" s="98"/>
      <c r="AE93" s="98"/>
      <c r="AF93" s="277"/>
      <c r="AG93" s="277"/>
      <c r="AH93" s="277"/>
      <c r="AI93" s="277"/>
      <c r="AJ93" s="92"/>
    </row>
    <row r="94" spans="1:36" s="99" customFormat="1" ht="30" customHeight="1">
      <c r="A94" s="89"/>
      <c r="B94" s="89"/>
      <c r="C94" s="90"/>
      <c r="D94" s="91"/>
      <c r="E94" s="92"/>
      <c r="F94" s="92"/>
      <c r="G94" s="92"/>
      <c r="H94" s="92"/>
      <c r="I94" s="93"/>
      <c r="J94" s="94"/>
      <c r="K94" s="94"/>
      <c r="L94" s="95"/>
      <c r="M94" s="66"/>
      <c r="N94" s="96"/>
      <c r="O94" s="97"/>
      <c r="P94" s="58"/>
      <c r="Q94" s="69"/>
      <c r="R94" s="70"/>
      <c r="S94" s="66"/>
      <c r="T94" s="55"/>
      <c r="U94" s="55"/>
      <c r="V94" s="55"/>
      <c r="W94" s="98"/>
      <c r="X94" s="98"/>
      <c r="Y94" s="98"/>
      <c r="Z94" s="98"/>
      <c r="AA94" s="98"/>
      <c r="AB94" s="98"/>
      <c r="AC94" s="98"/>
      <c r="AD94" s="98"/>
      <c r="AE94" s="98"/>
      <c r="AF94" s="277"/>
      <c r="AG94" s="277"/>
      <c r="AH94" s="277"/>
      <c r="AI94" s="277"/>
      <c r="AJ94" s="92"/>
    </row>
    <row r="95" spans="1:36" s="99" customFormat="1" ht="30" customHeight="1">
      <c r="A95" s="89"/>
      <c r="B95" s="89"/>
      <c r="C95" s="90"/>
      <c r="D95" s="91"/>
      <c r="E95" s="92"/>
      <c r="F95" s="92"/>
      <c r="G95" s="92"/>
      <c r="H95" s="92"/>
      <c r="I95" s="93"/>
      <c r="J95" s="94"/>
      <c r="K95" s="94"/>
      <c r="L95" s="95"/>
      <c r="M95" s="66"/>
      <c r="N95" s="96"/>
      <c r="O95" s="97"/>
      <c r="P95" s="58"/>
      <c r="Q95" s="69"/>
      <c r="R95" s="70"/>
      <c r="S95" s="66"/>
      <c r="T95" s="55"/>
      <c r="U95" s="55"/>
      <c r="V95" s="55"/>
      <c r="W95" s="98"/>
      <c r="X95" s="98"/>
      <c r="Y95" s="98"/>
      <c r="Z95" s="98"/>
      <c r="AA95" s="98"/>
      <c r="AB95" s="98"/>
      <c r="AC95" s="98"/>
      <c r="AD95" s="98"/>
      <c r="AE95" s="98"/>
      <c r="AF95" s="277"/>
      <c r="AG95" s="277"/>
      <c r="AH95" s="277"/>
      <c r="AI95" s="277"/>
      <c r="AJ95" s="92"/>
    </row>
    <row r="96" spans="1:36" s="99" customFormat="1" ht="30" customHeight="1">
      <c r="A96" s="89"/>
      <c r="B96" s="89"/>
      <c r="C96" s="90"/>
      <c r="D96" s="91"/>
      <c r="E96" s="92"/>
      <c r="F96" s="92"/>
      <c r="G96" s="92"/>
      <c r="H96" s="92"/>
      <c r="I96" s="93"/>
      <c r="J96" s="94"/>
      <c r="K96" s="94"/>
      <c r="L96" s="95"/>
      <c r="M96" s="66"/>
      <c r="N96" s="96"/>
      <c r="O96" s="97"/>
      <c r="P96" s="58"/>
      <c r="Q96" s="69"/>
      <c r="R96" s="70"/>
      <c r="S96" s="66"/>
      <c r="T96" s="55"/>
      <c r="U96" s="55"/>
      <c r="V96" s="55"/>
      <c r="W96" s="98"/>
      <c r="X96" s="98"/>
      <c r="Y96" s="98"/>
      <c r="Z96" s="98"/>
      <c r="AA96" s="98"/>
      <c r="AB96" s="98"/>
      <c r="AC96" s="98"/>
      <c r="AD96" s="98"/>
      <c r="AE96" s="98"/>
      <c r="AF96" s="277"/>
      <c r="AG96" s="277"/>
      <c r="AH96" s="277"/>
      <c r="AI96" s="277"/>
      <c r="AJ96" s="92"/>
    </row>
    <row r="97" spans="1:36" s="99" customFormat="1" ht="30" customHeight="1">
      <c r="A97" s="89"/>
      <c r="B97" s="89"/>
      <c r="C97" s="90"/>
      <c r="D97" s="91"/>
      <c r="E97" s="92"/>
      <c r="F97" s="92"/>
      <c r="G97" s="92"/>
      <c r="H97" s="92"/>
      <c r="I97" s="93"/>
      <c r="J97" s="94"/>
      <c r="K97" s="94"/>
      <c r="L97" s="95"/>
      <c r="M97" s="66"/>
      <c r="N97" s="96"/>
      <c r="O97" s="97"/>
      <c r="P97" s="58"/>
      <c r="Q97" s="69"/>
      <c r="R97" s="70"/>
      <c r="S97" s="66"/>
      <c r="T97" s="55"/>
      <c r="U97" s="55"/>
      <c r="V97" s="55"/>
      <c r="W97" s="98"/>
      <c r="X97" s="98"/>
      <c r="Y97" s="98"/>
      <c r="Z97" s="98"/>
      <c r="AA97" s="98"/>
      <c r="AB97" s="98"/>
      <c r="AC97" s="98"/>
      <c r="AD97" s="98"/>
      <c r="AE97" s="98"/>
      <c r="AF97" s="277"/>
      <c r="AG97" s="277"/>
      <c r="AH97" s="277"/>
      <c r="AI97" s="277"/>
      <c r="AJ97" s="92"/>
    </row>
    <row r="98" spans="1:36" s="99" customFormat="1" ht="30" customHeight="1">
      <c r="A98" s="89"/>
      <c r="B98" s="89"/>
      <c r="C98" s="90"/>
      <c r="D98" s="91"/>
      <c r="E98" s="92"/>
      <c r="F98" s="92"/>
      <c r="G98" s="92"/>
      <c r="H98" s="92"/>
      <c r="I98" s="93"/>
      <c r="J98" s="94"/>
      <c r="K98" s="94"/>
      <c r="L98" s="95"/>
      <c r="M98" s="66"/>
      <c r="N98" s="96"/>
      <c r="O98" s="97"/>
      <c r="P98" s="58"/>
      <c r="Q98" s="69"/>
      <c r="R98" s="70"/>
      <c r="S98" s="66"/>
      <c r="T98" s="55"/>
      <c r="U98" s="55"/>
      <c r="V98" s="55"/>
      <c r="W98" s="98"/>
      <c r="X98" s="98"/>
      <c r="Y98" s="98"/>
      <c r="Z98" s="98"/>
      <c r="AA98" s="98"/>
      <c r="AB98" s="98"/>
      <c r="AC98" s="98"/>
      <c r="AD98" s="98"/>
      <c r="AE98" s="98"/>
      <c r="AF98" s="277"/>
      <c r="AG98" s="277"/>
      <c r="AH98" s="277"/>
      <c r="AI98" s="277"/>
      <c r="AJ98" s="92"/>
    </row>
    <row r="99" spans="1:36" s="99" customFormat="1" ht="30" customHeight="1">
      <c r="A99" s="89"/>
      <c r="B99" s="89"/>
      <c r="C99" s="90"/>
      <c r="D99" s="91"/>
      <c r="E99" s="92"/>
      <c r="F99" s="92"/>
      <c r="G99" s="92"/>
      <c r="H99" s="92"/>
      <c r="I99" s="93"/>
      <c r="J99" s="94"/>
      <c r="K99" s="94"/>
      <c r="L99" s="95"/>
      <c r="M99" s="66"/>
      <c r="N99" s="96"/>
      <c r="O99" s="97"/>
      <c r="P99" s="58"/>
      <c r="Q99" s="69"/>
      <c r="R99" s="70"/>
      <c r="S99" s="66"/>
      <c r="T99" s="55"/>
      <c r="U99" s="55"/>
      <c r="V99" s="55"/>
      <c r="W99" s="98"/>
      <c r="X99" s="98"/>
      <c r="Y99" s="98"/>
      <c r="Z99" s="98"/>
      <c r="AA99" s="98"/>
      <c r="AB99" s="98"/>
      <c r="AC99" s="98"/>
      <c r="AD99" s="98"/>
      <c r="AE99" s="98"/>
      <c r="AF99" s="277"/>
      <c r="AG99" s="277"/>
      <c r="AH99" s="277"/>
      <c r="AI99" s="277"/>
      <c r="AJ99" s="92"/>
    </row>
    <row r="100" spans="1:36" s="99" customFormat="1" ht="30" customHeight="1">
      <c r="A100" s="89"/>
      <c r="B100" s="89"/>
      <c r="C100" s="90"/>
      <c r="D100" s="91"/>
      <c r="E100" s="92"/>
      <c r="F100" s="92"/>
      <c r="G100" s="92"/>
      <c r="H100" s="92"/>
      <c r="I100" s="93"/>
      <c r="J100" s="94"/>
      <c r="K100" s="94"/>
      <c r="L100" s="95"/>
      <c r="M100" s="66"/>
      <c r="N100" s="96"/>
      <c r="O100" s="97"/>
      <c r="P100" s="58"/>
      <c r="Q100" s="69"/>
      <c r="R100" s="70"/>
      <c r="S100" s="66"/>
      <c r="T100" s="55"/>
      <c r="U100" s="55"/>
      <c r="V100" s="55"/>
      <c r="W100" s="98"/>
      <c r="X100" s="98"/>
      <c r="Y100" s="98"/>
      <c r="Z100" s="98"/>
      <c r="AA100" s="98"/>
      <c r="AB100" s="98"/>
      <c r="AC100" s="98"/>
      <c r="AD100" s="98"/>
      <c r="AE100" s="98"/>
      <c r="AF100" s="277"/>
      <c r="AG100" s="277"/>
      <c r="AH100" s="277"/>
      <c r="AI100" s="277"/>
      <c r="AJ100" s="92"/>
    </row>
    <row r="101" spans="1:36" s="99" customFormat="1" ht="30" customHeight="1">
      <c r="A101" s="89"/>
      <c r="B101" s="89"/>
      <c r="C101" s="90"/>
      <c r="D101" s="91"/>
      <c r="E101" s="92"/>
      <c r="F101" s="92"/>
      <c r="G101" s="92"/>
      <c r="H101" s="92"/>
      <c r="I101" s="93"/>
      <c r="J101" s="94"/>
      <c r="K101" s="94"/>
      <c r="L101" s="95"/>
      <c r="M101" s="66"/>
      <c r="N101" s="96"/>
      <c r="O101" s="97"/>
      <c r="P101" s="58"/>
      <c r="Q101" s="69"/>
      <c r="R101" s="70"/>
      <c r="S101" s="66"/>
      <c r="T101" s="55"/>
      <c r="U101" s="55"/>
      <c r="V101" s="55"/>
      <c r="W101" s="98"/>
      <c r="X101" s="98"/>
      <c r="Y101" s="98"/>
      <c r="Z101" s="98"/>
      <c r="AA101" s="98"/>
      <c r="AB101" s="98"/>
      <c r="AC101" s="98"/>
      <c r="AD101" s="98"/>
      <c r="AE101" s="98"/>
      <c r="AF101" s="277"/>
      <c r="AG101" s="277"/>
      <c r="AH101" s="277"/>
      <c r="AI101" s="277"/>
      <c r="AJ101" s="92"/>
    </row>
    <row r="102" spans="1:36" s="99" customFormat="1" ht="30" customHeight="1">
      <c r="A102" s="89"/>
      <c r="B102" s="89"/>
      <c r="C102" s="90"/>
      <c r="D102" s="91"/>
      <c r="E102" s="92"/>
      <c r="F102" s="92"/>
      <c r="G102" s="92"/>
      <c r="H102" s="92"/>
      <c r="I102" s="93"/>
      <c r="J102" s="94"/>
      <c r="K102" s="94"/>
      <c r="L102" s="95"/>
      <c r="M102" s="66"/>
      <c r="N102" s="96"/>
      <c r="O102" s="97"/>
      <c r="P102" s="58"/>
      <c r="Q102" s="69"/>
      <c r="R102" s="70"/>
      <c r="S102" s="66"/>
      <c r="T102" s="55"/>
      <c r="U102" s="55"/>
      <c r="V102" s="55"/>
      <c r="W102" s="98"/>
      <c r="X102" s="98"/>
      <c r="Y102" s="98"/>
      <c r="Z102" s="98"/>
      <c r="AA102" s="98"/>
      <c r="AB102" s="98"/>
      <c r="AC102" s="98"/>
      <c r="AD102" s="98"/>
      <c r="AE102" s="98"/>
      <c r="AF102" s="277"/>
      <c r="AG102" s="277"/>
      <c r="AH102" s="277"/>
      <c r="AI102" s="277"/>
      <c r="AJ102" s="92"/>
    </row>
    <row r="103" spans="1:36" s="99" customFormat="1" ht="30" customHeight="1">
      <c r="A103" s="89"/>
      <c r="B103" s="89"/>
      <c r="C103" s="90"/>
      <c r="D103" s="91"/>
      <c r="E103" s="92"/>
      <c r="F103" s="92"/>
      <c r="G103" s="92"/>
      <c r="H103" s="92"/>
      <c r="I103" s="93"/>
      <c r="J103" s="94"/>
      <c r="K103" s="94"/>
      <c r="L103" s="95"/>
      <c r="M103" s="66"/>
      <c r="N103" s="96"/>
      <c r="O103" s="97"/>
      <c r="P103" s="58"/>
      <c r="Q103" s="69"/>
      <c r="R103" s="70"/>
      <c r="S103" s="66"/>
      <c r="T103" s="55"/>
      <c r="U103" s="55"/>
      <c r="V103" s="55"/>
      <c r="W103" s="98"/>
      <c r="X103" s="98"/>
      <c r="Y103" s="98"/>
      <c r="Z103" s="98"/>
      <c r="AA103" s="98"/>
      <c r="AB103" s="98"/>
      <c r="AC103" s="98"/>
      <c r="AD103" s="98"/>
      <c r="AE103" s="98"/>
      <c r="AF103" s="277"/>
      <c r="AG103" s="277"/>
      <c r="AH103" s="277"/>
      <c r="AI103" s="277"/>
      <c r="AJ103" s="92"/>
    </row>
    <row r="104" spans="1:36" s="99" customFormat="1" ht="30" customHeight="1">
      <c r="A104" s="89"/>
      <c r="B104" s="89"/>
      <c r="C104" s="90"/>
      <c r="D104" s="91"/>
      <c r="E104" s="92"/>
      <c r="F104" s="92"/>
      <c r="G104" s="92"/>
      <c r="H104" s="92"/>
      <c r="I104" s="93"/>
      <c r="J104" s="94"/>
      <c r="K104" s="94"/>
      <c r="L104" s="95"/>
      <c r="M104" s="66"/>
      <c r="N104" s="96"/>
      <c r="O104" s="97"/>
      <c r="P104" s="58"/>
      <c r="Q104" s="69"/>
      <c r="R104" s="70"/>
      <c r="S104" s="66"/>
      <c r="T104" s="55"/>
      <c r="U104" s="55"/>
      <c r="V104" s="55"/>
      <c r="W104" s="98"/>
      <c r="X104" s="98"/>
      <c r="Y104" s="98"/>
      <c r="Z104" s="98"/>
      <c r="AA104" s="98"/>
      <c r="AB104" s="98"/>
      <c r="AC104" s="98"/>
      <c r="AD104" s="98"/>
      <c r="AE104" s="98"/>
      <c r="AF104" s="277"/>
      <c r="AG104" s="277"/>
      <c r="AH104" s="277"/>
      <c r="AI104" s="277"/>
      <c r="AJ104" s="92"/>
    </row>
    <row r="105" spans="1:36" s="99" customFormat="1" ht="30" customHeight="1">
      <c r="A105" s="89"/>
      <c r="B105" s="89"/>
      <c r="C105" s="90"/>
      <c r="D105" s="91"/>
      <c r="E105" s="92"/>
      <c r="F105" s="92"/>
      <c r="G105" s="92"/>
      <c r="H105" s="92"/>
      <c r="I105" s="93"/>
      <c r="J105" s="94"/>
      <c r="K105" s="94"/>
      <c r="L105" s="95"/>
      <c r="M105" s="66"/>
      <c r="N105" s="96"/>
      <c r="O105" s="97"/>
      <c r="P105" s="58"/>
      <c r="Q105" s="69"/>
      <c r="R105" s="70"/>
      <c r="S105" s="66"/>
      <c r="T105" s="55"/>
      <c r="U105" s="55"/>
      <c r="V105" s="55"/>
      <c r="W105" s="98"/>
      <c r="X105" s="98"/>
      <c r="Y105" s="98"/>
      <c r="Z105" s="98"/>
      <c r="AA105" s="98"/>
      <c r="AB105" s="98"/>
      <c r="AC105" s="98"/>
      <c r="AD105" s="98"/>
      <c r="AE105" s="98"/>
      <c r="AF105" s="277"/>
      <c r="AG105" s="277"/>
      <c r="AH105" s="277"/>
      <c r="AI105" s="277"/>
      <c r="AJ105" s="92"/>
    </row>
    <row r="106" spans="1:36" s="99" customFormat="1" ht="30" customHeight="1">
      <c r="A106" s="89"/>
      <c r="B106" s="89"/>
      <c r="C106" s="90"/>
      <c r="D106" s="91"/>
      <c r="E106" s="92"/>
      <c r="F106" s="92"/>
      <c r="G106" s="92"/>
      <c r="H106" s="92"/>
      <c r="I106" s="93"/>
      <c r="J106" s="94"/>
      <c r="K106" s="94"/>
      <c r="L106" s="95"/>
      <c r="M106" s="66"/>
      <c r="N106" s="96"/>
      <c r="O106" s="97"/>
      <c r="P106" s="58"/>
      <c r="Q106" s="69"/>
      <c r="R106" s="70"/>
      <c r="S106" s="66"/>
      <c r="T106" s="55"/>
      <c r="U106" s="55"/>
      <c r="V106" s="55"/>
      <c r="W106" s="98"/>
      <c r="X106" s="98"/>
      <c r="Y106" s="98"/>
      <c r="Z106" s="98"/>
      <c r="AA106" s="98"/>
      <c r="AB106" s="98"/>
      <c r="AC106" s="98"/>
      <c r="AD106" s="98"/>
      <c r="AE106" s="98"/>
      <c r="AF106" s="277"/>
      <c r="AG106" s="277"/>
      <c r="AH106" s="277"/>
      <c r="AI106" s="277"/>
      <c r="AJ106" s="92"/>
    </row>
    <row r="107" spans="1:36" s="99" customFormat="1" ht="30" customHeight="1">
      <c r="A107" s="89"/>
      <c r="B107" s="89"/>
      <c r="C107" s="90"/>
      <c r="D107" s="91"/>
      <c r="E107" s="92"/>
      <c r="F107" s="92"/>
      <c r="G107" s="92"/>
      <c r="H107" s="92"/>
      <c r="I107" s="93"/>
      <c r="J107" s="94"/>
      <c r="K107" s="94"/>
      <c r="L107" s="95"/>
      <c r="M107" s="66"/>
      <c r="N107" s="96"/>
      <c r="O107" s="97"/>
      <c r="P107" s="58"/>
      <c r="Q107" s="69"/>
      <c r="R107" s="70"/>
      <c r="S107" s="66"/>
      <c r="T107" s="55"/>
      <c r="U107" s="55"/>
      <c r="V107" s="55"/>
      <c r="W107" s="98"/>
      <c r="X107" s="98"/>
      <c r="Y107" s="98"/>
      <c r="Z107" s="98"/>
      <c r="AA107" s="98"/>
      <c r="AB107" s="98"/>
      <c r="AC107" s="98"/>
      <c r="AD107" s="98"/>
      <c r="AE107" s="98"/>
      <c r="AF107" s="277"/>
      <c r="AG107" s="277"/>
      <c r="AH107" s="277"/>
      <c r="AI107" s="277"/>
      <c r="AJ107" s="92"/>
    </row>
    <row r="108" spans="1:36" s="99" customFormat="1" ht="30" customHeight="1">
      <c r="A108" s="89"/>
      <c r="B108" s="89"/>
      <c r="C108" s="90"/>
      <c r="D108" s="91"/>
      <c r="E108" s="92"/>
      <c r="F108" s="92"/>
      <c r="G108" s="92"/>
      <c r="H108" s="92"/>
      <c r="I108" s="93"/>
      <c r="J108" s="94"/>
      <c r="K108" s="94"/>
      <c r="L108" s="95"/>
      <c r="M108" s="66"/>
      <c r="N108" s="96"/>
      <c r="O108" s="97"/>
      <c r="P108" s="58"/>
      <c r="Q108" s="69"/>
      <c r="R108" s="70"/>
      <c r="S108" s="66"/>
      <c r="T108" s="55"/>
      <c r="U108" s="55"/>
      <c r="V108" s="55"/>
      <c r="W108" s="98"/>
      <c r="X108" s="98"/>
      <c r="Y108" s="98"/>
      <c r="Z108" s="98"/>
      <c r="AA108" s="98"/>
      <c r="AB108" s="98"/>
      <c r="AC108" s="98"/>
      <c r="AD108" s="98"/>
      <c r="AE108" s="98"/>
      <c r="AF108" s="277"/>
      <c r="AG108" s="277"/>
      <c r="AH108" s="277"/>
      <c r="AI108" s="277"/>
      <c r="AJ108" s="92"/>
    </row>
    <row r="109" spans="1:36" s="99" customFormat="1" ht="30" customHeight="1">
      <c r="A109" s="89"/>
      <c r="B109" s="89"/>
      <c r="C109" s="90"/>
      <c r="D109" s="91"/>
      <c r="E109" s="92"/>
      <c r="F109" s="92"/>
      <c r="G109" s="92"/>
      <c r="H109" s="92"/>
      <c r="I109" s="93"/>
      <c r="J109" s="94"/>
      <c r="K109" s="94"/>
      <c r="L109" s="95"/>
      <c r="M109" s="66"/>
      <c r="N109" s="96"/>
      <c r="O109" s="97"/>
      <c r="P109" s="58"/>
      <c r="Q109" s="69"/>
      <c r="R109" s="70"/>
      <c r="S109" s="66"/>
      <c r="T109" s="55"/>
      <c r="U109" s="55"/>
      <c r="V109" s="55"/>
      <c r="W109" s="98"/>
      <c r="X109" s="98"/>
      <c r="Y109" s="98"/>
      <c r="Z109" s="98"/>
      <c r="AA109" s="98"/>
      <c r="AB109" s="98"/>
      <c r="AC109" s="98"/>
      <c r="AD109" s="98"/>
      <c r="AE109" s="98"/>
      <c r="AF109" s="277"/>
      <c r="AG109" s="277"/>
      <c r="AH109" s="277"/>
      <c r="AI109" s="277"/>
      <c r="AJ109" s="92"/>
    </row>
    <row r="110" spans="1:36" s="99" customFormat="1" ht="30" customHeight="1">
      <c r="A110" s="89"/>
      <c r="B110" s="89"/>
      <c r="C110" s="90"/>
      <c r="D110" s="91"/>
      <c r="E110" s="92"/>
      <c r="F110" s="92"/>
      <c r="G110" s="92"/>
      <c r="H110" s="92"/>
      <c r="I110" s="93"/>
      <c r="J110" s="94"/>
      <c r="K110" s="94"/>
      <c r="L110" s="95"/>
      <c r="M110" s="66"/>
      <c r="N110" s="96"/>
      <c r="O110" s="97"/>
      <c r="P110" s="58"/>
      <c r="Q110" s="69"/>
      <c r="R110" s="70"/>
      <c r="S110" s="66"/>
      <c r="T110" s="55"/>
      <c r="U110" s="55"/>
      <c r="V110" s="55"/>
      <c r="W110" s="98"/>
      <c r="X110" s="98"/>
      <c r="Y110" s="98"/>
      <c r="Z110" s="98"/>
      <c r="AA110" s="98"/>
      <c r="AB110" s="98"/>
      <c r="AC110" s="98"/>
      <c r="AD110" s="98"/>
      <c r="AE110" s="98"/>
      <c r="AF110" s="277"/>
      <c r="AG110" s="277"/>
      <c r="AH110" s="277"/>
      <c r="AI110" s="277"/>
      <c r="AJ110" s="92"/>
    </row>
    <row r="111" spans="1:36" s="99" customFormat="1" ht="30" customHeight="1">
      <c r="A111" s="89"/>
      <c r="B111" s="89"/>
      <c r="C111" s="90"/>
      <c r="D111" s="91"/>
      <c r="E111" s="92"/>
      <c r="F111" s="92"/>
      <c r="G111" s="92"/>
      <c r="H111" s="92"/>
      <c r="I111" s="93"/>
      <c r="J111" s="94"/>
      <c r="K111" s="94"/>
      <c r="L111" s="95"/>
      <c r="M111" s="66"/>
      <c r="N111" s="96"/>
      <c r="O111" s="97"/>
      <c r="P111" s="58"/>
      <c r="Q111" s="69"/>
      <c r="R111" s="70"/>
      <c r="S111" s="66"/>
      <c r="T111" s="55"/>
      <c r="U111" s="55"/>
      <c r="V111" s="55"/>
      <c r="W111" s="98"/>
      <c r="X111" s="98"/>
      <c r="Y111" s="98"/>
      <c r="Z111" s="98"/>
      <c r="AA111" s="98"/>
      <c r="AB111" s="98"/>
      <c r="AC111" s="98"/>
      <c r="AD111" s="98"/>
      <c r="AE111" s="98"/>
      <c r="AF111" s="277"/>
      <c r="AG111" s="277"/>
      <c r="AH111" s="277"/>
      <c r="AI111" s="277"/>
      <c r="AJ111" s="92"/>
    </row>
    <row r="112" spans="1:36" s="99" customFormat="1" ht="30" customHeight="1">
      <c r="A112" s="89"/>
      <c r="B112" s="89"/>
      <c r="C112" s="90"/>
      <c r="D112" s="91"/>
      <c r="E112" s="92"/>
      <c r="F112" s="92"/>
      <c r="G112" s="92"/>
      <c r="H112" s="92"/>
      <c r="I112" s="93"/>
      <c r="J112" s="94"/>
      <c r="K112" s="94"/>
      <c r="L112" s="95"/>
      <c r="M112" s="66"/>
      <c r="N112" s="96"/>
      <c r="O112" s="97"/>
      <c r="P112" s="58"/>
      <c r="Q112" s="69"/>
      <c r="R112" s="70"/>
      <c r="S112" s="66"/>
      <c r="T112" s="55"/>
      <c r="U112" s="55"/>
      <c r="V112" s="55"/>
      <c r="W112" s="98"/>
      <c r="X112" s="98"/>
      <c r="Y112" s="98"/>
      <c r="Z112" s="98"/>
      <c r="AA112" s="98"/>
      <c r="AB112" s="98"/>
      <c r="AC112" s="98"/>
      <c r="AD112" s="98"/>
      <c r="AE112" s="98"/>
      <c r="AF112" s="277"/>
      <c r="AG112" s="277"/>
      <c r="AH112" s="277"/>
      <c r="AI112" s="277"/>
      <c r="AJ112" s="92"/>
    </row>
    <row r="113" spans="1:36" s="99" customFormat="1" ht="30" customHeight="1">
      <c r="A113" s="89"/>
      <c r="B113" s="89"/>
      <c r="C113" s="90"/>
      <c r="D113" s="91"/>
      <c r="E113" s="92"/>
      <c r="F113" s="92"/>
      <c r="G113" s="92"/>
      <c r="H113" s="92"/>
      <c r="I113" s="93"/>
      <c r="J113" s="94"/>
      <c r="K113" s="94"/>
      <c r="L113" s="95"/>
      <c r="M113" s="66"/>
      <c r="N113" s="96"/>
      <c r="O113" s="97"/>
      <c r="P113" s="58"/>
      <c r="Q113" s="69"/>
      <c r="R113" s="70"/>
      <c r="S113" s="66"/>
      <c r="T113" s="55"/>
      <c r="U113" s="55"/>
      <c r="V113" s="55"/>
      <c r="W113" s="98"/>
      <c r="X113" s="98"/>
      <c r="Y113" s="98"/>
      <c r="Z113" s="98"/>
      <c r="AA113" s="98"/>
      <c r="AB113" s="98"/>
      <c r="AC113" s="98"/>
      <c r="AD113" s="98"/>
      <c r="AE113" s="98"/>
      <c r="AF113" s="277"/>
      <c r="AG113" s="277"/>
      <c r="AH113" s="277"/>
      <c r="AI113" s="277"/>
      <c r="AJ113" s="92"/>
    </row>
    <row r="114" spans="1:36" s="99" customFormat="1" ht="30" customHeight="1">
      <c r="A114" s="89"/>
      <c r="B114" s="89"/>
      <c r="C114" s="90"/>
      <c r="D114" s="91"/>
      <c r="E114" s="92"/>
      <c r="F114" s="92"/>
      <c r="G114" s="92"/>
      <c r="H114" s="92"/>
      <c r="I114" s="93"/>
      <c r="J114" s="94"/>
      <c r="K114" s="94"/>
      <c r="L114" s="95"/>
      <c r="M114" s="66"/>
      <c r="N114" s="96"/>
      <c r="O114" s="97"/>
      <c r="P114" s="58"/>
      <c r="Q114" s="69"/>
      <c r="R114" s="70"/>
      <c r="S114" s="66"/>
      <c r="T114" s="55"/>
      <c r="U114" s="55"/>
      <c r="V114" s="55"/>
      <c r="W114" s="98"/>
      <c r="X114" s="98"/>
      <c r="Y114" s="98"/>
      <c r="Z114" s="98"/>
      <c r="AA114" s="98"/>
      <c r="AB114" s="98"/>
      <c r="AC114" s="98"/>
      <c r="AD114" s="98"/>
      <c r="AE114" s="98"/>
      <c r="AF114" s="277"/>
      <c r="AG114" s="277"/>
      <c r="AH114" s="277"/>
      <c r="AI114" s="277"/>
      <c r="AJ114" s="92"/>
    </row>
    <row r="115" spans="1:36" s="99" customFormat="1" ht="30" customHeight="1">
      <c r="A115" s="89"/>
      <c r="B115" s="89"/>
      <c r="C115" s="90"/>
      <c r="D115" s="91"/>
      <c r="E115" s="92"/>
      <c r="F115" s="92"/>
      <c r="G115" s="92"/>
      <c r="H115" s="92"/>
      <c r="I115" s="93"/>
      <c r="J115" s="94"/>
      <c r="K115" s="94"/>
      <c r="L115" s="95"/>
      <c r="M115" s="66"/>
      <c r="N115" s="96"/>
      <c r="O115" s="97"/>
      <c r="P115" s="58"/>
      <c r="Q115" s="69"/>
      <c r="R115" s="70"/>
      <c r="S115" s="66"/>
      <c r="T115" s="55"/>
      <c r="U115" s="55"/>
      <c r="V115" s="55"/>
      <c r="W115" s="98"/>
      <c r="X115" s="98"/>
      <c r="Y115" s="98"/>
      <c r="Z115" s="98"/>
      <c r="AA115" s="98"/>
      <c r="AB115" s="98"/>
      <c r="AC115" s="98"/>
      <c r="AD115" s="98"/>
      <c r="AE115" s="98"/>
      <c r="AF115" s="277"/>
      <c r="AG115" s="277"/>
      <c r="AH115" s="277"/>
      <c r="AI115" s="277"/>
      <c r="AJ115" s="92"/>
    </row>
    <row r="116" spans="1:36" s="99" customFormat="1" ht="30" customHeight="1">
      <c r="A116" s="89"/>
      <c r="B116" s="89"/>
      <c r="C116" s="90"/>
      <c r="D116" s="91"/>
      <c r="E116" s="92"/>
      <c r="F116" s="92"/>
      <c r="G116" s="92"/>
      <c r="H116" s="92"/>
      <c r="I116" s="93"/>
      <c r="J116" s="94"/>
      <c r="K116" s="94"/>
      <c r="L116" s="95"/>
      <c r="M116" s="66"/>
      <c r="N116" s="96"/>
      <c r="O116" s="97"/>
      <c r="P116" s="58"/>
      <c r="Q116" s="69"/>
      <c r="R116" s="70"/>
      <c r="S116" s="66"/>
      <c r="T116" s="55"/>
      <c r="U116" s="55"/>
      <c r="V116" s="55"/>
      <c r="W116" s="98"/>
      <c r="X116" s="98"/>
      <c r="Y116" s="98"/>
      <c r="Z116" s="98"/>
      <c r="AA116" s="98"/>
      <c r="AB116" s="98"/>
      <c r="AC116" s="98"/>
      <c r="AD116" s="98"/>
      <c r="AE116" s="98"/>
      <c r="AF116" s="277"/>
      <c r="AG116" s="277"/>
      <c r="AH116" s="277"/>
      <c r="AI116" s="277"/>
      <c r="AJ116" s="92"/>
    </row>
    <row r="117" spans="1:36" s="99" customFormat="1" ht="30" customHeight="1">
      <c r="A117" s="89"/>
      <c r="B117" s="89"/>
      <c r="C117" s="90"/>
      <c r="D117" s="91"/>
      <c r="E117" s="92"/>
      <c r="F117" s="92"/>
      <c r="G117" s="92"/>
      <c r="H117" s="92"/>
      <c r="I117" s="93"/>
      <c r="J117" s="94"/>
      <c r="K117" s="94"/>
      <c r="L117" s="95"/>
      <c r="M117" s="66"/>
      <c r="N117" s="96"/>
      <c r="O117" s="97"/>
      <c r="P117" s="58"/>
      <c r="Q117" s="69"/>
      <c r="R117" s="70"/>
      <c r="S117" s="66"/>
      <c r="T117" s="55"/>
      <c r="U117" s="55"/>
      <c r="V117" s="55"/>
      <c r="W117" s="98"/>
      <c r="X117" s="98"/>
      <c r="Y117" s="98"/>
      <c r="Z117" s="98"/>
      <c r="AA117" s="98"/>
      <c r="AB117" s="98"/>
      <c r="AC117" s="98"/>
      <c r="AD117" s="98"/>
      <c r="AE117" s="98"/>
      <c r="AF117" s="277"/>
      <c r="AG117" s="277"/>
      <c r="AH117" s="277"/>
      <c r="AI117" s="277"/>
      <c r="AJ117" s="92"/>
    </row>
    <row r="118" spans="1:36" s="99" customFormat="1" ht="30" customHeight="1">
      <c r="A118" s="89"/>
      <c r="B118" s="89"/>
      <c r="C118" s="90"/>
      <c r="D118" s="91"/>
      <c r="E118" s="92"/>
      <c r="F118" s="92"/>
      <c r="G118" s="92"/>
      <c r="H118" s="92"/>
      <c r="I118" s="93"/>
      <c r="J118" s="94"/>
      <c r="K118" s="94"/>
      <c r="L118" s="95"/>
      <c r="M118" s="66"/>
      <c r="N118" s="96"/>
      <c r="O118" s="97"/>
      <c r="P118" s="58"/>
      <c r="Q118" s="69"/>
      <c r="R118" s="70"/>
      <c r="S118" s="66"/>
      <c r="T118" s="55"/>
      <c r="U118" s="55"/>
      <c r="V118" s="55"/>
      <c r="W118" s="98"/>
      <c r="X118" s="98"/>
      <c r="Y118" s="98"/>
      <c r="Z118" s="98"/>
      <c r="AA118" s="98"/>
      <c r="AB118" s="98"/>
      <c r="AC118" s="98"/>
      <c r="AD118" s="98"/>
      <c r="AE118" s="98"/>
      <c r="AF118" s="277"/>
      <c r="AG118" s="277"/>
      <c r="AH118" s="277"/>
      <c r="AI118" s="277"/>
      <c r="AJ118" s="92"/>
    </row>
    <row r="119" spans="1:36" s="99" customFormat="1" ht="30" customHeight="1">
      <c r="A119" s="89"/>
      <c r="B119" s="89"/>
      <c r="C119" s="90"/>
      <c r="D119" s="91"/>
      <c r="E119" s="92"/>
      <c r="F119" s="92"/>
      <c r="G119" s="92"/>
      <c r="H119" s="92"/>
      <c r="I119" s="93"/>
      <c r="J119" s="94"/>
      <c r="K119" s="94"/>
      <c r="L119" s="95"/>
      <c r="M119" s="66"/>
      <c r="N119" s="96"/>
      <c r="O119" s="97"/>
      <c r="P119" s="58"/>
      <c r="Q119" s="69"/>
      <c r="R119" s="70"/>
      <c r="S119" s="66"/>
      <c r="T119" s="55"/>
      <c r="U119" s="55"/>
      <c r="V119" s="55"/>
      <c r="W119" s="98"/>
      <c r="X119" s="98"/>
      <c r="Y119" s="98"/>
      <c r="Z119" s="98"/>
      <c r="AA119" s="98"/>
      <c r="AB119" s="98"/>
      <c r="AC119" s="98"/>
      <c r="AD119" s="98"/>
      <c r="AE119" s="98"/>
      <c r="AF119" s="277"/>
      <c r="AG119" s="277"/>
      <c r="AH119" s="277"/>
      <c r="AI119" s="277"/>
      <c r="AJ119" s="92"/>
    </row>
    <row r="120" spans="1:36" s="99" customFormat="1" ht="30" customHeight="1">
      <c r="A120" s="89"/>
      <c r="B120" s="89"/>
      <c r="C120" s="90"/>
      <c r="D120" s="91"/>
      <c r="E120" s="92"/>
      <c r="F120" s="92"/>
      <c r="G120" s="92"/>
      <c r="H120" s="92"/>
      <c r="I120" s="93"/>
      <c r="J120" s="94"/>
      <c r="K120" s="94"/>
      <c r="L120" s="95"/>
      <c r="M120" s="66"/>
      <c r="N120" s="96"/>
      <c r="O120" s="97"/>
      <c r="P120" s="58"/>
      <c r="Q120" s="69"/>
      <c r="R120" s="70"/>
      <c r="S120" s="66"/>
      <c r="T120" s="55"/>
      <c r="U120" s="55"/>
      <c r="V120" s="55"/>
      <c r="W120" s="98"/>
      <c r="X120" s="98"/>
      <c r="Y120" s="98"/>
      <c r="Z120" s="98"/>
      <c r="AA120" s="98"/>
      <c r="AB120" s="98"/>
      <c r="AC120" s="98"/>
      <c r="AD120" s="98"/>
      <c r="AE120" s="98"/>
      <c r="AF120" s="277"/>
      <c r="AG120" s="277"/>
      <c r="AH120" s="277"/>
      <c r="AI120" s="277"/>
      <c r="AJ120" s="92"/>
    </row>
    <row r="121" spans="1:36" s="99" customFormat="1" ht="30" customHeight="1">
      <c r="A121" s="89"/>
      <c r="B121" s="89"/>
      <c r="C121" s="90"/>
      <c r="D121" s="91"/>
      <c r="E121" s="92"/>
      <c r="F121" s="92"/>
      <c r="G121" s="92"/>
      <c r="H121" s="92"/>
      <c r="I121" s="93"/>
      <c r="J121" s="94"/>
      <c r="K121" s="94"/>
      <c r="L121" s="95"/>
      <c r="M121" s="66"/>
      <c r="N121" s="96"/>
      <c r="O121" s="97"/>
      <c r="P121" s="58"/>
      <c r="Q121" s="69"/>
      <c r="R121" s="70"/>
      <c r="S121" s="66"/>
      <c r="T121" s="55"/>
      <c r="U121" s="55"/>
      <c r="V121" s="55"/>
      <c r="W121" s="98"/>
      <c r="X121" s="98"/>
      <c r="Y121" s="98"/>
      <c r="Z121" s="98"/>
      <c r="AA121" s="98"/>
      <c r="AB121" s="98"/>
      <c r="AC121" s="98"/>
      <c r="AD121" s="98"/>
      <c r="AE121" s="98"/>
      <c r="AF121" s="277"/>
      <c r="AG121" s="277"/>
      <c r="AH121" s="277"/>
      <c r="AI121" s="277"/>
      <c r="AJ121" s="92"/>
    </row>
    <row r="122" spans="1:36" s="99" customFormat="1" ht="30" customHeight="1">
      <c r="A122" s="89"/>
      <c r="B122" s="89"/>
      <c r="C122" s="90"/>
      <c r="D122" s="91"/>
      <c r="E122" s="92"/>
      <c r="F122" s="92"/>
      <c r="G122" s="92"/>
      <c r="H122" s="92"/>
      <c r="I122" s="93"/>
      <c r="J122" s="94"/>
      <c r="K122" s="94"/>
      <c r="L122" s="95"/>
      <c r="M122" s="66"/>
      <c r="N122" s="96"/>
      <c r="O122" s="97"/>
      <c r="P122" s="58"/>
      <c r="Q122" s="69"/>
      <c r="R122" s="70"/>
      <c r="S122" s="66"/>
      <c r="T122" s="55"/>
      <c r="U122" s="55"/>
      <c r="V122" s="55"/>
      <c r="W122" s="98"/>
      <c r="X122" s="98"/>
      <c r="Y122" s="98"/>
      <c r="Z122" s="98"/>
      <c r="AA122" s="98"/>
      <c r="AB122" s="98"/>
      <c r="AC122" s="98"/>
      <c r="AD122" s="98"/>
      <c r="AE122" s="98"/>
      <c r="AF122" s="277"/>
      <c r="AG122" s="277"/>
      <c r="AH122" s="277"/>
      <c r="AI122" s="277"/>
      <c r="AJ122" s="92"/>
    </row>
    <row r="123" spans="1:36" s="99" customFormat="1" ht="30" customHeight="1">
      <c r="A123" s="89"/>
      <c r="B123" s="89"/>
      <c r="C123" s="90"/>
      <c r="D123" s="91"/>
      <c r="E123" s="92"/>
      <c r="F123" s="92"/>
      <c r="G123" s="92"/>
      <c r="H123" s="92"/>
      <c r="I123" s="93"/>
      <c r="J123" s="94"/>
      <c r="K123" s="94"/>
      <c r="L123" s="95"/>
      <c r="M123" s="66"/>
      <c r="N123" s="96"/>
      <c r="O123" s="97"/>
      <c r="P123" s="58"/>
      <c r="Q123" s="69"/>
      <c r="R123" s="70"/>
      <c r="S123" s="66"/>
      <c r="T123" s="55"/>
      <c r="U123" s="55"/>
      <c r="V123" s="55"/>
      <c r="W123" s="98"/>
      <c r="X123" s="98"/>
      <c r="Y123" s="98"/>
      <c r="Z123" s="98"/>
      <c r="AA123" s="98"/>
      <c r="AB123" s="98"/>
      <c r="AC123" s="98"/>
      <c r="AD123" s="98"/>
      <c r="AE123" s="98"/>
      <c r="AF123" s="277"/>
      <c r="AG123" s="277"/>
      <c r="AH123" s="277"/>
      <c r="AI123" s="277"/>
      <c r="AJ123" s="92"/>
    </row>
    <row r="124" spans="1:36" s="99" customFormat="1" ht="30" customHeight="1">
      <c r="A124" s="89"/>
      <c r="B124" s="89"/>
      <c r="C124" s="90"/>
      <c r="D124" s="91"/>
      <c r="E124" s="92"/>
      <c r="F124" s="92"/>
      <c r="G124" s="92"/>
      <c r="H124" s="92"/>
      <c r="I124" s="93"/>
      <c r="J124" s="94"/>
      <c r="K124" s="94"/>
      <c r="L124" s="95"/>
      <c r="M124" s="66"/>
      <c r="N124" s="96"/>
      <c r="O124" s="97"/>
      <c r="P124" s="58"/>
      <c r="Q124" s="69"/>
      <c r="R124" s="70"/>
      <c r="S124" s="66"/>
      <c r="T124" s="55"/>
      <c r="U124" s="55"/>
      <c r="V124" s="55"/>
      <c r="W124" s="98"/>
      <c r="X124" s="98"/>
      <c r="Y124" s="98"/>
      <c r="Z124" s="98"/>
      <c r="AA124" s="98"/>
      <c r="AB124" s="98"/>
      <c r="AC124" s="98"/>
      <c r="AD124" s="98"/>
      <c r="AE124" s="98"/>
      <c r="AF124" s="277"/>
      <c r="AG124" s="277"/>
      <c r="AH124" s="277"/>
      <c r="AI124" s="277"/>
      <c r="AJ124" s="92"/>
    </row>
    <row r="125" spans="1:36" s="99" customFormat="1" ht="30" customHeight="1">
      <c r="A125" s="89"/>
      <c r="B125" s="89"/>
      <c r="C125" s="90"/>
      <c r="D125" s="91"/>
      <c r="E125" s="92"/>
      <c r="F125" s="92"/>
      <c r="G125" s="92"/>
      <c r="H125" s="92"/>
      <c r="I125" s="93"/>
      <c r="J125" s="94"/>
      <c r="K125" s="94"/>
      <c r="L125" s="95"/>
      <c r="M125" s="66"/>
      <c r="N125" s="96"/>
      <c r="O125" s="97"/>
      <c r="P125" s="58"/>
      <c r="Q125" s="69"/>
      <c r="R125" s="70"/>
      <c r="S125" s="66"/>
      <c r="T125" s="55"/>
      <c r="U125" s="55"/>
      <c r="V125" s="55"/>
      <c r="W125" s="98"/>
      <c r="X125" s="98"/>
      <c r="Y125" s="98"/>
      <c r="Z125" s="98"/>
      <c r="AA125" s="98"/>
      <c r="AB125" s="98"/>
      <c r="AC125" s="98"/>
      <c r="AD125" s="98"/>
      <c r="AE125" s="98"/>
      <c r="AF125" s="277"/>
      <c r="AG125" s="277"/>
      <c r="AH125" s="277"/>
      <c r="AI125" s="277"/>
      <c r="AJ125" s="92"/>
    </row>
    <row r="126" spans="1:36" s="99" customFormat="1" ht="30" customHeight="1">
      <c r="A126" s="89"/>
      <c r="B126" s="89"/>
      <c r="C126" s="90"/>
      <c r="D126" s="91"/>
      <c r="E126" s="92"/>
      <c r="F126" s="92"/>
      <c r="G126" s="92"/>
      <c r="H126" s="92"/>
      <c r="I126" s="93"/>
      <c r="J126" s="94"/>
      <c r="K126" s="94"/>
      <c r="L126" s="95"/>
      <c r="M126" s="66"/>
      <c r="N126" s="96"/>
      <c r="O126" s="97"/>
      <c r="P126" s="58"/>
      <c r="Q126" s="69"/>
      <c r="R126" s="70"/>
      <c r="S126" s="66"/>
      <c r="T126" s="55"/>
      <c r="U126" s="55"/>
      <c r="V126" s="55"/>
      <c r="W126" s="98"/>
      <c r="X126" s="98"/>
      <c r="Y126" s="98"/>
      <c r="Z126" s="98"/>
      <c r="AA126" s="98"/>
      <c r="AB126" s="98"/>
      <c r="AC126" s="98"/>
      <c r="AD126" s="98"/>
      <c r="AE126" s="98"/>
      <c r="AF126" s="277"/>
      <c r="AG126" s="277"/>
      <c r="AH126" s="277"/>
      <c r="AI126" s="277"/>
      <c r="AJ126" s="92"/>
    </row>
    <row r="127" spans="1:36" s="99" customFormat="1" ht="30" customHeight="1">
      <c r="A127" s="89"/>
      <c r="B127" s="89"/>
      <c r="C127" s="90"/>
      <c r="D127" s="91"/>
      <c r="E127" s="92"/>
      <c r="F127" s="92"/>
      <c r="G127" s="92"/>
      <c r="H127" s="92"/>
      <c r="I127" s="93"/>
      <c r="J127" s="94"/>
      <c r="K127" s="94"/>
      <c r="L127" s="95"/>
      <c r="M127" s="66"/>
      <c r="N127" s="96"/>
      <c r="O127" s="97"/>
      <c r="P127" s="58"/>
      <c r="Q127" s="69"/>
      <c r="R127" s="70"/>
      <c r="S127" s="66"/>
      <c r="T127" s="55"/>
      <c r="U127" s="55"/>
      <c r="V127" s="55"/>
      <c r="W127" s="98"/>
      <c r="X127" s="98"/>
      <c r="Y127" s="98"/>
      <c r="Z127" s="98"/>
      <c r="AA127" s="98"/>
      <c r="AB127" s="98"/>
      <c r="AC127" s="98"/>
      <c r="AD127" s="98"/>
      <c r="AE127" s="98"/>
      <c r="AF127" s="277"/>
      <c r="AG127" s="277"/>
      <c r="AH127" s="277"/>
      <c r="AI127" s="277"/>
      <c r="AJ127" s="92"/>
    </row>
    <row r="128" spans="1:36" s="99" customFormat="1" ht="30" customHeight="1">
      <c r="A128" s="89"/>
      <c r="B128" s="89"/>
      <c r="C128" s="90"/>
      <c r="D128" s="91"/>
      <c r="E128" s="92"/>
      <c r="F128" s="92"/>
      <c r="G128" s="92"/>
      <c r="H128" s="92"/>
      <c r="I128" s="93"/>
      <c r="J128" s="94"/>
      <c r="K128" s="94"/>
      <c r="L128" s="95"/>
      <c r="M128" s="66"/>
      <c r="N128" s="96"/>
      <c r="O128" s="97"/>
      <c r="P128" s="58"/>
      <c r="Q128" s="69"/>
      <c r="R128" s="70"/>
      <c r="S128" s="66"/>
      <c r="T128" s="55"/>
      <c r="U128" s="55"/>
      <c r="V128" s="55"/>
      <c r="W128" s="98"/>
      <c r="X128" s="98"/>
      <c r="Y128" s="98"/>
      <c r="Z128" s="98"/>
      <c r="AA128" s="98"/>
      <c r="AB128" s="98"/>
      <c r="AC128" s="98"/>
      <c r="AD128" s="98"/>
      <c r="AE128" s="98"/>
      <c r="AF128" s="277"/>
      <c r="AG128" s="277"/>
      <c r="AH128" s="277"/>
      <c r="AI128" s="277"/>
      <c r="AJ128" s="92"/>
    </row>
    <row r="129" spans="1:36" s="99" customFormat="1" ht="30" customHeight="1">
      <c r="A129" s="89"/>
      <c r="B129" s="89"/>
      <c r="C129" s="90"/>
      <c r="D129" s="91"/>
      <c r="E129" s="92"/>
      <c r="F129" s="92"/>
      <c r="G129" s="92"/>
      <c r="H129" s="92"/>
      <c r="I129" s="93"/>
      <c r="J129" s="94"/>
      <c r="K129" s="94"/>
      <c r="L129" s="95"/>
      <c r="M129" s="66"/>
      <c r="N129" s="96"/>
      <c r="O129" s="97"/>
      <c r="P129" s="58"/>
      <c r="Q129" s="69"/>
      <c r="R129" s="70"/>
      <c r="S129" s="66"/>
      <c r="T129" s="55"/>
      <c r="U129" s="55"/>
      <c r="V129" s="55"/>
      <c r="W129" s="98"/>
      <c r="X129" s="98"/>
      <c r="Y129" s="98"/>
      <c r="Z129" s="98"/>
      <c r="AA129" s="98"/>
      <c r="AB129" s="98"/>
      <c r="AC129" s="98"/>
      <c r="AD129" s="98"/>
      <c r="AE129" s="98"/>
      <c r="AF129" s="277"/>
      <c r="AG129" s="277"/>
      <c r="AH129" s="277"/>
      <c r="AI129" s="277"/>
      <c r="AJ129" s="92"/>
    </row>
    <row r="130" spans="1:36" s="99" customFormat="1" ht="30" customHeight="1">
      <c r="A130" s="89"/>
      <c r="B130" s="89"/>
      <c r="C130" s="90"/>
      <c r="D130" s="91"/>
      <c r="E130" s="92"/>
      <c r="F130" s="92"/>
      <c r="G130" s="92"/>
      <c r="H130" s="92"/>
      <c r="I130" s="93"/>
      <c r="J130" s="94"/>
      <c r="K130" s="94"/>
      <c r="L130" s="95"/>
      <c r="M130" s="66"/>
      <c r="N130" s="96"/>
      <c r="O130" s="97"/>
      <c r="P130" s="58"/>
      <c r="Q130" s="69"/>
      <c r="R130" s="70"/>
      <c r="S130" s="66"/>
      <c r="T130" s="55"/>
      <c r="U130" s="55"/>
      <c r="V130" s="55"/>
      <c r="W130" s="98"/>
      <c r="X130" s="98"/>
      <c r="Y130" s="98"/>
      <c r="Z130" s="98"/>
      <c r="AA130" s="98"/>
      <c r="AB130" s="98"/>
      <c r="AC130" s="98"/>
      <c r="AD130" s="98"/>
      <c r="AE130" s="98"/>
      <c r="AF130" s="277"/>
      <c r="AG130" s="277"/>
      <c r="AH130" s="277"/>
      <c r="AI130" s="277"/>
      <c r="AJ130" s="92"/>
    </row>
    <row r="131" spans="1:36" s="99" customFormat="1" ht="30" customHeight="1">
      <c r="A131" s="89"/>
      <c r="B131" s="89"/>
      <c r="C131" s="90"/>
      <c r="D131" s="91"/>
      <c r="E131" s="92"/>
      <c r="F131" s="92"/>
      <c r="G131" s="92"/>
      <c r="H131" s="92"/>
      <c r="I131" s="93"/>
      <c r="J131" s="94"/>
      <c r="K131" s="94"/>
      <c r="L131" s="95"/>
      <c r="M131" s="66"/>
      <c r="N131" s="96"/>
      <c r="O131" s="97"/>
      <c r="P131" s="58"/>
      <c r="Q131" s="69"/>
      <c r="R131" s="70"/>
      <c r="S131" s="66"/>
      <c r="T131" s="55"/>
      <c r="U131" s="55"/>
      <c r="V131" s="55"/>
      <c r="W131" s="98"/>
      <c r="X131" s="98"/>
      <c r="Y131" s="98"/>
      <c r="Z131" s="98"/>
      <c r="AA131" s="98"/>
      <c r="AB131" s="98"/>
      <c r="AC131" s="98"/>
      <c r="AD131" s="98"/>
      <c r="AE131" s="98"/>
      <c r="AF131" s="277"/>
      <c r="AG131" s="277"/>
      <c r="AH131" s="277"/>
      <c r="AI131" s="277"/>
      <c r="AJ131" s="92"/>
    </row>
    <row r="132" spans="1:36" s="99" customFormat="1" ht="30" customHeight="1">
      <c r="A132" s="89"/>
      <c r="B132" s="89"/>
      <c r="C132" s="90"/>
      <c r="D132" s="91"/>
      <c r="E132" s="92"/>
      <c r="F132" s="92"/>
      <c r="G132" s="92"/>
      <c r="H132" s="92"/>
      <c r="I132" s="93"/>
      <c r="J132" s="94"/>
      <c r="K132" s="94"/>
      <c r="L132" s="95"/>
      <c r="M132" s="66"/>
      <c r="N132" s="96"/>
      <c r="O132" s="97"/>
      <c r="P132" s="58"/>
      <c r="Q132" s="69"/>
      <c r="R132" s="70"/>
      <c r="S132" s="66"/>
      <c r="T132" s="55"/>
      <c r="U132" s="55"/>
      <c r="V132" s="55"/>
      <c r="W132" s="98"/>
      <c r="X132" s="98"/>
      <c r="Y132" s="98"/>
      <c r="Z132" s="98"/>
      <c r="AA132" s="98"/>
      <c r="AB132" s="98"/>
      <c r="AC132" s="98"/>
      <c r="AD132" s="98"/>
      <c r="AE132" s="98"/>
      <c r="AF132" s="277"/>
      <c r="AG132" s="277"/>
      <c r="AH132" s="277"/>
      <c r="AI132" s="277"/>
      <c r="AJ132" s="92"/>
    </row>
    <row r="133" spans="1:36" s="99" customFormat="1" ht="30" customHeight="1">
      <c r="A133" s="89"/>
      <c r="B133" s="89"/>
      <c r="C133" s="90"/>
      <c r="D133" s="91"/>
      <c r="E133" s="92"/>
      <c r="F133" s="92"/>
      <c r="G133" s="92"/>
      <c r="H133" s="92"/>
      <c r="I133" s="93"/>
      <c r="J133" s="94"/>
      <c r="K133" s="94"/>
      <c r="L133" s="95"/>
      <c r="M133" s="66"/>
      <c r="N133" s="96"/>
      <c r="O133" s="97"/>
      <c r="P133" s="58"/>
      <c r="Q133" s="69"/>
      <c r="R133" s="70"/>
      <c r="S133" s="66"/>
      <c r="T133" s="55"/>
      <c r="U133" s="55"/>
      <c r="V133" s="55"/>
      <c r="W133" s="98"/>
      <c r="X133" s="98"/>
      <c r="Y133" s="98"/>
      <c r="Z133" s="98"/>
      <c r="AA133" s="98"/>
      <c r="AB133" s="98"/>
      <c r="AC133" s="98"/>
      <c r="AD133" s="98"/>
      <c r="AE133" s="98"/>
      <c r="AF133" s="277"/>
      <c r="AG133" s="277"/>
      <c r="AH133" s="277"/>
      <c r="AI133" s="277"/>
      <c r="AJ133" s="92"/>
    </row>
    <row r="134" spans="1:36" s="99" customFormat="1" ht="30" customHeight="1">
      <c r="A134" s="89"/>
      <c r="B134" s="89"/>
      <c r="C134" s="90"/>
      <c r="D134" s="91"/>
      <c r="E134" s="92"/>
      <c r="F134" s="92"/>
      <c r="G134" s="92"/>
      <c r="H134" s="92"/>
      <c r="I134" s="93"/>
      <c r="J134" s="94"/>
      <c r="K134" s="94"/>
      <c r="L134" s="95"/>
      <c r="M134" s="66"/>
      <c r="N134" s="96"/>
      <c r="O134" s="97"/>
      <c r="P134" s="58"/>
      <c r="Q134" s="69"/>
      <c r="R134" s="70"/>
      <c r="S134" s="66"/>
      <c r="T134" s="55"/>
      <c r="U134" s="55"/>
      <c r="V134" s="55"/>
      <c r="W134" s="98"/>
      <c r="X134" s="98"/>
      <c r="Y134" s="98"/>
      <c r="Z134" s="98"/>
      <c r="AA134" s="98"/>
      <c r="AB134" s="98"/>
      <c r="AC134" s="98"/>
      <c r="AD134" s="98"/>
      <c r="AE134" s="98"/>
      <c r="AF134" s="277"/>
      <c r="AG134" s="277"/>
      <c r="AH134" s="277"/>
      <c r="AI134" s="277"/>
      <c r="AJ134" s="92"/>
    </row>
    <row r="135" spans="1:36" s="99" customFormat="1" ht="30" customHeight="1">
      <c r="A135" s="89"/>
      <c r="B135" s="89"/>
      <c r="C135" s="90"/>
      <c r="D135" s="91"/>
      <c r="E135" s="92"/>
      <c r="F135" s="92"/>
      <c r="G135" s="92"/>
      <c r="H135" s="92"/>
      <c r="I135" s="93"/>
      <c r="J135" s="94"/>
      <c r="K135" s="94"/>
      <c r="L135" s="95"/>
      <c r="M135" s="66"/>
      <c r="N135" s="96"/>
      <c r="O135" s="97"/>
      <c r="P135" s="58"/>
      <c r="Q135" s="69"/>
      <c r="R135" s="70"/>
      <c r="S135" s="66"/>
      <c r="T135" s="55"/>
      <c r="U135" s="55"/>
      <c r="V135" s="55"/>
      <c r="W135" s="98"/>
      <c r="X135" s="98"/>
      <c r="Y135" s="98"/>
      <c r="Z135" s="98"/>
      <c r="AA135" s="98"/>
      <c r="AB135" s="98"/>
      <c r="AC135" s="98"/>
      <c r="AD135" s="98"/>
      <c r="AE135" s="98"/>
      <c r="AF135" s="277"/>
      <c r="AG135" s="277"/>
      <c r="AH135" s="277"/>
      <c r="AI135" s="277"/>
      <c r="AJ135" s="92"/>
    </row>
    <row r="136" spans="1:36" s="99" customFormat="1" ht="65.099999999999994" customHeight="1">
      <c r="A136" s="89"/>
      <c r="B136" s="89"/>
      <c r="C136" s="90"/>
      <c r="D136" s="91"/>
      <c r="E136" s="92"/>
      <c r="F136" s="92"/>
      <c r="G136" s="92"/>
      <c r="H136" s="92"/>
      <c r="I136" s="93"/>
      <c r="J136" s="94"/>
      <c r="K136" s="94"/>
      <c r="L136" s="95"/>
      <c r="M136" s="66"/>
      <c r="N136" s="96"/>
      <c r="O136" s="97"/>
      <c r="P136" s="58"/>
      <c r="Q136" s="69"/>
      <c r="R136" s="70"/>
      <c r="S136" s="66"/>
      <c r="T136" s="55"/>
      <c r="U136" s="55"/>
      <c r="V136" s="55"/>
      <c r="W136" s="98"/>
      <c r="X136" s="98"/>
      <c r="Y136" s="98"/>
      <c r="Z136" s="98"/>
      <c r="AA136" s="98"/>
      <c r="AB136" s="98"/>
      <c r="AC136" s="98"/>
      <c r="AD136" s="98"/>
      <c r="AE136" s="98"/>
      <c r="AF136" s="277"/>
      <c r="AG136" s="277"/>
      <c r="AH136" s="277"/>
      <c r="AI136" s="277"/>
      <c r="AJ136" s="92"/>
    </row>
    <row r="137" spans="1:36" s="99" customFormat="1" ht="65.099999999999994" customHeight="1">
      <c r="A137" s="89"/>
      <c r="B137" s="89"/>
      <c r="C137" s="90"/>
      <c r="D137" s="91"/>
      <c r="E137" s="92"/>
      <c r="F137" s="92"/>
      <c r="G137" s="92"/>
      <c r="H137" s="92"/>
      <c r="I137" s="93"/>
      <c r="J137" s="94"/>
      <c r="K137" s="94"/>
      <c r="L137" s="95"/>
      <c r="M137" s="66"/>
      <c r="N137" s="96"/>
      <c r="O137" s="97"/>
      <c r="P137" s="58"/>
      <c r="Q137" s="69"/>
      <c r="R137" s="70"/>
      <c r="S137" s="66"/>
      <c r="T137" s="55"/>
      <c r="U137" s="55"/>
      <c r="V137" s="55"/>
      <c r="W137" s="98"/>
      <c r="X137" s="98"/>
      <c r="Y137" s="98"/>
      <c r="Z137" s="98"/>
      <c r="AA137" s="98"/>
      <c r="AB137" s="98"/>
      <c r="AC137" s="98"/>
      <c r="AD137" s="98"/>
      <c r="AE137" s="98"/>
      <c r="AF137" s="277"/>
      <c r="AG137" s="277"/>
      <c r="AH137" s="277"/>
      <c r="AI137" s="277"/>
      <c r="AJ137" s="92"/>
    </row>
    <row r="138" spans="1:36" s="99" customFormat="1" ht="65.099999999999994" customHeight="1">
      <c r="A138" s="89"/>
      <c r="B138" s="89"/>
      <c r="C138" s="90"/>
      <c r="D138" s="91"/>
      <c r="E138" s="92"/>
      <c r="F138" s="92"/>
      <c r="G138" s="92"/>
      <c r="H138" s="92"/>
      <c r="I138" s="93"/>
      <c r="J138" s="94"/>
      <c r="K138" s="94"/>
      <c r="L138" s="95"/>
      <c r="M138" s="66"/>
      <c r="N138" s="96"/>
      <c r="O138" s="97"/>
      <c r="P138" s="58"/>
      <c r="Q138" s="69"/>
      <c r="R138" s="70"/>
      <c r="S138" s="66"/>
      <c r="T138" s="55"/>
      <c r="U138" s="55"/>
      <c r="V138" s="55"/>
      <c r="W138" s="98"/>
      <c r="X138" s="98"/>
      <c r="Y138" s="98"/>
      <c r="Z138" s="98"/>
      <c r="AA138" s="98"/>
      <c r="AB138" s="98"/>
      <c r="AC138" s="98"/>
      <c r="AD138" s="98"/>
      <c r="AE138" s="98"/>
      <c r="AF138" s="277"/>
      <c r="AG138" s="277"/>
      <c r="AH138" s="277"/>
      <c r="AI138" s="277"/>
      <c r="AJ138" s="92"/>
    </row>
    <row r="139" spans="1:36" s="99" customFormat="1" ht="65.099999999999994" customHeight="1">
      <c r="A139" s="89"/>
      <c r="B139" s="89"/>
      <c r="C139" s="90"/>
      <c r="D139" s="91"/>
      <c r="E139" s="92"/>
      <c r="F139" s="92"/>
      <c r="G139" s="92"/>
      <c r="H139" s="92"/>
      <c r="I139" s="93"/>
      <c r="J139" s="94"/>
      <c r="K139" s="94"/>
      <c r="L139" s="95"/>
      <c r="M139" s="66"/>
      <c r="N139" s="96"/>
      <c r="O139" s="97"/>
      <c r="P139" s="58"/>
      <c r="Q139" s="69"/>
      <c r="R139" s="70"/>
      <c r="S139" s="66"/>
      <c r="T139" s="55"/>
      <c r="U139" s="55"/>
      <c r="V139" s="55"/>
      <c r="W139" s="98"/>
      <c r="X139" s="98"/>
      <c r="Y139" s="98"/>
      <c r="Z139" s="98"/>
      <c r="AA139" s="98"/>
      <c r="AB139" s="98"/>
      <c r="AC139" s="98"/>
      <c r="AD139" s="98"/>
      <c r="AE139" s="98"/>
      <c r="AF139" s="277"/>
      <c r="AG139" s="277"/>
      <c r="AH139" s="277"/>
      <c r="AI139" s="277"/>
      <c r="AJ139" s="92"/>
    </row>
    <row r="140" spans="1:36" s="99" customFormat="1" ht="65.099999999999994" customHeight="1">
      <c r="A140" s="89"/>
      <c r="B140" s="89"/>
      <c r="C140" s="90"/>
      <c r="D140" s="91"/>
      <c r="E140" s="92"/>
      <c r="F140" s="92"/>
      <c r="G140" s="92"/>
      <c r="H140" s="92"/>
      <c r="I140" s="93"/>
      <c r="J140" s="94"/>
      <c r="K140" s="94"/>
      <c r="L140" s="95"/>
      <c r="M140" s="66"/>
      <c r="N140" s="96"/>
      <c r="O140" s="97"/>
      <c r="P140" s="58"/>
      <c r="Q140" s="69"/>
      <c r="R140" s="70"/>
      <c r="S140" s="66"/>
      <c r="T140" s="55"/>
      <c r="U140" s="55"/>
      <c r="V140" s="55"/>
      <c r="W140" s="98"/>
      <c r="X140" s="98"/>
      <c r="Y140" s="98"/>
      <c r="Z140" s="98"/>
      <c r="AA140" s="98"/>
      <c r="AB140" s="98"/>
      <c r="AC140" s="98"/>
      <c r="AD140" s="98"/>
      <c r="AE140" s="98"/>
      <c r="AF140" s="277"/>
      <c r="AG140" s="277"/>
      <c r="AH140" s="277"/>
      <c r="AI140" s="277"/>
      <c r="AJ140" s="92"/>
    </row>
    <row r="141" spans="1:36" s="99" customFormat="1" ht="65.099999999999994" customHeight="1">
      <c r="A141" s="89"/>
      <c r="B141" s="89"/>
      <c r="C141" s="90"/>
      <c r="D141" s="91"/>
      <c r="E141" s="92"/>
      <c r="F141" s="92"/>
      <c r="G141" s="92"/>
      <c r="H141" s="92"/>
      <c r="I141" s="93"/>
      <c r="J141" s="94"/>
      <c r="K141" s="94"/>
      <c r="L141" s="95"/>
      <c r="M141" s="66"/>
      <c r="N141" s="96"/>
      <c r="O141" s="97"/>
      <c r="P141" s="58"/>
      <c r="Q141" s="69"/>
      <c r="R141" s="70"/>
      <c r="S141" s="66"/>
      <c r="T141" s="55"/>
      <c r="U141" s="55"/>
      <c r="V141" s="55"/>
      <c r="W141" s="98"/>
      <c r="X141" s="98"/>
      <c r="Y141" s="98"/>
      <c r="Z141" s="98"/>
      <c r="AA141" s="98"/>
      <c r="AB141" s="98"/>
      <c r="AC141" s="98"/>
      <c r="AD141" s="98"/>
      <c r="AE141" s="98"/>
      <c r="AF141" s="277"/>
      <c r="AG141" s="277"/>
      <c r="AH141" s="277"/>
      <c r="AI141" s="277"/>
      <c r="AJ141" s="92"/>
    </row>
    <row r="142" spans="1:36" s="99" customFormat="1" ht="65.099999999999994" customHeight="1">
      <c r="A142" s="89"/>
      <c r="B142" s="89"/>
      <c r="C142" s="90"/>
      <c r="D142" s="91"/>
      <c r="E142" s="92"/>
      <c r="F142" s="92"/>
      <c r="G142" s="92"/>
      <c r="H142" s="92"/>
      <c r="I142" s="93"/>
      <c r="J142" s="94"/>
      <c r="K142" s="94"/>
      <c r="L142" s="95"/>
      <c r="M142" s="66"/>
      <c r="N142" s="96"/>
      <c r="O142" s="97"/>
      <c r="P142" s="58"/>
      <c r="Q142" s="69"/>
      <c r="R142" s="70"/>
      <c r="S142" s="66"/>
      <c r="T142" s="55"/>
      <c r="U142" s="55"/>
      <c r="V142" s="55"/>
      <c r="W142" s="98"/>
      <c r="X142" s="98"/>
      <c r="Y142" s="98"/>
      <c r="Z142" s="98"/>
      <c r="AA142" s="98"/>
      <c r="AB142" s="98"/>
      <c r="AC142" s="98"/>
      <c r="AD142" s="98"/>
      <c r="AE142" s="98"/>
      <c r="AF142" s="277"/>
      <c r="AG142" s="277"/>
      <c r="AH142" s="277"/>
      <c r="AI142" s="277"/>
      <c r="AJ142" s="92"/>
    </row>
    <row r="143" spans="1:36" s="99" customFormat="1" ht="65.099999999999994" customHeight="1">
      <c r="A143" s="89"/>
      <c r="B143" s="89"/>
      <c r="C143" s="90"/>
      <c r="D143" s="91"/>
      <c r="E143" s="92"/>
      <c r="F143" s="92"/>
      <c r="G143" s="92"/>
      <c r="H143" s="92"/>
      <c r="I143" s="93"/>
      <c r="J143" s="94"/>
      <c r="K143" s="94"/>
      <c r="L143" s="95"/>
      <c r="M143" s="66"/>
      <c r="N143" s="96"/>
      <c r="O143" s="97"/>
      <c r="P143" s="58"/>
      <c r="Q143" s="69"/>
      <c r="R143" s="70"/>
      <c r="S143" s="66"/>
      <c r="T143" s="55"/>
      <c r="U143" s="55"/>
      <c r="V143" s="55"/>
      <c r="W143" s="98"/>
      <c r="X143" s="98"/>
      <c r="Y143" s="98"/>
      <c r="Z143" s="98"/>
      <c r="AA143" s="98"/>
      <c r="AB143" s="98"/>
      <c r="AC143" s="98"/>
      <c r="AD143" s="98"/>
      <c r="AE143" s="98"/>
      <c r="AF143" s="277"/>
      <c r="AG143" s="277"/>
      <c r="AH143" s="277"/>
      <c r="AI143" s="277"/>
      <c r="AJ143" s="92"/>
    </row>
    <row r="144" spans="1:36" s="99" customFormat="1" ht="65.099999999999994" customHeight="1">
      <c r="A144" s="89"/>
      <c r="B144" s="89"/>
      <c r="C144" s="90"/>
      <c r="D144" s="91"/>
      <c r="E144" s="92"/>
      <c r="F144" s="92"/>
      <c r="G144" s="92"/>
      <c r="H144" s="92"/>
      <c r="I144" s="93"/>
      <c r="J144" s="94"/>
      <c r="K144" s="94"/>
      <c r="L144" s="95"/>
      <c r="M144" s="66"/>
      <c r="N144" s="96"/>
      <c r="O144" s="97"/>
      <c r="P144" s="58"/>
      <c r="Q144" s="69"/>
      <c r="R144" s="70"/>
      <c r="S144" s="66"/>
      <c r="T144" s="55"/>
      <c r="U144" s="55"/>
      <c r="V144" s="55"/>
      <c r="W144" s="98"/>
      <c r="X144" s="98"/>
      <c r="Y144" s="98"/>
      <c r="Z144" s="98"/>
      <c r="AA144" s="98"/>
      <c r="AB144" s="98"/>
      <c r="AC144" s="98"/>
      <c r="AD144" s="98"/>
      <c r="AE144" s="98"/>
      <c r="AF144" s="277"/>
      <c r="AG144" s="277"/>
      <c r="AH144" s="277"/>
      <c r="AI144" s="277"/>
      <c r="AJ144" s="92"/>
    </row>
    <row r="145" spans="1:36" s="99" customFormat="1" ht="65.099999999999994" customHeight="1">
      <c r="A145" s="89"/>
      <c r="B145" s="89"/>
      <c r="C145" s="90"/>
      <c r="D145" s="91"/>
      <c r="E145" s="92"/>
      <c r="F145" s="92"/>
      <c r="G145" s="92"/>
      <c r="H145" s="92"/>
      <c r="I145" s="93"/>
      <c r="J145" s="94"/>
      <c r="K145" s="94"/>
      <c r="L145" s="95"/>
      <c r="M145" s="66"/>
      <c r="N145" s="96"/>
      <c r="O145" s="97"/>
      <c r="P145" s="58"/>
      <c r="Q145" s="69"/>
      <c r="R145" s="70"/>
      <c r="S145" s="66"/>
      <c r="T145" s="55"/>
      <c r="U145" s="55"/>
      <c r="V145" s="55"/>
      <c r="W145" s="98"/>
      <c r="X145" s="98"/>
      <c r="Y145" s="98"/>
      <c r="Z145" s="98"/>
      <c r="AA145" s="98"/>
      <c r="AB145" s="98"/>
      <c r="AC145" s="98"/>
      <c r="AD145" s="98"/>
      <c r="AE145" s="98"/>
      <c r="AF145" s="277"/>
      <c r="AG145" s="277"/>
      <c r="AH145" s="277"/>
      <c r="AI145" s="277"/>
      <c r="AJ145" s="92"/>
    </row>
    <row r="146" spans="1:36" s="99" customFormat="1" ht="65.099999999999994" customHeight="1">
      <c r="A146" s="89"/>
      <c r="B146" s="89"/>
      <c r="C146" s="90"/>
      <c r="D146" s="91"/>
      <c r="E146" s="92"/>
      <c r="F146" s="92"/>
      <c r="G146" s="92"/>
      <c r="H146" s="92"/>
      <c r="I146" s="93"/>
      <c r="J146" s="94"/>
      <c r="K146" s="94"/>
      <c r="L146" s="95"/>
      <c r="M146" s="66"/>
      <c r="N146" s="96"/>
      <c r="O146" s="97"/>
      <c r="P146" s="58"/>
      <c r="Q146" s="69"/>
      <c r="R146" s="70"/>
      <c r="S146" s="66"/>
      <c r="T146" s="55"/>
      <c r="U146" s="55"/>
      <c r="V146" s="55"/>
      <c r="W146" s="98"/>
      <c r="X146" s="98"/>
      <c r="Y146" s="98"/>
      <c r="Z146" s="98"/>
      <c r="AA146" s="98"/>
      <c r="AB146" s="98"/>
      <c r="AC146" s="98"/>
      <c r="AD146" s="98"/>
      <c r="AE146" s="98"/>
      <c r="AF146" s="277"/>
      <c r="AG146" s="277"/>
      <c r="AH146" s="277"/>
      <c r="AI146" s="277"/>
      <c r="AJ146" s="92"/>
    </row>
    <row r="147" spans="1:36" s="99" customFormat="1" ht="65.099999999999994" customHeight="1">
      <c r="A147" s="89"/>
      <c r="B147" s="89"/>
      <c r="C147" s="90"/>
      <c r="D147" s="91"/>
      <c r="E147" s="92"/>
      <c r="F147" s="92"/>
      <c r="G147" s="92"/>
      <c r="H147" s="92"/>
      <c r="I147" s="93"/>
      <c r="J147" s="94"/>
      <c r="K147" s="94"/>
      <c r="L147" s="95"/>
      <c r="M147" s="66"/>
      <c r="N147" s="96"/>
      <c r="O147" s="97"/>
      <c r="P147" s="58"/>
      <c r="Q147" s="69"/>
      <c r="R147" s="70"/>
      <c r="S147" s="66"/>
      <c r="T147" s="55"/>
      <c r="U147" s="55"/>
      <c r="V147" s="55"/>
      <c r="W147" s="98"/>
      <c r="X147" s="98"/>
      <c r="Y147" s="98"/>
      <c r="Z147" s="98"/>
      <c r="AA147" s="98"/>
      <c r="AB147" s="98"/>
      <c r="AC147" s="98"/>
      <c r="AD147" s="98"/>
      <c r="AE147" s="98"/>
      <c r="AF147" s="277"/>
      <c r="AG147" s="277"/>
      <c r="AH147" s="277"/>
      <c r="AI147" s="277"/>
      <c r="AJ147" s="92"/>
    </row>
    <row r="148" spans="1:36" s="99" customFormat="1" ht="65.099999999999994" customHeight="1">
      <c r="A148" s="89"/>
      <c r="B148" s="89"/>
      <c r="C148" s="90"/>
      <c r="D148" s="91"/>
      <c r="E148" s="92"/>
      <c r="F148" s="92"/>
      <c r="G148" s="92"/>
      <c r="H148" s="92"/>
      <c r="I148" s="93"/>
      <c r="J148" s="94"/>
      <c r="K148" s="94"/>
      <c r="L148" s="95"/>
      <c r="M148" s="66"/>
      <c r="N148" s="96"/>
      <c r="O148" s="97"/>
      <c r="P148" s="58"/>
      <c r="Q148" s="69"/>
      <c r="R148" s="70"/>
      <c r="S148" s="66"/>
      <c r="T148" s="55"/>
      <c r="U148" s="55"/>
      <c r="V148" s="55"/>
      <c r="W148" s="98"/>
      <c r="X148" s="98"/>
      <c r="Y148" s="98"/>
      <c r="Z148" s="98"/>
      <c r="AA148" s="98"/>
      <c r="AB148" s="98"/>
      <c r="AC148" s="98"/>
      <c r="AD148" s="98"/>
      <c r="AE148" s="98"/>
      <c r="AF148" s="277"/>
      <c r="AG148" s="277"/>
      <c r="AH148" s="277"/>
      <c r="AI148" s="277"/>
      <c r="AJ148" s="92"/>
    </row>
    <row r="149" spans="1:36" s="99" customFormat="1" ht="65.099999999999994" customHeight="1">
      <c r="A149" s="89"/>
      <c r="B149" s="89"/>
      <c r="C149" s="90"/>
      <c r="D149" s="91"/>
      <c r="E149" s="92"/>
      <c r="F149" s="92"/>
      <c r="G149" s="92"/>
      <c r="H149" s="92"/>
      <c r="I149" s="93"/>
      <c r="J149" s="94"/>
      <c r="K149" s="94"/>
      <c r="L149" s="95"/>
      <c r="M149" s="66"/>
      <c r="N149" s="96"/>
      <c r="O149" s="97"/>
      <c r="P149" s="58"/>
      <c r="Q149" s="69"/>
      <c r="R149" s="70"/>
      <c r="S149" s="66"/>
      <c r="T149" s="55"/>
      <c r="U149" s="55"/>
      <c r="V149" s="55"/>
      <c r="W149" s="98"/>
      <c r="X149" s="98"/>
      <c r="Y149" s="98"/>
      <c r="Z149" s="98"/>
      <c r="AA149" s="98"/>
      <c r="AB149" s="98"/>
      <c r="AC149" s="98"/>
      <c r="AD149" s="98"/>
      <c r="AE149" s="98"/>
      <c r="AF149" s="277"/>
      <c r="AG149" s="277"/>
      <c r="AH149" s="277"/>
      <c r="AI149" s="277"/>
      <c r="AJ149" s="92"/>
    </row>
    <row r="150" spans="1:36" s="99" customFormat="1" ht="65.099999999999994" customHeight="1">
      <c r="A150" s="89"/>
      <c r="B150" s="89"/>
      <c r="C150" s="90"/>
      <c r="D150" s="91"/>
      <c r="E150" s="92"/>
      <c r="F150" s="92"/>
      <c r="G150" s="92"/>
      <c r="H150" s="92"/>
      <c r="I150" s="93"/>
      <c r="J150" s="94"/>
      <c r="K150" s="94"/>
      <c r="L150" s="95"/>
      <c r="M150" s="66"/>
      <c r="N150" s="96"/>
      <c r="O150" s="97"/>
      <c r="P150" s="58"/>
      <c r="Q150" s="69"/>
      <c r="R150" s="70"/>
      <c r="S150" s="66"/>
      <c r="T150" s="55"/>
      <c r="U150" s="55"/>
      <c r="V150" s="55"/>
      <c r="W150" s="98"/>
      <c r="X150" s="98"/>
      <c r="Y150" s="98"/>
      <c r="Z150" s="98"/>
      <c r="AA150" s="98"/>
      <c r="AB150" s="98"/>
      <c r="AC150" s="98"/>
      <c r="AD150" s="98"/>
      <c r="AE150" s="98"/>
      <c r="AF150" s="277"/>
      <c r="AG150" s="277"/>
      <c r="AH150" s="277"/>
      <c r="AI150" s="277"/>
      <c r="AJ150" s="92"/>
    </row>
    <row r="151" spans="1:36" s="99" customFormat="1" ht="65.099999999999994" customHeight="1">
      <c r="A151" s="89"/>
      <c r="B151" s="89"/>
      <c r="C151" s="90"/>
      <c r="D151" s="91"/>
      <c r="E151" s="92"/>
      <c r="F151" s="92"/>
      <c r="G151" s="92"/>
      <c r="H151" s="92"/>
      <c r="I151" s="93"/>
      <c r="J151" s="94"/>
      <c r="K151" s="94"/>
      <c r="L151" s="95"/>
      <c r="M151" s="66"/>
      <c r="N151" s="96"/>
      <c r="O151" s="97"/>
      <c r="P151" s="58"/>
      <c r="Q151" s="69"/>
      <c r="R151" s="70"/>
      <c r="S151" s="66"/>
      <c r="T151" s="55"/>
      <c r="U151" s="55"/>
      <c r="V151" s="55"/>
      <c r="W151" s="98"/>
      <c r="X151" s="98"/>
      <c r="Y151" s="98"/>
      <c r="Z151" s="98"/>
      <c r="AA151" s="98"/>
      <c r="AB151" s="98"/>
      <c r="AC151" s="98"/>
      <c r="AD151" s="98"/>
      <c r="AE151" s="98"/>
      <c r="AF151" s="277"/>
      <c r="AG151" s="277"/>
      <c r="AH151" s="277"/>
      <c r="AI151" s="277"/>
      <c r="AJ151" s="92"/>
    </row>
    <row r="152" spans="1:36" s="99" customFormat="1" ht="65.099999999999994" customHeight="1">
      <c r="A152" s="89"/>
      <c r="B152" s="89"/>
      <c r="C152" s="90"/>
      <c r="D152" s="91"/>
      <c r="E152" s="92"/>
      <c r="F152" s="92"/>
      <c r="G152" s="92"/>
      <c r="H152" s="92"/>
      <c r="I152" s="93"/>
      <c r="J152" s="94"/>
      <c r="K152" s="94"/>
      <c r="L152" s="95"/>
      <c r="M152" s="66"/>
      <c r="N152" s="96"/>
      <c r="O152" s="97"/>
      <c r="P152" s="58"/>
      <c r="Q152" s="69"/>
      <c r="R152" s="70"/>
      <c r="S152" s="66"/>
      <c r="T152" s="55"/>
      <c r="U152" s="55"/>
      <c r="V152" s="55"/>
      <c r="W152" s="98"/>
      <c r="X152" s="98"/>
      <c r="Y152" s="98"/>
      <c r="Z152" s="98"/>
      <c r="AA152" s="98"/>
      <c r="AB152" s="98"/>
      <c r="AC152" s="98"/>
      <c r="AD152" s="98"/>
      <c r="AE152" s="98"/>
      <c r="AF152" s="277"/>
      <c r="AG152" s="277"/>
      <c r="AH152" s="277"/>
      <c r="AI152" s="277"/>
      <c r="AJ152" s="92"/>
    </row>
    <row r="153" spans="1:36" s="99" customFormat="1" ht="65.099999999999994" customHeight="1">
      <c r="A153" s="89"/>
      <c r="B153" s="89"/>
      <c r="C153" s="90"/>
      <c r="D153" s="91"/>
      <c r="E153" s="92"/>
      <c r="F153" s="92"/>
      <c r="G153" s="92"/>
      <c r="H153" s="92"/>
      <c r="I153" s="93"/>
      <c r="J153" s="94"/>
      <c r="K153" s="94"/>
      <c r="L153" s="95"/>
      <c r="M153" s="66"/>
      <c r="N153" s="96"/>
      <c r="O153" s="97"/>
      <c r="P153" s="58"/>
      <c r="Q153" s="69"/>
      <c r="R153" s="70"/>
      <c r="S153" s="66"/>
      <c r="T153" s="55"/>
      <c r="U153" s="55"/>
      <c r="V153" s="55"/>
      <c r="W153" s="98"/>
      <c r="X153" s="98"/>
      <c r="Y153" s="98"/>
      <c r="Z153" s="98"/>
      <c r="AA153" s="98"/>
      <c r="AB153" s="98"/>
      <c r="AC153" s="98"/>
      <c r="AD153" s="98"/>
      <c r="AE153" s="98"/>
      <c r="AF153" s="277"/>
      <c r="AG153" s="277"/>
      <c r="AH153" s="277"/>
      <c r="AI153" s="277"/>
      <c r="AJ153" s="92"/>
    </row>
    <row r="154" spans="1:36" s="99" customFormat="1" ht="65.099999999999994" customHeight="1">
      <c r="A154" s="89"/>
      <c r="B154" s="89"/>
      <c r="C154" s="90"/>
      <c r="D154" s="91"/>
      <c r="E154" s="92"/>
      <c r="F154" s="92"/>
      <c r="G154" s="92"/>
      <c r="H154" s="92"/>
      <c r="I154" s="93"/>
      <c r="J154" s="94"/>
      <c r="K154" s="94"/>
      <c r="L154" s="95"/>
      <c r="M154" s="66"/>
      <c r="N154" s="96"/>
      <c r="O154" s="97"/>
      <c r="P154" s="58"/>
      <c r="Q154" s="69"/>
      <c r="R154" s="70"/>
      <c r="S154" s="66"/>
      <c r="T154" s="55"/>
      <c r="U154" s="55"/>
      <c r="V154" s="55"/>
      <c r="W154" s="98"/>
      <c r="X154" s="98"/>
      <c r="Y154" s="98"/>
      <c r="Z154" s="98"/>
      <c r="AA154" s="98"/>
      <c r="AB154" s="98"/>
      <c r="AC154" s="98"/>
      <c r="AD154" s="98"/>
      <c r="AE154" s="98"/>
      <c r="AF154" s="277"/>
      <c r="AG154" s="277"/>
      <c r="AH154" s="277"/>
      <c r="AI154" s="277"/>
      <c r="AJ154" s="92"/>
    </row>
    <row r="155" spans="1:36" s="99" customFormat="1" ht="65.099999999999994" customHeight="1">
      <c r="A155" s="89"/>
      <c r="B155" s="89"/>
      <c r="C155" s="90"/>
      <c r="D155" s="91"/>
      <c r="E155" s="92"/>
      <c r="F155" s="92"/>
      <c r="G155" s="92"/>
      <c r="H155" s="92"/>
      <c r="I155" s="93"/>
      <c r="J155" s="94"/>
      <c r="K155" s="94"/>
      <c r="L155" s="95"/>
      <c r="M155" s="66"/>
      <c r="N155" s="96"/>
      <c r="O155" s="97"/>
      <c r="P155" s="58"/>
      <c r="Q155" s="69"/>
      <c r="R155" s="70"/>
      <c r="S155" s="66"/>
      <c r="T155" s="55"/>
      <c r="U155" s="55"/>
      <c r="V155" s="55"/>
      <c r="W155" s="98"/>
      <c r="X155" s="98"/>
      <c r="Y155" s="98"/>
      <c r="Z155" s="98"/>
      <c r="AA155" s="98"/>
      <c r="AB155" s="98"/>
      <c r="AC155" s="98"/>
      <c r="AD155" s="98"/>
      <c r="AE155" s="98"/>
      <c r="AF155" s="277"/>
      <c r="AG155" s="277"/>
      <c r="AH155" s="277"/>
      <c r="AI155" s="277"/>
      <c r="AJ155" s="92"/>
    </row>
    <row r="156" spans="1:36" s="99" customFormat="1" ht="65.099999999999994" customHeight="1">
      <c r="A156" s="89"/>
      <c r="B156" s="89"/>
      <c r="C156" s="90"/>
      <c r="D156" s="91"/>
      <c r="E156" s="92"/>
      <c r="F156" s="92"/>
      <c r="G156" s="92"/>
      <c r="H156" s="92"/>
      <c r="I156" s="93"/>
      <c r="J156" s="94"/>
      <c r="K156" s="94"/>
      <c r="L156" s="95"/>
      <c r="M156" s="66"/>
      <c r="N156" s="96"/>
      <c r="O156" s="97"/>
      <c r="P156" s="58"/>
      <c r="Q156" s="69"/>
      <c r="R156" s="70"/>
      <c r="S156" s="66"/>
      <c r="T156" s="55"/>
      <c r="U156" s="55"/>
      <c r="V156" s="55"/>
      <c r="W156" s="98"/>
      <c r="X156" s="98"/>
      <c r="Y156" s="98"/>
      <c r="Z156" s="98"/>
      <c r="AA156" s="98"/>
      <c r="AB156" s="98"/>
      <c r="AC156" s="98"/>
      <c r="AD156" s="98"/>
      <c r="AE156" s="98"/>
      <c r="AF156" s="277"/>
      <c r="AG156" s="277"/>
      <c r="AH156" s="277"/>
      <c r="AI156" s="277"/>
      <c r="AJ156" s="92"/>
    </row>
    <row r="157" spans="1:36" s="99" customFormat="1" ht="65.099999999999994" customHeight="1">
      <c r="A157" s="89"/>
      <c r="B157" s="89"/>
      <c r="C157" s="90"/>
      <c r="D157" s="91"/>
      <c r="E157" s="92"/>
      <c r="F157" s="92"/>
      <c r="G157" s="92"/>
      <c r="H157" s="92"/>
      <c r="I157" s="93"/>
      <c r="J157" s="94"/>
      <c r="K157" s="94"/>
      <c r="L157" s="95"/>
      <c r="M157" s="66"/>
      <c r="N157" s="96"/>
      <c r="O157" s="97"/>
      <c r="P157" s="58"/>
      <c r="Q157" s="69"/>
      <c r="R157" s="70"/>
      <c r="S157" s="66"/>
      <c r="T157" s="55"/>
      <c r="U157" s="55"/>
      <c r="V157" s="55"/>
      <c r="W157" s="98"/>
      <c r="X157" s="98"/>
      <c r="Y157" s="98"/>
      <c r="Z157" s="98"/>
      <c r="AA157" s="98"/>
      <c r="AB157" s="98"/>
      <c r="AC157" s="98"/>
      <c r="AD157" s="98"/>
      <c r="AE157" s="98"/>
      <c r="AF157" s="277"/>
      <c r="AG157" s="277"/>
      <c r="AH157" s="277"/>
      <c r="AI157" s="277"/>
      <c r="AJ157" s="92"/>
    </row>
    <row r="158" spans="1:36" s="99" customFormat="1" ht="65.099999999999994" customHeight="1">
      <c r="A158" s="89"/>
      <c r="B158" s="89"/>
      <c r="C158" s="90"/>
      <c r="D158" s="91"/>
      <c r="E158" s="92"/>
      <c r="F158" s="92"/>
      <c r="G158" s="92"/>
      <c r="H158" s="92"/>
      <c r="I158" s="93"/>
      <c r="J158" s="94"/>
      <c r="K158" s="94"/>
      <c r="L158" s="95"/>
      <c r="M158" s="66"/>
      <c r="N158" s="96"/>
      <c r="O158" s="97"/>
      <c r="P158" s="58"/>
      <c r="Q158" s="69"/>
      <c r="R158" s="70"/>
      <c r="S158" s="66"/>
      <c r="T158" s="55"/>
      <c r="U158" s="55"/>
      <c r="V158" s="55"/>
      <c r="W158" s="98"/>
      <c r="X158" s="98"/>
      <c r="Y158" s="98"/>
      <c r="Z158" s="98"/>
      <c r="AA158" s="98"/>
      <c r="AB158" s="98"/>
      <c r="AC158" s="98"/>
      <c r="AD158" s="98"/>
      <c r="AE158" s="98"/>
      <c r="AF158" s="277"/>
      <c r="AG158" s="277"/>
      <c r="AH158" s="277"/>
      <c r="AI158" s="277"/>
      <c r="AJ158" s="92"/>
    </row>
    <row r="159" spans="1:36" s="99" customFormat="1" ht="65.099999999999994" customHeight="1">
      <c r="A159" s="89"/>
      <c r="B159" s="89"/>
      <c r="C159" s="90"/>
      <c r="D159" s="91"/>
      <c r="E159" s="92"/>
      <c r="F159" s="92"/>
      <c r="G159" s="92"/>
      <c r="H159" s="92"/>
      <c r="I159" s="93"/>
      <c r="J159" s="94"/>
      <c r="K159" s="94"/>
      <c r="L159" s="95"/>
      <c r="M159" s="66"/>
      <c r="N159" s="96"/>
      <c r="O159" s="97"/>
      <c r="P159" s="58"/>
      <c r="Q159" s="69"/>
      <c r="R159" s="70"/>
      <c r="S159" s="66"/>
      <c r="T159" s="55"/>
      <c r="U159" s="55"/>
      <c r="V159" s="55"/>
      <c r="W159" s="98"/>
      <c r="X159" s="98"/>
      <c r="Y159" s="98"/>
      <c r="Z159" s="98"/>
      <c r="AA159" s="98"/>
      <c r="AB159" s="98"/>
      <c r="AC159" s="98"/>
      <c r="AD159" s="98"/>
      <c r="AE159" s="98"/>
      <c r="AF159" s="277"/>
      <c r="AG159" s="277"/>
      <c r="AH159" s="277"/>
      <c r="AI159" s="277"/>
      <c r="AJ159" s="92"/>
    </row>
    <row r="160" spans="1:36" s="99" customFormat="1" ht="65.099999999999994" customHeight="1">
      <c r="A160" s="89"/>
      <c r="B160" s="89"/>
      <c r="C160" s="90"/>
      <c r="D160" s="91"/>
      <c r="E160" s="92"/>
      <c r="F160" s="92"/>
      <c r="G160" s="92"/>
      <c r="H160" s="92"/>
      <c r="I160" s="93"/>
      <c r="J160" s="94"/>
      <c r="K160" s="94"/>
      <c r="L160" s="95"/>
      <c r="M160" s="66"/>
      <c r="N160" s="96"/>
      <c r="O160" s="97"/>
      <c r="P160" s="58"/>
      <c r="Q160" s="69"/>
      <c r="R160" s="70"/>
      <c r="S160" s="66"/>
      <c r="T160" s="55"/>
      <c r="U160" s="55"/>
      <c r="V160" s="55"/>
      <c r="W160" s="98"/>
      <c r="X160" s="98"/>
      <c r="Y160" s="98"/>
      <c r="Z160" s="98"/>
      <c r="AA160" s="98"/>
      <c r="AB160" s="98"/>
      <c r="AC160" s="98"/>
      <c r="AD160" s="98"/>
      <c r="AE160" s="98"/>
      <c r="AF160" s="277"/>
      <c r="AG160" s="277"/>
      <c r="AH160" s="277"/>
      <c r="AI160" s="277"/>
      <c r="AJ160" s="92"/>
    </row>
    <row r="161" spans="1:36" s="99" customFormat="1" ht="65.099999999999994" customHeight="1">
      <c r="A161" s="89"/>
      <c r="B161" s="89"/>
      <c r="C161" s="90"/>
      <c r="D161" s="91"/>
      <c r="E161" s="92"/>
      <c r="F161" s="92"/>
      <c r="G161" s="92"/>
      <c r="H161" s="92"/>
      <c r="I161" s="93"/>
      <c r="J161" s="94"/>
      <c r="K161" s="94"/>
      <c r="L161" s="95"/>
      <c r="M161" s="66"/>
      <c r="N161" s="96"/>
      <c r="O161" s="97"/>
      <c r="P161" s="58"/>
      <c r="Q161" s="69"/>
      <c r="R161" s="70"/>
      <c r="S161" s="66"/>
      <c r="T161" s="55"/>
      <c r="U161" s="55"/>
      <c r="V161" s="55"/>
      <c r="W161" s="98"/>
      <c r="X161" s="98"/>
      <c r="Y161" s="98"/>
      <c r="Z161" s="98"/>
      <c r="AA161" s="98"/>
      <c r="AB161" s="98"/>
      <c r="AC161" s="98"/>
      <c r="AD161" s="98"/>
      <c r="AE161" s="98"/>
      <c r="AF161" s="277"/>
      <c r="AG161" s="277"/>
      <c r="AH161" s="277"/>
      <c r="AI161" s="277"/>
      <c r="AJ161" s="92"/>
    </row>
    <row r="162" spans="1:36" s="99" customFormat="1" ht="65.099999999999994" customHeight="1">
      <c r="A162" s="89"/>
      <c r="B162" s="89"/>
      <c r="C162" s="90"/>
      <c r="D162" s="91"/>
      <c r="E162" s="92"/>
      <c r="F162" s="92"/>
      <c r="G162" s="92"/>
      <c r="H162" s="92"/>
      <c r="I162" s="93"/>
      <c r="J162" s="94"/>
      <c r="K162" s="94"/>
      <c r="L162" s="95"/>
      <c r="M162" s="66"/>
      <c r="N162" s="96"/>
      <c r="O162" s="97"/>
      <c r="P162" s="58"/>
      <c r="Q162" s="69"/>
      <c r="R162" s="70"/>
      <c r="S162" s="66"/>
      <c r="T162" s="55"/>
      <c r="U162" s="55"/>
      <c r="V162" s="55"/>
      <c r="W162" s="98"/>
      <c r="X162" s="98"/>
      <c r="Y162" s="98"/>
      <c r="Z162" s="98"/>
      <c r="AA162" s="98"/>
      <c r="AB162" s="98"/>
      <c r="AC162" s="98"/>
      <c r="AD162" s="98"/>
      <c r="AE162" s="98"/>
      <c r="AF162" s="277"/>
      <c r="AG162" s="277"/>
      <c r="AH162" s="277"/>
      <c r="AI162" s="277"/>
      <c r="AJ162" s="92"/>
    </row>
    <row r="163" spans="1:36" s="99" customFormat="1" ht="65.099999999999994" customHeight="1">
      <c r="A163" s="89"/>
      <c r="B163" s="89"/>
      <c r="C163" s="90"/>
      <c r="D163" s="91"/>
      <c r="E163" s="92"/>
      <c r="F163" s="92"/>
      <c r="G163" s="92"/>
      <c r="H163" s="92"/>
      <c r="I163" s="93"/>
      <c r="J163" s="94"/>
      <c r="K163" s="94"/>
      <c r="L163" s="95"/>
      <c r="M163" s="66"/>
      <c r="N163" s="96"/>
      <c r="O163" s="97"/>
      <c r="P163" s="58"/>
      <c r="Q163" s="69"/>
      <c r="R163" s="70"/>
      <c r="S163" s="66"/>
      <c r="T163" s="55"/>
      <c r="U163" s="55"/>
      <c r="V163" s="55"/>
      <c r="W163" s="98"/>
      <c r="X163" s="98"/>
      <c r="Y163" s="98"/>
      <c r="Z163" s="98"/>
      <c r="AA163" s="98"/>
      <c r="AB163" s="98"/>
      <c r="AC163" s="98"/>
      <c r="AD163" s="98"/>
      <c r="AE163" s="98"/>
      <c r="AF163" s="277"/>
      <c r="AG163" s="277"/>
      <c r="AH163" s="277"/>
      <c r="AI163" s="277"/>
      <c r="AJ163" s="92"/>
    </row>
    <row r="164" spans="1:36" s="99" customFormat="1" ht="65.099999999999994" customHeight="1">
      <c r="A164" s="89"/>
      <c r="B164" s="89"/>
      <c r="C164" s="90"/>
      <c r="D164" s="91"/>
      <c r="E164" s="92"/>
      <c r="F164" s="92"/>
      <c r="G164" s="92"/>
      <c r="H164" s="92"/>
      <c r="I164" s="93"/>
      <c r="J164" s="94"/>
      <c r="K164" s="94"/>
      <c r="L164" s="95"/>
      <c r="M164" s="66"/>
      <c r="N164" s="96"/>
      <c r="O164" s="97"/>
      <c r="P164" s="58"/>
      <c r="Q164" s="69"/>
      <c r="R164" s="70"/>
      <c r="S164" s="66"/>
      <c r="T164" s="55"/>
      <c r="U164" s="55"/>
      <c r="V164" s="55"/>
      <c r="W164" s="98"/>
      <c r="X164" s="98"/>
      <c r="Y164" s="98"/>
      <c r="Z164" s="98"/>
      <c r="AA164" s="98"/>
      <c r="AB164" s="98"/>
      <c r="AC164" s="98"/>
      <c r="AD164" s="98"/>
      <c r="AE164" s="98"/>
      <c r="AF164" s="277"/>
      <c r="AG164" s="277"/>
      <c r="AH164" s="277"/>
      <c r="AI164" s="277"/>
      <c r="AJ164" s="92"/>
    </row>
    <row r="165" spans="1:36" s="99" customFormat="1" ht="65.099999999999994" customHeight="1">
      <c r="A165" s="89"/>
      <c r="B165" s="89"/>
      <c r="C165" s="90"/>
      <c r="D165" s="91"/>
      <c r="E165" s="92"/>
      <c r="F165" s="92"/>
      <c r="G165" s="92"/>
      <c r="H165" s="92"/>
      <c r="I165" s="93"/>
      <c r="J165" s="94"/>
      <c r="K165" s="94"/>
      <c r="L165" s="95"/>
      <c r="M165" s="66"/>
      <c r="N165" s="96"/>
      <c r="O165" s="97"/>
      <c r="P165" s="58"/>
      <c r="Q165" s="69"/>
      <c r="R165" s="70"/>
      <c r="S165" s="66"/>
      <c r="T165" s="55"/>
      <c r="U165" s="55"/>
      <c r="V165" s="55"/>
      <c r="W165" s="98"/>
      <c r="X165" s="98"/>
      <c r="Y165" s="98"/>
      <c r="Z165" s="98"/>
      <c r="AA165" s="98"/>
      <c r="AB165" s="98"/>
      <c r="AC165" s="98"/>
      <c r="AD165" s="98"/>
      <c r="AE165" s="98"/>
      <c r="AF165" s="277"/>
      <c r="AG165" s="277"/>
      <c r="AH165" s="277"/>
      <c r="AI165" s="277"/>
      <c r="AJ165" s="92"/>
    </row>
    <row r="166" spans="1:36" s="99" customFormat="1" ht="65.099999999999994" customHeight="1">
      <c r="A166" s="89"/>
      <c r="B166" s="89"/>
      <c r="C166" s="90"/>
      <c r="D166" s="91"/>
      <c r="E166" s="92"/>
      <c r="F166" s="92"/>
      <c r="G166" s="92"/>
      <c r="H166" s="92"/>
      <c r="I166" s="93"/>
      <c r="J166" s="94"/>
      <c r="K166" s="94"/>
      <c r="L166" s="95"/>
      <c r="M166" s="66"/>
      <c r="N166" s="96"/>
      <c r="O166" s="97"/>
      <c r="P166" s="58"/>
      <c r="Q166" s="69"/>
      <c r="R166" s="70"/>
      <c r="S166" s="66"/>
      <c r="T166" s="55"/>
      <c r="U166" s="55"/>
      <c r="V166" s="55"/>
      <c r="W166" s="98"/>
      <c r="X166" s="98"/>
      <c r="Y166" s="98"/>
      <c r="Z166" s="98"/>
      <c r="AA166" s="98"/>
      <c r="AB166" s="98"/>
      <c r="AC166" s="98"/>
      <c r="AD166" s="98"/>
      <c r="AE166" s="98"/>
      <c r="AF166" s="277"/>
      <c r="AG166" s="277"/>
      <c r="AH166" s="277"/>
      <c r="AI166" s="277"/>
      <c r="AJ166" s="92"/>
    </row>
    <row r="167" spans="1:36" s="99" customFormat="1" ht="65.099999999999994" customHeight="1">
      <c r="A167" s="89"/>
      <c r="B167" s="89"/>
      <c r="C167" s="90"/>
      <c r="D167" s="91"/>
      <c r="E167" s="92"/>
      <c r="F167" s="92"/>
      <c r="G167" s="92"/>
      <c r="H167" s="92"/>
      <c r="I167" s="93"/>
      <c r="J167" s="94"/>
      <c r="K167" s="94"/>
      <c r="L167" s="95"/>
      <c r="M167" s="66"/>
      <c r="N167" s="96"/>
      <c r="O167" s="97"/>
      <c r="P167" s="58"/>
      <c r="Q167" s="69"/>
      <c r="R167" s="70"/>
      <c r="S167" s="66"/>
      <c r="T167" s="55"/>
      <c r="U167" s="55"/>
      <c r="V167" s="55"/>
      <c r="W167" s="98"/>
      <c r="X167" s="98"/>
      <c r="Y167" s="98"/>
      <c r="Z167" s="98"/>
      <c r="AA167" s="98"/>
      <c r="AB167" s="98"/>
      <c r="AC167" s="98"/>
      <c r="AD167" s="98"/>
      <c r="AE167" s="98"/>
      <c r="AF167" s="277"/>
      <c r="AG167" s="277"/>
      <c r="AH167" s="277"/>
      <c r="AI167" s="277"/>
      <c r="AJ167" s="92"/>
    </row>
    <row r="168" spans="1:36" s="99" customFormat="1" ht="65.099999999999994" customHeight="1">
      <c r="A168" s="89"/>
      <c r="B168" s="89"/>
      <c r="C168" s="90"/>
      <c r="D168" s="91"/>
      <c r="E168" s="92"/>
      <c r="F168" s="92"/>
      <c r="G168" s="92"/>
      <c r="H168" s="92"/>
      <c r="I168" s="93"/>
      <c r="J168" s="94"/>
      <c r="K168" s="94"/>
      <c r="L168" s="95"/>
      <c r="M168" s="66"/>
      <c r="N168" s="96"/>
      <c r="O168" s="97"/>
      <c r="P168" s="58"/>
      <c r="Q168" s="69"/>
      <c r="R168" s="70"/>
      <c r="S168" s="66"/>
      <c r="T168" s="55"/>
      <c r="U168" s="55"/>
      <c r="V168" s="55"/>
      <c r="W168" s="98"/>
      <c r="X168" s="98"/>
      <c r="Y168" s="98"/>
      <c r="Z168" s="98"/>
      <c r="AA168" s="98"/>
      <c r="AB168" s="98"/>
      <c r="AC168" s="98"/>
      <c r="AD168" s="98"/>
      <c r="AE168" s="98"/>
      <c r="AF168" s="277"/>
      <c r="AG168" s="277"/>
      <c r="AH168" s="277"/>
      <c r="AI168" s="277"/>
      <c r="AJ168" s="92"/>
    </row>
    <row r="169" spans="1:36" s="99" customFormat="1" ht="65.099999999999994" customHeight="1">
      <c r="A169" s="89"/>
      <c r="B169" s="89"/>
      <c r="C169" s="90"/>
      <c r="D169" s="91"/>
      <c r="E169" s="92"/>
      <c r="F169" s="92"/>
      <c r="G169" s="92"/>
      <c r="H169" s="92"/>
      <c r="I169" s="93"/>
      <c r="J169" s="94"/>
      <c r="K169" s="94"/>
      <c r="L169" s="95"/>
      <c r="M169" s="66"/>
      <c r="N169" s="96"/>
      <c r="O169" s="97"/>
      <c r="P169" s="58"/>
      <c r="Q169" s="69"/>
      <c r="R169" s="70"/>
      <c r="S169" s="66"/>
      <c r="T169" s="55"/>
      <c r="U169" s="55"/>
      <c r="V169" s="55"/>
      <c r="W169" s="98"/>
      <c r="X169" s="98"/>
      <c r="Y169" s="98"/>
      <c r="Z169" s="98"/>
      <c r="AA169" s="98"/>
      <c r="AB169" s="98"/>
      <c r="AC169" s="98"/>
      <c r="AD169" s="98"/>
      <c r="AE169" s="98"/>
      <c r="AF169" s="277"/>
      <c r="AG169" s="277"/>
      <c r="AH169" s="277"/>
      <c r="AI169" s="277"/>
      <c r="AJ169" s="92"/>
    </row>
    <row r="170" spans="1:36" s="99" customFormat="1" ht="65.099999999999994" customHeight="1">
      <c r="A170" s="89"/>
      <c r="B170" s="89"/>
      <c r="C170" s="90"/>
      <c r="D170" s="91"/>
      <c r="E170" s="92"/>
      <c r="F170" s="92"/>
      <c r="G170" s="92"/>
      <c r="H170" s="92"/>
      <c r="I170" s="93"/>
      <c r="J170" s="94"/>
      <c r="K170" s="94"/>
      <c r="L170" s="95"/>
      <c r="M170" s="66"/>
      <c r="N170" s="96"/>
      <c r="O170" s="97"/>
      <c r="P170" s="58"/>
      <c r="Q170" s="69"/>
      <c r="R170" s="70"/>
      <c r="S170" s="66"/>
      <c r="T170" s="55"/>
      <c r="U170" s="55"/>
      <c r="V170" s="55"/>
      <c r="W170" s="98"/>
      <c r="X170" s="98"/>
      <c r="Y170" s="98"/>
      <c r="Z170" s="98"/>
      <c r="AA170" s="98"/>
      <c r="AB170" s="98"/>
      <c r="AC170" s="98"/>
      <c r="AD170" s="98"/>
      <c r="AE170" s="98"/>
      <c r="AF170" s="277"/>
      <c r="AG170" s="277"/>
      <c r="AH170" s="277"/>
      <c r="AI170" s="277"/>
      <c r="AJ170" s="92"/>
    </row>
    <row r="171" spans="1:36" s="99" customFormat="1" ht="65.099999999999994" customHeight="1">
      <c r="A171" s="89"/>
      <c r="B171" s="89"/>
      <c r="C171" s="90"/>
      <c r="D171" s="91"/>
      <c r="E171" s="92"/>
      <c r="F171" s="92"/>
      <c r="G171" s="92"/>
      <c r="H171" s="92"/>
      <c r="I171" s="93"/>
      <c r="J171" s="94"/>
      <c r="K171" s="94"/>
      <c r="L171" s="95"/>
      <c r="M171" s="66"/>
      <c r="N171" s="96"/>
      <c r="O171" s="97"/>
      <c r="P171" s="58"/>
      <c r="Q171" s="69"/>
      <c r="R171" s="70"/>
      <c r="S171" s="66"/>
      <c r="T171" s="55"/>
      <c r="U171" s="55"/>
      <c r="V171" s="55"/>
      <c r="W171" s="98"/>
      <c r="X171" s="98"/>
      <c r="Y171" s="98"/>
      <c r="Z171" s="98"/>
      <c r="AA171" s="98"/>
      <c r="AB171" s="98"/>
      <c r="AC171" s="98"/>
      <c r="AD171" s="98"/>
      <c r="AE171" s="98"/>
      <c r="AF171" s="277"/>
      <c r="AG171" s="277"/>
      <c r="AH171" s="277"/>
      <c r="AI171" s="277"/>
      <c r="AJ171" s="92"/>
    </row>
    <row r="172" spans="1:36" s="99" customFormat="1" ht="65.099999999999994" customHeight="1">
      <c r="A172" s="89"/>
      <c r="B172" s="89"/>
      <c r="C172" s="90"/>
      <c r="D172" s="91"/>
      <c r="E172" s="92"/>
      <c r="F172" s="92"/>
      <c r="G172" s="92"/>
      <c r="H172" s="92"/>
      <c r="I172" s="93"/>
      <c r="J172" s="94"/>
      <c r="K172" s="94"/>
      <c r="L172" s="95"/>
      <c r="M172" s="66"/>
      <c r="N172" s="96"/>
      <c r="O172" s="97"/>
      <c r="P172" s="58"/>
      <c r="Q172" s="69"/>
      <c r="R172" s="70"/>
      <c r="S172" s="66"/>
      <c r="T172" s="55"/>
      <c r="U172" s="55"/>
      <c r="V172" s="55"/>
      <c r="W172" s="98"/>
      <c r="X172" s="98"/>
      <c r="Y172" s="98"/>
      <c r="Z172" s="98"/>
      <c r="AA172" s="98"/>
      <c r="AB172" s="98"/>
      <c r="AC172" s="98"/>
      <c r="AD172" s="98"/>
      <c r="AE172" s="98"/>
      <c r="AF172" s="277"/>
      <c r="AG172" s="277"/>
      <c r="AH172" s="277"/>
      <c r="AI172" s="277"/>
      <c r="AJ172" s="92"/>
    </row>
    <row r="173" spans="1:36" s="99" customFormat="1" ht="65.099999999999994" customHeight="1">
      <c r="A173" s="89"/>
      <c r="B173" s="89"/>
      <c r="C173" s="90"/>
      <c r="D173" s="91"/>
      <c r="E173" s="92"/>
      <c r="F173" s="92"/>
      <c r="G173" s="92"/>
      <c r="H173" s="92"/>
      <c r="I173" s="93"/>
      <c r="J173" s="94"/>
      <c r="K173" s="94"/>
      <c r="L173" s="95"/>
      <c r="M173" s="66"/>
      <c r="N173" s="96"/>
      <c r="O173" s="97"/>
      <c r="P173" s="58"/>
      <c r="Q173" s="69"/>
      <c r="R173" s="70"/>
      <c r="S173" s="66"/>
      <c r="T173" s="55"/>
      <c r="U173" s="55"/>
      <c r="V173" s="55"/>
      <c r="W173" s="98"/>
      <c r="X173" s="98"/>
      <c r="Y173" s="98"/>
      <c r="Z173" s="98"/>
      <c r="AA173" s="98"/>
      <c r="AB173" s="98"/>
      <c r="AC173" s="98"/>
      <c r="AD173" s="98"/>
      <c r="AE173" s="98"/>
      <c r="AF173" s="277"/>
      <c r="AG173" s="277"/>
      <c r="AH173" s="277"/>
      <c r="AI173" s="277"/>
      <c r="AJ173" s="92"/>
    </row>
    <row r="174" spans="1:36" s="99" customFormat="1" ht="65.099999999999994" customHeight="1">
      <c r="A174" s="89"/>
      <c r="B174" s="89"/>
      <c r="C174" s="90"/>
      <c r="D174" s="91"/>
      <c r="E174" s="92"/>
      <c r="F174" s="92"/>
      <c r="G174" s="92"/>
      <c r="H174" s="92"/>
      <c r="I174" s="93"/>
      <c r="J174" s="94"/>
      <c r="K174" s="94"/>
      <c r="L174" s="95"/>
      <c r="M174" s="66"/>
      <c r="N174" s="96"/>
      <c r="O174" s="97"/>
      <c r="P174" s="58"/>
      <c r="Q174" s="69"/>
      <c r="R174" s="70"/>
      <c r="S174" s="66"/>
      <c r="T174" s="55"/>
      <c r="U174" s="55"/>
      <c r="V174" s="55"/>
      <c r="W174" s="98"/>
      <c r="X174" s="98"/>
      <c r="Y174" s="98"/>
      <c r="Z174" s="98"/>
      <c r="AA174" s="98"/>
      <c r="AB174" s="98"/>
      <c r="AC174" s="98"/>
      <c r="AD174" s="98"/>
      <c r="AE174" s="98"/>
      <c r="AF174" s="277"/>
      <c r="AG174" s="277"/>
      <c r="AH174" s="277"/>
      <c r="AI174" s="277"/>
      <c r="AJ174" s="92"/>
    </row>
    <row r="175" spans="1:36" s="99" customFormat="1" ht="65.099999999999994" customHeight="1">
      <c r="A175" s="89"/>
      <c r="B175" s="89"/>
      <c r="C175" s="90"/>
      <c r="D175" s="91"/>
      <c r="E175" s="92"/>
      <c r="F175" s="92"/>
      <c r="G175" s="92"/>
      <c r="H175" s="92"/>
      <c r="I175" s="93"/>
      <c r="J175" s="94"/>
      <c r="K175" s="94"/>
      <c r="L175" s="95"/>
      <c r="M175" s="66"/>
      <c r="N175" s="96"/>
      <c r="O175" s="97"/>
      <c r="P175" s="58"/>
      <c r="Q175" s="69"/>
      <c r="R175" s="70"/>
      <c r="S175" s="66"/>
      <c r="T175" s="55"/>
      <c r="U175" s="55"/>
      <c r="V175" s="55"/>
      <c r="W175" s="98"/>
      <c r="X175" s="98"/>
      <c r="Y175" s="98"/>
      <c r="Z175" s="98"/>
      <c r="AA175" s="98"/>
      <c r="AB175" s="98"/>
      <c r="AC175" s="98"/>
      <c r="AD175" s="98"/>
      <c r="AE175" s="98"/>
      <c r="AF175" s="277"/>
      <c r="AG175" s="277"/>
      <c r="AH175" s="277"/>
      <c r="AI175" s="277"/>
      <c r="AJ175" s="92"/>
    </row>
    <row r="176" spans="1:36" s="99" customFormat="1" ht="65.099999999999994" customHeight="1">
      <c r="A176" s="89"/>
      <c r="B176" s="89"/>
      <c r="C176" s="90"/>
      <c r="D176" s="91"/>
      <c r="E176" s="92"/>
      <c r="F176" s="92"/>
      <c r="G176" s="92"/>
      <c r="H176" s="92"/>
      <c r="I176" s="93"/>
      <c r="J176" s="94"/>
      <c r="K176" s="94"/>
      <c r="L176" s="95"/>
      <c r="M176" s="66"/>
      <c r="N176" s="96"/>
      <c r="O176" s="97"/>
      <c r="P176" s="58"/>
      <c r="Q176" s="69"/>
      <c r="R176" s="70"/>
      <c r="S176" s="66"/>
      <c r="T176" s="55"/>
      <c r="U176" s="55"/>
      <c r="V176" s="55"/>
      <c r="W176" s="98"/>
      <c r="X176" s="98"/>
      <c r="Y176" s="98"/>
      <c r="Z176" s="98"/>
      <c r="AA176" s="98"/>
      <c r="AB176" s="98"/>
      <c r="AC176" s="98"/>
      <c r="AD176" s="98"/>
      <c r="AE176" s="98"/>
      <c r="AF176" s="277"/>
      <c r="AG176" s="277"/>
      <c r="AH176" s="277"/>
      <c r="AI176" s="277"/>
      <c r="AJ176" s="92"/>
    </row>
    <row r="177" spans="1:36" s="99" customFormat="1" ht="65.099999999999994" customHeight="1">
      <c r="A177" s="89"/>
      <c r="B177" s="89"/>
      <c r="C177" s="90"/>
      <c r="D177" s="91"/>
      <c r="E177" s="92"/>
      <c r="F177" s="92"/>
      <c r="G177" s="92"/>
      <c r="H177" s="92"/>
      <c r="I177" s="93"/>
      <c r="J177" s="94"/>
      <c r="K177" s="94"/>
      <c r="L177" s="95"/>
      <c r="M177" s="66"/>
      <c r="N177" s="96"/>
      <c r="O177" s="97"/>
      <c r="P177" s="58"/>
      <c r="Q177" s="69"/>
      <c r="R177" s="70"/>
      <c r="S177" s="66"/>
      <c r="T177" s="55"/>
      <c r="U177" s="55"/>
      <c r="V177" s="55"/>
      <c r="W177" s="98"/>
      <c r="X177" s="98"/>
      <c r="Y177" s="98"/>
      <c r="Z177" s="98"/>
      <c r="AA177" s="98"/>
      <c r="AB177" s="98"/>
      <c r="AC177" s="98"/>
      <c r="AD177" s="98"/>
      <c r="AE177" s="98"/>
      <c r="AF177" s="277"/>
      <c r="AG177" s="277"/>
      <c r="AH177" s="277"/>
      <c r="AI177" s="277"/>
      <c r="AJ177" s="92"/>
    </row>
    <row r="178" spans="1:36" s="99" customFormat="1" ht="65.099999999999994" customHeight="1">
      <c r="A178" s="89"/>
      <c r="B178" s="89"/>
      <c r="C178" s="90"/>
      <c r="D178" s="91"/>
      <c r="E178" s="92"/>
      <c r="F178" s="92"/>
      <c r="G178" s="92"/>
      <c r="H178" s="92"/>
      <c r="I178" s="93"/>
      <c r="J178" s="94"/>
      <c r="K178" s="94"/>
      <c r="L178" s="95"/>
      <c r="M178" s="66"/>
      <c r="N178" s="96"/>
      <c r="O178" s="97"/>
      <c r="P178" s="58"/>
      <c r="Q178" s="69"/>
      <c r="R178" s="70"/>
      <c r="S178" s="66"/>
      <c r="T178" s="55"/>
      <c r="U178" s="55"/>
      <c r="V178" s="55"/>
      <c r="W178" s="98"/>
      <c r="X178" s="98"/>
      <c r="Y178" s="98"/>
      <c r="Z178" s="98"/>
      <c r="AA178" s="98"/>
      <c r="AB178" s="98"/>
      <c r="AC178" s="98"/>
      <c r="AD178" s="98"/>
      <c r="AE178" s="98"/>
      <c r="AF178" s="277"/>
      <c r="AG178" s="277"/>
      <c r="AH178" s="277"/>
      <c r="AI178" s="277"/>
      <c r="AJ178" s="92"/>
    </row>
    <row r="179" spans="1:36" s="99" customFormat="1" ht="65.099999999999994" customHeight="1">
      <c r="A179" s="89"/>
      <c r="B179" s="89"/>
      <c r="C179" s="90"/>
      <c r="D179" s="91"/>
      <c r="E179" s="92"/>
      <c r="F179" s="92"/>
      <c r="G179" s="92"/>
      <c r="H179" s="92"/>
      <c r="I179" s="93"/>
      <c r="J179" s="94"/>
      <c r="K179" s="94"/>
      <c r="L179" s="95"/>
      <c r="M179" s="66"/>
      <c r="N179" s="96"/>
      <c r="O179" s="97"/>
      <c r="P179" s="58"/>
      <c r="Q179" s="69"/>
      <c r="R179" s="70"/>
      <c r="S179" s="66"/>
      <c r="T179" s="55"/>
      <c r="U179" s="55"/>
      <c r="V179" s="55"/>
      <c r="W179" s="98"/>
      <c r="X179" s="98"/>
      <c r="Y179" s="98"/>
      <c r="Z179" s="98"/>
      <c r="AA179" s="98"/>
      <c r="AB179" s="98"/>
      <c r="AC179" s="98"/>
      <c r="AD179" s="98"/>
      <c r="AE179" s="98"/>
      <c r="AF179" s="277"/>
      <c r="AG179" s="277"/>
      <c r="AH179" s="277"/>
      <c r="AI179" s="277"/>
      <c r="AJ179" s="92"/>
    </row>
    <row r="180" spans="1:36" s="99" customFormat="1" ht="65.099999999999994" customHeight="1">
      <c r="A180" s="89"/>
      <c r="B180" s="89"/>
      <c r="C180" s="90"/>
      <c r="D180" s="91"/>
      <c r="E180" s="92"/>
      <c r="F180" s="92"/>
      <c r="G180" s="92"/>
      <c r="H180" s="92"/>
      <c r="I180" s="93"/>
      <c r="J180" s="94"/>
      <c r="K180" s="94"/>
      <c r="L180" s="95"/>
      <c r="M180" s="66"/>
      <c r="N180" s="96"/>
      <c r="O180" s="97"/>
      <c r="P180" s="58"/>
      <c r="Q180" s="69"/>
      <c r="R180" s="70"/>
      <c r="S180" s="66"/>
      <c r="T180" s="55"/>
      <c r="U180" s="55"/>
      <c r="V180" s="55"/>
      <c r="W180" s="98"/>
      <c r="X180" s="98"/>
      <c r="Y180" s="98"/>
      <c r="Z180" s="98"/>
      <c r="AA180" s="98"/>
      <c r="AB180" s="98"/>
      <c r="AC180" s="98"/>
      <c r="AD180" s="98"/>
      <c r="AE180" s="98"/>
      <c r="AF180" s="277"/>
      <c r="AG180" s="277"/>
      <c r="AH180" s="277"/>
      <c r="AI180" s="277"/>
      <c r="AJ180" s="92"/>
    </row>
    <row r="181" spans="1:36" s="99" customFormat="1" ht="65.099999999999994" customHeight="1">
      <c r="A181" s="89"/>
      <c r="B181" s="89"/>
      <c r="C181" s="90"/>
      <c r="D181" s="91"/>
      <c r="E181" s="92"/>
      <c r="F181" s="92"/>
      <c r="G181" s="92"/>
      <c r="H181" s="92"/>
      <c r="I181" s="93"/>
      <c r="J181" s="94"/>
      <c r="K181" s="94"/>
      <c r="L181" s="95"/>
      <c r="M181" s="66"/>
      <c r="N181" s="96"/>
      <c r="O181" s="97"/>
      <c r="P181" s="58"/>
      <c r="Q181" s="69"/>
      <c r="R181" s="70"/>
      <c r="S181" s="66"/>
      <c r="T181" s="55"/>
      <c r="U181" s="55"/>
      <c r="V181" s="55"/>
      <c r="W181" s="98"/>
      <c r="X181" s="98"/>
      <c r="Y181" s="98"/>
      <c r="Z181" s="98"/>
      <c r="AA181" s="98"/>
      <c r="AB181" s="98"/>
      <c r="AC181" s="98"/>
      <c r="AD181" s="98"/>
      <c r="AE181" s="98"/>
      <c r="AF181" s="277"/>
      <c r="AG181" s="277"/>
      <c r="AH181" s="277"/>
      <c r="AI181" s="277"/>
      <c r="AJ181" s="92"/>
    </row>
    <row r="182" spans="1:36" s="99" customFormat="1" ht="65.099999999999994" customHeight="1">
      <c r="A182" s="89"/>
      <c r="B182" s="89"/>
      <c r="C182" s="90"/>
      <c r="D182" s="91"/>
      <c r="E182" s="92"/>
      <c r="F182" s="92"/>
      <c r="G182" s="92"/>
      <c r="H182" s="92"/>
      <c r="I182" s="93"/>
      <c r="J182" s="94"/>
      <c r="K182" s="94"/>
      <c r="L182" s="95"/>
      <c r="M182" s="66"/>
      <c r="N182" s="96"/>
      <c r="O182" s="97"/>
      <c r="P182" s="58"/>
      <c r="Q182" s="69"/>
      <c r="R182" s="70"/>
      <c r="S182" s="66"/>
      <c r="T182" s="55"/>
      <c r="U182" s="55"/>
      <c r="V182" s="55"/>
      <c r="W182" s="98"/>
      <c r="X182" s="98"/>
      <c r="Y182" s="98"/>
      <c r="Z182" s="98"/>
      <c r="AA182" s="98"/>
      <c r="AB182" s="98"/>
      <c r="AC182" s="98"/>
      <c r="AD182" s="98"/>
      <c r="AE182" s="98"/>
      <c r="AF182" s="277"/>
      <c r="AG182" s="277"/>
      <c r="AH182" s="277"/>
      <c r="AI182" s="277"/>
      <c r="AJ182" s="92"/>
    </row>
    <row r="183" spans="1:36" s="99" customFormat="1" ht="65.099999999999994" customHeight="1">
      <c r="A183" s="89"/>
      <c r="B183" s="89"/>
      <c r="C183" s="90"/>
      <c r="D183" s="91"/>
      <c r="E183" s="92"/>
      <c r="F183" s="92"/>
      <c r="G183" s="92"/>
      <c r="H183" s="92"/>
      <c r="I183" s="93"/>
      <c r="J183" s="94"/>
      <c r="K183" s="94"/>
      <c r="L183" s="95"/>
      <c r="M183" s="66"/>
      <c r="N183" s="96"/>
      <c r="O183" s="97"/>
      <c r="P183" s="58"/>
      <c r="Q183" s="69"/>
      <c r="R183" s="70"/>
      <c r="S183" s="66"/>
      <c r="T183" s="55"/>
      <c r="U183" s="55"/>
      <c r="V183" s="55"/>
      <c r="W183" s="98"/>
      <c r="X183" s="98"/>
      <c r="Y183" s="98"/>
      <c r="Z183" s="98"/>
      <c r="AA183" s="98"/>
      <c r="AB183" s="98"/>
      <c r="AC183" s="98"/>
      <c r="AD183" s="98"/>
      <c r="AE183" s="98"/>
      <c r="AF183" s="277"/>
      <c r="AG183" s="277"/>
      <c r="AH183" s="277"/>
      <c r="AI183" s="277"/>
      <c r="AJ183" s="92"/>
    </row>
    <row r="184" spans="1:36" s="99" customFormat="1" ht="65.099999999999994" customHeight="1">
      <c r="A184" s="89"/>
      <c r="B184" s="89"/>
      <c r="C184" s="90"/>
      <c r="D184" s="91"/>
      <c r="E184" s="92"/>
      <c r="F184" s="92"/>
      <c r="G184" s="92"/>
      <c r="H184" s="92"/>
      <c r="I184" s="93"/>
      <c r="J184" s="94"/>
      <c r="K184" s="94"/>
      <c r="L184" s="95"/>
      <c r="M184" s="66"/>
      <c r="N184" s="96"/>
      <c r="O184" s="97"/>
      <c r="P184" s="58"/>
      <c r="Q184" s="69"/>
      <c r="R184" s="70"/>
      <c r="S184" s="66"/>
      <c r="T184" s="55"/>
      <c r="U184" s="55"/>
      <c r="V184" s="55"/>
      <c r="W184" s="98"/>
      <c r="X184" s="98"/>
      <c r="Y184" s="98"/>
      <c r="Z184" s="98"/>
      <c r="AA184" s="98"/>
      <c r="AB184" s="98"/>
      <c r="AC184" s="98"/>
      <c r="AD184" s="98"/>
      <c r="AE184" s="98"/>
      <c r="AF184" s="277"/>
      <c r="AG184" s="277"/>
      <c r="AH184" s="277"/>
      <c r="AI184" s="277"/>
      <c r="AJ184" s="92"/>
    </row>
    <row r="185" spans="1:36" s="99" customFormat="1" ht="65.099999999999994" customHeight="1">
      <c r="A185" s="89"/>
      <c r="B185" s="89"/>
      <c r="C185" s="90"/>
      <c r="D185" s="91"/>
      <c r="E185" s="92"/>
      <c r="F185" s="92"/>
      <c r="G185" s="92"/>
      <c r="H185" s="92"/>
      <c r="I185" s="93"/>
      <c r="J185" s="94"/>
      <c r="K185" s="94"/>
      <c r="L185" s="95"/>
      <c r="M185" s="66"/>
      <c r="N185" s="96"/>
      <c r="O185" s="97"/>
      <c r="P185" s="58"/>
      <c r="Q185" s="69"/>
      <c r="R185" s="70"/>
      <c r="S185" s="66"/>
      <c r="T185" s="55"/>
      <c r="U185" s="55"/>
      <c r="V185" s="55"/>
      <c r="W185" s="98"/>
      <c r="X185" s="98"/>
      <c r="Y185" s="98"/>
      <c r="Z185" s="98"/>
      <c r="AA185" s="98"/>
      <c r="AB185" s="98"/>
      <c r="AC185" s="98"/>
      <c r="AD185" s="98"/>
      <c r="AE185" s="98"/>
      <c r="AF185" s="277"/>
      <c r="AG185" s="277"/>
      <c r="AH185" s="277"/>
      <c r="AI185" s="277"/>
      <c r="AJ185" s="92"/>
    </row>
    <row r="186" spans="1:36" s="99" customFormat="1" ht="65.099999999999994" customHeight="1">
      <c r="A186" s="89"/>
      <c r="B186" s="89"/>
      <c r="C186" s="90"/>
      <c r="D186" s="91"/>
      <c r="E186" s="92"/>
      <c r="F186" s="92"/>
      <c r="G186" s="92"/>
      <c r="H186" s="92"/>
      <c r="I186" s="93"/>
      <c r="J186" s="94"/>
      <c r="K186" s="94"/>
      <c r="L186" s="95"/>
      <c r="M186" s="66"/>
      <c r="N186" s="96"/>
      <c r="O186" s="97"/>
      <c r="P186" s="58"/>
      <c r="Q186" s="69"/>
      <c r="R186" s="70"/>
      <c r="S186" s="66"/>
      <c r="T186" s="55"/>
      <c r="U186" s="55"/>
      <c r="V186" s="55"/>
      <c r="W186" s="98"/>
      <c r="X186" s="98"/>
      <c r="Y186" s="98"/>
      <c r="Z186" s="98"/>
      <c r="AA186" s="98"/>
      <c r="AB186" s="98"/>
      <c r="AC186" s="98"/>
      <c r="AD186" s="98"/>
      <c r="AE186" s="98"/>
      <c r="AF186" s="277"/>
      <c r="AG186" s="277"/>
      <c r="AH186" s="277"/>
      <c r="AI186" s="277"/>
      <c r="AJ186" s="92"/>
    </row>
    <row r="187" spans="1:36" s="99" customFormat="1" ht="65.099999999999994" customHeight="1">
      <c r="A187" s="89"/>
      <c r="B187" s="89"/>
      <c r="C187" s="90"/>
      <c r="D187" s="91"/>
      <c r="E187" s="92"/>
      <c r="F187" s="92"/>
      <c r="G187" s="92"/>
      <c r="H187" s="92"/>
      <c r="I187" s="93"/>
      <c r="J187" s="94"/>
      <c r="K187" s="94"/>
      <c r="L187" s="95"/>
      <c r="M187" s="66"/>
      <c r="N187" s="96"/>
      <c r="O187" s="97"/>
      <c r="P187" s="58"/>
      <c r="Q187" s="69"/>
      <c r="R187" s="70"/>
      <c r="S187" s="66"/>
      <c r="T187" s="55"/>
      <c r="U187" s="55"/>
      <c r="V187" s="55"/>
      <c r="W187" s="98"/>
      <c r="X187" s="98"/>
      <c r="Y187" s="98"/>
      <c r="Z187" s="98"/>
      <c r="AA187" s="98"/>
      <c r="AB187" s="98"/>
      <c r="AC187" s="98"/>
      <c r="AD187" s="98"/>
      <c r="AE187" s="98"/>
      <c r="AF187" s="277"/>
      <c r="AG187" s="277"/>
      <c r="AH187" s="277"/>
      <c r="AI187" s="277"/>
      <c r="AJ187" s="92"/>
    </row>
    <row r="188" spans="1:36" s="99" customFormat="1" ht="65.099999999999994" customHeight="1">
      <c r="A188" s="89"/>
      <c r="B188" s="89"/>
      <c r="C188" s="90"/>
      <c r="D188" s="91"/>
      <c r="E188" s="92"/>
      <c r="F188" s="92"/>
      <c r="G188" s="92"/>
      <c r="H188" s="92"/>
      <c r="I188" s="93"/>
      <c r="J188" s="94"/>
      <c r="K188" s="94"/>
      <c r="L188" s="95"/>
      <c r="M188" s="66"/>
      <c r="N188" s="96"/>
      <c r="O188" s="97"/>
      <c r="P188" s="58"/>
      <c r="Q188" s="69"/>
      <c r="R188" s="70"/>
      <c r="S188" s="66"/>
      <c r="T188" s="55"/>
      <c r="U188" s="55"/>
      <c r="V188" s="55"/>
      <c r="W188" s="98"/>
      <c r="X188" s="98"/>
      <c r="Y188" s="98"/>
      <c r="Z188" s="98"/>
      <c r="AA188" s="98"/>
      <c r="AB188" s="98"/>
      <c r="AC188" s="98"/>
      <c r="AD188" s="98"/>
      <c r="AE188" s="98"/>
      <c r="AF188" s="277"/>
      <c r="AG188" s="277"/>
      <c r="AH188" s="277"/>
      <c r="AI188" s="277"/>
      <c r="AJ188" s="92"/>
    </row>
    <row r="189" spans="1:36" s="99" customFormat="1" ht="65.099999999999994" customHeight="1">
      <c r="A189" s="89"/>
      <c r="B189" s="89"/>
      <c r="C189" s="90"/>
      <c r="D189" s="91"/>
      <c r="E189" s="92"/>
      <c r="F189" s="92"/>
      <c r="G189" s="92"/>
      <c r="H189" s="92"/>
      <c r="I189" s="93"/>
      <c r="J189" s="94"/>
      <c r="K189" s="94"/>
      <c r="L189" s="95"/>
      <c r="M189" s="66"/>
      <c r="N189" s="96"/>
      <c r="O189" s="97"/>
      <c r="P189" s="58"/>
      <c r="Q189" s="69"/>
      <c r="R189" s="70"/>
      <c r="S189" s="66"/>
      <c r="T189" s="55"/>
      <c r="U189" s="55"/>
      <c r="V189" s="55"/>
      <c r="W189" s="98"/>
      <c r="X189" s="98"/>
      <c r="Y189" s="98"/>
      <c r="Z189" s="98"/>
      <c r="AA189" s="98"/>
      <c r="AB189" s="98"/>
      <c r="AC189" s="98"/>
      <c r="AD189" s="98"/>
      <c r="AE189" s="98"/>
      <c r="AF189" s="277"/>
      <c r="AG189" s="277"/>
      <c r="AH189" s="277"/>
      <c r="AI189" s="277"/>
      <c r="AJ189" s="92"/>
    </row>
    <row r="190" spans="1:36" s="99" customFormat="1" ht="65.099999999999994" customHeight="1">
      <c r="A190" s="89"/>
      <c r="B190" s="89"/>
      <c r="C190" s="90"/>
      <c r="D190" s="91"/>
      <c r="E190" s="92"/>
      <c r="F190" s="92"/>
      <c r="G190" s="92"/>
      <c r="H190" s="92"/>
      <c r="I190" s="93"/>
      <c r="J190" s="94"/>
      <c r="K190" s="94"/>
      <c r="L190" s="95"/>
      <c r="M190" s="66"/>
      <c r="N190" s="96"/>
      <c r="O190" s="97"/>
      <c r="P190" s="58"/>
      <c r="Q190" s="69"/>
      <c r="R190" s="70"/>
      <c r="S190" s="66"/>
      <c r="T190" s="55"/>
      <c r="U190" s="55"/>
      <c r="V190" s="55"/>
      <c r="W190" s="98"/>
      <c r="X190" s="98"/>
      <c r="Y190" s="98"/>
      <c r="Z190" s="98"/>
      <c r="AA190" s="98"/>
      <c r="AB190" s="98"/>
      <c r="AC190" s="98"/>
      <c r="AD190" s="98"/>
      <c r="AE190" s="98"/>
      <c r="AF190" s="277"/>
      <c r="AG190" s="277"/>
      <c r="AH190" s="277"/>
      <c r="AI190" s="277"/>
      <c r="AJ190" s="92"/>
    </row>
    <row r="191" spans="1:36" s="99" customFormat="1" ht="65.099999999999994" customHeight="1">
      <c r="A191" s="89"/>
      <c r="B191" s="89"/>
      <c r="C191" s="90"/>
      <c r="D191" s="91"/>
      <c r="E191" s="92"/>
      <c r="F191" s="92"/>
      <c r="G191" s="92"/>
      <c r="H191" s="92"/>
      <c r="I191" s="93"/>
      <c r="J191" s="94"/>
      <c r="K191" s="94"/>
      <c r="L191" s="95"/>
      <c r="M191" s="66"/>
      <c r="N191" s="96"/>
      <c r="O191" s="97"/>
      <c r="P191" s="58"/>
      <c r="Q191" s="69"/>
      <c r="R191" s="70"/>
      <c r="S191" s="66"/>
      <c r="T191" s="55"/>
      <c r="U191" s="55"/>
      <c r="V191" s="55"/>
      <c r="W191" s="98"/>
      <c r="X191" s="98"/>
      <c r="Y191" s="98"/>
      <c r="Z191" s="98"/>
      <c r="AA191" s="98"/>
      <c r="AB191" s="98"/>
      <c r="AC191" s="98"/>
      <c r="AD191" s="98"/>
      <c r="AE191" s="98"/>
      <c r="AF191" s="277"/>
      <c r="AG191" s="277"/>
      <c r="AH191" s="277"/>
      <c r="AI191" s="277"/>
      <c r="AJ191" s="92"/>
    </row>
    <row r="192" spans="1:36" s="99" customFormat="1" ht="65.099999999999994" customHeight="1">
      <c r="A192" s="89"/>
      <c r="B192" s="89"/>
      <c r="C192" s="90"/>
      <c r="D192" s="91"/>
      <c r="E192" s="92"/>
      <c r="F192" s="92"/>
      <c r="G192" s="92"/>
      <c r="H192" s="92"/>
      <c r="I192" s="93"/>
      <c r="J192" s="94"/>
      <c r="K192" s="94"/>
      <c r="L192" s="95"/>
      <c r="M192" s="66"/>
      <c r="N192" s="96"/>
      <c r="O192" s="97"/>
      <c r="P192" s="58"/>
      <c r="Q192" s="69"/>
      <c r="R192" s="70"/>
      <c r="S192" s="66"/>
      <c r="T192" s="55"/>
      <c r="U192" s="55"/>
      <c r="V192" s="55"/>
      <c r="W192" s="98"/>
      <c r="X192" s="98"/>
      <c r="Y192" s="98"/>
      <c r="Z192" s="98"/>
      <c r="AA192" s="98"/>
      <c r="AB192" s="98"/>
      <c r="AC192" s="98"/>
      <c r="AD192" s="98"/>
      <c r="AE192" s="98"/>
      <c r="AF192" s="277"/>
      <c r="AG192" s="277"/>
      <c r="AH192" s="277"/>
      <c r="AI192" s="277"/>
      <c r="AJ192" s="92"/>
    </row>
    <row r="193" spans="1:36" s="99" customFormat="1" ht="65.099999999999994" customHeight="1">
      <c r="A193" s="89"/>
      <c r="B193" s="89"/>
      <c r="C193" s="90"/>
      <c r="D193" s="91"/>
      <c r="E193" s="92"/>
      <c r="F193" s="92"/>
      <c r="G193" s="92"/>
      <c r="H193" s="92"/>
      <c r="I193" s="93"/>
      <c r="J193" s="94"/>
      <c r="K193" s="94"/>
      <c r="L193" s="95"/>
      <c r="M193" s="66"/>
      <c r="N193" s="96"/>
      <c r="O193" s="97"/>
      <c r="P193" s="58"/>
      <c r="Q193" s="69"/>
      <c r="R193" s="70"/>
      <c r="S193" s="66"/>
      <c r="T193" s="55"/>
      <c r="U193" s="55"/>
      <c r="V193" s="55"/>
      <c r="W193" s="98"/>
      <c r="X193" s="98"/>
      <c r="Y193" s="98"/>
      <c r="Z193" s="98"/>
      <c r="AA193" s="98"/>
      <c r="AB193" s="98"/>
      <c r="AC193" s="98"/>
      <c r="AD193" s="98"/>
      <c r="AE193" s="98"/>
      <c r="AF193" s="277"/>
      <c r="AG193" s="277"/>
      <c r="AH193" s="277"/>
      <c r="AI193" s="277"/>
      <c r="AJ193" s="92"/>
    </row>
    <row r="194" spans="1:36" s="99" customFormat="1" ht="65.099999999999994" customHeight="1">
      <c r="A194" s="89"/>
      <c r="B194" s="89"/>
      <c r="C194" s="90"/>
      <c r="D194" s="91"/>
      <c r="E194" s="92"/>
      <c r="F194" s="92"/>
      <c r="G194" s="92"/>
      <c r="H194" s="92"/>
      <c r="I194" s="93"/>
      <c r="J194" s="94"/>
      <c r="K194" s="94"/>
      <c r="L194" s="95"/>
      <c r="M194" s="66"/>
      <c r="N194" s="96"/>
      <c r="O194" s="97"/>
      <c r="P194" s="58"/>
      <c r="Q194" s="69"/>
      <c r="R194" s="70"/>
      <c r="S194" s="66"/>
      <c r="T194" s="55"/>
      <c r="U194" s="55"/>
      <c r="V194" s="55"/>
      <c r="W194" s="98"/>
      <c r="X194" s="98"/>
      <c r="Y194" s="98"/>
      <c r="Z194" s="98"/>
      <c r="AA194" s="98"/>
      <c r="AB194" s="98"/>
      <c r="AC194" s="98"/>
      <c r="AD194" s="98"/>
      <c r="AE194" s="98"/>
      <c r="AF194" s="277"/>
      <c r="AG194" s="277"/>
      <c r="AH194" s="277"/>
      <c r="AI194" s="277"/>
      <c r="AJ194" s="92"/>
    </row>
    <row r="195" spans="1:36" s="99" customFormat="1" ht="65.099999999999994" customHeight="1">
      <c r="A195" s="89"/>
      <c r="B195" s="89"/>
      <c r="C195" s="90"/>
      <c r="D195" s="91"/>
      <c r="E195" s="92"/>
      <c r="F195" s="92"/>
      <c r="G195" s="92"/>
      <c r="H195" s="92"/>
      <c r="I195" s="93"/>
      <c r="J195" s="94"/>
      <c r="K195" s="94"/>
      <c r="L195" s="95"/>
      <c r="M195" s="66"/>
      <c r="N195" s="96"/>
      <c r="O195" s="97"/>
      <c r="P195" s="58"/>
      <c r="Q195" s="69"/>
      <c r="R195" s="70"/>
      <c r="S195" s="66"/>
      <c r="T195" s="55"/>
      <c r="U195" s="55"/>
      <c r="V195" s="55"/>
      <c r="W195" s="98"/>
      <c r="X195" s="98"/>
      <c r="Y195" s="98"/>
      <c r="Z195" s="98"/>
      <c r="AA195" s="98"/>
      <c r="AB195" s="98"/>
      <c r="AC195" s="98"/>
      <c r="AD195" s="98"/>
      <c r="AE195" s="98"/>
      <c r="AF195" s="277"/>
      <c r="AG195" s="277"/>
      <c r="AH195" s="277"/>
      <c r="AI195" s="277"/>
      <c r="AJ195" s="92"/>
    </row>
    <row r="196" spans="1:36" s="99" customFormat="1" ht="65.099999999999994" customHeight="1">
      <c r="A196" s="89"/>
      <c r="B196" s="89"/>
      <c r="C196" s="90"/>
      <c r="D196" s="91"/>
      <c r="E196" s="92"/>
      <c r="F196" s="92"/>
      <c r="G196" s="92"/>
      <c r="H196" s="92"/>
      <c r="I196" s="93"/>
      <c r="J196" s="94"/>
      <c r="K196" s="94"/>
      <c r="L196" s="95"/>
      <c r="M196" s="66"/>
      <c r="N196" s="96"/>
      <c r="O196" s="97"/>
      <c r="P196" s="58"/>
      <c r="Q196" s="69"/>
      <c r="R196" s="70"/>
      <c r="S196" s="66"/>
      <c r="T196" s="55"/>
      <c r="U196" s="55"/>
      <c r="V196" s="55"/>
      <c r="W196" s="98"/>
      <c r="X196" s="98"/>
      <c r="Y196" s="98"/>
      <c r="Z196" s="98"/>
      <c r="AA196" s="98"/>
      <c r="AB196" s="98"/>
      <c r="AC196" s="98"/>
      <c r="AD196" s="98"/>
      <c r="AE196" s="98"/>
      <c r="AF196" s="277"/>
      <c r="AG196" s="277"/>
      <c r="AH196" s="277"/>
      <c r="AI196" s="277"/>
      <c r="AJ196" s="92"/>
    </row>
    <row r="197" spans="1:36" s="99" customFormat="1" ht="65.099999999999994" customHeight="1">
      <c r="A197" s="89"/>
      <c r="B197" s="89"/>
      <c r="C197" s="90"/>
      <c r="D197" s="91"/>
      <c r="E197" s="92"/>
      <c r="F197" s="92"/>
      <c r="G197" s="92"/>
      <c r="H197" s="92"/>
      <c r="I197" s="93"/>
      <c r="J197" s="94"/>
      <c r="K197" s="94"/>
      <c r="L197" s="95"/>
      <c r="M197" s="66"/>
      <c r="N197" s="96"/>
      <c r="O197" s="97"/>
      <c r="P197" s="58"/>
      <c r="Q197" s="69"/>
      <c r="R197" s="70"/>
      <c r="S197" s="66"/>
      <c r="T197" s="55"/>
      <c r="U197" s="55"/>
      <c r="V197" s="55"/>
      <c r="W197" s="98"/>
      <c r="X197" s="98"/>
      <c r="Y197" s="98"/>
      <c r="Z197" s="98"/>
      <c r="AA197" s="98"/>
      <c r="AB197" s="98"/>
      <c r="AC197" s="98"/>
      <c r="AD197" s="98"/>
      <c r="AE197" s="98"/>
      <c r="AF197" s="277"/>
      <c r="AG197" s="277"/>
      <c r="AH197" s="277"/>
      <c r="AI197" s="277"/>
      <c r="AJ197" s="92"/>
    </row>
    <row r="198" spans="1:36" s="99" customFormat="1" ht="65.099999999999994" customHeight="1">
      <c r="A198" s="89"/>
      <c r="B198" s="89"/>
      <c r="C198" s="90"/>
      <c r="D198" s="91"/>
      <c r="E198" s="92"/>
      <c r="F198" s="92"/>
      <c r="G198" s="92"/>
      <c r="H198" s="92"/>
      <c r="I198" s="93"/>
      <c r="J198" s="94"/>
      <c r="K198" s="94"/>
      <c r="L198" s="95"/>
      <c r="M198" s="66"/>
      <c r="N198" s="96"/>
      <c r="O198" s="97"/>
      <c r="P198" s="58"/>
      <c r="Q198" s="69"/>
      <c r="R198" s="70"/>
      <c r="S198" s="66"/>
      <c r="T198" s="55"/>
      <c r="U198" s="55"/>
      <c r="V198" s="55"/>
      <c r="W198" s="98"/>
      <c r="X198" s="98"/>
      <c r="Y198" s="98"/>
      <c r="Z198" s="98"/>
      <c r="AA198" s="98"/>
      <c r="AB198" s="98"/>
      <c r="AC198" s="98"/>
      <c r="AD198" s="98"/>
      <c r="AE198" s="98"/>
      <c r="AF198" s="277"/>
      <c r="AG198" s="277"/>
      <c r="AH198" s="277"/>
      <c r="AI198" s="277"/>
      <c r="AJ198" s="92"/>
    </row>
    <row r="199" spans="1:36" s="99" customFormat="1" ht="65.099999999999994" customHeight="1">
      <c r="A199" s="89"/>
      <c r="B199" s="89"/>
      <c r="C199" s="90"/>
      <c r="D199" s="91"/>
      <c r="E199" s="92"/>
      <c r="F199" s="92"/>
      <c r="G199" s="92"/>
      <c r="H199" s="92"/>
      <c r="I199" s="93"/>
      <c r="J199" s="94"/>
      <c r="K199" s="94"/>
      <c r="L199" s="95"/>
      <c r="M199" s="66"/>
      <c r="N199" s="96"/>
      <c r="O199" s="97"/>
      <c r="P199" s="58"/>
      <c r="Q199" s="69"/>
      <c r="R199" s="70"/>
      <c r="S199" s="66"/>
      <c r="T199" s="55"/>
      <c r="U199" s="55"/>
      <c r="V199" s="55"/>
      <c r="W199" s="98"/>
      <c r="X199" s="98"/>
      <c r="Y199" s="98"/>
      <c r="Z199" s="98"/>
      <c r="AA199" s="98"/>
      <c r="AB199" s="98"/>
      <c r="AC199" s="98"/>
      <c r="AD199" s="98"/>
      <c r="AE199" s="98"/>
      <c r="AF199" s="277"/>
      <c r="AG199" s="277"/>
      <c r="AH199" s="277"/>
      <c r="AI199" s="277"/>
      <c r="AJ199" s="92"/>
    </row>
    <row r="200" spans="1:36" s="99" customFormat="1" ht="65.099999999999994" customHeight="1">
      <c r="A200" s="89"/>
      <c r="B200" s="89"/>
      <c r="C200" s="90"/>
      <c r="D200" s="91"/>
      <c r="E200" s="92"/>
      <c r="F200" s="92"/>
      <c r="G200" s="92"/>
      <c r="H200" s="92"/>
      <c r="I200" s="93"/>
      <c r="J200" s="94"/>
      <c r="K200" s="94"/>
      <c r="L200" s="95"/>
      <c r="M200" s="66"/>
      <c r="N200" s="96"/>
      <c r="O200" s="97"/>
      <c r="P200" s="58"/>
      <c r="Q200" s="69"/>
      <c r="R200" s="70"/>
      <c r="S200" s="66"/>
      <c r="T200" s="55"/>
      <c r="U200" s="55"/>
      <c r="V200" s="55"/>
      <c r="W200" s="98"/>
      <c r="X200" s="98"/>
      <c r="Y200" s="98"/>
      <c r="Z200" s="98"/>
      <c r="AA200" s="98"/>
      <c r="AB200" s="98"/>
      <c r="AC200" s="98"/>
      <c r="AD200" s="98"/>
      <c r="AE200" s="98"/>
      <c r="AF200" s="277"/>
      <c r="AG200" s="277"/>
      <c r="AH200" s="277"/>
      <c r="AI200" s="277"/>
      <c r="AJ200" s="92"/>
    </row>
    <row r="201" spans="1:36" s="99" customFormat="1" ht="65.099999999999994" customHeight="1">
      <c r="A201" s="89"/>
      <c r="B201" s="89"/>
      <c r="C201" s="90"/>
      <c r="D201" s="91"/>
      <c r="E201" s="92"/>
      <c r="F201" s="92"/>
      <c r="G201" s="92"/>
      <c r="H201" s="92"/>
      <c r="I201" s="93"/>
      <c r="J201" s="94"/>
      <c r="K201" s="94"/>
      <c r="L201" s="95"/>
      <c r="M201" s="66"/>
      <c r="N201" s="96"/>
      <c r="O201" s="97"/>
      <c r="P201" s="58"/>
      <c r="Q201" s="69"/>
      <c r="R201" s="70"/>
      <c r="S201" s="66"/>
      <c r="T201" s="55"/>
      <c r="U201" s="55"/>
      <c r="V201" s="55"/>
      <c r="W201" s="98"/>
      <c r="X201" s="98"/>
      <c r="Y201" s="98"/>
      <c r="Z201" s="98"/>
      <c r="AA201" s="98"/>
      <c r="AB201" s="98"/>
      <c r="AC201" s="98"/>
      <c r="AD201" s="98"/>
      <c r="AE201" s="98"/>
      <c r="AF201" s="277"/>
      <c r="AG201" s="277"/>
      <c r="AH201" s="277"/>
      <c r="AI201" s="277"/>
      <c r="AJ201" s="92"/>
    </row>
    <row r="202" spans="1:36" s="99" customFormat="1" ht="65.099999999999994" customHeight="1">
      <c r="A202" s="89"/>
      <c r="B202" s="89"/>
      <c r="C202" s="90"/>
      <c r="D202" s="91"/>
      <c r="E202" s="92"/>
      <c r="F202" s="92"/>
      <c r="G202" s="92"/>
      <c r="H202" s="92"/>
      <c r="I202" s="93"/>
      <c r="J202" s="94"/>
      <c r="K202" s="94"/>
      <c r="L202" s="95"/>
      <c r="M202" s="66"/>
      <c r="N202" s="96"/>
      <c r="O202" s="97"/>
      <c r="P202" s="58"/>
      <c r="Q202" s="69"/>
      <c r="R202" s="70"/>
      <c r="S202" s="66"/>
      <c r="T202" s="55"/>
      <c r="U202" s="55"/>
      <c r="V202" s="55"/>
      <c r="W202" s="98"/>
      <c r="X202" s="98"/>
      <c r="Y202" s="98"/>
      <c r="Z202" s="98"/>
      <c r="AA202" s="98"/>
      <c r="AB202" s="98"/>
      <c r="AC202" s="98"/>
      <c r="AD202" s="98"/>
      <c r="AE202" s="98"/>
      <c r="AF202" s="277"/>
      <c r="AG202" s="277"/>
      <c r="AH202" s="277"/>
      <c r="AI202" s="277"/>
      <c r="AJ202" s="92"/>
    </row>
    <row r="203" spans="1:36" s="99" customFormat="1" ht="65.099999999999994" customHeight="1">
      <c r="A203" s="89"/>
      <c r="B203" s="89"/>
      <c r="C203" s="90"/>
      <c r="D203" s="91"/>
      <c r="E203" s="92"/>
      <c r="F203" s="92"/>
      <c r="G203" s="92"/>
      <c r="H203" s="92"/>
      <c r="I203" s="93"/>
      <c r="J203" s="94"/>
      <c r="K203" s="94"/>
      <c r="L203" s="95"/>
      <c r="M203" s="66"/>
      <c r="N203" s="96"/>
      <c r="O203" s="97"/>
      <c r="P203" s="58"/>
      <c r="Q203" s="69"/>
      <c r="R203" s="70"/>
      <c r="S203" s="66"/>
      <c r="T203" s="55"/>
      <c r="U203" s="55"/>
      <c r="V203" s="55"/>
      <c r="W203" s="98"/>
      <c r="X203" s="98"/>
      <c r="Y203" s="98"/>
      <c r="Z203" s="98"/>
      <c r="AA203" s="98"/>
      <c r="AB203" s="98"/>
      <c r="AC203" s="98"/>
      <c r="AD203" s="98"/>
      <c r="AE203" s="98"/>
      <c r="AF203" s="277"/>
      <c r="AG203" s="277"/>
      <c r="AH203" s="277"/>
      <c r="AI203" s="277"/>
      <c r="AJ203" s="92"/>
    </row>
    <row r="204" spans="1:36" s="99" customFormat="1" ht="65.099999999999994" customHeight="1">
      <c r="A204" s="89"/>
      <c r="B204" s="89"/>
      <c r="C204" s="90"/>
      <c r="D204" s="91"/>
      <c r="E204" s="92"/>
      <c r="F204" s="92"/>
      <c r="G204" s="92"/>
      <c r="H204" s="92"/>
      <c r="I204" s="93"/>
      <c r="J204" s="94"/>
      <c r="K204" s="94"/>
      <c r="L204" s="95"/>
      <c r="M204" s="66"/>
      <c r="N204" s="96"/>
      <c r="O204" s="97"/>
      <c r="P204" s="58"/>
      <c r="Q204" s="69"/>
      <c r="R204" s="70"/>
      <c r="S204" s="66"/>
      <c r="T204" s="55"/>
      <c r="U204" s="55"/>
      <c r="V204" s="55"/>
      <c r="W204" s="98"/>
      <c r="X204" s="98"/>
      <c r="Y204" s="98"/>
      <c r="Z204" s="98"/>
      <c r="AA204" s="98"/>
      <c r="AB204" s="98"/>
      <c r="AC204" s="98"/>
      <c r="AD204" s="98"/>
      <c r="AE204" s="98"/>
      <c r="AF204" s="277"/>
      <c r="AG204" s="277"/>
      <c r="AH204" s="277"/>
      <c r="AI204" s="277"/>
      <c r="AJ204" s="92"/>
    </row>
    <row r="205" spans="1:36" s="99" customFormat="1" ht="65.099999999999994" customHeight="1">
      <c r="A205" s="89"/>
      <c r="B205" s="89"/>
      <c r="C205" s="90"/>
      <c r="D205" s="91"/>
      <c r="E205" s="92"/>
      <c r="F205" s="92"/>
      <c r="G205" s="92"/>
      <c r="H205" s="92"/>
      <c r="I205" s="93"/>
      <c r="J205" s="94"/>
      <c r="K205" s="94"/>
      <c r="L205" s="95"/>
      <c r="M205" s="66"/>
      <c r="N205" s="96"/>
      <c r="O205" s="97"/>
      <c r="P205" s="58"/>
      <c r="Q205" s="69"/>
      <c r="R205" s="70"/>
      <c r="S205" s="66"/>
      <c r="T205" s="55"/>
      <c r="U205" s="55"/>
      <c r="V205" s="55"/>
      <c r="W205" s="98"/>
      <c r="X205" s="98"/>
      <c r="Y205" s="98"/>
      <c r="Z205" s="98"/>
      <c r="AA205" s="98"/>
      <c r="AB205" s="98"/>
      <c r="AC205" s="98"/>
      <c r="AD205" s="98"/>
      <c r="AE205" s="98"/>
      <c r="AF205" s="277"/>
      <c r="AG205" s="277"/>
      <c r="AH205" s="277"/>
      <c r="AI205" s="277"/>
      <c r="AJ205" s="92"/>
    </row>
    <row r="206" spans="1:36" s="99" customFormat="1" ht="65.099999999999994" customHeight="1">
      <c r="A206" s="89"/>
      <c r="B206" s="89"/>
      <c r="C206" s="90"/>
      <c r="D206" s="91"/>
      <c r="E206" s="92"/>
      <c r="F206" s="92"/>
      <c r="G206" s="92"/>
      <c r="H206" s="92"/>
      <c r="I206" s="93"/>
      <c r="J206" s="94"/>
      <c r="K206" s="94"/>
      <c r="L206" s="95"/>
      <c r="M206" s="66"/>
      <c r="N206" s="96"/>
      <c r="O206" s="97"/>
      <c r="P206" s="58"/>
      <c r="Q206" s="69"/>
      <c r="R206" s="70"/>
      <c r="S206" s="66"/>
      <c r="T206" s="55"/>
      <c r="U206" s="55"/>
      <c r="V206" s="55"/>
      <c r="W206" s="98"/>
      <c r="X206" s="98"/>
      <c r="Y206" s="98"/>
      <c r="Z206" s="98"/>
      <c r="AA206" s="98"/>
      <c r="AB206" s="98"/>
      <c r="AC206" s="98"/>
      <c r="AD206" s="98"/>
      <c r="AE206" s="98"/>
      <c r="AF206" s="277"/>
      <c r="AG206" s="277"/>
      <c r="AH206" s="277"/>
      <c r="AI206" s="277"/>
      <c r="AJ206" s="92"/>
    </row>
    <row r="207" spans="1:36" s="99" customFormat="1" ht="65.099999999999994" customHeight="1">
      <c r="A207" s="89"/>
      <c r="B207" s="89"/>
      <c r="C207" s="90"/>
      <c r="D207" s="91"/>
      <c r="E207" s="92"/>
      <c r="F207" s="92"/>
      <c r="G207" s="92"/>
      <c r="H207" s="92"/>
      <c r="I207" s="93"/>
      <c r="J207" s="94"/>
      <c r="K207" s="94"/>
      <c r="L207" s="95"/>
      <c r="M207" s="66"/>
      <c r="N207" s="96"/>
      <c r="O207" s="97"/>
      <c r="P207" s="58"/>
      <c r="Q207" s="69"/>
      <c r="R207" s="70"/>
      <c r="S207" s="66"/>
      <c r="T207" s="55"/>
      <c r="U207" s="55"/>
      <c r="V207" s="55"/>
      <c r="W207" s="98"/>
      <c r="X207" s="98"/>
      <c r="Y207" s="98"/>
      <c r="Z207" s="98"/>
      <c r="AA207" s="98"/>
      <c r="AB207" s="98"/>
      <c r="AC207" s="98"/>
      <c r="AD207" s="98"/>
      <c r="AE207" s="98"/>
      <c r="AF207" s="277"/>
      <c r="AG207" s="277"/>
      <c r="AH207" s="277"/>
      <c r="AI207" s="277"/>
      <c r="AJ207" s="92"/>
    </row>
    <row r="208" spans="1:36" s="99" customFormat="1" ht="65.099999999999994" customHeight="1">
      <c r="A208" s="89"/>
      <c r="B208" s="89"/>
      <c r="C208" s="90"/>
      <c r="D208" s="91"/>
      <c r="E208" s="92"/>
      <c r="F208" s="92"/>
      <c r="G208" s="92"/>
      <c r="H208" s="92"/>
      <c r="I208" s="93"/>
      <c r="J208" s="94"/>
      <c r="K208" s="94"/>
      <c r="L208" s="95"/>
      <c r="M208" s="66"/>
      <c r="N208" s="96"/>
      <c r="O208" s="97"/>
      <c r="P208" s="58"/>
      <c r="Q208" s="69"/>
      <c r="R208" s="70"/>
      <c r="S208" s="66"/>
      <c r="T208" s="55"/>
      <c r="U208" s="55"/>
      <c r="V208" s="55"/>
      <c r="W208" s="98"/>
      <c r="X208" s="98"/>
      <c r="Y208" s="98"/>
      <c r="Z208" s="98"/>
      <c r="AA208" s="98"/>
      <c r="AB208" s="98"/>
      <c r="AC208" s="98"/>
      <c r="AD208" s="98"/>
      <c r="AE208" s="98"/>
      <c r="AF208" s="277"/>
      <c r="AG208" s="277"/>
      <c r="AH208" s="277"/>
      <c r="AI208" s="277"/>
      <c r="AJ208" s="92"/>
    </row>
    <row r="209" spans="1:36" s="99" customFormat="1" ht="65.099999999999994" customHeight="1">
      <c r="A209" s="89"/>
      <c r="B209" s="89"/>
      <c r="C209" s="90"/>
      <c r="D209" s="91"/>
      <c r="E209" s="92"/>
      <c r="F209" s="92"/>
      <c r="G209" s="92"/>
      <c r="H209" s="92"/>
      <c r="I209" s="93"/>
      <c r="J209" s="94"/>
      <c r="K209" s="94"/>
      <c r="L209" s="95"/>
      <c r="M209" s="66"/>
      <c r="N209" s="96"/>
      <c r="O209" s="97"/>
      <c r="P209" s="58"/>
      <c r="Q209" s="69"/>
      <c r="R209" s="70"/>
      <c r="S209" s="66"/>
      <c r="T209" s="55"/>
      <c r="U209" s="55"/>
      <c r="V209" s="55"/>
      <c r="W209" s="98"/>
      <c r="X209" s="98"/>
      <c r="Y209" s="98"/>
      <c r="Z209" s="98"/>
      <c r="AA209" s="98"/>
      <c r="AB209" s="98"/>
      <c r="AC209" s="98"/>
      <c r="AD209" s="98"/>
      <c r="AE209" s="98"/>
      <c r="AF209" s="277"/>
      <c r="AG209" s="277"/>
      <c r="AH209" s="277"/>
      <c r="AI209" s="277"/>
      <c r="AJ209" s="92"/>
    </row>
    <row r="210" spans="1:36" s="99" customFormat="1" ht="65.099999999999994" customHeight="1">
      <c r="A210" s="89"/>
      <c r="B210" s="89"/>
      <c r="C210" s="90"/>
      <c r="D210" s="91"/>
      <c r="E210" s="92"/>
      <c r="F210" s="92"/>
      <c r="G210" s="92"/>
      <c r="H210" s="92"/>
      <c r="I210" s="93"/>
      <c r="J210" s="94"/>
      <c r="K210" s="94"/>
      <c r="L210" s="95"/>
      <c r="M210" s="66"/>
      <c r="N210" s="96"/>
      <c r="O210" s="97"/>
      <c r="P210" s="58"/>
      <c r="Q210" s="69"/>
      <c r="R210" s="70"/>
      <c r="S210" s="66"/>
      <c r="T210" s="55"/>
      <c r="U210" s="55"/>
      <c r="V210" s="55"/>
      <c r="W210" s="98"/>
      <c r="X210" s="98"/>
      <c r="Y210" s="98"/>
      <c r="Z210" s="98"/>
      <c r="AA210" s="98"/>
      <c r="AB210" s="98"/>
      <c r="AC210" s="98"/>
      <c r="AD210" s="98"/>
      <c r="AE210" s="98"/>
      <c r="AF210" s="277"/>
      <c r="AG210" s="277"/>
      <c r="AH210" s="277"/>
      <c r="AI210" s="277"/>
      <c r="AJ210" s="92"/>
    </row>
    <row r="211" spans="1:36" s="99" customFormat="1" ht="65.099999999999994" customHeight="1">
      <c r="A211" s="89"/>
      <c r="B211" s="89"/>
      <c r="C211" s="90"/>
      <c r="D211" s="91"/>
      <c r="E211" s="92"/>
      <c r="F211" s="92"/>
      <c r="G211" s="92"/>
      <c r="H211" s="92"/>
      <c r="I211" s="93"/>
      <c r="J211" s="94"/>
      <c r="K211" s="94"/>
      <c r="L211" s="95"/>
      <c r="M211" s="66"/>
      <c r="N211" s="96"/>
      <c r="O211" s="97"/>
      <c r="P211" s="58"/>
      <c r="Q211" s="69"/>
      <c r="R211" s="70"/>
      <c r="S211" s="66"/>
      <c r="T211" s="55"/>
      <c r="U211" s="55"/>
      <c r="V211" s="55"/>
      <c r="W211" s="98"/>
      <c r="X211" s="98"/>
      <c r="Y211" s="98"/>
      <c r="Z211" s="98"/>
      <c r="AA211" s="98"/>
      <c r="AB211" s="98"/>
      <c r="AC211" s="98"/>
      <c r="AD211" s="98"/>
      <c r="AE211" s="98"/>
      <c r="AF211" s="277"/>
      <c r="AG211" s="277"/>
      <c r="AH211" s="277"/>
      <c r="AI211" s="277"/>
      <c r="AJ211" s="92"/>
    </row>
    <row r="212" spans="1:36" s="99" customFormat="1" ht="65.099999999999994" customHeight="1">
      <c r="A212" s="89"/>
      <c r="B212" s="89"/>
      <c r="C212" s="90"/>
      <c r="D212" s="91"/>
      <c r="E212" s="92"/>
      <c r="F212" s="92"/>
      <c r="G212" s="92"/>
      <c r="H212" s="92"/>
      <c r="I212" s="93"/>
      <c r="J212" s="94"/>
      <c r="K212" s="94"/>
      <c r="L212" s="95"/>
      <c r="M212" s="66"/>
      <c r="N212" s="96"/>
      <c r="O212" s="97"/>
      <c r="P212" s="58"/>
      <c r="Q212" s="69"/>
      <c r="R212" s="70"/>
      <c r="S212" s="66"/>
      <c r="T212" s="55"/>
      <c r="U212" s="55"/>
      <c r="V212" s="55"/>
      <c r="W212" s="98"/>
      <c r="X212" s="98"/>
      <c r="Y212" s="98"/>
      <c r="Z212" s="98"/>
      <c r="AA212" s="98"/>
      <c r="AB212" s="98"/>
      <c r="AC212" s="98"/>
      <c r="AD212" s="98"/>
      <c r="AE212" s="98"/>
      <c r="AF212" s="277"/>
      <c r="AG212" s="277"/>
      <c r="AH212" s="277"/>
      <c r="AI212" s="277"/>
      <c r="AJ212" s="92"/>
    </row>
    <row r="213" spans="1:36" s="99" customFormat="1" ht="65.099999999999994" customHeight="1">
      <c r="A213" s="89"/>
      <c r="B213" s="89"/>
      <c r="C213" s="90"/>
      <c r="D213" s="91"/>
      <c r="E213" s="92"/>
      <c r="F213" s="92"/>
      <c r="G213" s="92"/>
      <c r="H213" s="92"/>
      <c r="I213" s="93"/>
      <c r="J213" s="94"/>
      <c r="K213" s="94"/>
      <c r="L213" s="95"/>
      <c r="M213" s="66"/>
      <c r="N213" s="96"/>
      <c r="O213" s="97"/>
      <c r="P213" s="58"/>
      <c r="Q213" s="69"/>
      <c r="R213" s="70"/>
      <c r="S213" s="66"/>
      <c r="T213" s="55"/>
      <c r="U213" s="55"/>
      <c r="V213" s="55"/>
      <c r="W213" s="98"/>
      <c r="X213" s="98"/>
      <c r="Y213" s="98"/>
      <c r="Z213" s="98"/>
      <c r="AA213" s="98"/>
      <c r="AB213" s="98"/>
      <c r="AC213" s="98"/>
      <c r="AD213" s="98"/>
      <c r="AE213" s="98"/>
      <c r="AF213" s="277"/>
      <c r="AG213" s="277"/>
      <c r="AH213" s="277"/>
      <c r="AI213" s="277"/>
      <c r="AJ213" s="92"/>
    </row>
    <row r="214" spans="1:36" s="99" customFormat="1" ht="65.099999999999994" customHeight="1">
      <c r="A214" s="89"/>
      <c r="B214" s="89"/>
      <c r="C214" s="90"/>
      <c r="D214" s="91"/>
      <c r="E214" s="92"/>
      <c r="F214" s="92"/>
      <c r="G214" s="92"/>
      <c r="H214" s="92"/>
      <c r="I214" s="93"/>
      <c r="J214" s="94"/>
      <c r="K214" s="94"/>
      <c r="L214" s="95"/>
      <c r="M214" s="66"/>
      <c r="N214" s="96"/>
      <c r="O214" s="97"/>
      <c r="P214" s="58"/>
      <c r="Q214" s="69"/>
      <c r="R214" s="70"/>
      <c r="S214" s="66"/>
      <c r="T214" s="55"/>
      <c r="U214" s="55"/>
      <c r="V214" s="55"/>
      <c r="W214" s="98"/>
      <c r="X214" s="98"/>
      <c r="Y214" s="98"/>
      <c r="Z214" s="98"/>
      <c r="AA214" s="98"/>
      <c r="AB214" s="98"/>
      <c r="AC214" s="98"/>
      <c r="AD214" s="98"/>
      <c r="AE214" s="98"/>
      <c r="AF214" s="277"/>
      <c r="AG214" s="277"/>
      <c r="AH214" s="277"/>
      <c r="AI214" s="277"/>
      <c r="AJ214" s="92"/>
    </row>
    <row r="215" spans="1:36" s="99" customFormat="1" ht="65.099999999999994" customHeight="1">
      <c r="A215" s="89"/>
      <c r="B215" s="89"/>
      <c r="C215" s="90"/>
      <c r="D215" s="91"/>
      <c r="E215" s="92"/>
      <c r="F215" s="92"/>
      <c r="G215" s="92"/>
      <c r="H215" s="92"/>
      <c r="I215" s="93"/>
      <c r="J215" s="94"/>
      <c r="K215" s="94"/>
      <c r="L215" s="95"/>
      <c r="M215" s="66"/>
      <c r="N215" s="96"/>
      <c r="O215" s="97"/>
      <c r="P215" s="58"/>
      <c r="Q215" s="69"/>
      <c r="R215" s="70"/>
      <c r="S215" s="66"/>
      <c r="T215" s="55"/>
      <c r="U215" s="55"/>
      <c r="V215" s="55"/>
      <c r="W215" s="98"/>
      <c r="X215" s="98"/>
      <c r="Y215" s="98"/>
      <c r="Z215" s="98"/>
      <c r="AA215" s="98"/>
      <c r="AB215" s="98"/>
      <c r="AC215" s="98"/>
      <c r="AD215" s="98"/>
      <c r="AE215" s="98"/>
      <c r="AF215" s="277"/>
      <c r="AG215" s="277"/>
      <c r="AH215" s="277"/>
      <c r="AI215" s="277"/>
      <c r="AJ215" s="92"/>
    </row>
    <row r="216" spans="1:36" s="99" customFormat="1" ht="65.099999999999994" customHeight="1">
      <c r="A216" s="89"/>
      <c r="B216" s="89"/>
      <c r="C216" s="90"/>
      <c r="D216" s="91"/>
      <c r="E216" s="92"/>
      <c r="F216" s="92"/>
      <c r="G216" s="92"/>
      <c r="H216" s="92"/>
      <c r="I216" s="93"/>
      <c r="J216" s="94"/>
      <c r="K216" s="94"/>
      <c r="L216" s="95"/>
      <c r="M216" s="66"/>
      <c r="N216" s="96"/>
      <c r="O216" s="97"/>
      <c r="P216" s="58"/>
      <c r="Q216" s="69"/>
      <c r="R216" s="70"/>
      <c r="S216" s="66"/>
      <c r="T216" s="55"/>
      <c r="U216" s="55"/>
      <c r="V216" s="55"/>
      <c r="W216" s="98"/>
      <c r="X216" s="98"/>
      <c r="Y216" s="98"/>
      <c r="Z216" s="98"/>
      <c r="AA216" s="98"/>
      <c r="AB216" s="98"/>
      <c r="AC216" s="98"/>
      <c r="AD216" s="98"/>
      <c r="AE216" s="98"/>
      <c r="AF216" s="277"/>
      <c r="AG216" s="277"/>
      <c r="AH216" s="277"/>
      <c r="AI216" s="277"/>
      <c r="AJ216" s="92"/>
    </row>
    <row r="217" spans="1:36" s="99" customFormat="1" ht="65.099999999999994" customHeight="1">
      <c r="A217" s="89"/>
      <c r="B217" s="89"/>
      <c r="C217" s="90"/>
      <c r="D217" s="91"/>
      <c r="E217" s="92"/>
      <c r="F217" s="92"/>
      <c r="G217" s="92"/>
      <c r="H217" s="92"/>
      <c r="I217" s="93"/>
      <c r="J217" s="94"/>
      <c r="K217" s="94"/>
      <c r="L217" s="95"/>
      <c r="M217" s="66"/>
      <c r="N217" s="96"/>
      <c r="O217" s="97"/>
      <c r="P217" s="58"/>
      <c r="Q217" s="69"/>
      <c r="R217" s="70"/>
      <c r="S217" s="66"/>
      <c r="T217" s="55"/>
      <c r="U217" s="55"/>
      <c r="V217" s="55"/>
      <c r="W217" s="98"/>
      <c r="X217" s="98"/>
      <c r="Y217" s="98"/>
      <c r="Z217" s="98"/>
      <c r="AA217" s="98"/>
      <c r="AB217" s="98"/>
      <c r="AC217" s="98"/>
      <c r="AD217" s="98"/>
      <c r="AE217" s="98"/>
      <c r="AF217" s="277"/>
      <c r="AG217" s="277"/>
      <c r="AH217" s="277"/>
      <c r="AI217" s="277"/>
      <c r="AJ217" s="92"/>
    </row>
    <row r="218" spans="1:36" s="99" customFormat="1" ht="65.099999999999994" customHeight="1">
      <c r="A218" s="89"/>
      <c r="B218" s="89"/>
      <c r="C218" s="90"/>
      <c r="D218" s="91"/>
      <c r="E218" s="92"/>
      <c r="F218" s="92"/>
      <c r="G218" s="92"/>
      <c r="H218" s="92"/>
      <c r="I218" s="93"/>
      <c r="J218" s="94"/>
      <c r="K218" s="94"/>
      <c r="L218" s="95"/>
      <c r="M218" s="66"/>
      <c r="N218" s="96"/>
      <c r="O218" s="97"/>
      <c r="P218" s="58"/>
      <c r="Q218" s="69"/>
      <c r="R218" s="70"/>
      <c r="S218" s="66"/>
      <c r="T218" s="55"/>
      <c r="U218" s="55"/>
      <c r="V218" s="55"/>
      <c r="W218" s="98"/>
      <c r="X218" s="98"/>
      <c r="Y218" s="98"/>
      <c r="Z218" s="98"/>
      <c r="AA218" s="98"/>
      <c r="AB218" s="98"/>
      <c r="AC218" s="98"/>
      <c r="AD218" s="98"/>
      <c r="AE218" s="98"/>
      <c r="AF218" s="277"/>
      <c r="AG218" s="277"/>
      <c r="AH218" s="277"/>
      <c r="AI218" s="277"/>
      <c r="AJ218" s="92"/>
    </row>
    <row r="219" spans="1:36" s="99" customFormat="1" ht="65.099999999999994" customHeight="1">
      <c r="A219" s="89"/>
      <c r="B219" s="89"/>
      <c r="C219" s="90"/>
      <c r="D219" s="91"/>
      <c r="E219" s="92"/>
      <c r="F219" s="92"/>
      <c r="G219" s="92"/>
      <c r="H219" s="92"/>
      <c r="I219" s="93"/>
      <c r="J219" s="94"/>
      <c r="K219" s="94"/>
      <c r="L219" s="95"/>
      <c r="M219" s="66"/>
      <c r="N219" s="96"/>
      <c r="O219" s="97"/>
      <c r="P219" s="58"/>
      <c r="Q219" s="69"/>
      <c r="R219" s="70"/>
      <c r="S219" s="66"/>
      <c r="T219" s="55"/>
      <c r="U219" s="55"/>
      <c r="V219" s="55"/>
      <c r="W219" s="98"/>
      <c r="X219" s="98"/>
      <c r="Y219" s="98"/>
      <c r="Z219" s="98"/>
      <c r="AA219" s="98"/>
      <c r="AB219" s="98"/>
      <c r="AC219" s="98"/>
      <c r="AD219" s="98"/>
      <c r="AE219" s="98"/>
      <c r="AF219" s="277"/>
      <c r="AG219" s="277"/>
      <c r="AH219" s="277"/>
      <c r="AI219" s="277"/>
      <c r="AJ219" s="92"/>
    </row>
    <row r="220" spans="1:36" s="99" customFormat="1" ht="65.099999999999994" customHeight="1">
      <c r="A220" s="89"/>
      <c r="B220" s="89"/>
      <c r="C220" s="90"/>
      <c r="D220" s="91"/>
      <c r="E220" s="92"/>
      <c r="F220" s="92"/>
      <c r="G220" s="92"/>
      <c r="H220" s="92"/>
      <c r="I220" s="93"/>
      <c r="J220" s="94"/>
      <c r="K220" s="94"/>
      <c r="L220" s="95"/>
      <c r="M220" s="66"/>
      <c r="N220" s="96"/>
      <c r="O220" s="97"/>
      <c r="P220" s="58"/>
      <c r="Q220" s="69"/>
      <c r="R220" s="70"/>
      <c r="S220" s="66"/>
      <c r="T220" s="55"/>
      <c r="U220" s="55"/>
      <c r="V220" s="55"/>
      <c r="W220" s="98"/>
      <c r="X220" s="98"/>
      <c r="Y220" s="98"/>
      <c r="Z220" s="98"/>
      <c r="AA220" s="98"/>
      <c r="AB220" s="98"/>
      <c r="AC220" s="98"/>
      <c r="AD220" s="98"/>
      <c r="AE220" s="98"/>
      <c r="AF220" s="277"/>
      <c r="AG220" s="277"/>
      <c r="AH220" s="277"/>
      <c r="AI220" s="277"/>
      <c r="AJ220" s="92"/>
    </row>
    <row r="221" spans="1:36" s="99" customFormat="1" ht="65.099999999999994" customHeight="1">
      <c r="A221" s="89"/>
      <c r="B221" s="89"/>
      <c r="C221" s="90"/>
      <c r="D221" s="91"/>
      <c r="E221" s="92"/>
      <c r="F221" s="92"/>
      <c r="G221" s="92"/>
      <c r="H221" s="92"/>
      <c r="I221" s="93"/>
      <c r="J221" s="94"/>
      <c r="K221" s="94"/>
      <c r="L221" s="95"/>
      <c r="M221" s="66"/>
      <c r="N221" s="96"/>
      <c r="O221" s="97"/>
      <c r="P221" s="58"/>
      <c r="Q221" s="69"/>
      <c r="R221" s="70"/>
      <c r="S221" s="66"/>
      <c r="T221" s="55"/>
      <c r="U221" s="55"/>
      <c r="V221" s="55"/>
      <c r="W221" s="98"/>
      <c r="X221" s="98"/>
      <c r="Y221" s="98"/>
      <c r="Z221" s="98"/>
      <c r="AA221" s="98"/>
      <c r="AB221" s="98"/>
      <c r="AC221" s="98"/>
      <c r="AD221" s="98"/>
      <c r="AE221" s="98"/>
      <c r="AF221" s="277"/>
      <c r="AG221" s="277"/>
      <c r="AH221" s="277"/>
      <c r="AI221" s="277"/>
      <c r="AJ221" s="92"/>
    </row>
    <row r="222" spans="1:36" s="99" customFormat="1" ht="65.099999999999994" customHeight="1">
      <c r="A222" s="89"/>
      <c r="B222" s="89"/>
      <c r="C222" s="90"/>
      <c r="D222" s="91"/>
      <c r="E222" s="92"/>
      <c r="F222" s="92"/>
      <c r="G222" s="92"/>
      <c r="H222" s="92"/>
      <c r="I222" s="93"/>
      <c r="J222" s="94"/>
      <c r="K222" s="94"/>
      <c r="L222" s="95"/>
      <c r="M222" s="66"/>
      <c r="N222" s="96"/>
      <c r="O222" s="97"/>
      <c r="P222" s="58"/>
      <c r="Q222" s="69"/>
      <c r="R222" s="70"/>
      <c r="S222" s="66"/>
      <c r="T222" s="55"/>
      <c r="U222" s="55"/>
      <c r="V222" s="55"/>
      <c r="W222" s="98"/>
      <c r="X222" s="98"/>
      <c r="Y222" s="98"/>
      <c r="Z222" s="98"/>
      <c r="AA222" s="98"/>
      <c r="AB222" s="98"/>
      <c r="AC222" s="98"/>
      <c r="AD222" s="98"/>
      <c r="AE222" s="98"/>
      <c r="AF222" s="277"/>
      <c r="AG222" s="277"/>
      <c r="AH222" s="277"/>
      <c r="AI222" s="277"/>
      <c r="AJ222" s="92"/>
    </row>
    <row r="223" spans="1:36" s="99" customFormat="1" ht="65.099999999999994" customHeight="1">
      <c r="A223" s="89"/>
      <c r="B223" s="89"/>
      <c r="C223" s="90"/>
      <c r="D223" s="91"/>
      <c r="E223" s="92"/>
      <c r="F223" s="92"/>
      <c r="G223" s="92"/>
      <c r="H223" s="92"/>
      <c r="I223" s="93"/>
      <c r="J223" s="94"/>
      <c r="K223" s="94"/>
      <c r="L223" s="95"/>
      <c r="M223" s="66"/>
      <c r="N223" s="96"/>
      <c r="O223" s="97"/>
      <c r="P223" s="58"/>
      <c r="Q223" s="69"/>
      <c r="R223" s="70"/>
      <c r="S223" s="66"/>
      <c r="T223" s="55"/>
      <c r="U223" s="55"/>
      <c r="V223" s="55"/>
      <c r="W223" s="98"/>
      <c r="X223" s="98"/>
      <c r="Y223" s="98"/>
      <c r="Z223" s="98"/>
      <c r="AA223" s="98"/>
      <c r="AB223" s="98"/>
      <c r="AC223" s="98"/>
      <c r="AD223" s="98"/>
      <c r="AE223" s="98"/>
      <c r="AF223" s="277"/>
      <c r="AG223" s="277"/>
      <c r="AH223" s="277"/>
      <c r="AI223" s="277"/>
      <c r="AJ223" s="92"/>
    </row>
    <row r="224" spans="1:36" s="99" customFormat="1" ht="65.099999999999994" customHeight="1">
      <c r="A224" s="89"/>
      <c r="B224" s="89"/>
      <c r="C224" s="90"/>
      <c r="D224" s="91"/>
      <c r="E224" s="92"/>
      <c r="F224" s="92"/>
      <c r="G224" s="92"/>
      <c r="H224" s="92"/>
      <c r="I224" s="93"/>
      <c r="J224" s="94"/>
      <c r="K224" s="94"/>
      <c r="L224" s="95"/>
      <c r="M224" s="66"/>
      <c r="N224" s="96"/>
      <c r="O224" s="97"/>
      <c r="P224" s="58"/>
      <c r="Q224" s="69"/>
      <c r="R224" s="70"/>
      <c r="S224" s="66"/>
      <c r="T224" s="55"/>
      <c r="U224" s="55"/>
      <c r="V224" s="55"/>
      <c r="W224" s="98"/>
      <c r="X224" s="98"/>
      <c r="Y224" s="98"/>
      <c r="Z224" s="98"/>
      <c r="AA224" s="98"/>
      <c r="AB224" s="98"/>
      <c r="AC224" s="98"/>
      <c r="AD224" s="98"/>
      <c r="AE224" s="98"/>
      <c r="AF224" s="277"/>
      <c r="AG224" s="277"/>
      <c r="AH224" s="277"/>
      <c r="AI224" s="277"/>
      <c r="AJ224" s="92"/>
    </row>
  </sheetData>
  <autoFilter ref="A1:AJ23">
    <filterColumn colId="22" showButton="0"/>
    <filterColumn colId="23" showButton="0"/>
    <filterColumn colId="25" showButton="0"/>
    <filterColumn colId="26" showButton="0"/>
  </autoFilter>
  <mergeCells count="303">
    <mergeCell ref="A75:A80"/>
    <mergeCell ref="W75:Y75"/>
    <mergeCell ref="Z75:AB75"/>
    <mergeCell ref="AC75:AE75"/>
    <mergeCell ref="AG75:AG80"/>
    <mergeCell ref="AH75:AH80"/>
    <mergeCell ref="W76:Y76"/>
    <mergeCell ref="Z76:AB76"/>
    <mergeCell ref="AC76:AE76"/>
    <mergeCell ref="W77:Y77"/>
    <mergeCell ref="W80:Y80"/>
    <mergeCell ref="Z80:AB80"/>
    <mergeCell ref="AC80:AE80"/>
    <mergeCell ref="Z77:AB77"/>
    <mergeCell ref="AC77:AE77"/>
    <mergeCell ref="W78:Y78"/>
    <mergeCell ref="Z78:AB78"/>
    <mergeCell ref="AC78:AE78"/>
    <mergeCell ref="W79:Y79"/>
    <mergeCell ref="Z79:AB79"/>
    <mergeCell ref="AC79:AE79"/>
    <mergeCell ref="AG69:AG74"/>
    <mergeCell ref="AH69:AH74"/>
    <mergeCell ref="W70:Y70"/>
    <mergeCell ref="Z70:AB70"/>
    <mergeCell ref="AC70:AE70"/>
    <mergeCell ref="W71:Y71"/>
    <mergeCell ref="Z71:AB71"/>
    <mergeCell ref="AC71:AE71"/>
    <mergeCell ref="W72:Y72"/>
    <mergeCell ref="Z72:AB72"/>
    <mergeCell ref="A69:A74"/>
    <mergeCell ref="W69:Y69"/>
    <mergeCell ref="Z69:AB69"/>
    <mergeCell ref="AC69:AE69"/>
    <mergeCell ref="AC72:AE72"/>
    <mergeCell ref="W73:Y73"/>
    <mergeCell ref="Z73:AB73"/>
    <mergeCell ref="AC73:AE73"/>
    <mergeCell ref="W74:Y74"/>
    <mergeCell ref="Z74:AB74"/>
    <mergeCell ref="AC74:AE74"/>
    <mergeCell ref="A63:A68"/>
    <mergeCell ref="W63:Y63"/>
    <mergeCell ref="Z63:AB63"/>
    <mergeCell ref="AC63:AE63"/>
    <mergeCell ref="AC66:AE66"/>
    <mergeCell ref="W67:Y67"/>
    <mergeCell ref="AG63:AG68"/>
    <mergeCell ref="AH63:AH68"/>
    <mergeCell ref="W64:Y64"/>
    <mergeCell ref="Z64:AB64"/>
    <mergeCell ref="AC64:AE64"/>
    <mergeCell ref="W65:Y65"/>
    <mergeCell ref="Z65:AB65"/>
    <mergeCell ref="AC65:AE65"/>
    <mergeCell ref="W66:Y66"/>
    <mergeCell ref="Z66:AB66"/>
    <mergeCell ref="Z67:AB67"/>
    <mergeCell ref="AC67:AE67"/>
    <mergeCell ref="W68:Y68"/>
    <mergeCell ref="Z68:AB68"/>
    <mergeCell ref="AC68:AE68"/>
    <mergeCell ref="AG57:AG62"/>
    <mergeCell ref="AH57:AH62"/>
    <mergeCell ref="W58:Y58"/>
    <mergeCell ref="Z58:AB58"/>
    <mergeCell ref="AC58:AE58"/>
    <mergeCell ref="W59:Y59"/>
    <mergeCell ref="Z59:AB59"/>
    <mergeCell ref="AC59:AE59"/>
    <mergeCell ref="W60:Y60"/>
    <mergeCell ref="Z60:AB60"/>
    <mergeCell ref="AC61:AE61"/>
    <mergeCell ref="W62:Y62"/>
    <mergeCell ref="Z62:AB62"/>
    <mergeCell ref="AC62:AE62"/>
    <mergeCell ref="A51:A56"/>
    <mergeCell ref="W51:Y51"/>
    <mergeCell ref="Z51:AB51"/>
    <mergeCell ref="AC51:AE51"/>
    <mergeCell ref="W56:Y56"/>
    <mergeCell ref="Z56:AB56"/>
    <mergeCell ref="AC56:AE56"/>
    <mergeCell ref="A57:A62"/>
    <mergeCell ref="W57:Y57"/>
    <mergeCell ref="Z57:AB57"/>
    <mergeCell ref="AC57:AE57"/>
    <mergeCell ref="AC60:AE60"/>
    <mergeCell ref="W61:Y61"/>
    <mergeCell ref="Z61:AB61"/>
    <mergeCell ref="AC47:AE47"/>
    <mergeCell ref="W48:Y48"/>
    <mergeCell ref="Z48:AB48"/>
    <mergeCell ref="Z53:AB53"/>
    <mergeCell ref="AC53:AE53"/>
    <mergeCell ref="W54:Y54"/>
    <mergeCell ref="Z54:AB54"/>
    <mergeCell ref="AC54:AE54"/>
    <mergeCell ref="W55:Y55"/>
    <mergeCell ref="Z55:AB55"/>
    <mergeCell ref="AC55:AE55"/>
    <mergeCell ref="A45:A50"/>
    <mergeCell ref="W45:Y45"/>
    <mergeCell ref="Z45:AB45"/>
    <mergeCell ref="AC45:AE45"/>
    <mergeCell ref="AC48:AE48"/>
    <mergeCell ref="AG51:AG56"/>
    <mergeCell ref="AH51:AH56"/>
    <mergeCell ref="W52:Y52"/>
    <mergeCell ref="Z52:AB52"/>
    <mergeCell ref="AC52:AE52"/>
    <mergeCell ref="W53:Y53"/>
    <mergeCell ref="W49:Y49"/>
    <mergeCell ref="Z49:AB49"/>
    <mergeCell ref="AC49:AE49"/>
    <mergeCell ref="W50:Y50"/>
    <mergeCell ref="Z50:AB50"/>
    <mergeCell ref="AC50:AE50"/>
    <mergeCell ref="AG45:AG50"/>
    <mergeCell ref="AH45:AH50"/>
    <mergeCell ref="W46:Y46"/>
    <mergeCell ref="Z46:AB46"/>
    <mergeCell ref="AC46:AE46"/>
    <mergeCell ref="W47:Y47"/>
    <mergeCell ref="Z47:AB47"/>
    <mergeCell ref="A39:A44"/>
    <mergeCell ref="W39:Y39"/>
    <mergeCell ref="Z39:AB39"/>
    <mergeCell ref="AC39:AE39"/>
    <mergeCell ref="AC42:AE42"/>
    <mergeCell ref="W43:Y43"/>
    <mergeCell ref="AG39:AG44"/>
    <mergeCell ref="AH39:AH44"/>
    <mergeCell ref="W40:Y40"/>
    <mergeCell ref="Z40:AB40"/>
    <mergeCell ref="AC40:AE40"/>
    <mergeCell ref="W41:Y41"/>
    <mergeCell ref="Z41:AB41"/>
    <mergeCell ref="AC41:AE41"/>
    <mergeCell ref="W42:Y42"/>
    <mergeCell ref="Z42:AB42"/>
    <mergeCell ref="Z43:AB43"/>
    <mergeCell ref="AC43:AE43"/>
    <mergeCell ref="W44:Y44"/>
    <mergeCell ref="Z44:AB44"/>
    <mergeCell ref="AC44:AE44"/>
    <mergeCell ref="AG33:AG38"/>
    <mergeCell ref="AH33:AH38"/>
    <mergeCell ref="W34:Y34"/>
    <mergeCell ref="Z34:AB34"/>
    <mergeCell ref="AC34:AE34"/>
    <mergeCell ref="W35:Y35"/>
    <mergeCell ref="Z35:AB35"/>
    <mergeCell ref="AC35:AE35"/>
    <mergeCell ref="W36:Y36"/>
    <mergeCell ref="Z36:AB36"/>
    <mergeCell ref="AC37:AE37"/>
    <mergeCell ref="W38:Y38"/>
    <mergeCell ref="Z38:AB38"/>
    <mergeCell ref="AC38:AE38"/>
    <mergeCell ref="A27:A32"/>
    <mergeCell ref="W27:Y27"/>
    <mergeCell ref="Z27:AB27"/>
    <mergeCell ref="AC27:AE27"/>
    <mergeCell ref="W32:Y32"/>
    <mergeCell ref="Z32:AB32"/>
    <mergeCell ref="AC32:AE32"/>
    <mergeCell ref="A33:A38"/>
    <mergeCell ref="W33:Y33"/>
    <mergeCell ref="Z33:AB33"/>
    <mergeCell ref="AC33:AE33"/>
    <mergeCell ref="AC36:AE36"/>
    <mergeCell ref="W37:Y37"/>
    <mergeCell ref="Z37:AB37"/>
    <mergeCell ref="AC23:AE23"/>
    <mergeCell ref="W24:Y24"/>
    <mergeCell ref="Z24:AB24"/>
    <mergeCell ref="Z29:AB29"/>
    <mergeCell ref="AC29:AE29"/>
    <mergeCell ref="W30:Y30"/>
    <mergeCell ref="Z30:AB30"/>
    <mergeCell ref="AC30:AE30"/>
    <mergeCell ref="W31:Y31"/>
    <mergeCell ref="Z31:AB31"/>
    <mergeCell ref="AC31:AE31"/>
    <mergeCell ref="A21:A26"/>
    <mergeCell ref="W21:Y21"/>
    <mergeCell ref="Z21:AB21"/>
    <mergeCell ref="AC21:AE21"/>
    <mergeCell ref="AC24:AE24"/>
    <mergeCell ref="AG27:AG32"/>
    <mergeCell ref="AH27:AH32"/>
    <mergeCell ref="W28:Y28"/>
    <mergeCell ref="Z28:AB28"/>
    <mergeCell ref="AC28:AE28"/>
    <mergeCell ref="W29:Y29"/>
    <mergeCell ref="W25:Y25"/>
    <mergeCell ref="Z25:AB25"/>
    <mergeCell ref="AC25:AE25"/>
    <mergeCell ref="W26:Y26"/>
    <mergeCell ref="Z26:AB26"/>
    <mergeCell ref="AC26:AE26"/>
    <mergeCell ref="AG21:AG26"/>
    <mergeCell ref="AH21:AH26"/>
    <mergeCell ref="W22:Y22"/>
    <mergeCell ref="Z22:AB22"/>
    <mergeCell ref="AC22:AE22"/>
    <mergeCell ref="W23:Y23"/>
    <mergeCell ref="Z23:AB23"/>
    <mergeCell ref="A15:A20"/>
    <mergeCell ref="W15:Y15"/>
    <mergeCell ref="Z15:AB15"/>
    <mergeCell ref="AC15:AE15"/>
    <mergeCell ref="AC18:AE18"/>
    <mergeCell ref="W19:Y19"/>
    <mergeCell ref="AG15:AG20"/>
    <mergeCell ref="AH15:AH20"/>
    <mergeCell ref="W16:Y16"/>
    <mergeCell ref="Z16:AB16"/>
    <mergeCell ref="AC16:AE16"/>
    <mergeCell ref="W17:Y17"/>
    <mergeCell ref="Z17:AB17"/>
    <mergeCell ref="AC17:AE17"/>
    <mergeCell ref="W18:Y18"/>
    <mergeCell ref="Z18:AB18"/>
    <mergeCell ref="Z19:AB19"/>
    <mergeCell ref="AC19:AE19"/>
    <mergeCell ref="W20:Y20"/>
    <mergeCell ref="Z20:AB20"/>
    <mergeCell ref="AC20:AE20"/>
    <mergeCell ref="AG9:AG14"/>
    <mergeCell ref="AH9:AH14"/>
    <mergeCell ref="W10:Y10"/>
    <mergeCell ref="Z10:AB10"/>
    <mergeCell ref="AC10:AE10"/>
    <mergeCell ref="W11:Y11"/>
    <mergeCell ref="Z11:AB11"/>
    <mergeCell ref="AC11:AE11"/>
    <mergeCell ref="W12:Y12"/>
    <mergeCell ref="Z12:AB12"/>
    <mergeCell ref="AC13:AE13"/>
    <mergeCell ref="W14:Y14"/>
    <mergeCell ref="Z14:AB14"/>
    <mergeCell ref="AC14:AE14"/>
    <mergeCell ref="A3:A8"/>
    <mergeCell ref="W3:Y3"/>
    <mergeCell ref="Z3:AB3"/>
    <mergeCell ref="AC3:AE3"/>
    <mergeCell ref="W8:Y8"/>
    <mergeCell ref="Z8:AB8"/>
    <mergeCell ref="AC8:AE8"/>
    <mergeCell ref="A9:A14"/>
    <mergeCell ref="W9:Y9"/>
    <mergeCell ref="Z9:AB9"/>
    <mergeCell ref="AC9:AE9"/>
    <mergeCell ref="AC12:AE12"/>
    <mergeCell ref="W13:Y13"/>
    <mergeCell ref="Z13:AB13"/>
    <mergeCell ref="AG3:AG8"/>
    <mergeCell ref="AH3:AH8"/>
    <mergeCell ref="W4:Y4"/>
    <mergeCell ref="Z4:AB4"/>
    <mergeCell ref="AC4:AE4"/>
    <mergeCell ref="W5:Y5"/>
    <mergeCell ref="AC1:AE1"/>
    <mergeCell ref="AF1:AF2"/>
    <mergeCell ref="AG1:AG2"/>
    <mergeCell ref="AH1:AH2"/>
    <mergeCell ref="Z5:AB5"/>
    <mergeCell ref="AC5:AE5"/>
    <mergeCell ref="W6:Y6"/>
    <mergeCell ref="Z6:AB6"/>
    <mergeCell ref="AC6:AE6"/>
    <mergeCell ref="W7:Y7"/>
    <mergeCell ref="Z7:AB7"/>
    <mergeCell ref="AC7:AE7"/>
    <mergeCell ref="AI1:AI2"/>
    <mergeCell ref="AJ1:AJ2"/>
    <mergeCell ref="S1:S2"/>
    <mergeCell ref="T1:T2"/>
    <mergeCell ref="U1:U2"/>
    <mergeCell ref="V1:V2"/>
    <mergeCell ref="W1:Y1"/>
    <mergeCell ref="Z1:AB1"/>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conditionalFormatting sqref="G3:G80">
    <cfRule type="containsText" dxfId="16" priority="3" operator="containsText" text="NO">
      <formula>NOT(ISERROR(SEARCH("NO",G3)))</formula>
    </cfRule>
  </conditionalFormatting>
  <conditionalFormatting sqref="H3:H80">
    <cfRule type="containsText" dxfId="15" priority="2" operator="containsText" text="NO">
      <formula>NOT(ISERROR(SEARCH("NO",H3)))</formula>
    </cfRule>
  </conditionalFormatting>
  <conditionalFormatting sqref="AF3:AH3 AF4:AF80 AG9:AH9 AG15:AH15 AG21:AH21 AG27:AH27 AG33:AH33 AG39:AH39 AG45:AH45 AG51:AH51 AG57:AH57 AG63:AH63 AG69:AH69 AG75:AH75">
    <cfRule type="containsText" dxfId="14" priority="1" operator="containsText" text="NO">
      <formula>NOT(ISERROR(SEARCH("NO",AF3)))</formula>
    </cfRule>
  </conditionalFormatting>
  <dataValidations count="1">
    <dataValidation type="list" allowBlank="1" showInputMessage="1" showErrorMessage="1" sqref="G3:H80 Z3:AF80 W3:Y8">
      <formula1>$AL$1:$AM$1</formula1>
    </dataValidation>
  </dataValidations>
  <pageMargins left="0.75" right="0.75" top="1" bottom="1" header="0.5" footer="0.5"/>
  <pageSetup orientation="portrait" horizontalDpi="4294967292" verticalDpi="4294967292"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198"/>
  <sheetViews>
    <sheetView zoomScale="40" zoomScaleNormal="40" zoomScalePageLayoutView="75" workbookViewId="0">
      <pane xSplit="1" ySplit="2" topLeftCell="B15" activePane="bottomRight" state="frozen"/>
      <selection activeCell="F6" sqref="F6"/>
      <selection pane="topRight" activeCell="F6" sqref="F6"/>
      <selection pane="bottomLeft" activeCell="F6" sqref="F6"/>
      <selection pane="bottomRight" activeCell="D6" sqref="D6"/>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54.125" style="101" customWidth="1"/>
    <col min="7" max="7" width="18.5" style="101" customWidth="1"/>
    <col min="8" max="8" width="23.875" style="101" customWidth="1"/>
    <col min="9" max="10" width="18.875" style="101" customWidth="1"/>
    <col min="11" max="11" width="13.625" style="102" customWidth="1"/>
    <col min="12" max="12" width="10.625"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customWidth="1"/>
    <col min="19" max="19" width="12.5" style="68" customWidth="1"/>
    <col min="20" max="20" width="9.625" style="68" customWidth="1"/>
    <col min="21" max="22" width="15.5" style="68" customWidth="1"/>
    <col min="23" max="23" width="18.375" style="81" customWidth="1"/>
    <col min="24" max="24" width="19.5" style="58" customWidth="1"/>
    <col min="25" max="25" width="59.125" style="92" customWidth="1"/>
    <col min="26" max="28" width="10.875" style="108"/>
    <col min="29" max="30" width="15.125" style="108" bestFit="1" customWidth="1"/>
    <col min="31" max="16384" width="10.875" style="108"/>
  </cols>
  <sheetData>
    <row r="1" spans="1:28" s="56" customFormat="1" ht="15" customHeight="1">
      <c r="A1" s="776" t="s">
        <v>6</v>
      </c>
      <c r="B1" s="776" t="s">
        <v>5</v>
      </c>
      <c r="C1" s="776" t="s">
        <v>174</v>
      </c>
      <c r="D1" s="776" t="s">
        <v>12</v>
      </c>
      <c r="E1" s="776" t="s">
        <v>13</v>
      </c>
      <c r="F1" s="776" t="s">
        <v>14</v>
      </c>
      <c r="G1" s="780" t="s">
        <v>186</v>
      </c>
      <c r="H1" s="780" t="s">
        <v>483</v>
      </c>
      <c r="I1" s="781" t="s">
        <v>187</v>
      </c>
      <c r="J1" s="781" t="s">
        <v>24</v>
      </c>
      <c r="K1" s="782" t="s">
        <v>63</v>
      </c>
      <c r="L1" s="784" t="s">
        <v>15</v>
      </c>
      <c r="M1" s="784" t="s">
        <v>16</v>
      </c>
      <c r="N1" s="812" t="s">
        <v>69</v>
      </c>
      <c r="O1" s="810" t="s">
        <v>68</v>
      </c>
      <c r="P1" s="776" t="s">
        <v>17</v>
      </c>
      <c r="Q1" s="776" t="s">
        <v>18</v>
      </c>
      <c r="R1" s="780" t="s">
        <v>19</v>
      </c>
      <c r="S1" s="780" t="s">
        <v>20</v>
      </c>
      <c r="T1" s="780" t="s">
        <v>21</v>
      </c>
      <c r="U1" s="780" t="s">
        <v>22</v>
      </c>
      <c r="V1" s="776" t="s">
        <v>23</v>
      </c>
      <c r="W1" s="780" t="s">
        <v>70</v>
      </c>
      <c r="X1" s="852" t="s">
        <v>486</v>
      </c>
      <c r="Y1" s="791" t="s">
        <v>3</v>
      </c>
      <c r="AA1" s="57" t="s">
        <v>10</v>
      </c>
      <c r="AB1" s="57" t="s">
        <v>11</v>
      </c>
    </row>
    <row r="2" spans="1:28" s="56" customFormat="1" ht="118.5" customHeight="1" thickBot="1">
      <c r="A2" s="777"/>
      <c r="B2" s="777"/>
      <c r="C2" s="777"/>
      <c r="D2" s="777"/>
      <c r="E2" s="777"/>
      <c r="F2" s="777"/>
      <c r="G2" s="781"/>
      <c r="H2" s="781"/>
      <c r="I2" s="833"/>
      <c r="J2" s="833"/>
      <c r="K2" s="783"/>
      <c r="L2" s="785"/>
      <c r="M2" s="785"/>
      <c r="N2" s="813"/>
      <c r="O2" s="811"/>
      <c r="P2" s="777"/>
      <c r="Q2" s="777"/>
      <c r="R2" s="781"/>
      <c r="S2" s="781"/>
      <c r="T2" s="781"/>
      <c r="U2" s="781"/>
      <c r="V2" s="777"/>
      <c r="W2" s="781"/>
      <c r="X2" s="853"/>
      <c r="Y2" s="792"/>
    </row>
    <row r="3" spans="1:28" s="72" customFormat="1" ht="99.75">
      <c r="A3" s="795" t="s">
        <v>330</v>
      </c>
      <c r="B3" s="123" t="s">
        <v>172</v>
      </c>
      <c r="C3" s="124">
        <v>5</v>
      </c>
      <c r="D3" s="125" t="str">
        <f>+IFERROR(INDEX([1]CONSOLIDADO!$D$4:$D$91,MATCH('EXP ESPEC. 41'!B3,[1]CONSOLIDADO!$C$4:$C$91,0)),"")</f>
        <v>SESAC SA</v>
      </c>
      <c r="E3" s="283" t="s">
        <v>397</v>
      </c>
      <c r="F3" s="284" t="s">
        <v>731</v>
      </c>
      <c r="G3" s="279" t="s">
        <v>10</v>
      </c>
      <c r="H3" s="279" t="s">
        <v>10</v>
      </c>
      <c r="I3" s="279" t="s">
        <v>10</v>
      </c>
      <c r="J3" s="279" t="s">
        <v>11</v>
      </c>
      <c r="K3" s="128">
        <v>1</v>
      </c>
      <c r="L3" s="671">
        <v>38937</v>
      </c>
      <c r="M3" s="671">
        <v>40305</v>
      </c>
      <c r="N3" s="130">
        <f>IF(M3="","",YEAR(M3))</f>
        <v>2010</v>
      </c>
      <c r="O3" s="131">
        <f>+IFERROR(INDEX([1]PARÁMETROS!$B$11:$B$37,MATCH(N3,[1]PARÁMETROS!$A$11:$A$37,0)),"")</f>
        <v>515000</v>
      </c>
      <c r="P3" s="131">
        <v>2538434857</v>
      </c>
      <c r="Q3" s="133" t="s">
        <v>25</v>
      </c>
      <c r="R3" s="123" t="s">
        <v>61</v>
      </c>
      <c r="S3" s="134" t="s">
        <v>61</v>
      </c>
      <c r="T3" s="135">
        <v>1</v>
      </c>
      <c r="U3" s="131">
        <f>IF(T3&lt;&gt;"",P3*T3,"")</f>
        <v>2538434857</v>
      </c>
      <c r="V3" s="136">
        <f>+IFERROR(U3/O3,"")</f>
        <v>4928.999722330097</v>
      </c>
      <c r="W3" s="136">
        <f>IFERROR(V3*K3,"")</f>
        <v>4928.999722330097</v>
      </c>
      <c r="X3" s="168" t="str">
        <f>+IF(W3="","",IF(W3&gt;=[1]PARÁMETROS!$J$5,"CUMPLE","NO CUMPLE"))</f>
        <v>CUMPLE</v>
      </c>
      <c r="Y3" s="138"/>
      <c r="Z3" s="109"/>
    </row>
    <row r="4" spans="1:28" s="72" customFormat="1" ht="72.75" customHeight="1">
      <c r="A4" s="796"/>
      <c r="B4" s="58" t="s">
        <v>170</v>
      </c>
      <c r="C4" s="59">
        <v>18</v>
      </c>
      <c r="D4" s="60" t="str">
        <f>+IFERROR(INDEX([1]CONSOLIDADO!$D$4:$D$91,MATCH('EXP ESPEC. 41'!B4,[1]CONSOLIDADO!$C$4:$C$91,0)),"")</f>
        <v>LA VIABILIDAD LTDA</v>
      </c>
      <c r="E4" s="61" t="s">
        <v>371</v>
      </c>
      <c r="F4" s="62" t="s">
        <v>729</v>
      </c>
      <c r="G4" s="277" t="s">
        <v>10</v>
      </c>
      <c r="H4" s="277" t="s">
        <v>11</v>
      </c>
      <c r="I4" s="277" t="s">
        <v>10</v>
      </c>
      <c r="J4" s="277" t="s">
        <v>11</v>
      </c>
      <c r="K4" s="63">
        <v>1</v>
      </c>
      <c r="L4" s="64">
        <v>38331</v>
      </c>
      <c r="M4" s="64">
        <v>40329</v>
      </c>
      <c r="N4" s="65">
        <f t="shared" ref="N4:N54" si="0">IF(M4="","",YEAR(M4))</f>
        <v>2010</v>
      </c>
      <c r="O4" s="66">
        <f>+IFERROR(INDEX([1]PARÁMETROS!$B$11:$B$37,MATCH(N4,[1]PARÁMETROS!$A$11:$A$37,0)),"")</f>
        <v>515000</v>
      </c>
      <c r="P4" s="66">
        <v>4862658335</v>
      </c>
      <c r="Q4" s="66" t="s">
        <v>25</v>
      </c>
      <c r="R4" s="58" t="s">
        <v>61</v>
      </c>
      <c r="S4" s="69" t="s">
        <v>61</v>
      </c>
      <c r="T4" s="70">
        <v>1</v>
      </c>
      <c r="U4" s="66">
        <f>IF(T4&lt;&gt;"",P4*T4,"")</f>
        <v>4862658335</v>
      </c>
      <c r="V4" s="55">
        <f t="shared" ref="V4:V54" si="1">+IFERROR(U4/O4,"")</f>
        <v>9442.0550194174757</v>
      </c>
      <c r="W4" s="55">
        <f t="shared" ref="W4:W54" si="2">IFERROR(V4*K4,"")</f>
        <v>9442.0550194174757</v>
      </c>
      <c r="X4" s="277" t="str">
        <f>+IF(W4="","",IF(W4&gt;=[1]PARÁMETROS!$J$5,"CUMPLE","NO CUMPLE"))</f>
        <v>CUMPLE</v>
      </c>
      <c r="Y4" s="139"/>
      <c r="Z4" s="109"/>
    </row>
    <row r="5" spans="1:28" s="72" customFormat="1" ht="65.099999999999994" customHeight="1">
      <c r="A5" s="796"/>
      <c r="B5" s="58" t="s">
        <v>170</v>
      </c>
      <c r="C5" s="59">
        <v>28</v>
      </c>
      <c r="D5" s="60" t="str">
        <f>+IFERROR(INDEX([1]CONSOLIDADO!$D$4:$D$91,MATCH('EXP ESPEC. 41'!B5,[1]CONSOLIDADO!$C$4:$C$91,0)),"")</f>
        <v>LA VIABILIDAD LTDA</v>
      </c>
      <c r="E5" s="61" t="s">
        <v>371</v>
      </c>
      <c r="F5" s="61" t="s">
        <v>730</v>
      </c>
      <c r="G5" s="277" t="s">
        <v>10</v>
      </c>
      <c r="H5" s="277" t="s">
        <v>11</v>
      </c>
      <c r="I5" s="277" t="s">
        <v>10</v>
      </c>
      <c r="J5" s="277" t="s">
        <v>11</v>
      </c>
      <c r="K5" s="63">
        <v>1</v>
      </c>
      <c r="L5" s="64">
        <v>37271</v>
      </c>
      <c r="M5" s="64">
        <v>38292</v>
      </c>
      <c r="N5" s="65">
        <f t="shared" si="0"/>
        <v>2004</v>
      </c>
      <c r="O5" s="66">
        <f>+IFERROR(INDEX([1]PARÁMETROS!$B$11:$B$37,MATCH(N5,[1]PARÁMETROS!$A$11:$A$37,0)),"")</f>
        <v>358000</v>
      </c>
      <c r="P5" s="66">
        <v>2019668213</v>
      </c>
      <c r="Q5" s="68" t="s">
        <v>25</v>
      </c>
      <c r="R5" s="58" t="s">
        <v>61</v>
      </c>
      <c r="S5" s="69" t="s">
        <v>61</v>
      </c>
      <c r="T5" s="70">
        <v>1</v>
      </c>
      <c r="U5" s="66">
        <f t="shared" ref="U5:U54" si="3">IF(T5&lt;&gt;"",P5*T5,"")</f>
        <v>2019668213</v>
      </c>
      <c r="V5" s="55">
        <f>+IFERROR(U5/O5,"")</f>
        <v>5641.5313212290503</v>
      </c>
      <c r="W5" s="55">
        <f>IFERROR(V5*K5,"")</f>
        <v>5641.5313212290503</v>
      </c>
      <c r="X5" s="277" t="str">
        <f>+IF(W5="","",IF(W5&gt;=[1]PARÁMETROS!$J$5,"CUMPLE","NO CUMPLE"))</f>
        <v>CUMPLE</v>
      </c>
      <c r="Y5" s="140"/>
      <c r="Z5" s="109"/>
    </row>
    <row r="6" spans="1:28" s="72" customFormat="1" ht="65.099999999999994" customHeight="1" thickBot="1">
      <c r="A6" s="806"/>
      <c r="B6" s="141" t="s">
        <v>334</v>
      </c>
      <c r="C6" s="169">
        <v>50</v>
      </c>
      <c r="D6" s="143" t="str">
        <f>+IFERROR(INDEX([1]CONSOLIDADO!$D$4:$D$91,MATCH('EXP ESPEC. 41'!B6,[1]CONSOLIDADO!$C$4:$C$91,0)),"")</f>
        <v>SILVIA CARREÑO Y ASOCIADOS SAS</v>
      </c>
      <c r="E6" s="144" t="s">
        <v>371</v>
      </c>
      <c r="F6" s="145" t="s">
        <v>732</v>
      </c>
      <c r="G6" s="278" t="s">
        <v>10</v>
      </c>
      <c r="H6" s="278" t="s">
        <v>11</v>
      </c>
      <c r="I6" s="278" t="s">
        <v>10</v>
      </c>
      <c r="J6" s="278" t="s">
        <v>11</v>
      </c>
      <c r="K6" s="146">
        <v>1</v>
      </c>
      <c r="L6" s="147">
        <v>36992</v>
      </c>
      <c r="M6" s="147">
        <v>37636</v>
      </c>
      <c r="N6" s="148">
        <f t="shared" si="0"/>
        <v>2003</v>
      </c>
      <c r="O6" s="149">
        <f>+IFERROR(INDEX([1]PARÁMETROS!$B$11:$B$37,MATCH(N6,[1]PARÁMETROS!$A$11:$A$37,0)),"")</f>
        <v>332000</v>
      </c>
      <c r="P6" s="149">
        <v>1135751411</v>
      </c>
      <c r="Q6" s="151" t="s">
        <v>25</v>
      </c>
      <c r="R6" s="141" t="s">
        <v>61</v>
      </c>
      <c r="S6" s="152" t="s">
        <v>61</v>
      </c>
      <c r="T6" s="153">
        <v>1</v>
      </c>
      <c r="U6" s="149">
        <f>IF(T6&lt;&gt;"",P6*T6,"")</f>
        <v>1135751411</v>
      </c>
      <c r="V6" s="154">
        <f>+IFERROR(U6/O6,"")</f>
        <v>3420.9379849397592</v>
      </c>
      <c r="W6" s="154">
        <f>IFERROR(V6*K6,"")</f>
        <v>3420.9379849397592</v>
      </c>
      <c r="X6" s="379" t="str">
        <f>+IF(W6="","",IF(W6&gt;=[1]PARÁMETROS!$J$5,"CUMPLE","NO CUMPLE"))</f>
        <v>CUMPLE</v>
      </c>
      <c r="Y6" s="170"/>
      <c r="Z6" s="109"/>
    </row>
    <row r="7" spans="1:28" s="72" customFormat="1" ht="30" customHeight="1">
      <c r="A7" s="808"/>
      <c r="B7" s="110"/>
      <c r="C7" s="111"/>
      <c r="D7" s="112" t="str">
        <f>+IFERROR(INDEX([1]CONSOLIDADO!$D$4:$D$91,MATCH('EXP ESPEC. 41'!B7,[1]CONSOLIDADO!$C$4:$C$91,0)),"")</f>
        <v/>
      </c>
      <c r="E7" s="113"/>
      <c r="F7" s="114"/>
      <c r="G7" s="280"/>
      <c r="H7" s="280"/>
      <c r="I7" s="280"/>
      <c r="J7" s="280"/>
      <c r="K7" s="115"/>
      <c r="L7" s="116"/>
      <c r="M7" s="116"/>
      <c r="N7" s="160" t="str">
        <f t="shared" si="0"/>
        <v/>
      </c>
      <c r="O7" s="117" t="str">
        <f>+IFERROR(INDEX([1]PARÁMETROS!$B$11:$B$37,MATCH(N7,[1]PARÁMETROS!$A$11:$A$37,0)),"")</f>
        <v/>
      </c>
      <c r="P7" s="118"/>
      <c r="Q7" s="119"/>
      <c r="R7" s="110"/>
      <c r="S7" s="120"/>
      <c r="T7" s="121"/>
      <c r="U7" s="117" t="str">
        <f t="shared" si="3"/>
        <v/>
      </c>
      <c r="V7" s="122" t="str">
        <f t="shared" si="1"/>
        <v/>
      </c>
      <c r="W7" s="122" t="str">
        <f t="shared" si="2"/>
        <v/>
      </c>
      <c r="X7" s="314"/>
      <c r="Y7" s="167"/>
      <c r="Z7" s="109"/>
    </row>
    <row r="8" spans="1:28" s="72" customFormat="1" ht="30" customHeight="1">
      <c r="A8" s="796"/>
      <c r="B8" s="58"/>
      <c r="C8" s="75"/>
      <c r="D8" s="60" t="str">
        <f>+IFERROR(INDEX([1]CONSOLIDADO!$D$4:$D$91,MATCH('EXP ESPEC. 41'!B8,[1]CONSOLIDADO!$C$4:$C$91,0)),"")</f>
        <v/>
      </c>
      <c r="E8" s="61"/>
      <c r="F8" s="62"/>
      <c r="G8" s="277"/>
      <c r="H8" s="277"/>
      <c r="I8" s="277"/>
      <c r="J8" s="277"/>
      <c r="K8" s="63"/>
      <c r="L8" s="64"/>
      <c r="M8" s="64"/>
      <c r="N8" s="65" t="str">
        <f t="shared" si="0"/>
        <v/>
      </c>
      <c r="O8" s="66" t="str">
        <f>+IFERROR(INDEX([1]PARÁMETROS!$B$11:$B$37,MATCH(N8,[1]PARÁMETROS!$A$11:$A$37,0)),"")</f>
        <v/>
      </c>
      <c r="P8" s="67"/>
      <c r="Q8" s="68"/>
      <c r="R8" s="58"/>
      <c r="S8" s="69"/>
      <c r="T8" s="70"/>
      <c r="U8" s="66" t="str">
        <f t="shared" si="3"/>
        <v/>
      </c>
      <c r="V8" s="55" t="str">
        <f t="shared" si="1"/>
        <v/>
      </c>
      <c r="W8" s="55" t="str">
        <f t="shared" si="2"/>
        <v/>
      </c>
      <c r="X8" s="277" t="str">
        <f>+IF(W8="","",IF(W8&gt;=[1]PARÁMETROS!$D$5,"CUMPLE","NO CUMPLE"))</f>
        <v/>
      </c>
      <c r="Y8" s="139"/>
      <c r="Z8" s="109"/>
    </row>
    <row r="9" spans="1:28" s="72" customFormat="1" ht="30" customHeight="1">
      <c r="A9" s="796"/>
      <c r="B9" s="58"/>
      <c r="C9" s="75"/>
      <c r="D9" s="60" t="str">
        <f>+IFERROR(INDEX([1]CONSOLIDADO!$D$4:$D$91,MATCH('EXP ESPEC. 41'!B9,[1]CONSOLIDADO!$C$4:$C$91,0)),"")</f>
        <v/>
      </c>
      <c r="E9" s="61"/>
      <c r="F9" s="62"/>
      <c r="G9" s="277"/>
      <c r="H9" s="277"/>
      <c r="I9" s="277"/>
      <c r="J9" s="277"/>
      <c r="K9" s="63"/>
      <c r="L9" s="64"/>
      <c r="M9" s="64"/>
      <c r="N9" s="65" t="str">
        <f t="shared" si="0"/>
        <v/>
      </c>
      <c r="O9" s="66" t="str">
        <f>+IFERROR(INDEX([1]PARÁMETROS!$B$11:$B$37,MATCH(N9,[1]PARÁMETROS!$A$11:$A$37,0)),"")</f>
        <v/>
      </c>
      <c r="P9" s="67"/>
      <c r="Q9" s="68"/>
      <c r="R9" s="58"/>
      <c r="S9" s="69"/>
      <c r="T9" s="70"/>
      <c r="U9" s="66" t="str">
        <f t="shared" si="3"/>
        <v/>
      </c>
      <c r="V9" s="55" t="str">
        <f t="shared" si="1"/>
        <v/>
      </c>
      <c r="W9" s="55" t="str">
        <f t="shared" si="2"/>
        <v/>
      </c>
      <c r="X9" s="277" t="str">
        <f>+IF(W9="","",IF(W9&gt;=[1]PARÁMETROS!$D$5,"CUMPLE","NO CUMPLE"))</f>
        <v/>
      </c>
      <c r="Y9" s="139"/>
      <c r="Z9" s="109"/>
    </row>
    <row r="10" spans="1:28" s="72" customFormat="1" ht="30" customHeight="1" thickBot="1">
      <c r="A10" s="796"/>
      <c r="B10" s="58"/>
      <c r="C10" s="75"/>
      <c r="D10" s="60" t="str">
        <f>+IFERROR(INDEX([1]CONSOLIDADO!$D$4:$D$91,MATCH('EXP ESPEC. 41'!B10,[1]CONSOLIDADO!$C$4:$C$91,0)),"")</f>
        <v/>
      </c>
      <c r="E10" s="61"/>
      <c r="F10" s="62"/>
      <c r="G10" s="277"/>
      <c r="H10" s="277"/>
      <c r="I10" s="277"/>
      <c r="J10" s="277"/>
      <c r="K10" s="63"/>
      <c r="L10" s="64"/>
      <c r="M10" s="64"/>
      <c r="N10" s="65" t="str">
        <f t="shared" si="0"/>
        <v/>
      </c>
      <c r="O10" s="66" t="str">
        <f>+IFERROR(INDEX([1]PARÁMETROS!$B$11:$B$37,MATCH(N10,[1]PARÁMETROS!$A$11:$A$37,0)),"")</f>
        <v/>
      </c>
      <c r="P10" s="67"/>
      <c r="Q10" s="68"/>
      <c r="R10" s="58"/>
      <c r="S10" s="69"/>
      <c r="T10" s="70"/>
      <c r="U10" s="66" t="str">
        <f t="shared" si="3"/>
        <v/>
      </c>
      <c r="V10" s="55" t="str">
        <f t="shared" si="1"/>
        <v/>
      </c>
      <c r="W10" s="55" t="str">
        <f t="shared" si="2"/>
        <v/>
      </c>
      <c r="X10" s="278" t="str">
        <f>+IF(W10="","",IF(W10&gt;=[1]PARÁMETROS!$D$5,"CUMPLE","NO CUMPLE"))</f>
        <v/>
      </c>
      <c r="Y10" s="139"/>
      <c r="Z10" s="109"/>
    </row>
    <row r="11" spans="1:28" s="72" customFormat="1" ht="30" customHeight="1">
      <c r="A11" s="795"/>
      <c r="B11" s="123"/>
      <c r="C11" s="157"/>
      <c r="D11" s="125" t="str">
        <f>+IFERROR(INDEX([1]CONSOLIDADO!$D$4:$D$91,MATCH('EXP ESPEC. 41'!B11,[1]CONSOLIDADO!$C$4:$C$91,0)),"")</f>
        <v/>
      </c>
      <c r="E11" s="126"/>
      <c r="F11" s="127"/>
      <c r="G11" s="279"/>
      <c r="H11" s="279"/>
      <c r="I11" s="279"/>
      <c r="J11" s="279"/>
      <c r="K11" s="128"/>
      <c r="L11" s="129"/>
      <c r="M11" s="129"/>
      <c r="N11" s="130" t="str">
        <f t="shared" si="0"/>
        <v/>
      </c>
      <c r="O11" s="131" t="str">
        <f>+IFERROR(INDEX([1]PARÁMETROS!$B$11:$B$37,MATCH(N11,[1]PARÁMETROS!$A$11:$A$37,0)),"")</f>
        <v/>
      </c>
      <c r="P11" s="132"/>
      <c r="Q11" s="133"/>
      <c r="R11" s="123"/>
      <c r="S11" s="134"/>
      <c r="T11" s="135"/>
      <c r="U11" s="131" t="str">
        <f t="shared" si="3"/>
        <v/>
      </c>
      <c r="V11" s="136" t="str">
        <f t="shared" si="1"/>
        <v/>
      </c>
      <c r="W11" s="136" t="str">
        <f t="shared" si="2"/>
        <v/>
      </c>
      <c r="X11" s="168" t="str">
        <f>+IF(W11="","",IF(W11&gt;=[1]PARÁMETROS!$D$5,"CUMPLE","NO CUMPLE"))</f>
        <v/>
      </c>
      <c r="Y11" s="138"/>
      <c r="Z11" s="109"/>
    </row>
    <row r="12" spans="1:28" s="72" customFormat="1" ht="30" customHeight="1">
      <c r="A12" s="796"/>
      <c r="B12" s="58"/>
      <c r="C12" s="75"/>
      <c r="D12" s="60" t="str">
        <f>+IFERROR(INDEX([1]CONSOLIDADO!$D$4:$D$91,MATCH('EXP ESPEC. 41'!B12,[1]CONSOLIDADO!$C$4:$C$91,0)),"")</f>
        <v/>
      </c>
      <c r="E12" s="61"/>
      <c r="F12" s="61"/>
      <c r="G12" s="277"/>
      <c r="H12" s="277"/>
      <c r="I12" s="277"/>
      <c r="J12" s="277"/>
      <c r="K12" s="73"/>
      <c r="L12" s="64"/>
      <c r="M12" s="64"/>
      <c r="N12" s="65" t="str">
        <f t="shared" si="0"/>
        <v/>
      </c>
      <c r="O12" s="66" t="str">
        <f>+IFERROR(INDEX([1]PARÁMETROS!$B$11:$B$37,MATCH(N12,[1]PARÁMETROS!$A$11:$A$37,0)),"")</f>
        <v/>
      </c>
      <c r="P12" s="74"/>
      <c r="Q12" s="66"/>
      <c r="R12" s="58"/>
      <c r="S12" s="69"/>
      <c r="T12" s="70"/>
      <c r="U12" s="66" t="str">
        <f t="shared" si="3"/>
        <v/>
      </c>
      <c r="V12" s="55" t="str">
        <f t="shared" si="1"/>
        <v/>
      </c>
      <c r="W12" s="55" t="str">
        <f t="shared" si="2"/>
        <v/>
      </c>
      <c r="X12" s="277" t="str">
        <f>+IF(W12="","",IF(W12&gt;=[1]PARÁMETROS!$D$5,"CUMPLE","NO CUMPLE"))</f>
        <v/>
      </c>
      <c r="Y12" s="139"/>
      <c r="Z12" s="109"/>
    </row>
    <row r="13" spans="1:28" s="72" customFormat="1" ht="30" customHeight="1">
      <c r="A13" s="796"/>
      <c r="B13" s="58"/>
      <c r="C13" s="75"/>
      <c r="D13" s="60" t="str">
        <f>+IFERROR(INDEX([1]CONSOLIDADO!$D$4:$D$91,MATCH('EXP ESPEC. 41'!B13,[1]CONSOLIDADO!$C$4:$C$91,0)),"")</f>
        <v/>
      </c>
      <c r="E13" s="61"/>
      <c r="F13" s="62"/>
      <c r="G13" s="277"/>
      <c r="H13" s="277"/>
      <c r="I13" s="277"/>
      <c r="J13" s="277"/>
      <c r="K13" s="63"/>
      <c r="L13" s="64"/>
      <c r="M13" s="64"/>
      <c r="N13" s="65" t="str">
        <f t="shared" si="0"/>
        <v/>
      </c>
      <c r="O13" s="66" t="str">
        <f>+IFERROR(INDEX([1]PARÁMETROS!$B$11:$B$37,MATCH(N13,[1]PARÁMETROS!$A$11:$A$37,0)),"")</f>
        <v/>
      </c>
      <c r="P13" s="67"/>
      <c r="Q13" s="68"/>
      <c r="R13" s="58"/>
      <c r="S13" s="69"/>
      <c r="T13" s="70"/>
      <c r="U13" s="66" t="str">
        <f t="shared" si="3"/>
        <v/>
      </c>
      <c r="V13" s="55" t="str">
        <f t="shared" si="1"/>
        <v/>
      </c>
      <c r="W13" s="55" t="str">
        <f t="shared" si="2"/>
        <v/>
      </c>
      <c r="X13" s="277" t="str">
        <f>+IF(W13="","",IF(W13&gt;=[1]PARÁMETROS!$D$5,"CUMPLE","NO CUMPLE"))</f>
        <v/>
      </c>
      <c r="Y13" s="139"/>
      <c r="Z13" s="109"/>
    </row>
    <row r="14" spans="1:28" s="72" customFormat="1" ht="30" customHeight="1" thickBot="1">
      <c r="A14" s="796"/>
      <c r="B14" s="58"/>
      <c r="C14" s="75"/>
      <c r="D14" s="60" t="str">
        <f>+IFERROR(INDEX([1]CONSOLIDADO!$D$4:$D$91,MATCH('EXP ESPEC. 41'!B14,[1]CONSOLIDADO!$C$4:$C$91,0)),"")</f>
        <v/>
      </c>
      <c r="E14" s="61"/>
      <c r="F14" s="76"/>
      <c r="G14" s="277"/>
      <c r="H14" s="277"/>
      <c r="I14" s="277"/>
      <c r="J14" s="277"/>
      <c r="K14" s="63"/>
      <c r="L14" s="64"/>
      <c r="M14" s="64"/>
      <c r="N14" s="65" t="str">
        <f t="shared" si="0"/>
        <v/>
      </c>
      <c r="O14" s="66" t="str">
        <f>+IFERROR(INDEX([1]PARÁMETROS!$B$11:$B$37,MATCH(N14,[1]PARÁMETROS!$A$11:$A$37,0)),"")</f>
        <v/>
      </c>
      <c r="P14" s="67"/>
      <c r="Q14" s="68"/>
      <c r="R14" s="58"/>
      <c r="S14" s="69"/>
      <c r="T14" s="70"/>
      <c r="U14" s="66" t="str">
        <f t="shared" si="3"/>
        <v/>
      </c>
      <c r="V14" s="55" t="str">
        <f t="shared" si="1"/>
        <v/>
      </c>
      <c r="W14" s="55" t="str">
        <f t="shared" si="2"/>
        <v/>
      </c>
      <c r="X14" s="278" t="str">
        <f>+IF(W14="","",IF(W14&gt;=[1]PARÁMETROS!$D$5,"CUMPLE","NO CUMPLE"))</f>
        <v/>
      </c>
      <c r="Y14" s="139"/>
      <c r="Z14" s="109"/>
    </row>
    <row r="15" spans="1:28" s="72" customFormat="1" ht="30" customHeight="1">
      <c r="A15" s="795"/>
      <c r="B15" s="123"/>
      <c r="C15" s="157"/>
      <c r="D15" s="125" t="str">
        <f>+IFERROR(INDEX([1]CONSOLIDADO!$D$4:$D$91,MATCH('EXP ESPEC. 41'!B15,[1]CONSOLIDADO!$C$4:$C$91,0)),"")</f>
        <v/>
      </c>
      <c r="E15" s="126"/>
      <c r="F15" s="127"/>
      <c r="G15" s="279"/>
      <c r="H15" s="279"/>
      <c r="I15" s="279"/>
      <c r="J15" s="279"/>
      <c r="K15" s="128"/>
      <c r="L15" s="129"/>
      <c r="M15" s="129"/>
      <c r="N15" s="130" t="str">
        <f t="shared" si="0"/>
        <v/>
      </c>
      <c r="O15" s="131" t="str">
        <f>+IFERROR(INDEX([1]PARÁMETROS!$B$11:$B$37,MATCH(N15,[1]PARÁMETROS!$A$11:$A$37,0)),"")</f>
        <v/>
      </c>
      <c r="P15" s="132"/>
      <c r="Q15" s="133"/>
      <c r="R15" s="123"/>
      <c r="S15" s="134"/>
      <c r="T15" s="135"/>
      <c r="U15" s="131" t="str">
        <f t="shared" si="3"/>
        <v/>
      </c>
      <c r="V15" s="136" t="str">
        <f t="shared" si="1"/>
        <v/>
      </c>
      <c r="W15" s="136" t="str">
        <f t="shared" si="2"/>
        <v/>
      </c>
      <c r="X15" s="168" t="str">
        <f>+IF(W15="","",IF(W15&gt;=[1]PARÁMETROS!$D$5,"CUMPLE","NO CUMPLE"))</f>
        <v/>
      </c>
      <c r="Y15" s="138"/>
      <c r="Z15" s="109"/>
    </row>
    <row r="16" spans="1:28" s="72" customFormat="1" ht="30" customHeight="1">
      <c r="A16" s="796"/>
      <c r="B16" s="58"/>
      <c r="C16" s="75"/>
      <c r="D16" s="60" t="str">
        <f>+IFERROR(INDEX([1]CONSOLIDADO!$D$4:$D$91,MATCH('EXP ESPEC. 41'!B16,[1]CONSOLIDADO!$C$4:$C$91,0)),"")</f>
        <v/>
      </c>
      <c r="E16" s="61"/>
      <c r="F16" s="62"/>
      <c r="G16" s="277"/>
      <c r="H16" s="277"/>
      <c r="I16" s="277"/>
      <c r="J16" s="277"/>
      <c r="K16" s="63"/>
      <c r="L16" s="64"/>
      <c r="M16" s="64"/>
      <c r="N16" s="65" t="str">
        <f t="shared" si="0"/>
        <v/>
      </c>
      <c r="O16" s="66" t="str">
        <f>+IFERROR(INDEX([1]PARÁMETROS!$B$11:$B$37,MATCH(N16,[1]PARÁMETROS!$A$11:$A$37,0)),"")</f>
        <v/>
      </c>
      <c r="P16" s="67"/>
      <c r="Q16" s="68"/>
      <c r="R16" s="58"/>
      <c r="S16" s="69"/>
      <c r="T16" s="70"/>
      <c r="U16" s="66" t="str">
        <f t="shared" si="3"/>
        <v/>
      </c>
      <c r="V16" s="55" t="str">
        <f t="shared" si="1"/>
        <v/>
      </c>
      <c r="W16" s="55" t="str">
        <f t="shared" si="2"/>
        <v/>
      </c>
      <c r="X16" s="277" t="str">
        <f>+IF(W16="","",IF(W16&gt;=[1]PARÁMETROS!$D$5,"CUMPLE","NO CUMPLE"))</f>
        <v/>
      </c>
      <c r="Y16" s="139"/>
      <c r="Z16" s="109"/>
    </row>
    <row r="17" spans="1:26" s="72" customFormat="1" ht="30" customHeight="1">
      <c r="A17" s="796"/>
      <c r="B17" s="58"/>
      <c r="C17" s="75"/>
      <c r="D17" s="60" t="str">
        <f>+IFERROR(INDEX([1]CONSOLIDADO!$D$4:$D$91,MATCH('EXP ESPEC. 41'!B17,[1]CONSOLIDADO!$C$4:$C$91,0)),"")</f>
        <v/>
      </c>
      <c r="E17" s="61"/>
      <c r="F17" s="62"/>
      <c r="G17" s="277"/>
      <c r="H17" s="277"/>
      <c r="I17" s="277"/>
      <c r="J17" s="277"/>
      <c r="K17" s="63"/>
      <c r="L17" s="64"/>
      <c r="M17" s="64"/>
      <c r="N17" s="65" t="str">
        <f t="shared" si="0"/>
        <v/>
      </c>
      <c r="O17" s="66" t="str">
        <f>+IFERROR(INDEX([1]PARÁMETROS!$B$11:$B$37,MATCH(N17,[1]PARÁMETROS!$A$11:$A$37,0)),"")</f>
        <v/>
      </c>
      <c r="P17" s="67"/>
      <c r="Q17" s="68"/>
      <c r="R17" s="58"/>
      <c r="S17" s="69"/>
      <c r="T17" s="70"/>
      <c r="U17" s="66" t="str">
        <f t="shared" si="3"/>
        <v/>
      </c>
      <c r="V17" s="55" t="str">
        <f t="shared" si="1"/>
        <v/>
      </c>
      <c r="W17" s="55" t="str">
        <f t="shared" si="2"/>
        <v/>
      </c>
      <c r="X17" s="277" t="str">
        <f>+IF(W17="","",IF(W17&gt;=[1]PARÁMETROS!$D$5,"CUMPLE","NO CUMPLE"))</f>
        <v/>
      </c>
      <c r="Y17" s="139"/>
      <c r="Z17" s="109"/>
    </row>
    <row r="18" spans="1:26" s="72" customFormat="1" ht="30" customHeight="1" thickBot="1">
      <c r="A18" s="796"/>
      <c r="B18" s="58"/>
      <c r="C18" s="75"/>
      <c r="D18" s="60" t="str">
        <f>+IFERROR(INDEX([1]CONSOLIDADO!$D$4:$D$91,MATCH('EXP ESPEC. 41'!B18,[1]CONSOLIDADO!$C$4:$C$91,0)),"")</f>
        <v/>
      </c>
      <c r="E18" s="61"/>
      <c r="F18" s="62"/>
      <c r="G18" s="277"/>
      <c r="H18" s="277"/>
      <c r="I18" s="277"/>
      <c r="J18" s="277"/>
      <c r="K18" s="63"/>
      <c r="L18" s="64"/>
      <c r="M18" s="64"/>
      <c r="N18" s="65" t="str">
        <f t="shared" si="0"/>
        <v/>
      </c>
      <c r="O18" s="66" t="str">
        <f>+IFERROR(INDEX([1]PARÁMETROS!$B$11:$B$37,MATCH(N18,[1]PARÁMETROS!$A$11:$A$37,0)),"")</f>
        <v/>
      </c>
      <c r="P18" s="67"/>
      <c r="Q18" s="68"/>
      <c r="R18" s="58"/>
      <c r="S18" s="69"/>
      <c r="T18" s="70"/>
      <c r="U18" s="66" t="str">
        <f t="shared" si="3"/>
        <v/>
      </c>
      <c r="V18" s="55" t="str">
        <f t="shared" si="1"/>
        <v/>
      </c>
      <c r="W18" s="55" t="str">
        <f t="shared" si="2"/>
        <v/>
      </c>
      <c r="X18" s="278" t="str">
        <f>+IF(W18="","",IF(W18&gt;=[1]PARÁMETROS!$D$5,"CUMPLE","NO CUMPLE"))</f>
        <v/>
      </c>
      <c r="Y18" s="139"/>
      <c r="Z18" s="109"/>
    </row>
    <row r="19" spans="1:26" s="72" customFormat="1" ht="30" customHeight="1">
      <c r="A19" s="795"/>
      <c r="B19" s="123"/>
      <c r="C19" s="157"/>
      <c r="D19" s="125" t="str">
        <f>+IFERROR(INDEX([1]CONSOLIDADO!$D$4:$D$91,MATCH('EXP ESPEC. 41'!B19,[1]CONSOLIDADO!$C$4:$C$91,0)),"")</f>
        <v/>
      </c>
      <c r="E19" s="126"/>
      <c r="F19" s="127"/>
      <c r="G19" s="279"/>
      <c r="H19" s="279"/>
      <c r="I19" s="279"/>
      <c r="J19" s="279"/>
      <c r="K19" s="128"/>
      <c r="L19" s="129"/>
      <c r="M19" s="129"/>
      <c r="N19" s="130" t="str">
        <f t="shared" si="0"/>
        <v/>
      </c>
      <c r="O19" s="131" t="str">
        <f>+IFERROR(INDEX([1]PARÁMETROS!$B$11:$B$37,MATCH(N19,[1]PARÁMETROS!$A$11:$A$37,0)),"")</f>
        <v/>
      </c>
      <c r="P19" s="132"/>
      <c r="Q19" s="133"/>
      <c r="R19" s="123"/>
      <c r="S19" s="134"/>
      <c r="T19" s="135"/>
      <c r="U19" s="131" t="str">
        <f t="shared" si="3"/>
        <v/>
      </c>
      <c r="V19" s="136" t="str">
        <f t="shared" si="1"/>
        <v/>
      </c>
      <c r="W19" s="136" t="str">
        <f t="shared" si="2"/>
        <v/>
      </c>
      <c r="X19" s="168" t="str">
        <f>+IF(W19="","",IF(W19&gt;=[1]PARÁMETROS!$D$5,"CUMPLE","NO CUMPLE"))</f>
        <v/>
      </c>
      <c r="Y19" s="138"/>
      <c r="Z19" s="109"/>
    </row>
    <row r="20" spans="1:26" s="72" customFormat="1" ht="30" customHeight="1">
      <c r="A20" s="796"/>
      <c r="B20" s="58"/>
      <c r="C20" s="75"/>
      <c r="D20" s="60" t="str">
        <f>+IFERROR(INDEX([1]CONSOLIDADO!$D$4:$D$91,MATCH('EXP ESPEC. 41'!B20,[1]CONSOLIDADO!$C$4:$C$91,0)),"")</f>
        <v/>
      </c>
      <c r="E20" s="61"/>
      <c r="F20" s="62"/>
      <c r="G20" s="277"/>
      <c r="H20" s="277"/>
      <c r="I20" s="277"/>
      <c r="J20" s="277"/>
      <c r="K20" s="63"/>
      <c r="L20" s="64"/>
      <c r="M20" s="64"/>
      <c r="N20" s="65" t="str">
        <f t="shared" si="0"/>
        <v/>
      </c>
      <c r="O20" s="66" t="str">
        <f>+IFERROR(INDEX([1]PARÁMETROS!$B$11:$B$37,MATCH(N20,[1]PARÁMETROS!$A$11:$A$37,0)),"")</f>
        <v/>
      </c>
      <c r="P20" s="67"/>
      <c r="Q20" s="68"/>
      <c r="R20" s="58"/>
      <c r="S20" s="69"/>
      <c r="T20" s="70"/>
      <c r="U20" s="66" t="str">
        <f t="shared" si="3"/>
        <v/>
      </c>
      <c r="V20" s="55" t="str">
        <f t="shared" si="1"/>
        <v/>
      </c>
      <c r="W20" s="55" t="str">
        <f t="shared" si="2"/>
        <v/>
      </c>
      <c r="X20" s="277" t="str">
        <f>+IF(W20="","",IF(W20&gt;=[1]PARÁMETROS!$D$5,"CUMPLE","NO CUMPLE"))</f>
        <v/>
      </c>
      <c r="Y20" s="139"/>
      <c r="Z20" s="109"/>
    </row>
    <row r="21" spans="1:26" s="72" customFormat="1" ht="30" customHeight="1">
      <c r="A21" s="796"/>
      <c r="B21" s="58"/>
      <c r="C21" s="75"/>
      <c r="D21" s="60" t="str">
        <f>+IFERROR(INDEX([1]CONSOLIDADO!$D$4:$D$91,MATCH('EXP ESPEC. 41'!B21,[1]CONSOLIDADO!$C$4:$C$91,0)),"")</f>
        <v/>
      </c>
      <c r="E21" s="76"/>
      <c r="F21" s="76"/>
      <c r="G21" s="277"/>
      <c r="H21" s="277"/>
      <c r="I21" s="277"/>
      <c r="J21" s="277"/>
      <c r="K21" s="77"/>
      <c r="L21" s="64"/>
      <c r="M21" s="64"/>
      <c r="N21" s="65" t="str">
        <f t="shared" si="0"/>
        <v/>
      </c>
      <c r="O21" s="66" t="str">
        <f>+IFERROR(INDEX([1]PARÁMETROS!$B$11:$B$37,MATCH(N21,[1]PARÁMETROS!$A$11:$A$37,0)),"")</f>
        <v/>
      </c>
      <c r="P21" s="67"/>
      <c r="Q21" s="68"/>
      <c r="R21" s="58"/>
      <c r="S21" s="69"/>
      <c r="T21" s="70"/>
      <c r="U21" s="66" t="str">
        <f t="shared" si="3"/>
        <v/>
      </c>
      <c r="V21" s="55" t="str">
        <f t="shared" si="1"/>
        <v/>
      </c>
      <c r="W21" s="55" t="str">
        <f t="shared" si="2"/>
        <v/>
      </c>
      <c r="X21" s="277" t="str">
        <f>+IF(W21="","",IF(W21&gt;=[1]PARÁMETROS!$D$5,"CUMPLE","NO CUMPLE"))</f>
        <v/>
      </c>
      <c r="Y21" s="166"/>
      <c r="Z21" s="109"/>
    </row>
    <row r="22" spans="1:26" s="82" customFormat="1" ht="30" customHeight="1" thickBot="1">
      <c r="A22" s="796"/>
      <c r="B22" s="58"/>
      <c r="C22" s="72"/>
      <c r="D22" s="60" t="str">
        <f>+IFERROR(INDEX([1]CONSOLIDADO!$D$4:$D$91,MATCH('EXP ESPEC. 41'!B22,[1]CONSOLIDADO!$C$4:$C$91,0)),"")</f>
        <v/>
      </c>
      <c r="E22" s="61"/>
      <c r="F22" s="62"/>
      <c r="G22" s="277"/>
      <c r="H22" s="277"/>
      <c r="I22" s="277"/>
      <c r="J22" s="277"/>
      <c r="K22" s="78"/>
      <c r="L22" s="79"/>
      <c r="M22" s="80"/>
      <c r="N22" s="65" t="str">
        <f t="shared" si="0"/>
        <v/>
      </c>
      <c r="O22" s="66" t="str">
        <f>+IFERROR(INDEX([1]PARÁMETROS!$B$11:$B$37,MATCH(N22,[1]PARÁMETROS!$A$11:$A$37,0)),"")</f>
        <v/>
      </c>
      <c r="P22" s="68"/>
      <c r="Q22" s="68"/>
      <c r="R22" s="68"/>
      <c r="S22" s="68"/>
      <c r="T22" s="68"/>
      <c r="U22" s="66" t="str">
        <f t="shared" si="3"/>
        <v/>
      </c>
      <c r="V22" s="55" t="str">
        <f t="shared" si="1"/>
        <v/>
      </c>
      <c r="W22" s="55" t="str">
        <f t="shared" si="2"/>
        <v/>
      </c>
      <c r="X22" s="278" t="str">
        <f>+IF(W22="","",IF(W22&gt;=[1]PARÁMETROS!$D$5,"CUMPLE","NO CUMPLE"))</f>
        <v/>
      </c>
      <c r="Y22" s="139"/>
      <c r="Z22" s="158"/>
    </row>
    <row r="23" spans="1:26" s="72" customFormat="1" ht="30" customHeight="1">
      <c r="A23" s="795"/>
      <c r="B23" s="123"/>
      <c r="C23" s="157"/>
      <c r="D23" s="125" t="str">
        <f>+IFERROR(INDEX([1]CONSOLIDADO!$D$4:$D$91,MATCH('EXP ESPEC. 41'!B23,[1]CONSOLIDADO!$C$4:$C$91,0)),"")</f>
        <v/>
      </c>
      <c r="E23" s="126"/>
      <c r="F23" s="127"/>
      <c r="G23" s="279"/>
      <c r="H23" s="279"/>
      <c r="I23" s="279"/>
      <c r="J23" s="279"/>
      <c r="K23" s="128"/>
      <c r="L23" s="129"/>
      <c r="M23" s="129"/>
      <c r="N23" s="130" t="str">
        <f t="shared" si="0"/>
        <v/>
      </c>
      <c r="O23" s="131" t="str">
        <f>+IFERROR(INDEX([1]PARÁMETROS!$B$11:$B$37,MATCH(N23,[1]PARÁMETROS!$A$11:$A$37,0)),"")</f>
        <v/>
      </c>
      <c r="P23" s="132"/>
      <c r="Q23" s="133"/>
      <c r="R23" s="123"/>
      <c r="S23" s="134"/>
      <c r="T23" s="135"/>
      <c r="U23" s="131" t="str">
        <f t="shared" si="3"/>
        <v/>
      </c>
      <c r="V23" s="136" t="str">
        <f t="shared" si="1"/>
        <v/>
      </c>
      <c r="W23" s="136" t="str">
        <f t="shared" si="2"/>
        <v/>
      </c>
      <c r="X23" s="168" t="str">
        <f>+IF(W23="","",IF(W23&gt;=[1]PARÁMETROS!$D$5,"CUMPLE","NO CUMPLE"))</f>
        <v/>
      </c>
      <c r="Y23" s="138"/>
      <c r="Z23" s="109"/>
    </row>
    <row r="24" spans="1:26" s="72" customFormat="1" ht="30" customHeight="1">
      <c r="A24" s="796"/>
      <c r="B24" s="58"/>
      <c r="C24" s="75"/>
      <c r="D24" s="60" t="str">
        <f>+IFERROR(INDEX([1]CONSOLIDADO!$D$4:$D$91,MATCH('EXP ESPEC. 41'!B24,[1]CONSOLIDADO!$C$4:$C$91,0)),"")</f>
        <v/>
      </c>
      <c r="E24" s="61"/>
      <c r="F24" s="62"/>
      <c r="G24" s="277"/>
      <c r="H24" s="277"/>
      <c r="I24" s="277"/>
      <c r="J24" s="277"/>
      <c r="K24" s="63"/>
      <c r="L24" s="64"/>
      <c r="M24" s="64"/>
      <c r="N24" s="65" t="str">
        <f t="shared" si="0"/>
        <v/>
      </c>
      <c r="O24" s="66" t="str">
        <f>+IFERROR(INDEX([1]PARÁMETROS!$B$11:$B$37,MATCH(N24,[1]PARÁMETROS!$A$11:$A$37,0)),"")</f>
        <v/>
      </c>
      <c r="P24" s="67"/>
      <c r="Q24" s="68"/>
      <c r="R24" s="58"/>
      <c r="S24" s="69"/>
      <c r="T24" s="70"/>
      <c r="U24" s="66" t="str">
        <f t="shared" si="3"/>
        <v/>
      </c>
      <c r="V24" s="55" t="str">
        <f t="shared" si="1"/>
        <v/>
      </c>
      <c r="W24" s="55" t="str">
        <f t="shared" si="2"/>
        <v/>
      </c>
      <c r="X24" s="277" t="str">
        <f>+IF(W24="","",IF(W24&gt;=[1]PARÁMETROS!$D$5,"CUMPLE","NO CUMPLE"))</f>
        <v/>
      </c>
      <c r="Y24" s="139"/>
      <c r="Z24" s="109"/>
    </row>
    <row r="25" spans="1:26" s="72" customFormat="1" ht="30" customHeight="1">
      <c r="A25" s="796"/>
      <c r="B25" s="58"/>
      <c r="C25" s="75"/>
      <c r="D25" s="60" t="str">
        <f>+IFERROR(INDEX([1]CONSOLIDADO!$D$4:$D$91,MATCH('EXP ESPEC. 41'!B25,[1]CONSOLIDADO!$C$4:$C$91,0)),"")</f>
        <v/>
      </c>
      <c r="E25" s="61"/>
      <c r="F25" s="62"/>
      <c r="G25" s="277"/>
      <c r="H25" s="277"/>
      <c r="I25" s="277"/>
      <c r="J25" s="277"/>
      <c r="K25" s="63"/>
      <c r="L25" s="64"/>
      <c r="M25" s="64"/>
      <c r="N25" s="65" t="str">
        <f t="shared" si="0"/>
        <v/>
      </c>
      <c r="O25" s="66" t="str">
        <f>+IFERROR(INDEX([1]PARÁMETROS!$B$11:$B$37,MATCH(N25,[1]PARÁMETROS!$A$11:$A$37,0)),"")</f>
        <v/>
      </c>
      <c r="P25" s="67"/>
      <c r="Q25" s="68"/>
      <c r="R25" s="58"/>
      <c r="S25" s="69"/>
      <c r="T25" s="70"/>
      <c r="U25" s="66" t="str">
        <f t="shared" si="3"/>
        <v/>
      </c>
      <c r="V25" s="55" t="str">
        <f t="shared" si="1"/>
        <v/>
      </c>
      <c r="W25" s="55" t="str">
        <f t="shared" si="2"/>
        <v/>
      </c>
      <c r="X25" s="277" t="str">
        <f>+IF(W25="","",IF(W25&gt;=[1]PARÁMETROS!$D$5,"CUMPLE","NO CUMPLE"))</f>
        <v/>
      </c>
      <c r="Y25" s="139"/>
      <c r="Z25" s="109"/>
    </row>
    <row r="26" spans="1:26" s="72" customFormat="1" ht="30" customHeight="1" thickBot="1">
      <c r="A26" s="796"/>
      <c r="B26" s="58"/>
      <c r="C26" s="75"/>
      <c r="D26" s="60" t="str">
        <f>+IFERROR(INDEX([1]CONSOLIDADO!$D$4:$D$91,MATCH('EXP ESPEC. 41'!B26,[1]CONSOLIDADO!$C$4:$C$91,0)),"")</f>
        <v/>
      </c>
      <c r="E26" s="61"/>
      <c r="F26" s="62"/>
      <c r="G26" s="277"/>
      <c r="H26" s="277"/>
      <c r="I26" s="277"/>
      <c r="J26" s="277"/>
      <c r="K26" s="63"/>
      <c r="L26" s="64"/>
      <c r="M26" s="64"/>
      <c r="N26" s="65" t="str">
        <f t="shared" si="0"/>
        <v/>
      </c>
      <c r="O26" s="66" t="str">
        <f>+IFERROR(INDEX([1]PARÁMETROS!$B$11:$B$37,MATCH(N26,[1]PARÁMETROS!$A$11:$A$37,0)),"")</f>
        <v/>
      </c>
      <c r="P26" s="67"/>
      <c r="Q26" s="68"/>
      <c r="R26" s="58"/>
      <c r="S26" s="69"/>
      <c r="T26" s="70"/>
      <c r="U26" s="66" t="str">
        <f t="shared" si="3"/>
        <v/>
      </c>
      <c r="V26" s="55" t="str">
        <f t="shared" si="1"/>
        <v/>
      </c>
      <c r="W26" s="55" t="str">
        <f t="shared" si="2"/>
        <v/>
      </c>
      <c r="X26" s="278" t="str">
        <f>+IF(W26="","",IF(W26&gt;=[1]PARÁMETROS!$D$5,"CUMPLE","NO CUMPLE"))</f>
        <v/>
      </c>
      <c r="Y26" s="139"/>
      <c r="Z26" s="109"/>
    </row>
    <row r="27" spans="1:26" s="72" customFormat="1" ht="30" customHeight="1">
      <c r="A27" s="795"/>
      <c r="B27" s="123"/>
      <c r="C27" s="157"/>
      <c r="D27" s="125" t="str">
        <f>+IFERROR(INDEX([1]CONSOLIDADO!$D$4:$D$91,MATCH('EXP ESPEC. 41'!B27,[1]CONSOLIDADO!$C$4:$C$91,0)),"")</f>
        <v/>
      </c>
      <c r="E27" s="126"/>
      <c r="F27" s="127"/>
      <c r="G27" s="279"/>
      <c r="H27" s="279"/>
      <c r="I27" s="279"/>
      <c r="J27" s="279"/>
      <c r="K27" s="128"/>
      <c r="L27" s="129"/>
      <c r="M27" s="129"/>
      <c r="N27" s="130" t="str">
        <f t="shared" si="0"/>
        <v/>
      </c>
      <c r="O27" s="131" t="str">
        <f>+IFERROR(INDEX([1]PARÁMETROS!$B$11:$B$37,MATCH(N27,[1]PARÁMETROS!$A$11:$A$37,0)),"")</f>
        <v/>
      </c>
      <c r="P27" s="132"/>
      <c r="Q27" s="133"/>
      <c r="R27" s="123"/>
      <c r="S27" s="134"/>
      <c r="T27" s="135"/>
      <c r="U27" s="131" t="str">
        <f t="shared" si="3"/>
        <v/>
      </c>
      <c r="V27" s="136" t="str">
        <f t="shared" si="1"/>
        <v/>
      </c>
      <c r="W27" s="136" t="str">
        <f t="shared" si="2"/>
        <v/>
      </c>
      <c r="X27" s="168" t="str">
        <f>+IF(W27="","",IF(W27&gt;=[1]PARÁMETROS!$D$5,"CUMPLE","NO CUMPLE"))</f>
        <v/>
      </c>
      <c r="Y27" s="138"/>
      <c r="Z27" s="109"/>
    </row>
    <row r="28" spans="1:26" s="72" customFormat="1" ht="30" customHeight="1">
      <c r="A28" s="796"/>
      <c r="B28" s="58"/>
      <c r="C28" s="75"/>
      <c r="D28" s="60" t="str">
        <f>+IFERROR(INDEX([1]CONSOLIDADO!$D$4:$D$91,MATCH('EXP ESPEC. 41'!B28,[1]CONSOLIDADO!$C$4:$C$91,0)),"")</f>
        <v/>
      </c>
      <c r="E28" s="61"/>
      <c r="F28" s="62"/>
      <c r="G28" s="277"/>
      <c r="H28" s="277"/>
      <c r="I28" s="277"/>
      <c r="J28" s="277"/>
      <c r="K28" s="63"/>
      <c r="L28" s="64"/>
      <c r="M28" s="64"/>
      <c r="N28" s="65" t="str">
        <f t="shared" si="0"/>
        <v/>
      </c>
      <c r="O28" s="66" t="str">
        <f>+IFERROR(INDEX([1]PARÁMETROS!$B$11:$B$37,MATCH(N28,[1]PARÁMETROS!$A$11:$A$37,0)),"")</f>
        <v/>
      </c>
      <c r="P28" s="67"/>
      <c r="Q28" s="68"/>
      <c r="R28" s="58"/>
      <c r="S28" s="69"/>
      <c r="T28" s="70"/>
      <c r="U28" s="66" t="str">
        <f t="shared" si="3"/>
        <v/>
      </c>
      <c r="V28" s="55" t="str">
        <f t="shared" si="1"/>
        <v/>
      </c>
      <c r="W28" s="55" t="str">
        <f t="shared" si="2"/>
        <v/>
      </c>
      <c r="X28" s="277" t="str">
        <f>+IF(W28="","",IF(W28&gt;=[1]PARÁMETROS!$D$5,"CUMPLE","NO CUMPLE"))</f>
        <v/>
      </c>
      <c r="Y28" s="139"/>
      <c r="Z28" s="109"/>
    </row>
    <row r="29" spans="1:26" s="72" customFormat="1" ht="30" customHeight="1">
      <c r="A29" s="796"/>
      <c r="B29" s="58"/>
      <c r="C29" s="75"/>
      <c r="D29" s="60" t="str">
        <f>+IFERROR(INDEX([1]CONSOLIDADO!$D$4:$D$91,MATCH('EXP ESPEC. 41'!B29,[1]CONSOLIDADO!$C$4:$C$91,0)),"")</f>
        <v/>
      </c>
      <c r="E29" s="61"/>
      <c r="F29" s="62"/>
      <c r="G29" s="277"/>
      <c r="H29" s="277"/>
      <c r="I29" s="277"/>
      <c r="J29" s="277"/>
      <c r="K29" s="63"/>
      <c r="L29" s="64"/>
      <c r="M29" s="64"/>
      <c r="N29" s="65" t="str">
        <f t="shared" si="0"/>
        <v/>
      </c>
      <c r="O29" s="66" t="str">
        <f>+IFERROR(INDEX([1]PARÁMETROS!$B$11:$B$37,MATCH(N29,[1]PARÁMETROS!$A$11:$A$37,0)),"")</f>
        <v/>
      </c>
      <c r="P29" s="67"/>
      <c r="Q29" s="68"/>
      <c r="R29" s="58"/>
      <c r="S29" s="69"/>
      <c r="T29" s="70"/>
      <c r="U29" s="66" t="str">
        <f t="shared" si="3"/>
        <v/>
      </c>
      <c r="V29" s="55" t="str">
        <f t="shared" si="1"/>
        <v/>
      </c>
      <c r="W29" s="55" t="str">
        <f t="shared" si="2"/>
        <v/>
      </c>
      <c r="X29" s="277" t="str">
        <f>+IF(W29="","",IF(W29&gt;=[1]PARÁMETROS!$D$5,"CUMPLE","NO CUMPLE"))</f>
        <v/>
      </c>
      <c r="Y29" s="139"/>
      <c r="Z29" s="109"/>
    </row>
    <row r="30" spans="1:26" s="72" customFormat="1" ht="30" customHeight="1" thickBot="1">
      <c r="A30" s="796"/>
      <c r="B30" s="58"/>
      <c r="C30" s="75"/>
      <c r="D30" s="60" t="str">
        <f>+IFERROR(INDEX([1]CONSOLIDADO!$D$4:$D$91,MATCH('EXP ESPEC. 41'!B30,[1]CONSOLIDADO!$C$4:$C$91,0)),"")</f>
        <v/>
      </c>
      <c r="E30" s="83"/>
      <c r="F30" s="84"/>
      <c r="G30" s="277"/>
      <c r="H30" s="277"/>
      <c r="I30" s="277"/>
      <c r="J30" s="277"/>
      <c r="K30" s="85"/>
      <c r="L30" s="86"/>
      <c r="M30" s="86"/>
      <c r="N30" s="65" t="str">
        <f t="shared" si="0"/>
        <v/>
      </c>
      <c r="O30" s="66" t="str">
        <f>+IFERROR(INDEX([1]PARÁMETROS!$B$11:$B$37,MATCH(N30,[1]PARÁMETROS!$A$11:$A$37,0)),"")</f>
        <v/>
      </c>
      <c r="P30" s="87"/>
      <c r="Q30" s="88"/>
      <c r="R30" s="58"/>
      <c r="S30" s="69"/>
      <c r="T30" s="70"/>
      <c r="U30" s="66" t="str">
        <f t="shared" si="3"/>
        <v/>
      </c>
      <c r="V30" s="55" t="str">
        <f t="shared" si="1"/>
        <v/>
      </c>
      <c r="W30" s="55" t="str">
        <f t="shared" si="2"/>
        <v/>
      </c>
      <c r="X30" s="278" t="str">
        <f>+IF(W30="","",IF(W30&gt;=[1]PARÁMETROS!$D$5,"CUMPLE","NO CUMPLE"))</f>
        <v/>
      </c>
      <c r="Y30" s="140"/>
      <c r="Z30" s="109"/>
    </row>
    <row r="31" spans="1:26" s="72" customFormat="1" ht="30" customHeight="1">
      <c r="A31" s="795"/>
      <c r="B31" s="123"/>
      <c r="C31" s="157"/>
      <c r="D31" s="125" t="str">
        <f>+IFERROR(INDEX([1]CONSOLIDADO!$D$4:$D$91,MATCH('EXP ESPEC. 41'!B31,[1]CONSOLIDADO!$C$4:$C$91,0)),"")</f>
        <v/>
      </c>
      <c r="E31" s="126"/>
      <c r="F31" s="127"/>
      <c r="G31" s="279"/>
      <c r="H31" s="279"/>
      <c r="I31" s="279"/>
      <c r="J31" s="279"/>
      <c r="K31" s="128"/>
      <c r="L31" s="129"/>
      <c r="M31" s="129"/>
      <c r="N31" s="130" t="str">
        <f t="shared" si="0"/>
        <v/>
      </c>
      <c r="O31" s="131" t="str">
        <f>+IFERROR(INDEX([1]PARÁMETROS!$B$11:$B$37,MATCH(N31,[1]PARÁMETROS!$A$11:$A$37,0)),"")</f>
        <v/>
      </c>
      <c r="P31" s="132"/>
      <c r="Q31" s="133"/>
      <c r="R31" s="123"/>
      <c r="S31" s="134"/>
      <c r="T31" s="135"/>
      <c r="U31" s="131" t="str">
        <f t="shared" si="3"/>
        <v/>
      </c>
      <c r="V31" s="136" t="str">
        <f t="shared" si="1"/>
        <v/>
      </c>
      <c r="W31" s="136" t="str">
        <f t="shared" si="2"/>
        <v/>
      </c>
      <c r="X31" s="168" t="str">
        <f>+IF(W31="","",IF(W31&gt;=[1]PARÁMETROS!$D$5,"CUMPLE","NO CUMPLE"))</f>
        <v/>
      </c>
      <c r="Y31" s="138"/>
      <c r="Z31" s="109"/>
    </row>
    <row r="32" spans="1:26" s="72" customFormat="1" ht="30" customHeight="1">
      <c r="A32" s="796"/>
      <c r="B32" s="58"/>
      <c r="C32" s="75"/>
      <c r="D32" s="60" t="str">
        <f>+IFERROR(INDEX([1]CONSOLIDADO!$D$4:$D$91,MATCH('EXP ESPEC. 41'!B32,[1]CONSOLIDADO!$C$4:$C$91,0)),"")</f>
        <v/>
      </c>
      <c r="E32" s="61"/>
      <c r="F32" s="62"/>
      <c r="G32" s="277"/>
      <c r="H32" s="277"/>
      <c r="I32" s="277"/>
      <c r="J32" s="277"/>
      <c r="K32" s="63"/>
      <c r="L32" s="64"/>
      <c r="M32" s="64"/>
      <c r="N32" s="65" t="str">
        <f t="shared" si="0"/>
        <v/>
      </c>
      <c r="O32" s="66" t="str">
        <f>+IFERROR(INDEX([1]PARÁMETROS!$B$11:$B$37,MATCH(N32,[1]PARÁMETROS!$A$11:$A$37,0)),"")</f>
        <v/>
      </c>
      <c r="P32" s="67"/>
      <c r="Q32" s="68"/>
      <c r="R32" s="58"/>
      <c r="S32" s="69"/>
      <c r="T32" s="70"/>
      <c r="U32" s="66" t="str">
        <f t="shared" si="3"/>
        <v/>
      </c>
      <c r="V32" s="55" t="str">
        <f t="shared" si="1"/>
        <v/>
      </c>
      <c r="W32" s="55" t="str">
        <f t="shared" si="2"/>
        <v/>
      </c>
      <c r="X32" s="277" t="str">
        <f>+IF(W32="","",IF(W32&gt;=[1]PARÁMETROS!$D$5,"CUMPLE","NO CUMPLE"))</f>
        <v/>
      </c>
      <c r="Y32" s="139"/>
      <c r="Z32" s="109"/>
    </row>
    <row r="33" spans="1:26" s="72" customFormat="1" ht="30" customHeight="1">
      <c r="A33" s="796"/>
      <c r="B33" s="58"/>
      <c r="C33" s="75"/>
      <c r="D33" s="60" t="str">
        <f>+IFERROR(INDEX([1]CONSOLIDADO!$D$4:$D$91,MATCH('EXP ESPEC. 41'!B33,[1]CONSOLIDADO!$C$4:$C$91,0)),"")</f>
        <v/>
      </c>
      <c r="E33" s="61"/>
      <c r="F33" s="62"/>
      <c r="G33" s="277"/>
      <c r="H33" s="277"/>
      <c r="I33" s="277"/>
      <c r="J33" s="277"/>
      <c r="K33" s="63"/>
      <c r="L33" s="64"/>
      <c r="M33" s="64"/>
      <c r="N33" s="65" t="str">
        <f t="shared" si="0"/>
        <v/>
      </c>
      <c r="O33" s="66" t="str">
        <f>+IFERROR(INDEX([1]PARÁMETROS!$B$11:$B$37,MATCH(N33,[1]PARÁMETROS!$A$11:$A$37,0)),"")</f>
        <v/>
      </c>
      <c r="P33" s="67"/>
      <c r="Q33" s="68"/>
      <c r="R33" s="58"/>
      <c r="S33" s="69"/>
      <c r="T33" s="70"/>
      <c r="U33" s="66" t="str">
        <f t="shared" si="3"/>
        <v/>
      </c>
      <c r="V33" s="55" t="str">
        <f t="shared" si="1"/>
        <v/>
      </c>
      <c r="W33" s="55" t="str">
        <f t="shared" si="2"/>
        <v/>
      </c>
      <c r="X33" s="277" t="str">
        <f>+IF(W33="","",IF(W33&gt;=[1]PARÁMETROS!$D$5,"CUMPLE","NO CUMPLE"))</f>
        <v/>
      </c>
      <c r="Y33" s="139"/>
      <c r="Z33" s="109"/>
    </row>
    <row r="34" spans="1:26" s="72" customFormat="1" ht="30" customHeight="1" thickBot="1">
      <c r="A34" s="796"/>
      <c r="B34" s="58"/>
      <c r="C34" s="75"/>
      <c r="D34" s="60" t="str">
        <f>+IFERROR(INDEX([1]CONSOLIDADO!$D$4:$D$91,MATCH('EXP ESPEC. 41'!B34,[1]CONSOLIDADO!$C$4:$C$91,0)),"")</f>
        <v/>
      </c>
      <c r="E34" s="61"/>
      <c r="F34" s="62"/>
      <c r="G34" s="277"/>
      <c r="H34" s="277"/>
      <c r="I34" s="277"/>
      <c r="J34" s="277"/>
      <c r="K34" s="63"/>
      <c r="L34" s="64"/>
      <c r="M34" s="64"/>
      <c r="N34" s="65" t="str">
        <f t="shared" si="0"/>
        <v/>
      </c>
      <c r="O34" s="66" t="str">
        <f>+IFERROR(INDEX([1]PARÁMETROS!$B$11:$B$37,MATCH(N34,[1]PARÁMETROS!$A$11:$A$37,0)),"")</f>
        <v/>
      </c>
      <c r="P34" s="67"/>
      <c r="Q34" s="68"/>
      <c r="R34" s="58"/>
      <c r="S34" s="69"/>
      <c r="T34" s="70"/>
      <c r="U34" s="66" t="str">
        <f t="shared" si="3"/>
        <v/>
      </c>
      <c r="V34" s="55" t="str">
        <f t="shared" si="1"/>
        <v/>
      </c>
      <c r="W34" s="55" t="str">
        <f t="shared" si="2"/>
        <v/>
      </c>
      <c r="X34" s="278" t="str">
        <f>+IF(W34="","",IF(W34&gt;=[1]PARÁMETROS!$D$5,"CUMPLE","NO CUMPLE"))</f>
        <v/>
      </c>
      <c r="Y34" s="139"/>
      <c r="Z34" s="109"/>
    </row>
    <row r="35" spans="1:26" s="72" customFormat="1" ht="30" customHeight="1">
      <c r="A35" s="795"/>
      <c r="B35" s="123"/>
      <c r="C35" s="157"/>
      <c r="D35" s="125" t="str">
        <f>+IFERROR(INDEX([1]CONSOLIDADO!$D$4:$D$91,MATCH('EXP ESPEC. 41'!B35,[1]CONSOLIDADO!$C$4:$C$91,0)),"")</f>
        <v/>
      </c>
      <c r="E35" s="126"/>
      <c r="F35" s="126"/>
      <c r="G35" s="279"/>
      <c r="H35" s="279"/>
      <c r="I35" s="279"/>
      <c r="J35" s="279"/>
      <c r="K35" s="162"/>
      <c r="L35" s="129"/>
      <c r="M35" s="129"/>
      <c r="N35" s="130" t="str">
        <f t="shared" si="0"/>
        <v/>
      </c>
      <c r="O35" s="131" t="str">
        <f>+IFERROR(INDEX([1]PARÁMETROS!$B$11:$B$37,MATCH(N35,[1]PARÁMETROS!$A$11:$A$37,0)),"")</f>
        <v/>
      </c>
      <c r="P35" s="163"/>
      <c r="Q35" s="131"/>
      <c r="R35" s="123"/>
      <c r="S35" s="134"/>
      <c r="T35" s="135"/>
      <c r="U35" s="131" t="str">
        <f t="shared" si="3"/>
        <v/>
      </c>
      <c r="V35" s="136" t="str">
        <f t="shared" si="1"/>
        <v/>
      </c>
      <c r="W35" s="136" t="str">
        <f t="shared" si="2"/>
        <v/>
      </c>
      <c r="X35" s="168" t="str">
        <f>+IF(W35="","",IF(W35&gt;=[1]PARÁMETROS!$D$5,"CUMPLE","NO CUMPLE"))</f>
        <v/>
      </c>
      <c r="Y35" s="138"/>
      <c r="Z35" s="109"/>
    </row>
    <row r="36" spans="1:26" s="72" customFormat="1" ht="30" customHeight="1">
      <c r="A36" s="796"/>
      <c r="B36" s="58"/>
      <c r="C36" s="75"/>
      <c r="D36" s="60" t="str">
        <f>+IFERROR(INDEX([1]CONSOLIDADO!$D$4:$D$91,MATCH('EXP ESPEC. 41'!B36,[1]CONSOLIDADO!$C$4:$C$91,0)),"")</f>
        <v/>
      </c>
      <c r="E36" s="61"/>
      <c r="F36" s="61"/>
      <c r="G36" s="277"/>
      <c r="H36" s="277"/>
      <c r="I36" s="277"/>
      <c r="J36" s="277"/>
      <c r="K36" s="73"/>
      <c r="L36" s="64"/>
      <c r="M36" s="64"/>
      <c r="N36" s="65" t="str">
        <f t="shared" si="0"/>
        <v/>
      </c>
      <c r="O36" s="66" t="str">
        <f>+IFERROR(INDEX([1]PARÁMETROS!$B$11:$B$37,MATCH(N36,[1]PARÁMETROS!$A$11:$A$37,0)),"")</f>
        <v/>
      </c>
      <c r="P36" s="74"/>
      <c r="Q36" s="66"/>
      <c r="R36" s="58"/>
      <c r="S36" s="69"/>
      <c r="T36" s="70"/>
      <c r="U36" s="66" t="str">
        <f t="shared" si="3"/>
        <v/>
      </c>
      <c r="V36" s="55" t="str">
        <f t="shared" si="1"/>
        <v/>
      </c>
      <c r="W36" s="55" t="str">
        <f t="shared" si="2"/>
        <v/>
      </c>
      <c r="X36" s="277" t="str">
        <f>+IF(W36="","",IF(W36&gt;=[1]PARÁMETROS!$D$5,"CUMPLE","NO CUMPLE"))</f>
        <v/>
      </c>
      <c r="Y36" s="139"/>
      <c r="Z36" s="109"/>
    </row>
    <row r="37" spans="1:26" s="72" customFormat="1" ht="30" customHeight="1">
      <c r="A37" s="796"/>
      <c r="B37" s="58"/>
      <c r="C37" s="75"/>
      <c r="D37" s="60" t="str">
        <f>+IFERROR(INDEX([1]CONSOLIDADO!$D$4:$D$91,MATCH('EXP ESPEC. 41'!B37,[1]CONSOLIDADO!$C$4:$C$91,0)),"")</f>
        <v/>
      </c>
      <c r="E37" s="61"/>
      <c r="F37" s="61"/>
      <c r="G37" s="277"/>
      <c r="H37" s="277"/>
      <c r="I37" s="277"/>
      <c r="J37" s="277"/>
      <c r="K37" s="73"/>
      <c r="L37" s="64"/>
      <c r="M37" s="64"/>
      <c r="N37" s="65" t="str">
        <f t="shared" si="0"/>
        <v/>
      </c>
      <c r="O37" s="66" t="str">
        <f>+IFERROR(INDEX([1]PARÁMETROS!$B$11:$B$37,MATCH(N37,[1]PARÁMETROS!$A$11:$A$37,0)),"")</f>
        <v/>
      </c>
      <c r="P37" s="74"/>
      <c r="Q37" s="66"/>
      <c r="R37" s="58"/>
      <c r="S37" s="69"/>
      <c r="T37" s="70"/>
      <c r="U37" s="66" t="str">
        <f t="shared" si="3"/>
        <v/>
      </c>
      <c r="V37" s="55" t="str">
        <f t="shared" si="1"/>
        <v/>
      </c>
      <c r="W37" s="55" t="str">
        <f t="shared" si="2"/>
        <v/>
      </c>
      <c r="X37" s="277" t="str">
        <f>+IF(W37="","",IF(W37&gt;=[1]PARÁMETROS!$D$5,"CUMPLE","NO CUMPLE"))</f>
        <v/>
      </c>
      <c r="Y37" s="139"/>
      <c r="Z37" s="109"/>
    </row>
    <row r="38" spans="1:26" s="72" customFormat="1" ht="30" customHeight="1" thickBot="1">
      <c r="A38" s="796"/>
      <c r="B38" s="58"/>
      <c r="C38" s="75"/>
      <c r="D38" s="60" t="str">
        <f>+IFERROR(INDEX([1]CONSOLIDADO!$D$4:$D$91,MATCH('EXP ESPEC. 41'!B38,[1]CONSOLIDADO!$C$4:$C$91,0)),"")</f>
        <v/>
      </c>
      <c r="E38" s="61"/>
      <c r="F38" s="61"/>
      <c r="G38" s="277"/>
      <c r="H38" s="277"/>
      <c r="I38" s="277"/>
      <c r="J38" s="277"/>
      <c r="K38" s="73"/>
      <c r="L38" s="64"/>
      <c r="M38" s="64"/>
      <c r="N38" s="65" t="str">
        <f t="shared" si="0"/>
        <v/>
      </c>
      <c r="O38" s="66" t="str">
        <f>+IFERROR(INDEX([1]PARÁMETROS!$B$11:$B$37,MATCH(N38,[1]PARÁMETROS!$A$11:$A$37,0)),"")</f>
        <v/>
      </c>
      <c r="P38" s="74"/>
      <c r="Q38" s="66"/>
      <c r="R38" s="58"/>
      <c r="S38" s="69"/>
      <c r="T38" s="70"/>
      <c r="U38" s="66" t="str">
        <f t="shared" si="3"/>
        <v/>
      </c>
      <c r="V38" s="55" t="str">
        <f t="shared" si="1"/>
        <v/>
      </c>
      <c r="W38" s="55" t="str">
        <f t="shared" si="2"/>
        <v/>
      </c>
      <c r="X38" s="278" t="str">
        <f>+IF(W38="","",IF(W38&gt;=[1]PARÁMETROS!$D$5,"CUMPLE","NO CUMPLE"))</f>
        <v/>
      </c>
      <c r="Y38" s="139"/>
      <c r="Z38" s="109"/>
    </row>
    <row r="39" spans="1:26" s="72" customFormat="1" ht="30" customHeight="1">
      <c r="A39" s="795"/>
      <c r="B39" s="123"/>
      <c r="C39" s="157"/>
      <c r="D39" s="125" t="str">
        <f>+IFERROR(INDEX([1]CONSOLIDADO!$D$4:$D$91,MATCH('EXP ESPEC. 41'!B39,[1]CONSOLIDADO!$C$4:$C$91,0)),"")</f>
        <v/>
      </c>
      <c r="E39" s="126"/>
      <c r="F39" s="126"/>
      <c r="G39" s="279"/>
      <c r="H39" s="279"/>
      <c r="I39" s="279"/>
      <c r="J39" s="279"/>
      <c r="K39" s="162"/>
      <c r="L39" s="129"/>
      <c r="M39" s="129"/>
      <c r="N39" s="130" t="str">
        <f t="shared" si="0"/>
        <v/>
      </c>
      <c r="O39" s="131" t="str">
        <f>+IFERROR(INDEX([1]PARÁMETROS!$B$11:$B$37,MATCH(N39,[1]PARÁMETROS!$A$11:$A$37,0)),"")</f>
        <v/>
      </c>
      <c r="P39" s="163"/>
      <c r="Q39" s="131"/>
      <c r="R39" s="123"/>
      <c r="S39" s="134"/>
      <c r="T39" s="135"/>
      <c r="U39" s="131" t="str">
        <f t="shared" si="3"/>
        <v/>
      </c>
      <c r="V39" s="136" t="str">
        <f t="shared" si="1"/>
        <v/>
      </c>
      <c r="W39" s="136" t="str">
        <f t="shared" si="2"/>
        <v/>
      </c>
      <c r="X39" s="168" t="str">
        <f>+IF(W39="","",IF(W39&gt;=[1]PARÁMETROS!$D$5,"CUMPLE","NO CUMPLE"))</f>
        <v/>
      </c>
      <c r="Y39" s="138"/>
      <c r="Z39" s="109"/>
    </row>
    <row r="40" spans="1:26" s="72" customFormat="1" ht="30" customHeight="1">
      <c r="A40" s="796"/>
      <c r="B40" s="58"/>
      <c r="C40" s="75"/>
      <c r="D40" s="60" t="str">
        <f>+IFERROR(INDEX([1]CONSOLIDADO!$D$4:$D$91,MATCH('EXP ESPEC. 41'!B40,[1]CONSOLIDADO!$C$4:$C$91,0)),"")</f>
        <v/>
      </c>
      <c r="E40" s="61"/>
      <c r="F40" s="61"/>
      <c r="G40" s="277"/>
      <c r="H40" s="277"/>
      <c r="I40" s="277"/>
      <c r="J40" s="277"/>
      <c r="K40" s="73"/>
      <c r="L40" s="64"/>
      <c r="M40" s="64"/>
      <c r="N40" s="65" t="str">
        <f t="shared" si="0"/>
        <v/>
      </c>
      <c r="O40" s="66" t="str">
        <f>+IFERROR(INDEX([1]PARÁMETROS!$B$11:$B$37,MATCH(N40,[1]PARÁMETROS!$A$11:$A$37,0)),"")</f>
        <v/>
      </c>
      <c r="P40" s="74"/>
      <c r="Q40" s="66"/>
      <c r="R40" s="58"/>
      <c r="S40" s="69"/>
      <c r="T40" s="70"/>
      <c r="U40" s="66" t="str">
        <f t="shared" si="3"/>
        <v/>
      </c>
      <c r="V40" s="55" t="str">
        <f t="shared" si="1"/>
        <v/>
      </c>
      <c r="W40" s="55" t="str">
        <f t="shared" si="2"/>
        <v/>
      </c>
      <c r="X40" s="277" t="str">
        <f>+IF(W40="","",IF(W40&gt;=[1]PARÁMETROS!$D$5,"CUMPLE","NO CUMPLE"))</f>
        <v/>
      </c>
      <c r="Y40" s="139"/>
      <c r="Z40" s="109"/>
    </row>
    <row r="41" spans="1:26" s="72" customFormat="1" ht="30" customHeight="1">
      <c r="A41" s="796"/>
      <c r="B41" s="58"/>
      <c r="C41" s="75"/>
      <c r="D41" s="60" t="str">
        <f>+IFERROR(INDEX([1]CONSOLIDADO!$D$4:$D$91,MATCH('EXP ESPEC. 41'!B41,[1]CONSOLIDADO!$C$4:$C$91,0)),"")</f>
        <v/>
      </c>
      <c r="E41" s="61"/>
      <c r="F41" s="61"/>
      <c r="G41" s="277"/>
      <c r="H41" s="277"/>
      <c r="I41" s="277"/>
      <c r="J41" s="277"/>
      <c r="K41" s="73"/>
      <c r="L41" s="64"/>
      <c r="M41" s="64"/>
      <c r="N41" s="65" t="str">
        <f t="shared" si="0"/>
        <v/>
      </c>
      <c r="O41" s="66" t="str">
        <f>+IFERROR(INDEX([1]PARÁMETROS!$B$11:$B$37,MATCH(N41,[1]PARÁMETROS!$A$11:$A$37,0)),"")</f>
        <v/>
      </c>
      <c r="P41" s="74"/>
      <c r="Q41" s="66"/>
      <c r="R41" s="58"/>
      <c r="S41" s="69"/>
      <c r="T41" s="70"/>
      <c r="U41" s="66" t="str">
        <f t="shared" si="3"/>
        <v/>
      </c>
      <c r="V41" s="55" t="str">
        <f t="shared" si="1"/>
        <v/>
      </c>
      <c r="W41" s="55" t="str">
        <f t="shared" si="2"/>
        <v/>
      </c>
      <c r="X41" s="277" t="str">
        <f>+IF(W41="","",IF(W41&gt;=[1]PARÁMETROS!$D$5,"CUMPLE","NO CUMPLE"))</f>
        <v/>
      </c>
      <c r="Y41" s="139"/>
      <c r="Z41" s="109"/>
    </row>
    <row r="42" spans="1:26" s="72" customFormat="1" ht="30" customHeight="1" thickBot="1">
      <c r="A42" s="796"/>
      <c r="B42" s="58"/>
      <c r="C42" s="75"/>
      <c r="D42" s="60" t="str">
        <f>+IFERROR(INDEX([1]CONSOLIDADO!$D$4:$D$91,MATCH('EXP ESPEC. 41'!B42,[1]CONSOLIDADO!$C$4:$C$91,0)),"")</f>
        <v/>
      </c>
      <c r="E42" s="61"/>
      <c r="F42" s="61"/>
      <c r="G42" s="277"/>
      <c r="H42" s="277"/>
      <c r="I42" s="277"/>
      <c r="J42" s="277"/>
      <c r="K42" s="73"/>
      <c r="L42" s="64"/>
      <c r="M42" s="64"/>
      <c r="N42" s="65" t="str">
        <f t="shared" si="0"/>
        <v/>
      </c>
      <c r="O42" s="66" t="str">
        <f>+IFERROR(INDEX([1]PARÁMETROS!$B$11:$B$37,MATCH(N42,[1]PARÁMETROS!$A$11:$A$37,0)),"")</f>
        <v/>
      </c>
      <c r="P42" s="74"/>
      <c r="Q42" s="66"/>
      <c r="R42" s="58"/>
      <c r="S42" s="69"/>
      <c r="T42" s="70"/>
      <c r="U42" s="66" t="str">
        <f t="shared" si="3"/>
        <v/>
      </c>
      <c r="V42" s="55" t="str">
        <f t="shared" si="1"/>
        <v/>
      </c>
      <c r="W42" s="55" t="str">
        <f t="shared" si="2"/>
        <v/>
      </c>
      <c r="X42" s="278" t="str">
        <f>+IF(W42="","",IF(W42&gt;=[1]PARÁMETROS!$D$5,"CUMPLE","NO CUMPLE"))</f>
        <v/>
      </c>
      <c r="Y42" s="139"/>
      <c r="Z42" s="109"/>
    </row>
    <row r="43" spans="1:26" s="72" customFormat="1" ht="30" customHeight="1">
      <c r="A43" s="795"/>
      <c r="B43" s="123"/>
      <c r="C43" s="157"/>
      <c r="D43" s="125" t="str">
        <f>+IFERROR(INDEX([1]CONSOLIDADO!$D$4:$D$91,MATCH('EXP ESPEC. 41'!B43,[1]CONSOLIDADO!$C$4:$C$91,0)),"")</f>
        <v/>
      </c>
      <c r="E43" s="126"/>
      <c r="F43" s="126"/>
      <c r="G43" s="279"/>
      <c r="H43" s="279"/>
      <c r="I43" s="279"/>
      <c r="J43" s="279"/>
      <c r="K43" s="162"/>
      <c r="L43" s="129"/>
      <c r="M43" s="129"/>
      <c r="N43" s="130" t="str">
        <f t="shared" si="0"/>
        <v/>
      </c>
      <c r="O43" s="131" t="str">
        <f>+IFERROR(INDEX([1]PARÁMETROS!$B$11:$B$37,MATCH(N43,[1]PARÁMETROS!$A$11:$A$37,0)),"")</f>
        <v/>
      </c>
      <c r="P43" s="163"/>
      <c r="Q43" s="131"/>
      <c r="R43" s="123"/>
      <c r="S43" s="134"/>
      <c r="T43" s="135"/>
      <c r="U43" s="131" t="str">
        <f t="shared" si="3"/>
        <v/>
      </c>
      <c r="V43" s="136" t="str">
        <f t="shared" si="1"/>
        <v/>
      </c>
      <c r="W43" s="136" t="str">
        <f t="shared" si="2"/>
        <v/>
      </c>
      <c r="X43" s="168" t="str">
        <f>+IF(W43="","",IF(W43&gt;=[1]PARÁMETROS!$D$5,"CUMPLE","NO CUMPLE"))</f>
        <v/>
      </c>
      <c r="Y43" s="138"/>
      <c r="Z43" s="109"/>
    </row>
    <row r="44" spans="1:26" s="72" customFormat="1" ht="30" customHeight="1">
      <c r="A44" s="796"/>
      <c r="B44" s="58"/>
      <c r="C44" s="75"/>
      <c r="D44" s="60" t="str">
        <f>+IFERROR(INDEX([1]CONSOLIDADO!$D$4:$D$91,MATCH('EXP ESPEC. 41'!B44,[1]CONSOLIDADO!$C$4:$C$91,0)),"")</f>
        <v/>
      </c>
      <c r="E44" s="61"/>
      <c r="F44" s="61"/>
      <c r="G44" s="277"/>
      <c r="H44" s="277"/>
      <c r="I44" s="277"/>
      <c r="J44" s="277"/>
      <c r="K44" s="73"/>
      <c r="L44" s="64"/>
      <c r="M44" s="64"/>
      <c r="N44" s="65" t="str">
        <f t="shared" si="0"/>
        <v/>
      </c>
      <c r="O44" s="66" t="str">
        <f>+IFERROR(INDEX([1]PARÁMETROS!$B$11:$B$37,MATCH(N44,[1]PARÁMETROS!$A$11:$A$37,0)),"")</f>
        <v/>
      </c>
      <c r="P44" s="74"/>
      <c r="Q44" s="66"/>
      <c r="R44" s="58"/>
      <c r="S44" s="69"/>
      <c r="T44" s="70"/>
      <c r="U44" s="66" t="str">
        <f t="shared" si="3"/>
        <v/>
      </c>
      <c r="V44" s="55" t="str">
        <f t="shared" si="1"/>
        <v/>
      </c>
      <c r="W44" s="55" t="str">
        <f t="shared" si="2"/>
        <v/>
      </c>
      <c r="X44" s="277" t="str">
        <f>+IF(W44="","",IF(W44&gt;=[1]PARÁMETROS!$D$5,"CUMPLE","NO CUMPLE"))</f>
        <v/>
      </c>
      <c r="Y44" s="139"/>
      <c r="Z44" s="109"/>
    </row>
    <row r="45" spans="1:26" s="72" customFormat="1" ht="30" customHeight="1">
      <c r="A45" s="796"/>
      <c r="B45" s="58"/>
      <c r="C45" s="75"/>
      <c r="D45" s="60" t="str">
        <f>+IFERROR(INDEX([1]CONSOLIDADO!$D$4:$D$91,MATCH('EXP ESPEC. 41'!B45,[1]CONSOLIDADO!$C$4:$C$91,0)),"")</f>
        <v/>
      </c>
      <c r="E45" s="61"/>
      <c r="F45" s="61"/>
      <c r="G45" s="277"/>
      <c r="H45" s="277"/>
      <c r="I45" s="277"/>
      <c r="J45" s="277"/>
      <c r="K45" s="73"/>
      <c r="L45" s="64"/>
      <c r="M45" s="64"/>
      <c r="N45" s="65" t="str">
        <f t="shared" si="0"/>
        <v/>
      </c>
      <c r="O45" s="66" t="str">
        <f>+IFERROR(INDEX([1]PARÁMETROS!$B$11:$B$37,MATCH(N45,[1]PARÁMETROS!$A$11:$A$37,0)),"")</f>
        <v/>
      </c>
      <c r="P45" s="74"/>
      <c r="Q45" s="66"/>
      <c r="R45" s="58"/>
      <c r="S45" s="69"/>
      <c r="T45" s="70"/>
      <c r="U45" s="66" t="str">
        <f t="shared" si="3"/>
        <v/>
      </c>
      <c r="V45" s="55" t="str">
        <f t="shared" si="1"/>
        <v/>
      </c>
      <c r="W45" s="55" t="str">
        <f t="shared" si="2"/>
        <v/>
      </c>
      <c r="X45" s="277" t="str">
        <f>+IF(W45="","",IF(W45&gt;=[1]PARÁMETROS!$D$5,"CUMPLE","NO CUMPLE"))</f>
        <v/>
      </c>
      <c r="Y45" s="139"/>
      <c r="Z45" s="109"/>
    </row>
    <row r="46" spans="1:26" s="72" customFormat="1" ht="30" customHeight="1" thickBot="1">
      <c r="A46" s="796"/>
      <c r="B46" s="58"/>
      <c r="C46" s="75"/>
      <c r="D46" s="60" t="str">
        <f>+IFERROR(INDEX([1]CONSOLIDADO!$D$4:$D$91,MATCH('EXP ESPEC. 41'!B46,[1]CONSOLIDADO!$C$4:$C$91,0)),"")</f>
        <v/>
      </c>
      <c r="E46" s="61"/>
      <c r="F46" s="61"/>
      <c r="G46" s="277"/>
      <c r="H46" s="277"/>
      <c r="I46" s="277"/>
      <c r="J46" s="277"/>
      <c r="K46" s="73"/>
      <c r="L46" s="64"/>
      <c r="M46" s="64"/>
      <c r="N46" s="65" t="str">
        <f t="shared" si="0"/>
        <v/>
      </c>
      <c r="O46" s="66" t="str">
        <f>+IFERROR(INDEX([1]PARÁMETROS!$B$11:$B$37,MATCH(N46,[1]PARÁMETROS!$A$11:$A$37,0)),"")</f>
        <v/>
      </c>
      <c r="P46" s="74"/>
      <c r="Q46" s="66"/>
      <c r="R46" s="58"/>
      <c r="S46" s="69"/>
      <c r="T46" s="70"/>
      <c r="U46" s="66" t="str">
        <f t="shared" si="3"/>
        <v/>
      </c>
      <c r="V46" s="55" t="str">
        <f t="shared" si="1"/>
        <v/>
      </c>
      <c r="W46" s="55" t="str">
        <f t="shared" si="2"/>
        <v/>
      </c>
      <c r="X46" s="278" t="str">
        <f>+IF(W46="","",IF(W46&gt;=[1]PARÁMETROS!$D$5,"CUMPLE","NO CUMPLE"))</f>
        <v/>
      </c>
      <c r="Y46" s="139"/>
      <c r="Z46" s="109"/>
    </row>
    <row r="47" spans="1:26" s="72" customFormat="1" ht="30" customHeight="1">
      <c r="A47" s="795"/>
      <c r="B47" s="123"/>
      <c r="C47" s="157"/>
      <c r="D47" s="125" t="str">
        <f>+IFERROR(INDEX([1]CONSOLIDADO!$D$4:$D$91,MATCH('EXP ESPEC. 41'!B47,[1]CONSOLIDADO!$C$4:$C$91,0)),"")</f>
        <v/>
      </c>
      <c r="E47" s="126"/>
      <c r="F47" s="126"/>
      <c r="G47" s="279"/>
      <c r="H47" s="279"/>
      <c r="I47" s="279"/>
      <c r="J47" s="279"/>
      <c r="K47" s="162"/>
      <c r="L47" s="129"/>
      <c r="M47" s="129"/>
      <c r="N47" s="130" t="str">
        <f t="shared" si="0"/>
        <v/>
      </c>
      <c r="O47" s="131" t="str">
        <f>+IFERROR(INDEX([1]PARÁMETROS!$B$11:$B$37,MATCH(N47,[1]PARÁMETROS!$A$11:$A$37,0)),"")</f>
        <v/>
      </c>
      <c r="P47" s="163"/>
      <c r="Q47" s="131"/>
      <c r="R47" s="123"/>
      <c r="S47" s="134"/>
      <c r="T47" s="135"/>
      <c r="U47" s="131" t="str">
        <f t="shared" si="3"/>
        <v/>
      </c>
      <c r="V47" s="136" t="str">
        <f t="shared" si="1"/>
        <v/>
      </c>
      <c r="W47" s="136" t="str">
        <f t="shared" si="2"/>
        <v/>
      </c>
      <c r="X47" s="168" t="str">
        <f>+IF(W47="","",IF(W47&gt;=[1]PARÁMETROS!$D$5,"CUMPLE","NO CUMPLE"))</f>
        <v/>
      </c>
      <c r="Y47" s="138"/>
      <c r="Z47" s="109"/>
    </row>
    <row r="48" spans="1:26" s="72" customFormat="1" ht="30" customHeight="1">
      <c r="A48" s="796"/>
      <c r="B48" s="58"/>
      <c r="C48" s="75"/>
      <c r="D48" s="60" t="str">
        <f>+IFERROR(INDEX([1]CONSOLIDADO!$D$4:$D$91,MATCH('EXP ESPEC. 41'!B48,[1]CONSOLIDADO!$C$4:$C$91,0)),"")</f>
        <v/>
      </c>
      <c r="E48" s="61"/>
      <c r="F48" s="61"/>
      <c r="G48" s="277"/>
      <c r="H48" s="277"/>
      <c r="I48" s="277"/>
      <c r="J48" s="277"/>
      <c r="K48" s="73"/>
      <c r="L48" s="64"/>
      <c r="M48" s="64"/>
      <c r="N48" s="65" t="str">
        <f t="shared" si="0"/>
        <v/>
      </c>
      <c r="O48" s="66" t="str">
        <f>+IFERROR(INDEX([1]PARÁMETROS!$B$11:$B$37,MATCH(N48,[1]PARÁMETROS!$A$11:$A$37,0)),"")</f>
        <v/>
      </c>
      <c r="P48" s="74"/>
      <c r="Q48" s="66"/>
      <c r="R48" s="58"/>
      <c r="S48" s="69"/>
      <c r="T48" s="70"/>
      <c r="U48" s="66" t="str">
        <f t="shared" si="3"/>
        <v/>
      </c>
      <c r="V48" s="55" t="str">
        <f t="shared" si="1"/>
        <v/>
      </c>
      <c r="W48" s="55" t="str">
        <f t="shared" si="2"/>
        <v/>
      </c>
      <c r="X48" s="277" t="str">
        <f>+IF(W48="","",IF(W48&gt;=[1]PARÁMETROS!$D$5,"CUMPLE","NO CUMPLE"))</f>
        <v/>
      </c>
      <c r="Y48" s="139"/>
      <c r="Z48" s="109"/>
    </row>
    <row r="49" spans="1:26" s="72" customFormat="1" ht="30" customHeight="1">
      <c r="A49" s="796"/>
      <c r="B49" s="58"/>
      <c r="C49" s="75"/>
      <c r="D49" s="60" t="str">
        <f>+IFERROR(INDEX([1]CONSOLIDADO!$D$4:$D$91,MATCH('EXP ESPEC. 41'!B49,[1]CONSOLIDADO!$C$4:$C$91,0)),"")</f>
        <v/>
      </c>
      <c r="E49" s="61"/>
      <c r="F49" s="61"/>
      <c r="G49" s="277"/>
      <c r="H49" s="277"/>
      <c r="I49" s="277"/>
      <c r="J49" s="277"/>
      <c r="K49" s="73"/>
      <c r="L49" s="64"/>
      <c r="M49" s="64"/>
      <c r="N49" s="65" t="str">
        <f t="shared" si="0"/>
        <v/>
      </c>
      <c r="O49" s="66" t="str">
        <f>+IFERROR(INDEX([1]PARÁMETROS!$B$11:$B$37,MATCH(N49,[1]PARÁMETROS!$A$11:$A$37,0)),"")</f>
        <v/>
      </c>
      <c r="P49" s="74"/>
      <c r="Q49" s="66"/>
      <c r="R49" s="58"/>
      <c r="S49" s="69"/>
      <c r="T49" s="70"/>
      <c r="U49" s="66" t="str">
        <f t="shared" si="3"/>
        <v/>
      </c>
      <c r="V49" s="55" t="str">
        <f t="shared" si="1"/>
        <v/>
      </c>
      <c r="W49" s="55" t="str">
        <f t="shared" si="2"/>
        <v/>
      </c>
      <c r="X49" s="277" t="str">
        <f>+IF(W49="","",IF(W49&gt;=[1]PARÁMETROS!$D$5,"CUMPLE","NO CUMPLE"))</f>
        <v/>
      </c>
      <c r="Y49" s="139"/>
      <c r="Z49" s="109"/>
    </row>
    <row r="50" spans="1:26" s="72" customFormat="1" ht="30" customHeight="1" thickBot="1">
      <c r="A50" s="796"/>
      <c r="B50" s="58"/>
      <c r="C50" s="75"/>
      <c r="D50" s="60" t="str">
        <f>+IFERROR(INDEX([1]CONSOLIDADO!$D$4:$D$91,MATCH('EXP ESPEC. 41'!B50,[1]CONSOLIDADO!$C$4:$C$91,0)),"")</f>
        <v/>
      </c>
      <c r="E50" s="61"/>
      <c r="F50" s="61"/>
      <c r="G50" s="277"/>
      <c r="H50" s="277"/>
      <c r="I50" s="277"/>
      <c r="J50" s="277"/>
      <c r="K50" s="73"/>
      <c r="L50" s="64"/>
      <c r="M50" s="64"/>
      <c r="N50" s="65" t="str">
        <f t="shared" si="0"/>
        <v/>
      </c>
      <c r="O50" s="66" t="str">
        <f>+IFERROR(INDEX([1]PARÁMETROS!$B$11:$B$37,MATCH(N50,[1]PARÁMETROS!$A$11:$A$37,0)),"")</f>
        <v/>
      </c>
      <c r="P50" s="74"/>
      <c r="Q50" s="66"/>
      <c r="R50" s="58"/>
      <c r="S50" s="69"/>
      <c r="T50" s="70"/>
      <c r="U50" s="66" t="str">
        <f t="shared" si="3"/>
        <v/>
      </c>
      <c r="V50" s="55" t="str">
        <f t="shared" si="1"/>
        <v/>
      </c>
      <c r="W50" s="55" t="str">
        <f t="shared" si="2"/>
        <v/>
      </c>
      <c r="X50" s="278" t="str">
        <f>+IF(W50="","",IF(W50&gt;=[1]PARÁMETROS!$D$5,"CUMPLE","NO CUMPLE"))</f>
        <v/>
      </c>
      <c r="Y50" s="139"/>
      <c r="Z50" s="109"/>
    </row>
    <row r="51" spans="1:26" s="72" customFormat="1" ht="30" customHeight="1">
      <c r="A51" s="795"/>
      <c r="B51" s="123"/>
      <c r="C51" s="157"/>
      <c r="D51" s="125" t="str">
        <f>+IFERROR(INDEX([1]CONSOLIDADO!$D$4:$D$91,MATCH('EXP ESPEC. 41'!B51,[1]CONSOLIDADO!$C$4:$C$91,0)),"")</f>
        <v/>
      </c>
      <c r="E51" s="126"/>
      <c r="F51" s="126"/>
      <c r="G51" s="279"/>
      <c r="H51" s="279"/>
      <c r="I51" s="279"/>
      <c r="J51" s="279"/>
      <c r="K51" s="162"/>
      <c r="L51" s="129"/>
      <c r="M51" s="129"/>
      <c r="N51" s="130" t="str">
        <f t="shared" si="0"/>
        <v/>
      </c>
      <c r="O51" s="131" t="str">
        <f>+IFERROR(INDEX([1]PARÁMETROS!$B$11:$B$37,MATCH(N51,[1]PARÁMETROS!$A$11:$A$37,0)),"")</f>
        <v/>
      </c>
      <c r="P51" s="163"/>
      <c r="Q51" s="131"/>
      <c r="R51" s="123"/>
      <c r="S51" s="134"/>
      <c r="T51" s="135"/>
      <c r="U51" s="131" t="str">
        <f t="shared" si="3"/>
        <v/>
      </c>
      <c r="V51" s="136" t="str">
        <f t="shared" si="1"/>
        <v/>
      </c>
      <c r="W51" s="136" t="str">
        <f t="shared" si="2"/>
        <v/>
      </c>
      <c r="X51" s="168" t="str">
        <f>+IF(W51="","",IF(W51&gt;=[1]PARÁMETROS!$D$5,"CUMPLE","NO CUMPLE"))</f>
        <v/>
      </c>
      <c r="Y51" s="138"/>
      <c r="Z51" s="109"/>
    </row>
    <row r="52" spans="1:26" s="72" customFormat="1" ht="30" customHeight="1">
      <c r="A52" s="796"/>
      <c r="B52" s="58"/>
      <c r="C52" s="75"/>
      <c r="D52" s="60" t="str">
        <f>+IFERROR(INDEX([1]CONSOLIDADO!$D$4:$D$91,MATCH('EXP ESPEC. 41'!B52,[1]CONSOLIDADO!$C$4:$C$91,0)),"")</f>
        <v/>
      </c>
      <c r="E52" s="61"/>
      <c r="F52" s="61"/>
      <c r="G52" s="277"/>
      <c r="H52" s="277"/>
      <c r="I52" s="277"/>
      <c r="J52" s="277"/>
      <c r="K52" s="73"/>
      <c r="L52" s="64"/>
      <c r="M52" s="64"/>
      <c r="N52" s="65" t="str">
        <f t="shared" si="0"/>
        <v/>
      </c>
      <c r="O52" s="66" t="str">
        <f>+IFERROR(INDEX([1]PARÁMETROS!$B$11:$B$37,MATCH(N52,[1]PARÁMETROS!$A$11:$A$37,0)),"")</f>
        <v/>
      </c>
      <c r="P52" s="74"/>
      <c r="Q52" s="66"/>
      <c r="R52" s="58"/>
      <c r="S52" s="69"/>
      <c r="T52" s="70"/>
      <c r="U52" s="66" t="str">
        <f t="shared" si="3"/>
        <v/>
      </c>
      <c r="V52" s="55" t="str">
        <f t="shared" si="1"/>
        <v/>
      </c>
      <c r="W52" s="55" t="str">
        <f t="shared" si="2"/>
        <v/>
      </c>
      <c r="X52" s="277" t="str">
        <f>+IF(W52="","",IF(W52&gt;=[1]PARÁMETROS!$D$5,"CUMPLE","NO CUMPLE"))</f>
        <v/>
      </c>
      <c r="Y52" s="139"/>
      <c r="Z52" s="109"/>
    </row>
    <row r="53" spans="1:26" s="72" customFormat="1" ht="30" customHeight="1">
      <c r="A53" s="796"/>
      <c r="B53" s="58"/>
      <c r="C53" s="75"/>
      <c r="D53" s="60" t="str">
        <f>+IFERROR(INDEX([1]CONSOLIDADO!$D$4:$D$91,MATCH('EXP ESPEC. 41'!B53,[1]CONSOLIDADO!$C$4:$C$91,0)),"")</f>
        <v/>
      </c>
      <c r="E53" s="61"/>
      <c r="F53" s="61"/>
      <c r="G53" s="277"/>
      <c r="H53" s="277"/>
      <c r="I53" s="277"/>
      <c r="J53" s="277"/>
      <c r="K53" s="73"/>
      <c r="L53" s="64"/>
      <c r="M53" s="64"/>
      <c r="N53" s="65" t="str">
        <f t="shared" si="0"/>
        <v/>
      </c>
      <c r="O53" s="66" t="str">
        <f>+IFERROR(INDEX([1]PARÁMETROS!$B$11:$B$37,MATCH(N53,[1]PARÁMETROS!$A$11:$A$37,0)),"")</f>
        <v/>
      </c>
      <c r="P53" s="74"/>
      <c r="Q53" s="66"/>
      <c r="R53" s="58"/>
      <c r="S53" s="69"/>
      <c r="T53" s="70"/>
      <c r="U53" s="66" t="str">
        <f t="shared" si="3"/>
        <v/>
      </c>
      <c r="V53" s="55" t="str">
        <f t="shared" si="1"/>
        <v/>
      </c>
      <c r="W53" s="55" t="str">
        <f t="shared" si="2"/>
        <v/>
      </c>
      <c r="X53" s="277" t="str">
        <f>+IF(W53="","",IF(W53&gt;=[1]PARÁMETROS!$D$5,"CUMPLE","NO CUMPLE"))</f>
        <v/>
      </c>
      <c r="Y53" s="139"/>
      <c r="Z53" s="109"/>
    </row>
    <row r="54" spans="1:26" s="72" customFormat="1" ht="30" customHeight="1" thickBot="1">
      <c r="A54" s="806"/>
      <c r="B54" s="141"/>
      <c r="C54" s="142"/>
      <c r="D54" s="143" t="str">
        <f>+IFERROR(INDEX([1]CONSOLIDADO!$D$4:$D$91,MATCH('EXP ESPEC. 41'!B54,[1]CONSOLIDADO!$C$4:$C$91,0)),"")</f>
        <v/>
      </c>
      <c r="E54" s="144"/>
      <c r="F54" s="144"/>
      <c r="G54" s="278"/>
      <c r="H54" s="278"/>
      <c r="I54" s="278"/>
      <c r="J54" s="278"/>
      <c r="K54" s="164"/>
      <c r="L54" s="147"/>
      <c r="M54" s="147"/>
      <c r="N54" s="148" t="str">
        <f t="shared" si="0"/>
        <v/>
      </c>
      <c r="O54" s="149" t="str">
        <f>+IFERROR(INDEX([1]PARÁMETROS!$B$11:$B$37,MATCH(N54,[1]PARÁMETROS!$A$11:$A$37,0)),"")</f>
        <v/>
      </c>
      <c r="P54" s="165"/>
      <c r="Q54" s="149"/>
      <c r="R54" s="141"/>
      <c r="S54" s="152"/>
      <c r="T54" s="153"/>
      <c r="U54" s="149" t="str">
        <f t="shared" si="3"/>
        <v/>
      </c>
      <c r="V54" s="154" t="str">
        <f t="shared" si="1"/>
        <v/>
      </c>
      <c r="W54" s="154" t="str">
        <f t="shared" si="2"/>
        <v/>
      </c>
      <c r="X54" s="278" t="str">
        <f>+IF(W54="","",IF(W54&gt;=[1]PARÁMETROS!$D$5,"CUMPLE","NO CUMPLE"))</f>
        <v/>
      </c>
      <c r="Y54" s="155"/>
      <c r="Z54" s="109"/>
    </row>
    <row r="55" spans="1:26" s="72" customFormat="1" ht="30" customHeight="1">
      <c r="A55" s="110"/>
      <c r="B55" s="110"/>
      <c r="C55" s="111"/>
      <c r="D55" s="112"/>
      <c r="E55" s="113"/>
      <c r="F55" s="113"/>
      <c r="G55" s="113"/>
      <c r="H55" s="113"/>
      <c r="I55" s="113"/>
      <c r="J55" s="113"/>
      <c r="K55" s="159"/>
      <c r="L55" s="116"/>
      <c r="M55" s="116"/>
      <c r="N55" s="160"/>
      <c r="O55" s="117"/>
      <c r="P55" s="161"/>
      <c r="Q55" s="117"/>
      <c r="R55" s="110"/>
      <c r="S55" s="120"/>
      <c r="T55" s="121"/>
      <c r="U55" s="117"/>
      <c r="V55" s="122"/>
      <c r="W55" s="122"/>
      <c r="X55" s="280"/>
      <c r="Y55" s="113"/>
    </row>
    <row r="56" spans="1:26" s="72" customFormat="1" ht="30" customHeight="1">
      <c r="A56" s="58"/>
      <c r="B56" s="58"/>
      <c r="C56" s="75"/>
      <c r="D56" s="60"/>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75"/>
      <c r="D57" s="60"/>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75"/>
      <c r="D58" s="60"/>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75"/>
      <c r="D59" s="60"/>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75"/>
      <c r="D60" s="60"/>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75"/>
      <c r="D61" s="60"/>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75"/>
      <c r="D62" s="60"/>
      <c r="E62" s="61"/>
      <c r="F62" s="61"/>
      <c r="G62" s="61"/>
      <c r="H62" s="61"/>
      <c r="I62" s="61"/>
      <c r="J62" s="61"/>
      <c r="K62" s="73"/>
      <c r="L62" s="64"/>
      <c r="M62" s="64"/>
      <c r="N62" s="65"/>
      <c r="O62" s="66"/>
      <c r="P62" s="74"/>
      <c r="Q62" s="66"/>
      <c r="R62" s="58"/>
      <c r="S62" s="69"/>
      <c r="T62" s="70"/>
      <c r="U62" s="66"/>
      <c r="V62" s="55"/>
      <c r="W62" s="55"/>
      <c r="X62" s="277"/>
      <c r="Y62" s="61"/>
    </row>
    <row r="63" spans="1:26" s="72" customFormat="1" ht="30" customHeight="1">
      <c r="A63" s="58"/>
      <c r="B63" s="58"/>
      <c r="C63" s="75"/>
      <c r="D63" s="60"/>
      <c r="E63" s="61"/>
      <c r="F63" s="61"/>
      <c r="G63" s="61"/>
      <c r="H63" s="61"/>
      <c r="I63" s="61"/>
      <c r="J63" s="61"/>
      <c r="K63" s="73"/>
      <c r="L63" s="64"/>
      <c r="M63" s="64"/>
      <c r="N63" s="65"/>
      <c r="O63" s="66"/>
      <c r="P63" s="74"/>
      <c r="Q63" s="66"/>
      <c r="R63" s="58"/>
      <c r="S63" s="69"/>
      <c r="T63" s="70"/>
      <c r="U63" s="66"/>
      <c r="V63" s="55"/>
      <c r="W63" s="55"/>
      <c r="X63" s="277"/>
      <c r="Y63" s="61"/>
    </row>
    <row r="64" spans="1:26" s="72" customFormat="1" ht="30" customHeight="1">
      <c r="A64" s="58"/>
      <c r="B64" s="58"/>
      <c r="C64" s="75"/>
      <c r="D64" s="60"/>
      <c r="E64" s="61"/>
      <c r="F64" s="61"/>
      <c r="G64" s="61"/>
      <c r="H64" s="61"/>
      <c r="I64" s="61"/>
      <c r="J64" s="61"/>
      <c r="K64" s="73"/>
      <c r="L64" s="64"/>
      <c r="M64" s="64"/>
      <c r="N64" s="65"/>
      <c r="O64" s="66"/>
      <c r="P64" s="74"/>
      <c r="Q64" s="66"/>
      <c r="R64" s="58"/>
      <c r="S64" s="69"/>
      <c r="T64" s="70"/>
      <c r="U64" s="66"/>
      <c r="V64" s="55"/>
      <c r="W64" s="55"/>
      <c r="X64" s="277"/>
      <c r="Y64" s="61"/>
    </row>
    <row r="65" spans="1:25" s="72" customFormat="1" ht="30" customHeight="1">
      <c r="A65" s="58"/>
      <c r="B65" s="58"/>
      <c r="C65" s="75"/>
      <c r="D65" s="60"/>
      <c r="E65" s="61"/>
      <c r="F65" s="61"/>
      <c r="G65" s="61"/>
      <c r="H65" s="61"/>
      <c r="I65" s="61"/>
      <c r="J65" s="61"/>
      <c r="K65" s="73"/>
      <c r="L65" s="64"/>
      <c r="M65" s="64"/>
      <c r="N65" s="65"/>
      <c r="O65" s="66"/>
      <c r="P65" s="74"/>
      <c r="Q65" s="66"/>
      <c r="R65" s="58"/>
      <c r="S65" s="69"/>
      <c r="T65" s="70"/>
      <c r="U65" s="66"/>
      <c r="V65" s="55"/>
      <c r="W65" s="55"/>
      <c r="X65" s="277"/>
      <c r="Y65" s="61"/>
    </row>
    <row r="66" spans="1:25" s="72" customFormat="1" ht="30" customHeight="1">
      <c r="A66" s="58"/>
      <c r="B66" s="58"/>
      <c r="C66" s="75"/>
      <c r="D66" s="60"/>
      <c r="E66" s="61"/>
      <c r="F66" s="61"/>
      <c r="G66" s="61"/>
      <c r="H66" s="61"/>
      <c r="I66" s="61"/>
      <c r="J66" s="61"/>
      <c r="K66" s="73"/>
      <c r="L66" s="64"/>
      <c r="M66" s="64"/>
      <c r="N66" s="65"/>
      <c r="O66" s="66"/>
      <c r="P66" s="74"/>
      <c r="Q66" s="66"/>
      <c r="R66" s="58"/>
      <c r="S66" s="69"/>
      <c r="T66" s="70"/>
      <c r="U66" s="66"/>
      <c r="V66" s="55"/>
      <c r="W66" s="55"/>
      <c r="X66" s="277"/>
      <c r="Y66" s="61"/>
    </row>
    <row r="67" spans="1:25" s="99" customFormat="1" ht="30" customHeight="1">
      <c r="A67" s="89"/>
      <c r="B67" s="89"/>
      <c r="C67" s="90"/>
      <c r="D67" s="91"/>
      <c r="E67" s="92"/>
      <c r="F67" s="92"/>
      <c r="G67" s="92"/>
      <c r="H67" s="92"/>
      <c r="I67" s="92"/>
      <c r="J67" s="92"/>
      <c r="K67" s="93"/>
      <c r="L67" s="94"/>
      <c r="M67" s="94"/>
      <c r="N67" s="95"/>
      <c r="O67" s="66"/>
      <c r="P67" s="96"/>
      <c r="Q67" s="97"/>
      <c r="R67" s="58"/>
      <c r="S67" s="69"/>
      <c r="T67" s="70"/>
      <c r="U67" s="66"/>
      <c r="V67" s="55"/>
      <c r="W67" s="55"/>
      <c r="X67" s="277"/>
      <c r="Y67" s="92"/>
    </row>
    <row r="68" spans="1:25" s="99" customFormat="1" ht="30" customHeight="1">
      <c r="A68" s="89"/>
      <c r="B68" s="89"/>
      <c r="C68" s="90"/>
      <c r="D68" s="91"/>
      <c r="E68" s="92"/>
      <c r="F68" s="92"/>
      <c r="G68" s="92"/>
      <c r="H68" s="92"/>
      <c r="I68" s="92"/>
      <c r="J68" s="92"/>
      <c r="K68" s="93"/>
      <c r="L68" s="94"/>
      <c r="M68" s="94"/>
      <c r="N68" s="95"/>
      <c r="O68" s="66"/>
      <c r="P68" s="96"/>
      <c r="Q68" s="97"/>
      <c r="R68" s="58"/>
      <c r="S68" s="69"/>
      <c r="T68" s="70"/>
      <c r="U68" s="66"/>
      <c r="V68" s="55"/>
      <c r="W68" s="55"/>
      <c r="X68" s="277"/>
      <c r="Y68" s="92"/>
    </row>
    <row r="69" spans="1:25" s="99" customFormat="1" ht="30" customHeight="1">
      <c r="A69" s="89"/>
      <c r="B69" s="89"/>
      <c r="C69" s="90"/>
      <c r="D69" s="91"/>
      <c r="E69" s="92"/>
      <c r="F69" s="92"/>
      <c r="G69" s="92"/>
      <c r="H69" s="92"/>
      <c r="I69" s="92"/>
      <c r="J69" s="92"/>
      <c r="K69" s="93"/>
      <c r="L69" s="94"/>
      <c r="M69" s="94"/>
      <c r="N69" s="95"/>
      <c r="O69" s="66"/>
      <c r="P69" s="96"/>
      <c r="Q69" s="97"/>
      <c r="R69" s="58"/>
      <c r="S69" s="69"/>
      <c r="T69" s="70"/>
      <c r="U69" s="66"/>
      <c r="V69" s="55"/>
      <c r="W69" s="55"/>
      <c r="X69" s="277"/>
      <c r="Y69" s="92"/>
    </row>
    <row r="70" spans="1:25" s="99" customFormat="1" ht="30" customHeight="1">
      <c r="A70" s="89"/>
      <c r="B70" s="89"/>
      <c r="C70" s="90"/>
      <c r="D70" s="91"/>
      <c r="E70" s="92"/>
      <c r="F70" s="92"/>
      <c r="G70" s="92"/>
      <c r="H70" s="92"/>
      <c r="I70" s="92"/>
      <c r="J70" s="92"/>
      <c r="K70" s="93"/>
      <c r="L70" s="94"/>
      <c r="M70" s="94"/>
      <c r="N70" s="95"/>
      <c r="O70" s="66"/>
      <c r="P70" s="96"/>
      <c r="Q70" s="97"/>
      <c r="R70" s="58"/>
      <c r="S70" s="69"/>
      <c r="T70" s="70"/>
      <c r="U70" s="66"/>
      <c r="V70" s="55"/>
      <c r="W70" s="55"/>
      <c r="X70" s="277"/>
      <c r="Y70" s="92"/>
    </row>
    <row r="71" spans="1:25" s="99" customFormat="1" ht="30" customHeight="1">
      <c r="A71" s="89"/>
      <c r="B71" s="89"/>
      <c r="C71" s="90"/>
      <c r="D71" s="91"/>
      <c r="E71" s="92"/>
      <c r="F71" s="92"/>
      <c r="G71" s="92"/>
      <c r="H71" s="92"/>
      <c r="I71" s="92"/>
      <c r="J71" s="92"/>
      <c r="K71" s="93"/>
      <c r="L71" s="94"/>
      <c r="M71" s="94"/>
      <c r="N71" s="95"/>
      <c r="O71" s="66"/>
      <c r="P71" s="96"/>
      <c r="Q71" s="97"/>
      <c r="R71" s="58"/>
      <c r="S71" s="69"/>
      <c r="T71" s="70"/>
      <c r="U71" s="66"/>
      <c r="V71" s="55"/>
      <c r="W71" s="55"/>
      <c r="X71" s="277"/>
      <c r="Y71" s="92"/>
    </row>
    <row r="72" spans="1:25" s="99" customFormat="1" ht="30" customHeight="1">
      <c r="A72" s="89"/>
      <c r="B72" s="89"/>
      <c r="C72" s="90"/>
      <c r="D72" s="91"/>
      <c r="E72" s="92"/>
      <c r="F72" s="92"/>
      <c r="G72" s="92"/>
      <c r="H72" s="92"/>
      <c r="I72" s="92"/>
      <c r="J72" s="92"/>
      <c r="K72" s="93"/>
      <c r="L72" s="94"/>
      <c r="M72" s="94"/>
      <c r="N72" s="95"/>
      <c r="O72" s="66"/>
      <c r="P72" s="96"/>
      <c r="Q72" s="97"/>
      <c r="R72" s="58"/>
      <c r="S72" s="69"/>
      <c r="T72" s="70"/>
      <c r="U72" s="66"/>
      <c r="V72" s="55"/>
      <c r="W72" s="55"/>
      <c r="X72" s="277"/>
      <c r="Y72" s="92"/>
    </row>
    <row r="73" spans="1:25" s="99" customFormat="1" ht="30" customHeight="1">
      <c r="A73" s="89"/>
      <c r="B73" s="89"/>
      <c r="C73" s="90"/>
      <c r="D73" s="91"/>
      <c r="E73" s="92"/>
      <c r="F73" s="92"/>
      <c r="G73" s="92"/>
      <c r="H73" s="92"/>
      <c r="I73" s="92"/>
      <c r="J73" s="92"/>
      <c r="K73" s="93"/>
      <c r="L73" s="94"/>
      <c r="M73" s="94"/>
      <c r="N73" s="95"/>
      <c r="O73" s="66"/>
      <c r="P73" s="96"/>
      <c r="Q73" s="97"/>
      <c r="R73" s="58"/>
      <c r="S73" s="69"/>
      <c r="T73" s="70"/>
      <c r="U73" s="66"/>
      <c r="V73" s="55"/>
      <c r="W73" s="55"/>
      <c r="X73" s="277"/>
      <c r="Y73" s="92"/>
    </row>
    <row r="74" spans="1:25" s="99" customFormat="1" ht="30" customHeight="1">
      <c r="A74" s="89"/>
      <c r="B74" s="89"/>
      <c r="C74" s="90"/>
      <c r="D74" s="91"/>
      <c r="E74" s="92"/>
      <c r="F74" s="92"/>
      <c r="G74" s="92"/>
      <c r="H74" s="92"/>
      <c r="I74" s="92"/>
      <c r="J74" s="92"/>
      <c r="K74" s="93"/>
      <c r="L74" s="94"/>
      <c r="M74" s="94"/>
      <c r="N74" s="95"/>
      <c r="O74" s="66"/>
      <c r="P74" s="96"/>
      <c r="Q74" s="97"/>
      <c r="R74" s="58"/>
      <c r="S74" s="69"/>
      <c r="T74" s="70"/>
      <c r="U74" s="66"/>
      <c r="V74" s="55"/>
      <c r="W74" s="55"/>
      <c r="X74" s="277"/>
      <c r="Y74" s="92"/>
    </row>
    <row r="75" spans="1:25" s="99" customFormat="1" ht="30" customHeight="1">
      <c r="A75" s="89"/>
      <c r="B75" s="89"/>
      <c r="C75" s="90"/>
      <c r="D75" s="91"/>
      <c r="E75" s="92"/>
      <c r="F75" s="92"/>
      <c r="G75" s="92"/>
      <c r="H75" s="92"/>
      <c r="I75" s="92"/>
      <c r="J75" s="92"/>
      <c r="K75" s="93"/>
      <c r="L75" s="94"/>
      <c r="M75" s="94"/>
      <c r="N75" s="95"/>
      <c r="O75" s="66"/>
      <c r="P75" s="96"/>
      <c r="Q75" s="97"/>
      <c r="R75" s="58"/>
      <c r="S75" s="69"/>
      <c r="T75" s="70"/>
      <c r="U75" s="66"/>
      <c r="V75" s="55"/>
      <c r="W75" s="55"/>
      <c r="X75" s="277"/>
      <c r="Y75" s="92"/>
    </row>
    <row r="76" spans="1:25" s="99" customFormat="1" ht="30" customHeight="1">
      <c r="A76" s="89"/>
      <c r="B76" s="89"/>
      <c r="C76" s="90"/>
      <c r="D76" s="91"/>
      <c r="E76" s="92"/>
      <c r="F76" s="92"/>
      <c r="G76" s="92"/>
      <c r="H76" s="92"/>
      <c r="I76" s="92"/>
      <c r="J76" s="92"/>
      <c r="K76" s="93"/>
      <c r="L76" s="94"/>
      <c r="M76" s="94"/>
      <c r="N76" s="95"/>
      <c r="O76" s="66"/>
      <c r="P76" s="96"/>
      <c r="Q76" s="97"/>
      <c r="R76" s="58"/>
      <c r="S76" s="69"/>
      <c r="T76" s="70"/>
      <c r="U76" s="66"/>
      <c r="V76" s="55"/>
      <c r="W76" s="55"/>
      <c r="X76" s="277"/>
      <c r="Y76" s="92"/>
    </row>
    <row r="77" spans="1:25" s="99" customFormat="1" ht="30" customHeight="1">
      <c r="A77" s="89"/>
      <c r="B77" s="89"/>
      <c r="C77" s="90"/>
      <c r="D77" s="91"/>
      <c r="E77" s="92"/>
      <c r="F77" s="92"/>
      <c r="G77" s="92"/>
      <c r="H77" s="92"/>
      <c r="I77" s="92"/>
      <c r="J77" s="92"/>
      <c r="K77" s="93"/>
      <c r="L77" s="94"/>
      <c r="M77" s="94"/>
      <c r="N77" s="95"/>
      <c r="O77" s="66"/>
      <c r="P77" s="96"/>
      <c r="Q77" s="97"/>
      <c r="R77" s="58"/>
      <c r="S77" s="69"/>
      <c r="T77" s="70"/>
      <c r="U77" s="66"/>
      <c r="V77" s="55"/>
      <c r="W77" s="55"/>
      <c r="X77" s="277"/>
      <c r="Y77" s="92"/>
    </row>
    <row r="78" spans="1:25" s="99" customFormat="1" ht="30" customHeight="1">
      <c r="A78" s="89"/>
      <c r="B78" s="89"/>
      <c r="C78" s="90"/>
      <c r="D78" s="91"/>
      <c r="E78" s="92"/>
      <c r="F78" s="92"/>
      <c r="G78" s="92"/>
      <c r="H78" s="92"/>
      <c r="I78" s="92"/>
      <c r="J78" s="92"/>
      <c r="K78" s="93"/>
      <c r="L78" s="94"/>
      <c r="M78" s="94"/>
      <c r="N78" s="95"/>
      <c r="O78" s="66"/>
      <c r="P78" s="96"/>
      <c r="Q78" s="97"/>
      <c r="R78" s="58"/>
      <c r="S78" s="69"/>
      <c r="T78" s="70"/>
      <c r="U78" s="66"/>
      <c r="V78" s="55"/>
      <c r="W78" s="55"/>
      <c r="X78" s="277"/>
      <c r="Y78" s="92"/>
    </row>
    <row r="79" spans="1:25" s="99" customFormat="1" ht="30" customHeight="1">
      <c r="A79" s="89"/>
      <c r="B79" s="89"/>
      <c r="C79" s="90"/>
      <c r="D79" s="91"/>
      <c r="E79" s="92"/>
      <c r="F79" s="92"/>
      <c r="G79" s="92"/>
      <c r="H79" s="92"/>
      <c r="I79" s="92"/>
      <c r="J79" s="92"/>
      <c r="K79" s="93"/>
      <c r="L79" s="94"/>
      <c r="M79" s="94"/>
      <c r="N79" s="95"/>
      <c r="O79" s="66"/>
      <c r="P79" s="96"/>
      <c r="Q79" s="97"/>
      <c r="R79" s="58"/>
      <c r="S79" s="69"/>
      <c r="T79" s="70"/>
      <c r="U79" s="66"/>
      <c r="V79" s="55"/>
      <c r="W79" s="55"/>
      <c r="X79" s="277"/>
      <c r="Y79" s="92"/>
    </row>
    <row r="80" spans="1:25" s="99" customFormat="1" ht="30" customHeight="1">
      <c r="A80" s="89"/>
      <c r="B80" s="89"/>
      <c r="C80" s="90"/>
      <c r="D80" s="91"/>
      <c r="E80" s="92"/>
      <c r="F80" s="92"/>
      <c r="G80" s="92"/>
      <c r="H80" s="92"/>
      <c r="I80" s="92"/>
      <c r="J80" s="92"/>
      <c r="K80" s="93"/>
      <c r="L80" s="94"/>
      <c r="M80" s="94"/>
      <c r="N80" s="95"/>
      <c r="O80" s="66"/>
      <c r="P80" s="96"/>
      <c r="Q80" s="97"/>
      <c r="R80" s="58"/>
      <c r="S80" s="69"/>
      <c r="T80" s="70"/>
      <c r="U80" s="66"/>
      <c r="V80" s="55"/>
      <c r="W80" s="55"/>
      <c r="X80" s="277"/>
      <c r="Y80" s="92"/>
    </row>
    <row r="81" spans="1:25" s="99" customFormat="1" ht="30" customHeight="1">
      <c r="A81" s="89"/>
      <c r="B81" s="89"/>
      <c r="C81" s="90"/>
      <c r="D81" s="91"/>
      <c r="E81" s="92"/>
      <c r="F81" s="92"/>
      <c r="G81" s="92"/>
      <c r="H81" s="92"/>
      <c r="I81" s="92"/>
      <c r="J81" s="92"/>
      <c r="K81" s="93"/>
      <c r="L81" s="94"/>
      <c r="M81" s="94"/>
      <c r="N81" s="95"/>
      <c r="O81" s="66"/>
      <c r="P81" s="96"/>
      <c r="Q81" s="97"/>
      <c r="R81" s="58"/>
      <c r="S81" s="69"/>
      <c r="T81" s="70"/>
      <c r="U81" s="66"/>
      <c r="V81" s="55"/>
      <c r="W81" s="55"/>
      <c r="X81" s="277"/>
      <c r="Y81" s="92"/>
    </row>
    <row r="82" spans="1:25" s="99" customFormat="1" ht="30" customHeight="1">
      <c r="A82" s="89"/>
      <c r="B82" s="89"/>
      <c r="C82" s="90"/>
      <c r="D82" s="91"/>
      <c r="E82" s="92"/>
      <c r="F82" s="92"/>
      <c r="G82" s="92"/>
      <c r="H82" s="92"/>
      <c r="I82" s="92"/>
      <c r="J82" s="92"/>
      <c r="K82" s="93"/>
      <c r="L82" s="94"/>
      <c r="M82" s="94"/>
      <c r="N82" s="95"/>
      <c r="O82" s="66"/>
      <c r="P82" s="96"/>
      <c r="Q82" s="97"/>
      <c r="R82" s="58"/>
      <c r="S82" s="69"/>
      <c r="T82" s="70"/>
      <c r="U82" s="66"/>
      <c r="V82" s="55"/>
      <c r="W82" s="55"/>
      <c r="X82" s="277"/>
      <c r="Y82" s="92"/>
    </row>
    <row r="83" spans="1:25" s="99" customFormat="1" ht="30" customHeight="1">
      <c r="A83" s="89"/>
      <c r="B83" s="89"/>
      <c r="C83" s="90"/>
      <c r="D83" s="91"/>
      <c r="E83" s="92"/>
      <c r="F83" s="92"/>
      <c r="G83" s="92"/>
      <c r="H83" s="92"/>
      <c r="I83" s="92"/>
      <c r="J83" s="92"/>
      <c r="K83" s="93"/>
      <c r="L83" s="94"/>
      <c r="M83" s="94"/>
      <c r="N83" s="95"/>
      <c r="O83" s="66"/>
      <c r="P83" s="96"/>
      <c r="Q83" s="97"/>
      <c r="R83" s="58"/>
      <c r="S83" s="69"/>
      <c r="T83" s="70"/>
      <c r="U83" s="66"/>
      <c r="V83" s="55"/>
      <c r="W83" s="55"/>
      <c r="X83" s="277"/>
      <c r="Y83" s="92"/>
    </row>
    <row r="84" spans="1:25" s="99" customFormat="1" ht="30" customHeight="1">
      <c r="A84" s="89"/>
      <c r="B84" s="89"/>
      <c r="C84" s="90"/>
      <c r="D84" s="91"/>
      <c r="E84" s="92"/>
      <c r="F84" s="92"/>
      <c r="G84" s="92"/>
      <c r="H84" s="92"/>
      <c r="I84" s="92"/>
      <c r="J84" s="92"/>
      <c r="K84" s="93"/>
      <c r="L84" s="94"/>
      <c r="M84" s="94"/>
      <c r="N84" s="95"/>
      <c r="O84" s="66"/>
      <c r="P84" s="96"/>
      <c r="Q84" s="97"/>
      <c r="R84" s="58"/>
      <c r="S84" s="69"/>
      <c r="T84" s="70"/>
      <c r="U84" s="66"/>
      <c r="V84" s="55"/>
      <c r="W84" s="55"/>
      <c r="X84" s="277"/>
      <c r="Y84" s="92"/>
    </row>
    <row r="85" spans="1:25" s="99" customFormat="1" ht="30" customHeight="1">
      <c r="A85" s="89"/>
      <c r="B85" s="89"/>
      <c r="C85" s="90"/>
      <c r="D85" s="91"/>
      <c r="E85" s="92"/>
      <c r="F85" s="92"/>
      <c r="G85" s="92"/>
      <c r="H85" s="92"/>
      <c r="I85" s="92"/>
      <c r="J85" s="92"/>
      <c r="K85" s="93"/>
      <c r="L85" s="94"/>
      <c r="M85" s="94"/>
      <c r="N85" s="95"/>
      <c r="O85" s="66"/>
      <c r="P85" s="96"/>
      <c r="Q85" s="97"/>
      <c r="R85" s="58"/>
      <c r="S85" s="69"/>
      <c r="T85" s="70"/>
      <c r="U85" s="66"/>
      <c r="V85" s="55"/>
      <c r="W85" s="55"/>
      <c r="X85" s="277"/>
      <c r="Y85" s="92"/>
    </row>
    <row r="86" spans="1:25" s="99" customFormat="1" ht="30" customHeight="1">
      <c r="A86" s="89"/>
      <c r="B86" s="89"/>
      <c r="C86" s="90"/>
      <c r="D86" s="91"/>
      <c r="E86" s="92"/>
      <c r="F86" s="92"/>
      <c r="G86" s="92"/>
      <c r="H86" s="92"/>
      <c r="I86" s="92"/>
      <c r="J86" s="92"/>
      <c r="K86" s="93"/>
      <c r="L86" s="94"/>
      <c r="M86" s="94"/>
      <c r="N86" s="95"/>
      <c r="O86" s="66"/>
      <c r="P86" s="96"/>
      <c r="Q86" s="97"/>
      <c r="R86" s="58"/>
      <c r="S86" s="69"/>
      <c r="T86" s="70"/>
      <c r="U86" s="66"/>
      <c r="V86" s="55"/>
      <c r="W86" s="55"/>
      <c r="X86" s="277"/>
      <c r="Y86" s="92"/>
    </row>
    <row r="87" spans="1:25" s="99" customFormat="1" ht="30" customHeight="1">
      <c r="A87" s="89"/>
      <c r="B87" s="89"/>
      <c r="C87" s="90"/>
      <c r="D87" s="91"/>
      <c r="E87" s="92"/>
      <c r="F87" s="92"/>
      <c r="G87" s="92"/>
      <c r="H87" s="92"/>
      <c r="I87" s="92"/>
      <c r="J87" s="92"/>
      <c r="K87" s="93"/>
      <c r="L87" s="94"/>
      <c r="M87" s="94"/>
      <c r="N87" s="95"/>
      <c r="O87" s="66"/>
      <c r="P87" s="96"/>
      <c r="Q87" s="97"/>
      <c r="R87" s="58"/>
      <c r="S87" s="69"/>
      <c r="T87" s="70"/>
      <c r="U87" s="66"/>
      <c r="V87" s="55"/>
      <c r="W87" s="55"/>
      <c r="X87" s="277"/>
      <c r="Y87" s="92"/>
    </row>
    <row r="88" spans="1:25" s="99" customFormat="1" ht="30" customHeight="1">
      <c r="A88" s="89"/>
      <c r="B88" s="89"/>
      <c r="C88" s="90"/>
      <c r="D88" s="91"/>
      <c r="E88" s="92"/>
      <c r="F88" s="92"/>
      <c r="G88" s="92"/>
      <c r="H88" s="92"/>
      <c r="I88" s="92"/>
      <c r="J88" s="92"/>
      <c r="K88" s="93"/>
      <c r="L88" s="94"/>
      <c r="M88" s="94"/>
      <c r="N88" s="95"/>
      <c r="O88" s="66"/>
      <c r="P88" s="96"/>
      <c r="Q88" s="97"/>
      <c r="R88" s="58"/>
      <c r="S88" s="69"/>
      <c r="T88" s="70"/>
      <c r="U88" s="66"/>
      <c r="V88" s="55"/>
      <c r="W88" s="55"/>
      <c r="X88" s="277"/>
      <c r="Y88" s="92"/>
    </row>
    <row r="89" spans="1:25" s="99" customFormat="1" ht="30" customHeight="1">
      <c r="A89" s="89"/>
      <c r="B89" s="89"/>
      <c r="C89" s="90"/>
      <c r="D89" s="91"/>
      <c r="E89" s="92"/>
      <c r="F89" s="92"/>
      <c r="G89" s="92"/>
      <c r="H89" s="92"/>
      <c r="I89" s="92"/>
      <c r="J89" s="92"/>
      <c r="K89" s="93"/>
      <c r="L89" s="94"/>
      <c r="M89" s="94"/>
      <c r="N89" s="95"/>
      <c r="O89" s="66"/>
      <c r="P89" s="96"/>
      <c r="Q89" s="97"/>
      <c r="R89" s="58"/>
      <c r="S89" s="69"/>
      <c r="T89" s="70"/>
      <c r="U89" s="66"/>
      <c r="V89" s="55"/>
      <c r="W89" s="55"/>
      <c r="X89" s="277"/>
      <c r="Y89" s="92"/>
    </row>
    <row r="90" spans="1:25" s="99" customFormat="1" ht="30" customHeight="1">
      <c r="A90" s="89"/>
      <c r="B90" s="89"/>
      <c r="C90" s="90"/>
      <c r="D90" s="91"/>
      <c r="E90" s="92"/>
      <c r="F90" s="92"/>
      <c r="G90" s="92"/>
      <c r="H90" s="92"/>
      <c r="I90" s="92"/>
      <c r="J90" s="92"/>
      <c r="K90" s="93"/>
      <c r="L90" s="94"/>
      <c r="M90" s="94"/>
      <c r="N90" s="95"/>
      <c r="O90" s="66"/>
      <c r="P90" s="96"/>
      <c r="Q90" s="97"/>
      <c r="R90" s="58"/>
      <c r="S90" s="69"/>
      <c r="T90" s="70"/>
      <c r="U90" s="66"/>
      <c r="V90" s="55"/>
      <c r="W90" s="55"/>
      <c r="X90" s="277"/>
      <c r="Y90" s="92"/>
    </row>
    <row r="91" spans="1:25" s="99" customFormat="1" ht="30" customHeight="1">
      <c r="A91" s="89"/>
      <c r="B91" s="89"/>
      <c r="C91" s="90"/>
      <c r="D91" s="91"/>
      <c r="E91" s="92"/>
      <c r="F91" s="92"/>
      <c r="G91" s="92"/>
      <c r="H91" s="92"/>
      <c r="I91" s="92"/>
      <c r="J91" s="92"/>
      <c r="K91" s="93"/>
      <c r="L91" s="94"/>
      <c r="M91" s="94"/>
      <c r="N91" s="95"/>
      <c r="O91" s="66"/>
      <c r="P91" s="96"/>
      <c r="Q91" s="97"/>
      <c r="R91" s="58"/>
      <c r="S91" s="69"/>
      <c r="T91" s="70"/>
      <c r="U91" s="66"/>
      <c r="V91" s="55"/>
      <c r="W91" s="55"/>
      <c r="X91" s="277"/>
      <c r="Y91" s="92"/>
    </row>
    <row r="92" spans="1:25" s="99" customFormat="1" ht="30" customHeight="1">
      <c r="A92" s="89"/>
      <c r="B92" s="89"/>
      <c r="C92" s="90"/>
      <c r="D92" s="91"/>
      <c r="E92" s="92"/>
      <c r="F92" s="92"/>
      <c r="G92" s="92"/>
      <c r="H92" s="92"/>
      <c r="I92" s="92"/>
      <c r="J92" s="92"/>
      <c r="K92" s="93"/>
      <c r="L92" s="94"/>
      <c r="M92" s="94"/>
      <c r="N92" s="95"/>
      <c r="O92" s="66"/>
      <c r="P92" s="96"/>
      <c r="Q92" s="97"/>
      <c r="R92" s="58"/>
      <c r="S92" s="69"/>
      <c r="T92" s="70"/>
      <c r="U92" s="66"/>
      <c r="V92" s="55"/>
      <c r="W92" s="55"/>
      <c r="X92" s="277"/>
      <c r="Y92" s="92"/>
    </row>
    <row r="93" spans="1:25" s="99" customFormat="1" ht="30" customHeight="1">
      <c r="A93" s="89"/>
      <c r="B93" s="89"/>
      <c r="C93" s="90"/>
      <c r="D93" s="91"/>
      <c r="E93" s="92"/>
      <c r="F93" s="92"/>
      <c r="G93" s="92"/>
      <c r="H93" s="92"/>
      <c r="I93" s="92"/>
      <c r="J93" s="92"/>
      <c r="K93" s="93"/>
      <c r="L93" s="94"/>
      <c r="M93" s="94"/>
      <c r="N93" s="95"/>
      <c r="O93" s="66"/>
      <c r="P93" s="96"/>
      <c r="Q93" s="97"/>
      <c r="R93" s="58"/>
      <c r="S93" s="69"/>
      <c r="T93" s="70"/>
      <c r="U93" s="66"/>
      <c r="V93" s="55"/>
      <c r="W93" s="55"/>
      <c r="X93" s="277"/>
      <c r="Y93" s="92"/>
    </row>
    <row r="94" spans="1:25" s="99" customFormat="1" ht="30" customHeight="1">
      <c r="A94" s="89"/>
      <c r="B94" s="89"/>
      <c r="C94" s="90"/>
      <c r="D94" s="91"/>
      <c r="E94" s="92"/>
      <c r="F94" s="92"/>
      <c r="G94" s="92"/>
      <c r="H94" s="92"/>
      <c r="I94" s="92"/>
      <c r="J94" s="92"/>
      <c r="K94" s="93"/>
      <c r="L94" s="94"/>
      <c r="M94" s="94"/>
      <c r="N94" s="95"/>
      <c r="O94" s="66"/>
      <c r="P94" s="96"/>
      <c r="Q94" s="97"/>
      <c r="R94" s="58"/>
      <c r="S94" s="69"/>
      <c r="T94" s="70"/>
      <c r="U94" s="66"/>
      <c r="V94" s="55"/>
      <c r="W94" s="55"/>
      <c r="X94" s="277"/>
      <c r="Y94" s="92"/>
    </row>
    <row r="95" spans="1:25" s="99" customFormat="1" ht="30" customHeight="1">
      <c r="A95" s="89"/>
      <c r="B95" s="89"/>
      <c r="C95" s="90"/>
      <c r="D95" s="91"/>
      <c r="E95" s="92"/>
      <c r="F95" s="92"/>
      <c r="G95" s="92"/>
      <c r="H95" s="92"/>
      <c r="I95" s="92"/>
      <c r="J95" s="92"/>
      <c r="K95" s="93"/>
      <c r="L95" s="94"/>
      <c r="M95" s="94"/>
      <c r="N95" s="95"/>
      <c r="O95" s="66"/>
      <c r="P95" s="96"/>
      <c r="Q95" s="97"/>
      <c r="R95" s="58"/>
      <c r="S95" s="69"/>
      <c r="T95" s="70"/>
      <c r="U95" s="66"/>
      <c r="V95" s="55"/>
      <c r="W95" s="55"/>
      <c r="X95" s="277"/>
      <c r="Y95" s="92"/>
    </row>
    <row r="96" spans="1:25" s="99" customFormat="1" ht="30" customHeight="1">
      <c r="A96" s="89"/>
      <c r="B96" s="89"/>
      <c r="C96" s="90"/>
      <c r="D96" s="91"/>
      <c r="E96" s="92"/>
      <c r="F96" s="92"/>
      <c r="G96" s="92"/>
      <c r="H96" s="92"/>
      <c r="I96" s="92"/>
      <c r="J96" s="92"/>
      <c r="K96" s="93"/>
      <c r="L96" s="94"/>
      <c r="M96" s="94"/>
      <c r="N96" s="95"/>
      <c r="O96" s="66"/>
      <c r="P96" s="96"/>
      <c r="Q96" s="97"/>
      <c r="R96" s="58"/>
      <c r="S96" s="69"/>
      <c r="T96" s="70"/>
      <c r="U96" s="66"/>
      <c r="V96" s="55"/>
      <c r="W96" s="55"/>
      <c r="X96" s="277"/>
      <c r="Y96" s="92"/>
    </row>
    <row r="97" spans="1:25" s="99" customFormat="1" ht="30" customHeight="1">
      <c r="A97" s="89"/>
      <c r="B97" s="89"/>
      <c r="C97" s="90"/>
      <c r="D97" s="91"/>
      <c r="E97" s="92"/>
      <c r="F97" s="92"/>
      <c r="G97" s="92"/>
      <c r="H97" s="92"/>
      <c r="I97" s="92"/>
      <c r="J97" s="92"/>
      <c r="K97" s="93"/>
      <c r="L97" s="94"/>
      <c r="M97" s="94"/>
      <c r="N97" s="95"/>
      <c r="O97" s="66"/>
      <c r="P97" s="96"/>
      <c r="Q97" s="97"/>
      <c r="R97" s="58"/>
      <c r="S97" s="69"/>
      <c r="T97" s="70"/>
      <c r="U97" s="66"/>
      <c r="V97" s="55"/>
      <c r="W97" s="55"/>
      <c r="X97" s="277"/>
      <c r="Y97" s="92"/>
    </row>
    <row r="98" spans="1:25" s="99" customFormat="1" ht="30" customHeight="1">
      <c r="A98" s="89"/>
      <c r="B98" s="89"/>
      <c r="C98" s="90"/>
      <c r="D98" s="91"/>
      <c r="E98" s="92"/>
      <c r="F98" s="92"/>
      <c r="G98" s="92"/>
      <c r="H98" s="92"/>
      <c r="I98" s="92"/>
      <c r="J98" s="92"/>
      <c r="K98" s="93"/>
      <c r="L98" s="94"/>
      <c r="M98" s="94"/>
      <c r="N98" s="95"/>
      <c r="O98" s="66"/>
      <c r="P98" s="96"/>
      <c r="Q98" s="97"/>
      <c r="R98" s="58"/>
      <c r="S98" s="69"/>
      <c r="T98" s="70"/>
      <c r="U98" s="66"/>
      <c r="V98" s="55"/>
      <c r="W98" s="55"/>
      <c r="X98" s="277"/>
      <c r="Y98" s="92"/>
    </row>
    <row r="99" spans="1:25" s="99" customFormat="1" ht="30" customHeight="1">
      <c r="A99" s="89"/>
      <c r="B99" s="89"/>
      <c r="C99" s="90"/>
      <c r="D99" s="91"/>
      <c r="E99" s="92"/>
      <c r="F99" s="92"/>
      <c r="G99" s="92"/>
      <c r="H99" s="92"/>
      <c r="I99" s="92"/>
      <c r="J99" s="92"/>
      <c r="K99" s="93"/>
      <c r="L99" s="94"/>
      <c r="M99" s="94"/>
      <c r="N99" s="95"/>
      <c r="O99" s="66"/>
      <c r="P99" s="96"/>
      <c r="Q99" s="97"/>
      <c r="R99" s="58"/>
      <c r="S99" s="69"/>
      <c r="T99" s="70"/>
      <c r="U99" s="66"/>
      <c r="V99" s="55"/>
      <c r="W99" s="55"/>
      <c r="X99" s="277"/>
      <c r="Y99" s="92"/>
    </row>
    <row r="100" spans="1:25" s="99" customFormat="1" ht="30" customHeight="1">
      <c r="A100" s="89"/>
      <c r="B100" s="89"/>
      <c r="C100" s="90"/>
      <c r="D100" s="91"/>
      <c r="E100" s="92"/>
      <c r="F100" s="92"/>
      <c r="G100" s="92"/>
      <c r="H100" s="92"/>
      <c r="I100" s="92"/>
      <c r="J100" s="92"/>
      <c r="K100" s="93"/>
      <c r="L100" s="94"/>
      <c r="M100" s="94"/>
      <c r="N100" s="95"/>
      <c r="O100" s="66"/>
      <c r="P100" s="96"/>
      <c r="Q100" s="97"/>
      <c r="R100" s="58"/>
      <c r="S100" s="69"/>
      <c r="T100" s="70"/>
      <c r="U100" s="66"/>
      <c r="V100" s="55"/>
      <c r="W100" s="55"/>
      <c r="X100" s="277"/>
      <c r="Y100" s="92"/>
    </row>
    <row r="101" spans="1:25" s="99" customFormat="1" ht="30" customHeight="1">
      <c r="A101" s="89"/>
      <c r="B101" s="89"/>
      <c r="C101" s="90"/>
      <c r="D101" s="91"/>
      <c r="E101" s="92"/>
      <c r="F101" s="92"/>
      <c r="G101" s="92"/>
      <c r="H101" s="92"/>
      <c r="I101" s="92"/>
      <c r="J101" s="92"/>
      <c r="K101" s="93"/>
      <c r="L101" s="94"/>
      <c r="M101" s="94"/>
      <c r="N101" s="95"/>
      <c r="O101" s="66"/>
      <c r="P101" s="96"/>
      <c r="Q101" s="97"/>
      <c r="R101" s="58"/>
      <c r="S101" s="69"/>
      <c r="T101" s="70"/>
      <c r="U101" s="66"/>
      <c r="V101" s="55"/>
      <c r="W101" s="55"/>
      <c r="X101" s="277"/>
      <c r="Y101" s="92"/>
    </row>
    <row r="102" spans="1:25" s="99" customFormat="1" ht="30" customHeight="1">
      <c r="A102" s="89"/>
      <c r="B102" s="89"/>
      <c r="C102" s="90"/>
      <c r="D102" s="91"/>
      <c r="E102" s="92"/>
      <c r="F102" s="92"/>
      <c r="G102" s="92"/>
      <c r="H102" s="92"/>
      <c r="I102" s="92"/>
      <c r="J102" s="92"/>
      <c r="K102" s="93"/>
      <c r="L102" s="94"/>
      <c r="M102" s="94"/>
      <c r="N102" s="95"/>
      <c r="O102" s="66"/>
      <c r="P102" s="96"/>
      <c r="Q102" s="97"/>
      <c r="R102" s="58"/>
      <c r="S102" s="69"/>
      <c r="T102" s="70"/>
      <c r="U102" s="66"/>
      <c r="V102" s="55"/>
      <c r="W102" s="55"/>
      <c r="X102" s="277"/>
      <c r="Y102" s="92"/>
    </row>
    <row r="103" spans="1:25" s="99" customFormat="1" ht="30" customHeight="1">
      <c r="A103" s="89"/>
      <c r="B103" s="89"/>
      <c r="C103" s="90"/>
      <c r="D103" s="91"/>
      <c r="E103" s="92"/>
      <c r="F103" s="92"/>
      <c r="G103" s="92"/>
      <c r="H103" s="92"/>
      <c r="I103" s="92"/>
      <c r="J103" s="92"/>
      <c r="K103" s="93"/>
      <c r="L103" s="94"/>
      <c r="M103" s="94"/>
      <c r="N103" s="95"/>
      <c r="O103" s="66"/>
      <c r="P103" s="96"/>
      <c r="Q103" s="97"/>
      <c r="R103" s="58"/>
      <c r="S103" s="69"/>
      <c r="T103" s="70"/>
      <c r="U103" s="66"/>
      <c r="V103" s="55"/>
      <c r="W103" s="55"/>
      <c r="X103" s="277"/>
      <c r="Y103" s="92"/>
    </row>
    <row r="104" spans="1:25" s="99" customFormat="1" ht="30" customHeight="1">
      <c r="A104" s="89"/>
      <c r="B104" s="89"/>
      <c r="C104" s="90"/>
      <c r="D104" s="91"/>
      <c r="E104" s="92"/>
      <c r="F104" s="92"/>
      <c r="G104" s="92"/>
      <c r="H104" s="92"/>
      <c r="I104" s="92"/>
      <c r="J104" s="92"/>
      <c r="K104" s="93"/>
      <c r="L104" s="94"/>
      <c r="M104" s="94"/>
      <c r="N104" s="95"/>
      <c r="O104" s="66"/>
      <c r="P104" s="96"/>
      <c r="Q104" s="97"/>
      <c r="R104" s="58"/>
      <c r="S104" s="69"/>
      <c r="T104" s="70"/>
      <c r="U104" s="66"/>
      <c r="V104" s="55"/>
      <c r="W104" s="55"/>
      <c r="X104" s="277"/>
      <c r="Y104" s="92"/>
    </row>
    <row r="105" spans="1:25" s="99" customFormat="1" ht="30" customHeight="1">
      <c r="A105" s="89"/>
      <c r="B105" s="89"/>
      <c r="C105" s="90"/>
      <c r="D105" s="91"/>
      <c r="E105" s="92"/>
      <c r="F105" s="92"/>
      <c r="G105" s="92"/>
      <c r="H105" s="92"/>
      <c r="I105" s="92"/>
      <c r="J105" s="92"/>
      <c r="K105" s="93"/>
      <c r="L105" s="94"/>
      <c r="M105" s="94"/>
      <c r="N105" s="95"/>
      <c r="O105" s="66"/>
      <c r="P105" s="96"/>
      <c r="Q105" s="97"/>
      <c r="R105" s="58"/>
      <c r="S105" s="69"/>
      <c r="T105" s="70"/>
      <c r="U105" s="66"/>
      <c r="V105" s="55"/>
      <c r="W105" s="55"/>
      <c r="X105" s="277"/>
      <c r="Y105" s="92"/>
    </row>
    <row r="106" spans="1:25" s="99" customFormat="1" ht="30" customHeight="1">
      <c r="A106" s="89"/>
      <c r="B106" s="89"/>
      <c r="C106" s="90"/>
      <c r="D106" s="91"/>
      <c r="E106" s="92"/>
      <c r="F106" s="92"/>
      <c r="G106" s="92"/>
      <c r="H106" s="92"/>
      <c r="I106" s="92"/>
      <c r="J106" s="92"/>
      <c r="K106" s="93"/>
      <c r="L106" s="94"/>
      <c r="M106" s="94"/>
      <c r="N106" s="95"/>
      <c r="O106" s="66"/>
      <c r="P106" s="96"/>
      <c r="Q106" s="97"/>
      <c r="R106" s="58"/>
      <c r="S106" s="69"/>
      <c r="T106" s="70"/>
      <c r="U106" s="66"/>
      <c r="V106" s="55"/>
      <c r="W106" s="55"/>
      <c r="X106" s="277"/>
      <c r="Y106" s="92"/>
    </row>
    <row r="107" spans="1:25" s="99" customFormat="1" ht="30" customHeight="1">
      <c r="A107" s="89"/>
      <c r="B107" s="89"/>
      <c r="C107" s="90"/>
      <c r="D107" s="91"/>
      <c r="E107" s="92"/>
      <c r="F107" s="92"/>
      <c r="G107" s="92"/>
      <c r="H107" s="92"/>
      <c r="I107" s="92"/>
      <c r="J107" s="92"/>
      <c r="K107" s="93"/>
      <c r="L107" s="94"/>
      <c r="M107" s="94"/>
      <c r="N107" s="95"/>
      <c r="O107" s="66"/>
      <c r="P107" s="96"/>
      <c r="Q107" s="97"/>
      <c r="R107" s="58"/>
      <c r="S107" s="69"/>
      <c r="T107" s="70"/>
      <c r="U107" s="66"/>
      <c r="V107" s="55"/>
      <c r="W107" s="55"/>
      <c r="X107" s="277"/>
      <c r="Y107" s="92"/>
    </row>
    <row r="108" spans="1:25" s="99" customFormat="1" ht="30" customHeight="1">
      <c r="A108" s="89"/>
      <c r="B108" s="89"/>
      <c r="C108" s="90"/>
      <c r="D108" s="91"/>
      <c r="E108" s="92"/>
      <c r="F108" s="92"/>
      <c r="G108" s="92"/>
      <c r="H108" s="92"/>
      <c r="I108" s="92"/>
      <c r="J108" s="92"/>
      <c r="K108" s="93"/>
      <c r="L108" s="94"/>
      <c r="M108" s="94"/>
      <c r="N108" s="95"/>
      <c r="O108" s="66"/>
      <c r="P108" s="96"/>
      <c r="Q108" s="97"/>
      <c r="R108" s="58"/>
      <c r="S108" s="69"/>
      <c r="T108" s="70"/>
      <c r="U108" s="66"/>
      <c r="V108" s="55"/>
      <c r="W108" s="55"/>
      <c r="X108" s="277"/>
      <c r="Y108" s="92"/>
    </row>
    <row r="109" spans="1:25" s="99" customFormat="1" ht="30" customHeight="1">
      <c r="A109" s="89"/>
      <c r="B109" s="89"/>
      <c r="C109" s="90"/>
      <c r="D109" s="91"/>
      <c r="E109" s="92"/>
      <c r="F109" s="92"/>
      <c r="G109" s="92"/>
      <c r="H109" s="92"/>
      <c r="I109" s="92"/>
      <c r="J109" s="92"/>
      <c r="K109" s="93"/>
      <c r="L109" s="94"/>
      <c r="M109" s="94"/>
      <c r="N109" s="95"/>
      <c r="O109" s="66"/>
      <c r="P109" s="96"/>
      <c r="Q109" s="97"/>
      <c r="R109" s="58"/>
      <c r="S109" s="69"/>
      <c r="T109" s="70"/>
      <c r="U109" s="66"/>
      <c r="V109" s="55"/>
      <c r="W109" s="55"/>
      <c r="X109" s="277"/>
      <c r="Y109" s="92"/>
    </row>
    <row r="110" spans="1:25" s="99" customFormat="1" ht="65.099999999999994" customHeight="1">
      <c r="A110" s="89"/>
      <c r="B110" s="89"/>
      <c r="C110" s="90"/>
      <c r="D110" s="91"/>
      <c r="E110" s="92"/>
      <c r="F110" s="92"/>
      <c r="G110" s="92"/>
      <c r="H110" s="92"/>
      <c r="I110" s="92"/>
      <c r="J110" s="92"/>
      <c r="K110" s="93"/>
      <c r="L110" s="94"/>
      <c r="M110" s="94"/>
      <c r="N110" s="95"/>
      <c r="O110" s="66"/>
      <c r="P110" s="96"/>
      <c r="Q110" s="97"/>
      <c r="R110" s="58"/>
      <c r="S110" s="69"/>
      <c r="T110" s="70"/>
      <c r="U110" s="66"/>
      <c r="V110" s="55"/>
      <c r="W110" s="55"/>
      <c r="X110" s="277"/>
      <c r="Y110" s="92"/>
    </row>
    <row r="111" spans="1:25" s="99" customFormat="1" ht="65.099999999999994" customHeight="1">
      <c r="A111" s="89"/>
      <c r="B111" s="89"/>
      <c r="C111" s="90"/>
      <c r="D111" s="91"/>
      <c r="E111" s="92"/>
      <c r="F111" s="92"/>
      <c r="G111" s="92"/>
      <c r="H111" s="92"/>
      <c r="I111" s="92"/>
      <c r="J111" s="92"/>
      <c r="K111" s="93"/>
      <c r="L111" s="94"/>
      <c r="M111" s="94"/>
      <c r="N111" s="95"/>
      <c r="O111" s="66"/>
      <c r="P111" s="96"/>
      <c r="Q111" s="97"/>
      <c r="R111" s="58"/>
      <c r="S111" s="69"/>
      <c r="T111" s="70"/>
      <c r="U111" s="66"/>
      <c r="V111" s="55"/>
      <c r="W111" s="55"/>
      <c r="X111" s="277"/>
      <c r="Y111" s="92"/>
    </row>
    <row r="112" spans="1:25" s="99" customFormat="1" ht="65.099999999999994" customHeight="1">
      <c r="A112" s="89"/>
      <c r="B112" s="89"/>
      <c r="C112" s="90"/>
      <c r="D112" s="91"/>
      <c r="E112" s="92"/>
      <c r="F112" s="92"/>
      <c r="G112" s="92"/>
      <c r="H112" s="92"/>
      <c r="I112" s="92"/>
      <c r="J112" s="92"/>
      <c r="K112" s="93"/>
      <c r="L112" s="94"/>
      <c r="M112" s="94"/>
      <c r="N112" s="95"/>
      <c r="O112" s="66"/>
      <c r="P112" s="96"/>
      <c r="Q112" s="97"/>
      <c r="R112" s="58"/>
      <c r="S112" s="69"/>
      <c r="T112" s="70"/>
      <c r="U112" s="66"/>
      <c r="V112" s="55"/>
      <c r="W112" s="55"/>
      <c r="X112" s="277"/>
      <c r="Y112" s="92"/>
    </row>
    <row r="113" spans="1:25" s="99" customFormat="1" ht="65.099999999999994" customHeight="1">
      <c r="A113" s="89"/>
      <c r="B113" s="89"/>
      <c r="C113" s="90"/>
      <c r="D113" s="91"/>
      <c r="E113" s="92"/>
      <c r="F113" s="92"/>
      <c r="G113" s="92"/>
      <c r="H113" s="92"/>
      <c r="I113" s="92"/>
      <c r="J113" s="92"/>
      <c r="K113" s="93"/>
      <c r="L113" s="94"/>
      <c r="M113" s="94"/>
      <c r="N113" s="95"/>
      <c r="O113" s="66"/>
      <c r="P113" s="96"/>
      <c r="Q113" s="97"/>
      <c r="R113" s="58"/>
      <c r="S113" s="69"/>
      <c r="T113" s="70"/>
      <c r="U113" s="66"/>
      <c r="V113" s="55"/>
      <c r="W113" s="55"/>
      <c r="X113" s="277"/>
      <c r="Y113" s="92"/>
    </row>
    <row r="114" spans="1:25" s="99" customFormat="1" ht="65.099999999999994" customHeight="1">
      <c r="A114" s="89"/>
      <c r="B114" s="89"/>
      <c r="C114" s="90"/>
      <c r="D114" s="91"/>
      <c r="E114" s="92"/>
      <c r="F114" s="92"/>
      <c r="G114" s="92"/>
      <c r="H114" s="92"/>
      <c r="I114" s="92"/>
      <c r="J114" s="92"/>
      <c r="K114" s="93"/>
      <c r="L114" s="94"/>
      <c r="M114" s="94"/>
      <c r="N114" s="95"/>
      <c r="O114" s="66"/>
      <c r="P114" s="96"/>
      <c r="Q114" s="97"/>
      <c r="R114" s="58"/>
      <c r="S114" s="69"/>
      <c r="T114" s="70"/>
      <c r="U114" s="66"/>
      <c r="V114" s="55"/>
      <c r="W114" s="55"/>
      <c r="X114" s="277"/>
      <c r="Y114" s="92"/>
    </row>
    <row r="115" spans="1:25" s="99" customFormat="1" ht="65.099999999999994" customHeight="1">
      <c r="A115" s="89"/>
      <c r="B115" s="89"/>
      <c r="C115" s="90"/>
      <c r="D115" s="91"/>
      <c r="E115" s="92"/>
      <c r="F115" s="92"/>
      <c r="G115" s="92"/>
      <c r="H115" s="92"/>
      <c r="I115" s="92"/>
      <c r="J115" s="92"/>
      <c r="K115" s="93"/>
      <c r="L115" s="94"/>
      <c r="M115" s="94"/>
      <c r="N115" s="95"/>
      <c r="O115" s="66"/>
      <c r="P115" s="96"/>
      <c r="Q115" s="97"/>
      <c r="R115" s="58"/>
      <c r="S115" s="69"/>
      <c r="T115" s="70"/>
      <c r="U115" s="66"/>
      <c r="V115" s="55"/>
      <c r="W115" s="55"/>
      <c r="X115" s="277"/>
      <c r="Y115" s="92"/>
    </row>
    <row r="116" spans="1:25" s="99" customFormat="1" ht="65.099999999999994" customHeight="1">
      <c r="A116" s="89"/>
      <c r="B116" s="89"/>
      <c r="C116" s="90"/>
      <c r="D116" s="91"/>
      <c r="E116" s="92"/>
      <c r="F116" s="92"/>
      <c r="G116" s="92"/>
      <c r="H116" s="92"/>
      <c r="I116" s="92"/>
      <c r="J116" s="92"/>
      <c r="K116" s="93"/>
      <c r="L116" s="94"/>
      <c r="M116" s="94"/>
      <c r="N116" s="95"/>
      <c r="O116" s="66"/>
      <c r="P116" s="96"/>
      <c r="Q116" s="97"/>
      <c r="R116" s="58"/>
      <c r="S116" s="69"/>
      <c r="T116" s="70"/>
      <c r="U116" s="66"/>
      <c r="V116" s="55"/>
      <c r="W116" s="55"/>
      <c r="X116" s="277"/>
      <c r="Y116" s="92"/>
    </row>
    <row r="117" spans="1:25" s="99" customFormat="1" ht="65.099999999999994" customHeight="1">
      <c r="A117" s="89"/>
      <c r="B117" s="89"/>
      <c r="C117" s="90"/>
      <c r="D117" s="91"/>
      <c r="E117" s="92"/>
      <c r="F117" s="92"/>
      <c r="G117" s="92"/>
      <c r="H117" s="92"/>
      <c r="I117" s="92"/>
      <c r="J117" s="92"/>
      <c r="K117" s="93"/>
      <c r="L117" s="94"/>
      <c r="M117" s="94"/>
      <c r="N117" s="95"/>
      <c r="O117" s="66"/>
      <c r="P117" s="96"/>
      <c r="Q117" s="97"/>
      <c r="R117" s="58"/>
      <c r="S117" s="69"/>
      <c r="T117" s="70"/>
      <c r="U117" s="66"/>
      <c r="V117" s="55"/>
      <c r="W117" s="55"/>
      <c r="X117" s="277"/>
      <c r="Y117" s="92"/>
    </row>
    <row r="118" spans="1:25" s="99" customFormat="1" ht="65.099999999999994" customHeight="1">
      <c r="A118" s="89"/>
      <c r="B118" s="89"/>
      <c r="C118" s="90"/>
      <c r="D118" s="91"/>
      <c r="E118" s="92"/>
      <c r="F118" s="92"/>
      <c r="G118" s="92"/>
      <c r="H118" s="92"/>
      <c r="I118" s="92"/>
      <c r="J118" s="92"/>
      <c r="K118" s="93"/>
      <c r="L118" s="94"/>
      <c r="M118" s="94"/>
      <c r="N118" s="95"/>
      <c r="O118" s="66"/>
      <c r="P118" s="96"/>
      <c r="Q118" s="97"/>
      <c r="R118" s="58"/>
      <c r="S118" s="69"/>
      <c r="T118" s="70"/>
      <c r="U118" s="66"/>
      <c r="V118" s="55"/>
      <c r="W118" s="55"/>
      <c r="X118" s="277"/>
      <c r="Y118" s="92"/>
    </row>
    <row r="119" spans="1:25" s="99" customFormat="1" ht="65.099999999999994" customHeight="1">
      <c r="A119" s="89"/>
      <c r="B119" s="89"/>
      <c r="C119" s="90"/>
      <c r="D119" s="91"/>
      <c r="E119" s="92"/>
      <c r="F119" s="92"/>
      <c r="G119" s="92"/>
      <c r="H119" s="92"/>
      <c r="I119" s="92"/>
      <c r="J119" s="92"/>
      <c r="K119" s="93"/>
      <c r="L119" s="94"/>
      <c r="M119" s="94"/>
      <c r="N119" s="95"/>
      <c r="O119" s="66"/>
      <c r="P119" s="96"/>
      <c r="Q119" s="97"/>
      <c r="R119" s="58"/>
      <c r="S119" s="69"/>
      <c r="T119" s="70"/>
      <c r="U119" s="66"/>
      <c r="V119" s="55"/>
      <c r="W119" s="55"/>
      <c r="X119" s="277"/>
      <c r="Y119" s="92"/>
    </row>
    <row r="120" spans="1:25" s="99" customFormat="1" ht="65.099999999999994" customHeight="1">
      <c r="A120" s="89"/>
      <c r="B120" s="89"/>
      <c r="C120" s="90"/>
      <c r="D120" s="91"/>
      <c r="E120" s="92"/>
      <c r="F120" s="92"/>
      <c r="G120" s="92"/>
      <c r="H120" s="92"/>
      <c r="I120" s="92"/>
      <c r="J120" s="92"/>
      <c r="K120" s="93"/>
      <c r="L120" s="94"/>
      <c r="M120" s="94"/>
      <c r="N120" s="95"/>
      <c r="O120" s="66"/>
      <c r="P120" s="96"/>
      <c r="Q120" s="97"/>
      <c r="R120" s="58"/>
      <c r="S120" s="69"/>
      <c r="T120" s="70"/>
      <c r="U120" s="66"/>
      <c r="V120" s="55"/>
      <c r="W120" s="55"/>
      <c r="X120" s="277"/>
      <c r="Y120" s="92"/>
    </row>
    <row r="121" spans="1:25" s="99" customFormat="1" ht="65.099999999999994" customHeight="1">
      <c r="A121" s="89"/>
      <c r="B121" s="89"/>
      <c r="C121" s="90"/>
      <c r="D121" s="91"/>
      <c r="E121" s="92"/>
      <c r="F121" s="92"/>
      <c r="G121" s="92"/>
      <c r="H121" s="92"/>
      <c r="I121" s="92"/>
      <c r="J121" s="92"/>
      <c r="K121" s="93"/>
      <c r="L121" s="94"/>
      <c r="M121" s="94"/>
      <c r="N121" s="95"/>
      <c r="O121" s="66"/>
      <c r="P121" s="96"/>
      <c r="Q121" s="97"/>
      <c r="R121" s="58"/>
      <c r="S121" s="69"/>
      <c r="T121" s="70"/>
      <c r="U121" s="66"/>
      <c r="V121" s="55"/>
      <c r="W121" s="55"/>
      <c r="X121" s="277"/>
      <c r="Y121" s="92"/>
    </row>
    <row r="122" spans="1:25" s="99" customFormat="1" ht="65.099999999999994" customHeight="1">
      <c r="A122" s="89"/>
      <c r="B122" s="89"/>
      <c r="C122" s="90"/>
      <c r="D122" s="91"/>
      <c r="E122" s="92"/>
      <c r="F122" s="92"/>
      <c r="G122" s="92"/>
      <c r="H122" s="92"/>
      <c r="I122" s="92"/>
      <c r="J122" s="92"/>
      <c r="K122" s="93"/>
      <c r="L122" s="94"/>
      <c r="M122" s="94"/>
      <c r="N122" s="95"/>
      <c r="O122" s="66"/>
      <c r="P122" s="96"/>
      <c r="Q122" s="97"/>
      <c r="R122" s="58"/>
      <c r="S122" s="69"/>
      <c r="T122" s="70"/>
      <c r="U122" s="66"/>
      <c r="V122" s="55"/>
      <c r="W122" s="55"/>
      <c r="X122" s="277"/>
      <c r="Y122" s="92"/>
    </row>
    <row r="123" spans="1:25" s="99" customFormat="1" ht="65.099999999999994" customHeight="1">
      <c r="A123" s="89"/>
      <c r="B123" s="89"/>
      <c r="C123" s="90"/>
      <c r="D123" s="91"/>
      <c r="E123" s="92"/>
      <c r="F123" s="92"/>
      <c r="G123" s="92"/>
      <c r="H123" s="92"/>
      <c r="I123" s="92"/>
      <c r="J123" s="92"/>
      <c r="K123" s="93"/>
      <c r="L123" s="94"/>
      <c r="M123" s="94"/>
      <c r="N123" s="95"/>
      <c r="O123" s="66"/>
      <c r="P123" s="96"/>
      <c r="Q123" s="97"/>
      <c r="R123" s="58"/>
      <c r="S123" s="69"/>
      <c r="T123" s="70"/>
      <c r="U123" s="66"/>
      <c r="V123" s="55"/>
      <c r="W123" s="55"/>
      <c r="X123" s="277"/>
      <c r="Y123" s="92"/>
    </row>
    <row r="124" spans="1:25" s="99" customFormat="1" ht="65.099999999999994" customHeight="1">
      <c r="A124" s="89"/>
      <c r="B124" s="89"/>
      <c r="C124" s="90"/>
      <c r="D124" s="91"/>
      <c r="E124" s="92"/>
      <c r="F124" s="92"/>
      <c r="G124" s="92"/>
      <c r="H124" s="92"/>
      <c r="I124" s="92"/>
      <c r="J124" s="92"/>
      <c r="K124" s="93"/>
      <c r="L124" s="94"/>
      <c r="M124" s="94"/>
      <c r="N124" s="95"/>
      <c r="O124" s="66"/>
      <c r="P124" s="96"/>
      <c r="Q124" s="97"/>
      <c r="R124" s="58"/>
      <c r="S124" s="69"/>
      <c r="T124" s="70"/>
      <c r="U124" s="66"/>
      <c r="V124" s="55"/>
      <c r="W124" s="55"/>
      <c r="X124" s="277"/>
      <c r="Y124" s="92"/>
    </row>
    <row r="125" spans="1:25" s="99" customFormat="1" ht="65.099999999999994" customHeight="1">
      <c r="A125" s="89"/>
      <c r="B125" s="89"/>
      <c r="C125" s="90"/>
      <c r="D125" s="91"/>
      <c r="E125" s="92"/>
      <c r="F125" s="92"/>
      <c r="G125" s="92"/>
      <c r="H125" s="92"/>
      <c r="I125" s="92"/>
      <c r="J125" s="92"/>
      <c r="K125" s="93"/>
      <c r="L125" s="94"/>
      <c r="M125" s="94"/>
      <c r="N125" s="95"/>
      <c r="O125" s="66"/>
      <c r="P125" s="96"/>
      <c r="Q125" s="97"/>
      <c r="R125" s="58"/>
      <c r="S125" s="69"/>
      <c r="T125" s="70"/>
      <c r="U125" s="66"/>
      <c r="V125" s="55"/>
      <c r="W125" s="55"/>
      <c r="X125" s="277"/>
      <c r="Y125" s="92"/>
    </row>
    <row r="126" spans="1:25" s="99" customFormat="1" ht="65.099999999999994" customHeight="1">
      <c r="A126" s="89"/>
      <c r="B126" s="89"/>
      <c r="C126" s="90"/>
      <c r="D126" s="91"/>
      <c r="E126" s="92"/>
      <c r="F126" s="92"/>
      <c r="G126" s="92"/>
      <c r="H126" s="92"/>
      <c r="I126" s="92"/>
      <c r="J126" s="92"/>
      <c r="K126" s="93"/>
      <c r="L126" s="94"/>
      <c r="M126" s="94"/>
      <c r="N126" s="95"/>
      <c r="O126" s="66"/>
      <c r="P126" s="96"/>
      <c r="Q126" s="97"/>
      <c r="R126" s="58"/>
      <c r="S126" s="69"/>
      <c r="T126" s="70"/>
      <c r="U126" s="66"/>
      <c r="V126" s="55"/>
      <c r="W126" s="55"/>
      <c r="X126" s="277"/>
      <c r="Y126" s="92"/>
    </row>
    <row r="127" spans="1:25" s="99" customFormat="1" ht="65.099999999999994" customHeight="1">
      <c r="A127" s="89"/>
      <c r="B127" s="89"/>
      <c r="C127" s="90"/>
      <c r="D127" s="91"/>
      <c r="E127" s="92"/>
      <c r="F127" s="92"/>
      <c r="G127" s="92"/>
      <c r="H127" s="92"/>
      <c r="I127" s="92"/>
      <c r="J127" s="92"/>
      <c r="K127" s="93"/>
      <c r="L127" s="94"/>
      <c r="M127" s="94"/>
      <c r="N127" s="95"/>
      <c r="O127" s="66"/>
      <c r="P127" s="96"/>
      <c r="Q127" s="97"/>
      <c r="R127" s="58"/>
      <c r="S127" s="69"/>
      <c r="T127" s="70"/>
      <c r="U127" s="66"/>
      <c r="V127" s="55"/>
      <c r="W127" s="55"/>
      <c r="X127" s="277"/>
      <c r="Y127" s="92"/>
    </row>
    <row r="128" spans="1:25" s="99" customFormat="1" ht="65.099999999999994" customHeight="1">
      <c r="A128" s="89"/>
      <c r="B128" s="89"/>
      <c r="C128" s="90"/>
      <c r="D128" s="91"/>
      <c r="E128" s="92"/>
      <c r="F128" s="92"/>
      <c r="G128" s="92"/>
      <c r="H128" s="92"/>
      <c r="I128" s="92"/>
      <c r="J128" s="92"/>
      <c r="K128" s="93"/>
      <c r="L128" s="94"/>
      <c r="M128" s="94"/>
      <c r="N128" s="95"/>
      <c r="O128" s="66"/>
      <c r="P128" s="96"/>
      <c r="Q128" s="97"/>
      <c r="R128" s="58"/>
      <c r="S128" s="69"/>
      <c r="T128" s="70"/>
      <c r="U128" s="66"/>
      <c r="V128" s="55"/>
      <c r="W128" s="55"/>
      <c r="X128" s="277"/>
      <c r="Y128" s="92"/>
    </row>
    <row r="129" spans="1:25" s="99" customFormat="1" ht="65.099999999999994" customHeight="1">
      <c r="A129" s="89"/>
      <c r="B129" s="89"/>
      <c r="C129" s="90"/>
      <c r="D129" s="91"/>
      <c r="E129" s="92"/>
      <c r="F129" s="92"/>
      <c r="G129" s="92"/>
      <c r="H129" s="92"/>
      <c r="I129" s="92"/>
      <c r="J129" s="92"/>
      <c r="K129" s="93"/>
      <c r="L129" s="94"/>
      <c r="M129" s="94"/>
      <c r="N129" s="95"/>
      <c r="O129" s="66"/>
      <c r="P129" s="96"/>
      <c r="Q129" s="97"/>
      <c r="R129" s="58"/>
      <c r="S129" s="69"/>
      <c r="T129" s="70"/>
      <c r="U129" s="66"/>
      <c r="V129" s="55"/>
      <c r="W129" s="55"/>
      <c r="X129" s="277"/>
      <c r="Y129" s="92"/>
    </row>
    <row r="130" spans="1:25" s="99" customFormat="1" ht="65.099999999999994" customHeight="1">
      <c r="A130" s="89"/>
      <c r="B130" s="89"/>
      <c r="C130" s="90"/>
      <c r="D130" s="91"/>
      <c r="E130" s="92"/>
      <c r="F130" s="92"/>
      <c r="G130" s="92"/>
      <c r="H130" s="92"/>
      <c r="I130" s="92"/>
      <c r="J130" s="92"/>
      <c r="K130" s="93"/>
      <c r="L130" s="94"/>
      <c r="M130" s="94"/>
      <c r="N130" s="95"/>
      <c r="O130" s="66"/>
      <c r="P130" s="96"/>
      <c r="Q130" s="97"/>
      <c r="R130" s="58"/>
      <c r="S130" s="69"/>
      <c r="T130" s="70"/>
      <c r="U130" s="66"/>
      <c r="V130" s="55"/>
      <c r="W130" s="55"/>
      <c r="X130" s="277"/>
      <c r="Y130" s="92"/>
    </row>
    <row r="131" spans="1:25" s="99" customFormat="1" ht="65.099999999999994" customHeight="1">
      <c r="A131" s="89"/>
      <c r="B131" s="89"/>
      <c r="C131" s="90"/>
      <c r="D131" s="91"/>
      <c r="E131" s="92"/>
      <c r="F131" s="92"/>
      <c r="G131" s="92"/>
      <c r="H131" s="92"/>
      <c r="I131" s="92"/>
      <c r="J131" s="92"/>
      <c r="K131" s="93"/>
      <c r="L131" s="94"/>
      <c r="M131" s="94"/>
      <c r="N131" s="95"/>
      <c r="O131" s="66"/>
      <c r="P131" s="96"/>
      <c r="Q131" s="97"/>
      <c r="R131" s="58"/>
      <c r="S131" s="69"/>
      <c r="T131" s="70"/>
      <c r="U131" s="66"/>
      <c r="V131" s="55"/>
      <c r="W131" s="55"/>
      <c r="X131" s="277"/>
      <c r="Y131" s="92"/>
    </row>
    <row r="132" spans="1:25" s="99" customFormat="1" ht="65.099999999999994" customHeight="1">
      <c r="A132" s="89"/>
      <c r="B132" s="89"/>
      <c r="C132" s="90"/>
      <c r="D132" s="91"/>
      <c r="E132" s="92"/>
      <c r="F132" s="92"/>
      <c r="G132" s="92"/>
      <c r="H132" s="92"/>
      <c r="I132" s="92"/>
      <c r="J132" s="92"/>
      <c r="K132" s="93"/>
      <c r="L132" s="94"/>
      <c r="M132" s="94"/>
      <c r="N132" s="95"/>
      <c r="O132" s="66"/>
      <c r="P132" s="96"/>
      <c r="Q132" s="97"/>
      <c r="R132" s="58"/>
      <c r="S132" s="69"/>
      <c r="T132" s="70"/>
      <c r="U132" s="66"/>
      <c r="V132" s="55"/>
      <c r="W132" s="55"/>
      <c r="X132" s="277"/>
      <c r="Y132" s="92"/>
    </row>
    <row r="133" spans="1:25" s="99" customFormat="1" ht="65.099999999999994" customHeight="1">
      <c r="A133" s="89"/>
      <c r="B133" s="89"/>
      <c r="C133" s="90"/>
      <c r="D133" s="91"/>
      <c r="E133" s="92"/>
      <c r="F133" s="92"/>
      <c r="G133" s="92"/>
      <c r="H133" s="92"/>
      <c r="I133" s="92"/>
      <c r="J133" s="92"/>
      <c r="K133" s="93"/>
      <c r="L133" s="94"/>
      <c r="M133" s="94"/>
      <c r="N133" s="95"/>
      <c r="O133" s="66"/>
      <c r="P133" s="96"/>
      <c r="Q133" s="97"/>
      <c r="R133" s="58"/>
      <c r="S133" s="69"/>
      <c r="T133" s="70"/>
      <c r="U133" s="66"/>
      <c r="V133" s="55"/>
      <c r="W133" s="55"/>
      <c r="X133" s="277"/>
      <c r="Y133" s="92"/>
    </row>
    <row r="134" spans="1:25" s="99" customFormat="1" ht="65.099999999999994" customHeight="1">
      <c r="A134" s="89"/>
      <c r="B134" s="89"/>
      <c r="C134" s="90"/>
      <c r="D134" s="91"/>
      <c r="E134" s="92"/>
      <c r="F134" s="92"/>
      <c r="G134" s="92"/>
      <c r="H134" s="92"/>
      <c r="I134" s="92"/>
      <c r="J134" s="92"/>
      <c r="K134" s="93"/>
      <c r="L134" s="94"/>
      <c r="M134" s="94"/>
      <c r="N134" s="95"/>
      <c r="O134" s="66"/>
      <c r="P134" s="96"/>
      <c r="Q134" s="97"/>
      <c r="R134" s="58"/>
      <c r="S134" s="69"/>
      <c r="T134" s="70"/>
      <c r="U134" s="66"/>
      <c r="V134" s="55"/>
      <c r="W134" s="55"/>
      <c r="X134" s="277"/>
      <c r="Y134" s="92"/>
    </row>
    <row r="135" spans="1:25" s="99" customFormat="1" ht="65.099999999999994" customHeight="1">
      <c r="A135" s="89"/>
      <c r="B135" s="89"/>
      <c r="C135" s="90"/>
      <c r="D135" s="91"/>
      <c r="E135" s="92"/>
      <c r="F135" s="92"/>
      <c r="G135" s="92"/>
      <c r="H135" s="92"/>
      <c r="I135" s="92"/>
      <c r="J135" s="92"/>
      <c r="K135" s="93"/>
      <c r="L135" s="94"/>
      <c r="M135" s="94"/>
      <c r="N135" s="95"/>
      <c r="O135" s="66"/>
      <c r="P135" s="96"/>
      <c r="Q135" s="97"/>
      <c r="R135" s="58"/>
      <c r="S135" s="69"/>
      <c r="T135" s="70"/>
      <c r="U135" s="66"/>
      <c r="V135" s="55"/>
      <c r="W135" s="55"/>
      <c r="X135" s="277"/>
      <c r="Y135" s="92"/>
    </row>
    <row r="136" spans="1:25" s="99" customFormat="1" ht="65.099999999999994" customHeight="1">
      <c r="A136" s="89"/>
      <c r="B136" s="89"/>
      <c r="C136" s="90"/>
      <c r="D136" s="91"/>
      <c r="E136" s="92"/>
      <c r="F136" s="92"/>
      <c r="G136" s="92"/>
      <c r="H136" s="92"/>
      <c r="I136" s="92"/>
      <c r="J136" s="92"/>
      <c r="K136" s="93"/>
      <c r="L136" s="94"/>
      <c r="M136" s="94"/>
      <c r="N136" s="95"/>
      <c r="O136" s="66"/>
      <c r="P136" s="96"/>
      <c r="Q136" s="97"/>
      <c r="R136" s="58"/>
      <c r="S136" s="69"/>
      <c r="T136" s="70"/>
      <c r="U136" s="66"/>
      <c r="V136" s="55"/>
      <c r="W136" s="55"/>
      <c r="X136" s="277"/>
      <c r="Y136" s="92"/>
    </row>
    <row r="137" spans="1:25" s="99" customFormat="1" ht="65.099999999999994" customHeight="1">
      <c r="A137" s="89"/>
      <c r="B137" s="89"/>
      <c r="C137" s="90"/>
      <c r="D137" s="91"/>
      <c r="E137" s="92"/>
      <c r="F137" s="92"/>
      <c r="G137" s="92"/>
      <c r="H137" s="92"/>
      <c r="I137" s="92"/>
      <c r="J137" s="92"/>
      <c r="K137" s="93"/>
      <c r="L137" s="94"/>
      <c r="M137" s="94"/>
      <c r="N137" s="95"/>
      <c r="O137" s="66"/>
      <c r="P137" s="96"/>
      <c r="Q137" s="97"/>
      <c r="R137" s="58"/>
      <c r="S137" s="69"/>
      <c r="T137" s="70"/>
      <c r="U137" s="66"/>
      <c r="V137" s="55"/>
      <c r="W137" s="55"/>
      <c r="X137" s="277"/>
      <c r="Y137" s="92"/>
    </row>
    <row r="138" spans="1:25" s="99" customFormat="1" ht="65.099999999999994" customHeight="1">
      <c r="A138" s="89"/>
      <c r="B138" s="89"/>
      <c r="C138" s="90"/>
      <c r="D138" s="91"/>
      <c r="E138" s="92"/>
      <c r="F138" s="92"/>
      <c r="G138" s="92"/>
      <c r="H138" s="92"/>
      <c r="I138" s="92"/>
      <c r="J138" s="92"/>
      <c r="K138" s="93"/>
      <c r="L138" s="94"/>
      <c r="M138" s="94"/>
      <c r="N138" s="95"/>
      <c r="O138" s="66"/>
      <c r="P138" s="96"/>
      <c r="Q138" s="97"/>
      <c r="R138" s="58"/>
      <c r="S138" s="69"/>
      <c r="T138" s="70"/>
      <c r="U138" s="66"/>
      <c r="V138" s="55"/>
      <c r="W138" s="55"/>
      <c r="X138" s="277"/>
      <c r="Y138" s="92"/>
    </row>
    <row r="139" spans="1:25" s="99" customFormat="1" ht="65.099999999999994" customHeight="1">
      <c r="A139" s="89"/>
      <c r="B139" s="89"/>
      <c r="C139" s="90"/>
      <c r="D139" s="91"/>
      <c r="E139" s="92"/>
      <c r="F139" s="92"/>
      <c r="G139" s="92"/>
      <c r="H139" s="92"/>
      <c r="I139" s="92"/>
      <c r="J139" s="92"/>
      <c r="K139" s="93"/>
      <c r="L139" s="94"/>
      <c r="M139" s="94"/>
      <c r="N139" s="95"/>
      <c r="O139" s="66"/>
      <c r="P139" s="96"/>
      <c r="Q139" s="97"/>
      <c r="R139" s="58"/>
      <c r="S139" s="69"/>
      <c r="T139" s="70"/>
      <c r="U139" s="66"/>
      <c r="V139" s="55"/>
      <c r="W139" s="55"/>
      <c r="X139" s="277"/>
      <c r="Y139" s="92"/>
    </row>
    <row r="140" spans="1:25" s="99" customFormat="1" ht="65.099999999999994" customHeight="1">
      <c r="A140" s="89"/>
      <c r="B140" s="89"/>
      <c r="C140" s="90"/>
      <c r="D140" s="91"/>
      <c r="E140" s="92"/>
      <c r="F140" s="92"/>
      <c r="G140" s="92"/>
      <c r="H140" s="92"/>
      <c r="I140" s="92"/>
      <c r="J140" s="92"/>
      <c r="K140" s="93"/>
      <c r="L140" s="94"/>
      <c r="M140" s="94"/>
      <c r="N140" s="95"/>
      <c r="O140" s="66"/>
      <c r="P140" s="96"/>
      <c r="Q140" s="97"/>
      <c r="R140" s="58"/>
      <c r="S140" s="69"/>
      <c r="T140" s="70"/>
      <c r="U140" s="66"/>
      <c r="V140" s="55"/>
      <c r="W140" s="55"/>
      <c r="X140" s="277"/>
      <c r="Y140" s="92"/>
    </row>
    <row r="141" spans="1:25" s="99" customFormat="1" ht="65.099999999999994" customHeight="1">
      <c r="A141" s="89"/>
      <c r="B141" s="89"/>
      <c r="C141" s="90"/>
      <c r="D141" s="91"/>
      <c r="E141" s="92"/>
      <c r="F141" s="92"/>
      <c r="G141" s="92"/>
      <c r="H141" s="92"/>
      <c r="I141" s="92"/>
      <c r="J141" s="92"/>
      <c r="K141" s="93"/>
      <c r="L141" s="94"/>
      <c r="M141" s="94"/>
      <c r="N141" s="95"/>
      <c r="O141" s="66"/>
      <c r="P141" s="96"/>
      <c r="Q141" s="97"/>
      <c r="R141" s="58"/>
      <c r="S141" s="69"/>
      <c r="T141" s="70"/>
      <c r="U141" s="66"/>
      <c r="V141" s="55"/>
      <c r="W141" s="55"/>
      <c r="X141" s="277"/>
      <c r="Y141" s="92"/>
    </row>
    <row r="142" spans="1:25" s="99" customFormat="1" ht="65.099999999999994" customHeight="1">
      <c r="A142" s="89"/>
      <c r="B142" s="89"/>
      <c r="C142" s="90"/>
      <c r="D142" s="91"/>
      <c r="E142" s="92"/>
      <c r="F142" s="92"/>
      <c r="G142" s="92"/>
      <c r="H142" s="92"/>
      <c r="I142" s="92"/>
      <c r="J142" s="92"/>
      <c r="K142" s="93"/>
      <c r="L142" s="94"/>
      <c r="M142" s="94"/>
      <c r="N142" s="95"/>
      <c r="O142" s="66"/>
      <c r="P142" s="96"/>
      <c r="Q142" s="97"/>
      <c r="R142" s="58"/>
      <c r="S142" s="69"/>
      <c r="T142" s="70"/>
      <c r="U142" s="66"/>
      <c r="V142" s="55"/>
      <c r="W142" s="55"/>
      <c r="X142" s="277"/>
      <c r="Y142" s="92"/>
    </row>
    <row r="143" spans="1:25" s="99" customFormat="1" ht="65.099999999999994" customHeight="1">
      <c r="A143" s="89"/>
      <c r="B143" s="89"/>
      <c r="C143" s="90"/>
      <c r="D143" s="91"/>
      <c r="E143" s="92"/>
      <c r="F143" s="92"/>
      <c r="G143" s="92"/>
      <c r="H143" s="92"/>
      <c r="I143" s="92"/>
      <c r="J143" s="92"/>
      <c r="K143" s="93"/>
      <c r="L143" s="94"/>
      <c r="M143" s="94"/>
      <c r="N143" s="95"/>
      <c r="O143" s="66"/>
      <c r="P143" s="96"/>
      <c r="Q143" s="97"/>
      <c r="R143" s="58"/>
      <c r="S143" s="69"/>
      <c r="T143" s="70"/>
      <c r="U143" s="66"/>
      <c r="V143" s="55"/>
      <c r="W143" s="55"/>
      <c r="X143" s="277"/>
      <c r="Y143" s="92"/>
    </row>
    <row r="144" spans="1:25" s="99" customFormat="1" ht="65.099999999999994" customHeight="1">
      <c r="A144" s="89"/>
      <c r="B144" s="89"/>
      <c r="C144" s="90"/>
      <c r="D144" s="91"/>
      <c r="E144" s="92"/>
      <c r="F144" s="92"/>
      <c r="G144" s="92"/>
      <c r="H144" s="92"/>
      <c r="I144" s="92"/>
      <c r="J144" s="92"/>
      <c r="K144" s="93"/>
      <c r="L144" s="94"/>
      <c r="M144" s="94"/>
      <c r="N144" s="95"/>
      <c r="O144" s="66"/>
      <c r="P144" s="96"/>
      <c r="Q144" s="97"/>
      <c r="R144" s="58"/>
      <c r="S144" s="69"/>
      <c r="T144" s="70"/>
      <c r="U144" s="66"/>
      <c r="V144" s="55"/>
      <c r="W144" s="55"/>
      <c r="X144" s="277"/>
      <c r="Y144" s="92"/>
    </row>
    <row r="145" spans="1:25" s="99" customFormat="1" ht="65.099999999999994" customHeight="1">
      <c r="A145" s="89"/>
      <c r="B145" s="89"/>
      <c r="C145" s="90"/>
      <c r="D145" s="91"/>
      <c r="E145" s="92"/>
      <c r="F145" s="92"/>
      <c r="G145" s="92"/>
      <c r="H145" s="92"/>
      <c r="I145" s="92"/>
      <c r="J145" s="92"/>
      <c r="K145" s="93"/>
      <c r="L145" s="94"/>
      <c r="M145" s="94"/>
      <c r="N145" s="95"/>
      <c r="O145" s="66"/>
      <c r="P145" s="96"/>
      <c r="Q145" s="97"/>
      <c r="R145" s="58"/>
      <c r="S145" s="69"/>
      <c r="T145" s="70"/>
      <c r="U145" s="66"/>
      <c r="V145" s="55"/>
      <c r="W145" s="55"/>
      <c r="X145" s="277"/>
      <c r="Y145" s="92"/>
    </row>
    <row r="146" spans="1:25" s="99" customFormat="1" ht="65.099999999999994" customHeight="1">
      <c r="A146" s="89"/>
      <c r="B146" s="89"/>
      <c r="C146" s="90"/>
      <c r="D146" s="91"/>
      <c r="E146" s="92"/>
      <c r="F146" s="92"/>
      <c r="G146" s="92"/>
      <c r="H146" s="92"/>
      <c r="I146" s="92"/>
      <c r="J146" s="92"/>
      <c r="K146" s="93"/>
      <c r="L146" s="94"/>
      <c r="M146" s="94"/>
      <c r="N146" s="95"/>
      <c r="O146" s="66"/>
      <c r="P146" s="96"/>
      <c r="Q146" s="97"/>
      <c r="R146" s="58"/>
      <c r="S146" s="69"/>
      <c r="T146" s="70"/>
      <c r="U146" s="66"/>
      <c r="V146" s="55"/>
      <c r="W146" s="55"/>
      <c r="X146" s="277"/>
      <c r="Y146" s="92"/>
    </row>
    <row r="147" spans="1:25" s="99" customFormat="1" ht="65.099999999999994" customHeight="1">
      <c r="A147" s="89"/>
      <c r="B147" s="89"/>
      <c r="C147" s="90"/>
      <c r="D147" s="91"/>
      <c r="E147" s="92"/>
      <c r="F147" s="92"/>
      <c r="G147" s="92"/>
      <c r="H147" s="92"/>
      <c r="I147" s="92"/>
      <c r="J147" s="92"/>
      <c r="K147" s="93"/>
      <c r="L147" s="94"/>
      <c r="M147" s="94"/>
      <c r="N147" s="95"/>
      <c r="O147" s="66"/>
      <c r="P147" s="96"/>
      <c r="Q147" s="97"/>
      <c r="R147" s="58"/>
      <c r="S147" s="69"/>
      <c r="T147" s="70"/>
      <c r="U147" s="66"/>
      <c r="V147" s="55"/>
      <c r="W147" s="55"/>
      <c r="X147" s="277"/>
      <c r="Y147" s="92"/>
    </row>
    <row r="148" spans="1:25" s="99" customFormat="1" ht="65.099999999999994" customHeight="1">
      <c r="A148" s="89"/>
      <c r="B148" s="89"/>
      <c r="C148" s="90"/>
      <c r="D148" s="91"/>
      <c r="E148" s="92"/>
      <c r="F148" s="92"/>
      <c r="G148" s="92"/>
      <c r="H148" s="92"/>
      <c r="I148" s="92"/>
      <c r="J148" s="92"/>
      <c r="K148" s="93"/>
      <c r="L148" s="94"/>
      <c r="M148" s="94"/>
      <c r="N148" s="95"/>
      <c r="O148" s="66"/>
      <c r="P148" s="96"/>
      <c r="Q148" s="97"/>
      <c r="R148" s="58"/>
      <c r="S148" s="69"/>
      <c r="T148" s="70"/>
      <c r="U148" s="66"/>
      <c r="V148" s="55"/>
      <c r="W148" s="55"/>
      <c r="X148" s="277"/>
      <c r="Y148" s="92"/>
    </row>
    <row r="149" spans="1:25" s="99" customFormat="1" ht="65.099999999999994" customHeight="1">
      <c r="A149" s="89"/>
      <c r="B149" s="89"/>
      <c r="C149" s="90"/>
      <c r="D149" s="91"/>
      <c r="E149" s="92"/>
      <c r="F149" s="92"/>
      <c r="G149" s="92"/>
      <c r="H149" s="92"/>
      <c r="I149" s="92"/>
      <c r="J149" s="92"/>
      <c r="K149" s="93"/>
      <c r="L149" s="94"/>
      <c r="M149" s="94"/>
      <c r="N149" s="95"/>
      <c r="O149" s="66"/>
      <c r="P149" s="96"/>
      <c r="Q149" s="97"/>
      <c r="R149" s="58"/>
      <c r="S149" s="69"/>
      <c r="T149" s="70"/>
      <c r="U149" s="66"/>
      <c r="V149" s="55"/>
      <c r="W149" s="55"/>
      <c r="X149" s="277"/>
      <c r="Y149" s="92"/>
    </row>
    <row r="150" spans="1:25" s="99" customFormat="1" ht="65.099999999999994" customHeight="1">
      <c r="A150" s="89"/>
      <c r="B150" s="89"/>
      <c r="C150" s="90"/>
      <c r="D150" s="91"/>
      <c r="E150" s="92"/>
      <c r="F150" s="92"/>
      <c r="G150" s="92"/>
      <c r="H150" s="92"/>
      <c r="I150" s="92"/>
      <c r="J150" s="92"/>
      <c r="K150" s="93"/>
      <c r="L150" s="94"/>
      <c r="M150" s="94"/>
      <c r="N150" s="95"/>
      <c r="O150" s="66"/>
      <c r="P150" s="96"/>
      <c r="Q150" s="97"/>
      <c r="R150" s="58"/>
      <c r="S150" s="69"/>
      <c r="T150" s="70"/>
      <c r="U150" s="66"/>
      <c r="V150" s="55"/>
      <c r="W150" s="55"/>
      <c r="X150" s="277"/>
      <c r="Y150" s="92"/>
    </row>
    <row r="151" spans="1:25" s="99" customFormat="1" ht="65.099999999999994" customHeight="1">
      <c r="A151" s="89"/>
      <c r="B151" s="89"/>
      <c r="C151" s="90"/>
      <c r="D151" s="91"/>
      <c r="E151" s="92"/>
      <c r="F151" s="92"/>
      <c r="G151" s="92"/>
      <c r="H151" s="92"/>
      <c r="I151" s="92"/>
      <c r="J151" s="92"/>
      <c r="K151" s="93"/>
      <c r="L151" s="94"/>
      <c r="M151" s="94"/>
      <c r="N151" s="95"/>
      <c r="O151" s="66"/>
      <c r="P151" s="96"/>
      <c r="Q151" s="97"/>
      <c r="R151" s="58"/>
      <c r="S151" s="69"/>
      <c r="T151" s="70"/>
      <c r="U151" s="66"/>
      <c r="V151" s="55"/>
      <c r="W151" s="55"/>
      <c r="X151" s="277"/>
      <c r="Y151" s="92"/>
    </row>
    <row r="152" spans="1:25" s="99" customFormat="1" ht="65.099999999999994" customHeight="1">
      <c r="A152" s="89"/>
      <c r="B152" s="89"/>
      <c r="C152" s="90"/>
      <c r="D152" s="91"/>
      <c r="E152" s="92"/>
      <c r="F152" s="92"/>
      <c r="G152" s="92"/>
      <c r="H152" s="92"/>
      <c r="I152" s="92"/>
      <c r="J152" s="92"/>
      <c r="K152" s="93"/>
      <c r="L152" s="94"/>
      <c r="M152" s="94"/>
      <c r="N152" s="95"/>
      <c r="O152" s="66"/>
      <c r="P152" s="96"/>
      <c r="Q152" s="97"/>
      <c r="R152" s="58"/>
      <c r="S152" s="69"/>
      <c r="T152" s="70"/>
      <c r="U152" s="66"/>
      <c r="V152" s="55"/>
      <c r="W152" s="55"/>
      <c r="X152" s="277"/>
      <c r="Y152" s="92"/>
    </row>
    <row r="153" spans="1:25" s="99" customFormat="1" ht="65.099999999999994" customHeight="1">
      <c r="A153" s="89"/>
      <c r="B153" s="89"/>
      <c r="C153" s="90"/>
      <c r="D153" s="91"/>
      <c r="E153" s="92"/>
      <c r="F153" s="92"/>
      <c r="G153" s="92"/>
      <c r="H153" s="92"/>
      <c r="I153" s="92"/>
      <c r="J153" s="92"/>
      <c r="K153" s="93"/>
      <c r="L153" s="94"/>
      <c r="M153" s="94"/>
      <c r="N153" s="95"/>
      <c r="O153" s="66"/>
      <c r="P153" s="96"/>
      <c r="Q153" s="97"/>
      <c r="R153" s="58"/>
      <c r="S153" s="69"/>
      <c r="T153" s="70"/>
      <c r="U153" s="66"/>
      <c r="V153" s="55"/>
      <c r="W153" s="55"/>
      <c r="X153" s="277"/>
      <c r="Y153" s="92"/>
    </row>
    <row r="154" spans="1:25" s="99" customFormat="1" ht="65.099999999999994" customHeight="1">
      <c r="A154" s="89"/>
      <c r="B154" s="89"/>
      <c r="C154" s="90"/>
      <c r="D154" s="91"/>
      <c r="E154" s="92"/>
      <c r="F154" s="92"/>
      <c r="G154" s="92"/>
      <c r="H154" s="92"/>
      <c r="I154" s="92"/>
      <c r="J154" s="92"/>
      <c r="K154" s="93"/>
      <c r="L154" s="94"/>
      <c r="M154" s="94"/>
      <c r="N154" s="95"/>
      <c r="O154" s="66"/>
      <c r="P154" s="96"/>
      <c r="Q154" s="97"/>
      <c r="R154" s="58"/>
      <c r="S154" s="69"/>
      <c r="T154" s="70"/>
      <c r="U154" s="66"/>
      <c r="V154" s="55"/>
      <c r="W154" s="55"/>
      <c r="X154" s="277"/>
      <c r="Y154" s="92"/>
    </row>
    <row r="155" spans="1:25" s="99" customFormat="1" ht="65.099999999999994" customHeight="1">
      <c r="A155" s="89"/>
      <c r="B155" s="89"/>
      <c r="C155" s="90"/>
      <c r="D155" s="91"/>
      <c r="E155" s="92"/>
      <c r="F155" s="92"/>
      <c r="G155" s="92"/>
      <c r="H155" s="92"/>
      <c r="I155" s="92"/>
      <c r="J155" s="92"/>
      <c r="K155" s="93"/>
      <c r="L155" s="94"/>
      <c r="M155" s="94"/>
      <c r="N155" s="95"/>
      <c r="O155" s="66"/>
      <c r="P155" s="96"/>
      <c r="Q155" s="97"/>
      <c r="R155" s="58"/>
      <c r="S155" s="69"/>
      <c r="T155" s="70"/>
      <c r="U155" s="66"/>
      <c r="V155" s="55"/>
      <c r="W155" s="55"/>
      <c r="X155" s="277"/>
      <c r="Y155" s="92"/>
    </row>
    <row r="156" spans="1:25" s="99" customFormat="1" ht="65.099999999999994" customHeight="1">
      <c r="A156" s="89"/>
      <c r="B156" s="89"/>
      <c r="C156" s="90"/>
      <c r="D156" s="91"/>
      <c r="E156" s="92"/>
      <c r="F156" s="92"/>
      <c r="G156" s="92"/>
      <c r="H156" s="92"/>
      <c r="I156" s="92"/>
      <c r="J156" s="92"/>
      <c r="K156" s="93"/>
      <c r="L156" s="94"/>
      <c r="M156" s="94"/>
      <c r="N156" s="95"/>
      <c r="O156" s="66"/>
      <c r="P156" s="96"/>
      <c r="Q156" s="97"/>
      <c r="R156" s="58"/>
      <c r="S156" s="69"/>
      <c r="T156" s="70"/>
      <c r="U156" s="66"/>
      <c r="V156" s="55"/>
      <c r="W156" s="55"/>
      <c r="X156" s="277"/>
      <c r="Y156" s="92"/>
    </row>
    <row r="157" spans="1:25" s="99" customFormat="1" ht="65.099999999999994" customHeight="1">
      <c r="A157" s="89"/>
      <c r="B157" s="89"/>
      <c r="C157" s="90"/>
      <c r="D157" s="91"/>
      <c r="E157" s="92"/>
      <c r="F157" s="92"/>
      <c r="G157" s="92"/>
      <c r="H157" s="92"/>
      <c r="I157" s="92"/>
      <c r="J157" s="92"/>
      <c r="K157" s="93"/>
      <c r="L157" s="94"/>
      <c r="M157" s="94"/>
      <c r="N157" s="95"/>
      <c r="O157" s="66"/>
      <c r="P157" s="96"/>
      <c r="Q157" s="97"/>
      <c r="R157" s="58"/>
      <c r="S157" s="69"/>
      <c r="T157" s="70"/>
      <c r="U157" s="66"/>
      <c r="V157" s="55"/>
      <c r="W157" s="55"/>
      <c r="X157" s="277"/>
      <c r="Y157" s="92"/>
    </row>
    <row r="158" spans="1:25" s="99" customFormat="1" ht="65.099999999999994" customHeight="1">
      <c r="A158" s="89"/>
      <c r="B158" s="89"/>
      <c r="C158" s="90"/>
      <c r="D158" s="91"/>
      <c r="E158" s="92"/>
      <c r="F158" s="92"/>
      <c r="G158" s="92"/>
      <c r="H158" s="92"/>
      <c r="I158" s="92"/>
      <c r="J158" s="92"/>
      <c r="K158" s="93"/>
      <c r="L158" s="94"/>
      <c r="M158" s="94"/>
      <c r="N158" s="95"/>
      <c r="O158" s="66"/>
      <c r="P158" s="96"/>
      <c r="Q158" s="97"/>
      <c r="R158" s="58"/>
      <c r="S158" s="69"/>
      <c r="T158" s="70"/>
      <c r="U158" s="66"/>
      <c r="V158" s="55"/>
      <c r="W158" s="55"/>
      <c r="X158" s="277"/>
      <c r="Y158" s="92"/>
    </row>
    <row r="159" spans="1:25" s="99" customFormat="1" ht="65.099999999999994" customHeight="1">
      <c r="A159" s="89"/>
      <c r="B159" s="89"/>
      <c r="C159" s="90"/>
      <c r="D159" s="91"/>
      <c r="E159" s="92"/>
      <c r="F159" s="92"/>
      <c r="G159" s="92"/>
      <c r="H159" s="92"/>
      <c r="I159" s="92"/>
      <c r="J159" s="92"/>
      <c r="K159" s="93"/>
      <c r="L159" s="94"/>
      <c r="M159" s="94"/>
      <c r="N159" s="95"/>
      <c r="O159" s="66"/>
      <c r="P159" s="96"/>
      <c r="Q159" s="97"/>
      <c r="R159" s="58"/>
      <c r="S159" s="69"/>
      <c r="T159" s="70"/>
      <c r="U159" s="66"/>
      <c r="V159" s="55"/>
      <c r="W159" s="55"/>
      <c r="X159" s="277"/>
      <c r="Y159" s="92"/>
    </row>
    <row r="160" spans="1:25" s="99" customFormat="1" ht="65.099999999999994" customHeight="1">
      <c r="A160" s="89"/>
      <c r="B160" s="89"/>
      <c r="C160" s="90"/>
      <c r="D160" s="91"/>
      <c r="E160" s="92"/>
      <c r="F160" s="92"/>
      <c r="G160" s="92"/>
      <c r="H160" s="92"/>
      <c r="I160" s="92"/>
      <c r="J160" s="92"/>
      <c r="K160" s="93"/>
      <c r="L160" s="94"/>
      <c r="M160" s="94"/>
      <c r="N160" s="95"/>
      <c r="O160" s="66"/>
      <c r="P160" s="96"/>
      <c r="Q160" s="97"/>
      <c r="R160" s="58"/>
      <c r="S160" s="69"/>
      <c r="T160" s="70"/>
      <c r="U160" s="66"/>
      <c r="V160" s="55"/>
      <c r="W160" s="55"/>
      <c r="X160" s="277"/>
      <c r="Y160" s="92"/>
    </row>
    <row r="161" spans="1:25" s="99" customFormat="1" ht="65.099999999999994" customHeight="1">
      <c r="A161" s="89"/>
      <c r="B161" s="89"/>
      <c r="C161" s="90"/>
      <c r="D161" s="91"/>
      <c r="E161" s="92"/>
      <c r="F161" s="92"/>
      <c r="G161" s="92"/>
      <c r="H161" s="92"/>
      <c r="I161" s="92"/>
      <c r="J161" s="92"/>
      <c r="K161" s="93"/>
      <c r="L161" s="94"/>
      <c r="M161" s="94"/>
      <c r="N161" s="95"/>
      <c r="O161" s="66"/>
      <c r="P161" s="96"/>
      <c r="Q161" s="97"/>
      <c r="R161" s="58"/>
      <c r="S161" s="69"/>
      <c r="T161" s="70"/>
      <c r="U161" s="66"/>
      <c r="V161" s="55"/>
      <c r="W161" s="55"/>
      <c r="X161" s="277"/>
      <c r="Y161" s="92"/>
    </row>
    <row r="162" spans="1:25" s="99" customFormat="1" ht="65.099999999999994" customHeight="1">
      <c r="A162" s="89"/>
      <c r="B162" s="89"/>
      <c r="C162" s="90"/>
      <c r="D162" s="91"/>
      <c r="E162" s="92"/>
      <c r="F162" s="92"/>
      <c r="G162" s="92"/>
      <c r="H162" s="92"/>
      <c r="I162" s="92"/>
      <c r="J162" s="92"/>
      <c r="K162" s="93"/>
      <c r="L162" s="94"/>
      <c r="M162" s="94"/>
      <c r="N162" s="95"/>
      <c r="O162" s="66"/>
      <c r="P162" s="96"/>
      <c r="Q162" s="97"/>
      <c r="R162" s="58"/>
      <c r="S162" s="69"/>
      <c r="T162" s="70"/>
      <c r="U162" s="66"/>
      <c r="V162" s="55"/>
      <c r="W162" s="55"/>
      <c r="X162" s="277"/>
      <c r="Y162" s="92"/>
    </row>
    <row r="163" spans="1:25" s="99" customFormat="1" ht="65.099999999999994" customHeight="1">
      <c r="A163" s="89"/>
      <c r="B163" s="89"/>
      <c r="C163" s="90"/>
      <c r="D163" s="91"/>
      <c r="E163" s="92"/>
      <c r="F163" s="92"/>
      <c r="G163" s="92"/>
      <c r="H163" s="92"/>
      <c r="I163" s="92"/>
      <c r="J163" s="92"/>
      <c r="K163" s="93"/>
      <c r="L163" s="94"/>
      <c r="M163" s="94"/>
      <c r="N163" s="95"/>
      <c r="O163" s="66"/>
      <c r="P163" s="96"/>
      <c r="Q163" s="97"/>
      <c r="R163" s="58"/>
      <c r="S163" s="69"/>
      <c r="T163" s="70"/>
      <c r="U163" s="66"/>
      <c r="V163" s="55"/>
      <c r="W163" s="55"/>
      <c r="X163" s="277"/>
      <c r="Y163" s="92"/>
    </row>
    <row r="164" spans="1:25" s="99" customFormat="1" ht="65.099999999999994" customHeight="1">
      <c r="A164" s="89"/>
      <c r="B164" s="89"/>
      <c r="C164" s="90"/>
      <c r="D164" s="91"/>
      <c r="E164" s="92"/>
      <c r="F164" s="92"/>
      <c r="G164" s="92"/>
      <c r="H164" s="92"/>
      <c r="I164" s="92"/>
      <c r="J164" s="92"/>
      <c r="K164" s="93"/>
      <c r="L164" s="94"/>
      <c r="M164" s="94"/>
      <c r="N164" s="95"/>
      <c r="O164" s="66"/>
      <c r="P164" s="96"/>
      <c r="Q164" s="97"/>
      <c r="R164" s="58"/>
      <c r="S164" s="69"/>
      <c r="T164" s="70"/>
      <c r="U164" s="66"/>
      <c r="V164" s="55"/>
      <c r="W164" s="55"/>
      <c r="X164" s="277"/>
      <c r="Y164" s="92"/>
    </row>
    <row r="165" spans="1:25" s="99" customFormat="1" ht="65.099999999999994" customHeight="1">
      <c r="A165" s="89"/>
      <c r="B165" s="89"/>
      <c r="C165" s="90"/>
      <c r="D165" s="91"/>
      <c r="E165" s="92"/>
      <c r="F165" s="92"/>
      <c r="G165" s="92"/>
      <c r="H165" s="92"/>
      <c r="I165" s="92"/>
      <c r="J165" s="92"/>
      <c r="K165" s="93"/>
      <c r="L165" s="94"/>
      <c r="M165" s="94"/>
      <c r="N165" s="95"/>
      <c r="O165" s="66"/>
      <c r="P165" s="96"/>
      <c r="Q165" s="97"/>
      <c r="R165" s="58"/>
      <c r="S165" s="69"/>
      <c r="T165" s="70"/>
      <c r="U165" s="66"/>
      <c r="V165" s="55"/>
      <c r="W165" s="55"/>
      <c r="X165" s="277"/>
      <c r="Y165" s="92"/>
    </row>
    <row r="166" spans="1:25" s="99" customFormat="1" ht="65.099999999999994" customHeight="1">
      <c r="A166" s="89"/>
      <c r="B166" s="89"/>
      <c r="C166" s="90"/>
      <c r="D166" s="91"/>
      <c r="E166" s="92"/>
      <c r="F166" s="92"/>
      <c r="G166" s="92"/>
      <c r="H166" s="92"/>
      <c r="I166" s="92"/>
      <c r="J166" s="92"/>
      <c r="K166" s="93"/>
      <c r="L166" s="94"/>
      <c r="M166" s="94"/>
      <c r="N166" s="95"/>
      <c r="O166" s="66"/>
      <c r="P166" s="96"/>
      <c r="Q166" s="97"/>
      <c r="R166" s="58"/>
      <c r="S166" s="69"/>
      <c r="T166" s="70"/>
      <c r="U166" s="66"/>
      <c r="V166" s="55"/>
      <c r="W166" s="55"/>
      <c r="X166" s="277"/>
      <c r="Y166" s="92"/>
    </row>
    <row r="167" spans="1:25" s="99" customFormat="1" ht="65.099999999999994" customHeight="1">
      <c r="A167" s="89"/>
      <c r="B167" s="89"/>
      <c r="C167" s="90"/>
      <c r="D167" s="91"/>
      <c r="E167" s="92"/>
      <c r="F167" s="92"/>
      <c r="G167" s="92"/>
      <c r="H167" s="92"/>
      <c r="I167" s="92"/>
      <c r="J167" s="92"/>
      <c r="K167" s="93"/>
      <c r="L167" s="94"/>
      <c r="M167" s="94"/>
      <c r="N167" s="95"/>
      <c r="O167" s="66"/>
      <c r="P167" s="96"/>
      <c r="Q167" s="97"/>
      <c r="R167" s="58"/>
      <c r="S167" s="69"/>
      <c r="T167" s="70"/>
      <c r="U167" s="66"/>
      <c r="V167" s="55"/>
      <c r="W167" s="55"/>
      <c r="X167" s="277"/>
      <c r="Y167" s="92"/>
    </row>
    <row r="168" spans="1:25" s="99" customFormat="1" ht="65.099999999999994" customHeight="1">
      <c r="A168" s="89"/>
      <c r="B168" s="89"/>
      <c r="C168" s="90"/>
      <c r="D168" s="91"/>
      <c r="E168" s="92"/>
      <c r="F168" s="92"/>
      <c r="G168" s="92"/>
      <c r="H168" s="92"/>
      <c r="I168" s="92"/>
      <c r="J168" s="92"/>
      <c r="K168" s="93"/>
      <c r="L168" s="94"/>
      <c r="M168" s="94"/>
      <c r="N168" s="95"/>
      <c r="O168" s="66"/>
      <c r="P168" s="96"/>
      <c r="Q168" s="97"/>
      <c r="R168" s="58"/>
      <c r="S168" s="69"/>
      <c r="T168" s="70"/>
      <c r="U168" s="66"/>
      <c r="V168" s="55"/>
      <c r="W168" s="55"/>
      <c r="X168" s="277"/>
      <c r="Y168" s="92"/>
    </row>
    <row r="169" spans="1:25" s="99" customFormat="1" ht="65.099999999999994" customHeight="1">
      <c r="A169" s="89"/>
      <c r="B169" s="89"/>
      <c r="C169" s="90"/>
      <c r="D169" s="91"/>
      <c r="E169" s="92"/>
      <c r="F169" s="92"/>
      <c r="G169" s="92"/>
      <c r="H169" s="92"/>
      <c r="I169" s="92"/>
      <c r="J169" s="92"/>
      <c r="K169" s="93"/>
      <c r="L169" s="94"/>
      <c r="M169" s="94"/>
      <c r="N169" s="95"/>
      <c r="O169" s="66"/>
      <c r="P169" s="96"/>
      <c r="Q169" s="97"/>
      <c r="R169" s="58"/>
      <c r="S169" s="69"/>
      <c r="T169" s="70"/>
      <c r="U169" s="66"/>
      <c r="V169" s="55"/>
      <c r="W169" s="55"/>
      <c r="X169" s="277"/>
      <c r="Y169" s="92"/>
    </row>
    <row r="170" spans="1:25" s="99" customFormat="1" ht="65.099999999999994" customHeight="1">
      <c r="A170" s="89"/>
      <c r="B170" s="89"/>
      <c r="C170" s="90"/>
      <c r="D170" s="91"/>
      <c r="E170" s="92"/>
      <c r="F170" s="92"/>
      <c r="G170" s="92"/>
      <c r="H170" s="92"/>
      <c r="I170" s="92"/>
      <c r="J170" s="92"/>
      <c r="K170" s="93"/>
      <c r="L170" s="94"/>
      <c r="M170" s="94"/>
      <c r="N170" s="95"/>
      <c r="O170" s="66"/>
      <c r="P170" s="96"/>
      <c r="Q170" s="97"/>
      <c r="R170" s="58"/>
      <c r="S170" s="69"/>
      <c r="T170" s="70"/>
      <c r="U170" s="66"/>
      <c r="V170" s="55"/>
      <c r="W170" s="55"/>
      <c r="X170" s="277"/>
      <c r="Y170" s="92"/>
    </row>
    <row r="171" spans="1:25" s="99" customFormat="1" ht="65.099999999999994" customHeight="1">
      <c r="A171" s="89"/>
      <c r="B171" s="89"/>
      <c r="C171" s="90"/>
      <c r="D171" s="91"/>
      <c r="E171" s="92"/>
      <c r="F171" s="92"/>
      <c r="G171" s="92"/>
      <c r="H171" s="92"/>
      <c r="I171" s="92"/>
      <c r="J171" s="92"/>
      <c r="K171" s="93"/>
      <c r="L171" s="94"/>
      <c r="M171" s="94"/>
      <c r="N171" s="95"/>
      <c r="O171" s="66"/>
      <c r="P171" s="96"/>
      <c r="Q171" s="97"/>
      <c r="R171" s="58"/>
      <c r="S171" s="69"/>
      <c r="T171" s="70"/>
      <c r="U171" s="66"/>
      <c r="V171" s="55"/>
      <c r="W171" s="55"/>
      <c r="X171" s="277"/>
      <c r="Y171" s="92"/>
    </row>
    <row r="172" spans="1:25" s="99" customFormat="1" ht="65.099999999999994" customHeight="1">
      <c r="A172" s="89"/>
      <c r="B172" s="89"/>
      <c r="C172" s="90"/>
      <c r="D172" s="91"/>
      <c r="E172" s="92"/>
      <c r="F172" s="92"/>
      <c r="G172" s="92"/>
      <c r="H172" s="92"/>
      <c r="I172" s="92"/>
      <c r="J172" s="92"/>
      <c r="K172" s="93"/>
      <c r="L172" s="94"/>
      <c r="M172" s="94"/>
      <c r="N172" s="95"/>
      <c r="O172" s="66"/>
      <c r="P172" s="96"/>
      <c r="Q172" s="97"/>
      <c r="R172" s="58"/>
      <c r="S172" s="69"/>
      <c r="T172" s="70"/>
      <c r="U172" s="66"/>
      <c r="V172" s="55"/>
      <c r="W172" s="55"/>
      <c r="X172" s="277"/>
      <c r="Y172" s="92"/>
    </row>
    <row r="173" spans="1:25" s="99" customFormat="1" ht="65.099999999999994" customHeight="1">
      <c r="A173" s="89"/>
      <c r="B173" s="89"/>
      <c r="C173" s="90"/>
      <c r="D173" s="91"/>
      <c r="E173" s="92"/>
      <c r="F173" s="92"/>
      <c r="G173" s="92"/>
      <c r="H173" s="92"/>
      <c r="I173" s="92"/>
      <c r="J173" s="92"/>
      <c r="K173" s="93"/>
      <c r="L173" s="94"/>
      <c r="M173" s="94"/>
      <c r="N173" s="95"/>
      <c r="O173" s="66"/>
      <c r="P173" s="96"/>
      <c r="Q173" s="97"/>
      <c r="R173" s="58"/>
      <c r="S173" s="69"/>
      <c r="T173" s="70"/>
      <c r="U173" s="66"/>
      <c r="V173" s="55"/>
      <c r="W173" s="55"/>
      <c r="X173" s="277"/>
      <c r="Y173" s="92"/>
    </row>
    <row r="174" spans="1:25" s="99" customFormat="1" ht="65.099999999999994" customHeight="1">
      <c r="A174" s="89"/>
      <c r="B174" s="89"/>
      <c r="C174" s="90"/>
      <c r="D174" s="91"/>
      <c r="E174" s="92"/>
      <c r="F174" s="92"/>
      <c r="G174" s="92"/>
      <c r="H174" s="92"/>
      <c r="I174" s="92"/>
      <c r="J174" s="92"/>
      <c r="K174" s="93"/>
      <c r="L174" s="94"/>
      <c r="M174" s="94"/>
      <c r="N174" s="95"/>
      <c r="O174" s="66"/>
      <c r="P174" s="96"/>
      <c r="Q174" s="97"/>
      <c r="R174" s="58"/>
      <c r="S174" s="69"/>
      <c r="T174" s="70"/>
      <c r="U174" s="66"/>
      <c r="V174" s="55"/>
      <c r="W174" s="55"/>
      <c r="X174" s="277"/>
      <c r="Y174" s="92"/>
    </row>
    <row r="175" spans="1:25" s="99" customFormat="1" ht="65.099999999999994" customHeight="1">
      <c r="A175" s="89"/>
      <c r="B175" s="89"/>
      <c r="C175" s="90"/>
      <c r="D175" s="91"/>
      <c r="E175" s="92"/>
      <c r="F175" s="92"/>
      <c r="G175" s="92"/>
      <c r="H175" s="92"/>
      <c r="I175" s="92"/>
      <c r="J175" s="92"/>
      <c r="K175" s="93"/>
      <c r="L175" s="94"/>
      <c r="M175" s="94"/>
      <c r="N175" s="95"/>
      <c r="O175" s="66"/>
      <c r="P175" s="96"/>
      <c r="Q175" s="97"/>
      <c r="R175" s="58"/>
      <c r="S175" s="69"/>
      <c r="T175" s="70"/>
      <c r="U175" s="66"/>
      <c r="V175" s="55"/>
      <c r="W175" s="55"/>
      <c r="X175" s="277"/>
      <c r="Y175" s="92"/>
    </row>
    <row r="176" spans="1:25" s="99" customFormat="1" ht="65.099999999999994" customHeight="1">
      <c r="A176" s="89"/>
      <c r="B176" s="89"/>
      <c r="C176" s="90"/>
      <c r="D176" s="91"/>
      <c r="E176" s="92"/>
      <c r="F176" s="92"/>
      <c r="G176" s="92"/>
      <c r="H176" s="92"/>
      <c r="I176" s="92"/>
      <c r="J176" s="92"/>
      <c r="K176" s="93"/>
      <c r="L176" s="94"/>
      <c r="M176" s="94"/>
      <c r="N176" s="95"/>
      <c r="O176" s="66"/>
      <c r="P176" s="96"/>
      <c r="Q176" s="97"/>
      <c r="R176" s="58"/>
      <c r="S176" s="69"/>
      <c r="T176" s="70"/>
      <c r="U176" s="66"/>
      <c r="V176" s="55"/>
      <c r="W176" s="55"/>
      <c r="X176" s="277"/>
      <c r="Y176" s="92"/>
    </row>
    <row r="177" spans="1:25" s="99" customFormat="1" ht="65.099999999999994" customHeight="1">
      <c r="A177" s="89"/>
      <c r="B177" s="89"/>
      <c r="C177" s="90"/>
      <c r="D177" s="91"/>
      <c r="E177" s="92"/>
      <c r="F177" s="92"/>
      <c r="G177" s="92"/>
      <c r="H177" s="92"/>
      <c r="I177" s="92"/>
      <c r="J177" s="92"/>
      <c r="K177" s="93"/>
      <c r="L177" s="94"/>
      <c r="M177" s="94"/>
      <c r="N177" s="95"/>
      <c r="O177" s="66"/>
      <c r="P177" s="96"/>
      <c r="Q177" s="97"/>
      <c r="R177" s="58"/>
      <c r="S177" s="69"/>
      <c r="T177" s="70"/>
      <c r="U177" s="66"/>
      <c r="V177" s="55"/>
      <c r="W177" s="55"/>
      <c r="X177" s="277"/>
      <c r="Y177" s="92"/>
    </row>
    <row r="178" spans="1:25" s="99" customFormat="1" ht="65.099999999999994" customHeight="1">
      <c r="A178" s="89"/>
      <c r="B178" s="89"/>
      <c r="C178" s="90"/>
      <c r="D178" s="91"/>
      <c r="E178" s="92"/>
      <c r="F178" s="92"/>
      <c r="G178" s="92"/>
      <c r="H178" s="92"/>
      <c r="I178" s="92"/>
      <c r="J178" s="92"/>
      <c r="K178" s="93"/>
      <c r="L178" s="94"/>
      <c r="M178" s="94"/>
      <c r="N178" s="95"/>
      <c r="O178" s="66"/>
      <c r="P178" s="96"/>
      <c r="Q178" s="97"/>
      <c r="R178" s="58"/>
      <c r="S178" s="69"/>
      <c r="T178" s="70"/>
      <c r="U178" s="66"/>
      <c r="V178" s="55"/>
      <c r="W178" s="55"/>
      <c r="X178" s="277"/>
      <c r="Y178" s="92"/>
    </row>
    <row r="179" spans="1:25" s="99" customFormat="1" ht="65.099999999999994" customHeight="1">
      <c r="A179" s="89"/>
      <c r="B179" s="89"/>
      <c r="C179" s="90"/>
      <c r="D179" s="91"/>
      <c r="E179" s="92"/>
      <c r="F179" s="92"/>
      <c r="G179" s="92"/>
      <c r="H179" s="92"/>
      <c r="I179" s="92"/>
      <c r="J179" s="92"/>
      <c r="K179" s="93"/>
      <c r="L179" s="94"/>
      <c r="M179" s="94"/>
      <c r="N179" s="95"/>
      <c r="O179" s="66"/>
      <c r="P179" s="96"/>
      <c r="Q179" s="97"/>
      <c r="R179" s="58"/>
      <c r="S179" s="69"/>
      <c r="T179" s="70"/>
      <c r="U179" s="66"/>
      <c r="V179" s="55"/>
      <c r="W179" s="55"/>
      <c r="X179" s="277"/>
      <c r="Y179" s="92"/>
    </row>
    <row r="180" spans="1:25" s="99" customFormat="1" ht="65.099999999999994" customHeight="1">
      <c r="A180" s="89"/>
      <c r="B180" s="89"/>
      <c r="C180" s="90"/>
      <c r="D180" s="91"/>
      <c r="E180" s="92"/>
      <c r="F180" s="92"/>
      <c r="G180" s="92"/>
      <c r="H180" s="92"/>
      <c r="I180" s="92"/>
      <c r="J180" s="92"/>
      <c r="K180" s="93"/>
      <c r="L180" s="94"/>
      <c r="M180" s="94"/>
      <c r="N180" s="95"/>
      <c r="O180" s="66"/>
      <c r="P180" s="96"/>
      <c r="Q180" s="97"/>
      <c r="R180" s="58"/>
      <c r="S180" s="69"/>
      <c r="T180" s="70"/>
      <c r="U180" s="66"/>
      <c r="V180" s="55"/>
      <c r="W180" s="55"/>
      <c r="X180" s="277"/>
      <c r="Y180" s="92"/>
    </row>
    <row r="181" spans="1:25" s="99" customFormat="1" ht="65.099999999999994" customHeight="1">
      <c r="A181" s="89"/>
      <c r="B181" s="89"/>
      <c r="C181" s="90"/>
      <c r="D181" s="91"/>
      <c r="E181" s="92"/>
      <c r="F181" s="92"/>
      <c r="G181" s="92"/>
      <c r="H181" s="92"/>
      <c r="I181" s="92"/>
      <c r="J181" s="92"/>
      <c r="K181" s="93"/>
      <c r="L181" s="94"/>
      <c r="M181" s="94"/>
      <c r="N181" s="95"/>
      <c r="O181" s="66"/>
      <c r="P181" s="96"/>
      <c r="Q181" s="97"/>
      <c r="R181" s="58"/>
      <c r="S181" s="69"/>
      <c r="T181" s="70"/>
      <c r="U181" s="66"/>
      <c r="V181" s="55"/>
      <c r="W181" s="55"/>
      <c r="X181" s="277"/>
      <c r="Y181" s="92"/>
    </row>
    <row r="182" spans="1:25" s="99" customFormat="1" ht="65.099999999999994" customHeight="1">
      <c r="A182" s="89"/>
      <c r="B182" s="89"/>
      <c r="C182" s="90"/>
      <c r="D182" s="91"/>
      <c r="E182" s="92"/>
      <c r="F182" s="92"/>
      <c r="G182" s="92"/>
      <c r="H182" s="92"/>
      <c r="I182" s="92"/>
      <c r="J182" s="92"/>
      <c r="K182" s="93"/>
      <c r="L182" s="94"/>
      <c r="M182" s="94"/>
      <c r="N182" s="95"/>
      <c r="O182" s="66"/>
      <c r="P182" s="96"/>
      <c r="Q182" s="97"/>
      <c r="R182" s="58"/>
      <c r="S182" s="69"/>
      <c r="T182" s="70"/>
      <c r="U182" s="66"/>
      <c r="V182" s="55"/>
      <c r="W182" s="55"/>
      <c r="X182" s="277"/>
      <c r="Y182" s="92"/>
    </row>
    <row r="183" spans="1:25" s="99" customFormat="1" ht="65.099999999999994" customHeight="1">
      <c r="A183" s="89"/>
      <c r="B183" s="89"/>
      <c r="C183" s="90"/>
      <c r="D183" s="91"/>
      <c r="E183" s="92"/>
      <c r="F183" s="92"/>
      <c r="G183" s="92"/>
      <c r="H183" s="92"/>
      <c r="I183" s="92"/>
      <c r="J183" s="92"/>
      <c r="K183" s="93"/>
      <c r="L183" s="94"/>
      <c r="M183" s="94"/>
      <c r="N183" s="95"/>
      <c r="O183" s="66"/>
      <c r="P183" s="96"/>
      <c r="Q183" s="97"/>
      <c r="R183" s="58"/>
      <c r="S183" s="69"/>
      <c r="T183" s="70"/>
      <c r="U183" s="66"/>
      <c r="V183" s="55"/>
      <c r="W183" s="55"/>
      <c r="X183" s="277"/>
      <c r="Y183" s="92"/>
    </row>
    <row r="184" spans="1:25" s="99" customFormat="1" ht="65.099999999999994" customHeight="1">
      <c r="A184" s="89"/>
      <c r="B184" s="89"/>
      <c r="C184" s="90"/>
      <c r="D184" s="91"/>
      <c r="E184" s="92"/>
      <c r="F184" s="92"/>
      <c r="G184" s="92"/>
      <c r="H184" s="92"/>
      <c r="I184" s="92"/>
      <c r="J184" s="92"/>
      <c r="K184" s="93"/>
      <c r="L184" s="94"/>
      <c r="M184" s="94"/>
      <c r="N184" s="95"/>
      <c r="O184" s="66"/>
      <c r="P184" s="96"/>
      <c r="Q184" s="97"/>
      <c r="R184" s="58"/>
      <c r="S184" s="69"/>
      <c r="T184" s="70"/>
      <c r="U184" s="66"/>
      <c r="V184" s="55"/>
      <c r="W184" s="55"/>
      <c r="X184" s="277"/>
      <c r="Y184" s="92"/>
    </row>
    <row r="185" spans="1:25" s="99" customFormat="1" ht="65.099999999999994" customHeight="1">
      <c r="A185" s="89"/>
      <c r="B185" s="89"/>
      <c r="C185" s="90"/>
      <c r="D185" s="91"/>
      <c r="E185" s="92"/>
      <c r="F185" s="92"/>
      <c r="G185" s="92"/>
      <c r="H185" s="92"/>
      <c r="I185" s="92"/>
      <c r="J185" s="92"/>
      <c r="K185" s="93"/>
      <c r="L185" s="94"/>
      <c r="M185" s="94"/>
      <c r="N185" s="95"/>
      <c r="O185" s="66"/>
      <c r="P185" s="96"/>
      <c r="Q185" s="97"/>
      <c r="R185" s="58"/>
      <c r="S185" s="69"/>
      <c r="T185" s="70"/>
      <c r="U185" s="66"/>
      <c r="V185" s="55"/>
      <c r="W185" s="55"/>
      <c r="X185" s="277"/>
      <c r="Y185" s="92"/>
    </row>
    <row r="186" spans="1:25" s="99" customFormat="1" ht="65.099999999999994" customHeight="1">
      <c r="A186" s="89"/>
      <c r="B186" s="89"/>
      <c r="C186" s="90"/>
      <c r="D186" s="91"/>
      <c r="E186" s="92"/>
      <c r="F186" s="92"/>
      <c r="G186" s="92"/>
      <c r="H186" s="92"/>
      <c r="I186" s="92"/>
      <c r="J186" s="92"/>
      <c r="K186" s="93"/>
      <c r="L186" s="94"/>
      <c r="M186" s="94"/>
      <c r="N186" s="95"/>
      <c r="O186" s="66"/>
      <c r="P186" s="96"/>
      <c r="Q186" s="97"/>
      <c r="R186" s="58"/>
      <c r="S186" s="69"/>
      <c r="T186" s="70"/>
      <c r="U186" s="66"/>
      <c r="V186" s="55"/>
      <c r="W186" s="55"/>
      <c r="X186" s="277"/>
      <c r="Y186" s="92"/>
    </row>
    <row r="187" spans="1:25" s="99" customFormat="1" ht="65.099999999999994" customHeight="1">
      <c r="A187" s="89"/>
      <c r="B187" s="89"/>
      <c r="C187" s="90"/>
      <c r="D187" s="91"/>
      <c r="E187" s="92"/>
      <c r="F187" s="92"/>
      <c r="G187" s="92"/>
      <c r="H187" s="92"/>
      <c r="I187" s="92"/>
      <c r="J187" s="92"/>
      <c r="K187" s="93"/>
      <c r="L187" s="94"/>
      <c r="M187" s="94"/>
      <c r="N187" s="95"/>
      <c r="O187" s="66"/>
      <c r="P187" s="96"/>
      <c r="Q187" s="97"/>
      <c r="R187" s="58"/>
      <c r="S187" s="69"/>
      <c r="T187" s="70"/>
      <c r="U187" s="66"/>
      <c r="V187" s="55"/>
      <c r="W187" s="55"/>
      <c r="X187" s="277"/>
      <c r="Y187" s="92"/>
    </row>
    <row r="188" spans="1:25" s="99" customFormat="1" ht="65.099999999999994" customHeight="1">
      <c r="A188" s="89"/>
      <c r="B188" s="89"/>
      <c r="C188" s="90"/>
      <c r="D188" s="91"/>
      <c r="E188" s="92"/>
      <c r="F188" s="92"/>
      <c r="G188" s="92"/>
      <c r="H188" s="92"/>
      <c r="I188" s="92"/>
      <c r="J188" s="92"/>
      <c r="K188" s="93"/>
      <c r="L188" s="94"/>
      <c r="M188" s="94"/>
      <c r="N188" s="95"/>
      <c r="O188" s="66"/>
      <c r="P188" s="96"/>
      <c r="Q188" s="97"/>
      <c r="R188" s="58"/>
      <c r="S188" s="69"/>
      <c r="T188" s="70"/>
      <c r="U188" s="66"/>
      <c r="V188" s="55"/>
      <c r="W188" s="55"/>
      <c r="X188" s="277"/>
      <c r="Y188" s="92"/>
    </row>
    <row r="189" spans="1:25" s="99" customFormat="1" ht="65.099999999999994" customHeight="1">
      <c r="A189" s="89"/>
      <c r="B189" s="89"/>
      <c r="C189" s="90"/>
      <c r="D189" s="91"/>
      <c r="E189" s="92"/>
      <c r="F189" s="92"/>
      <c r="G189" s="92"/>
      <c r="H189" s="92"/>
      <c r="I189" s="92"/>
      <c r="J189" s="92"/>
      <c r="K189" s="93"/>
      <c r="L189" s="94"/>
      <c r="M189" s="94"/>
      <c r="N189" s="95"/>
      <c r="O189" s="66"/>
      <c r="P189" s="96"/>
      <c r="Q189" s="97"/>
      <c r="R189" s="58"/>
      <c r="S189" s="69"/>
      <c r="T189" s="70"/>
      <c r="U189" s="66"/>
      <c r="V189" s="55"/>
      <c r="W189" s="55"/>
      <c r="X189" s="277"/>
      <c r="Y189" s="92"/>
    </row>
    <row r="190" spans="1:25" s="99" customFormat="1" ht="65.099999999999994" customHeight="1">
      <c r="A190" s="89"/>
      <c r="B190" s="89"/>
      <c r="C190" s="90"/>
      <c r="D190" s="91"/>
      <c r="E190" s="92"/>
      <c r="F190" s="92"/>
      <c r="G190" s="92"/>
      <c r="H190" s="92"/>
      <c r="I190" s="92"/>
      <c r="J190" s="92"/>
      <c r="K190" s="93"/>
      <c r="L190" s="94"/>
      <c r="M190" s="94"/>
      <c r="N190" s="95"/>
      <c r="O190" s="66"/>
      <c r="P190" s="96"/>
      <c r="Q190" s="97"/>
      <c r="R190" s="58"/>
      <c r="S190" s="69"/>
      <c r="T190" s="70"/>
      <c r="U190" s="66"/>
      <c r="V190" s="55"/>
      <c r="W190" s="55"/>
      <c r="X190" s="277"/>
      <c r="Y190" s="92"/>
    </row>
    <row r="191" spans="1:25" s="99" customFormat="1" ht="65.099999999999994" customHeight="1">
      <c r="A191" s="89"/>
      <c r="B191" s="89"/>
      <c r="C191" s="90"/>
      <c r="D191" s="91"/>
      <c r="E191" s="92"/>
      <c r="F191" s="92"/>
      <c r="G191" s="92"/>
      <c r="H191" s="92"/>
      <c r="I191" s="92"/>
      <c r="J191" s="92"/>
      <c r="K191" s="93"/>
      <c r="L191" s="94"/>
      <c r="M191" s="94"/>
      <c r="N191" s="95"/>
      <c r="O191" s="66"/>
      <c r="P191" s="96"/>
      <c r="Q191" s="97"/>
      <c r="R191" s="58"/>
      <c r="S191" s="69"/>
      <c r="T191" s="70"/>
      <c r="U191" s="66"/>
      <c r="V191" s="55"/>
      <c r="W191" s="55"/>
      <c r="X191" s="277"/>
      <c r="Y191" s="92"/>
    </row>
    <row r="192" spans="1:25" s="99" customFormat="1" ht="65.099999999999994" customHeight="1">
      <c r="A192" s="89"/>
      <c r="B192" s="89"/>
      <c r="C192" s="90"/>
      <c r="D192" s="91"/>
      <c r="E192" s="92"/>
      <c r="F192" s="92"/>
      <c r="G192" s="92"/>
      <c r="H192" s="92"/>
      <c r="I192" s="92"/>
      <c r="J192" s="92"/>
      <c r="K192" s="93"/>
      <c r="L192" s="94"/>
      <c r="M192" s="94"/>
      <c r="N192" s="95"/>
      <c r="O192" s="66"/>
      <c r="P192" s="96"/>
      <c r="Q192" s="97"/>
      <c r="R192" s="58"/>
      <c r="S192" s="69"/>
      <c r="T192" s="70"/>
      <c r="U192" s="66"/>
      <c r="V192" s="55"/>
      <c r="W192" s="55"/>
      <c r="X192" s="277"/>
      <c r="Y192" s="92"/>
    </row>
    <row r="193" spans="1:25" s="99" customFormat="1" ht="65.099999999999994" customHeight="1">
      <c r="A193" s="89"/>
      <c r="B193" s="89"/>
      <c r="C193" s="90"/>
      <c r="D193" s="91"/>
      <c r="E193" s="92"/>
      <c r="F193" s="92"/>
      <c r="G193" s="92"/>
      <c r="H193" s="92"/>
      <c r="I193" s="92"/>
      <c r="J193" s="92"/>
      <c r="K193" s="93"/>
      <c r="L193" s="94"/>
      <c r="M193" s="94"/>
      <c r="N193" s="95"/>
      <c r="O193" s="66"/>
      <c r="P193" s="96"/>
      <c r="Q193" s="97"/>
      <c r="R193" s="58"/>
      <c r="S193" s="69"/>
      <c r="T193" s="70"/>
      <c r="U193" s="66"/>
      <c r="V193" s="55"/>
      <c r="W193" s="55"/>
      <c r="X193" s="277"/>
      <c r="Y193" s="92"/>
    </row>
    <row r="194" spans="1:25" s="99" customFormat="1" ht="65.099999999999994" customHeight="1">
      <c r="A194" s="89"/>
      <c r="B194" s="89"/>
      <c r="C194" s="90"/>
      <c r="D194" s="91"/>
      <c r="E194" s="92"/>
      <c r="F194" s="92"/>
      <c r="G194" s="92"/>
      <c r="H194" s="92"/>
      <c r="I194" s="92"/>
      <c r="J194" s="92"/>
      <c r="K194" s="93"/>
      <c r="L194" s="94"/>
      <c r="M194" s="94"/>
      <c r="N194" s="95"/>
      <c r="O194" s="66"/>
      <c r="P194" s="96"/>
      <c r="Q194" s="97"/>
      <c r="R194" s="58"/>
      <c r="S194" s="69"/>
      <c r="T194" s="70"/>
      <c r="U194" s="66"/>
      <c r="V194" s="55"/>
      <c r="W194" s="55"/>
      <c r="X194" s="277"/>
      <c r="Y194" s="92"/>
    </row>
    <row r="195" spans="1:25" s="99" customFormat="1" ht="65.099999999999994" customHeight="1">
      <c r="A195" s="89"/>
      <c r="B195" s="89"/>
      <c r="C195" s="90"/>
      <c r="D195" s="91"/>
      <c r="E195" s="92"/>
      <c r="F195" s="92"/>
      <c r="G195" s="92"/>
      <c r="H195" s="92"/>
      <c r="I195" s="92"/>
      <c r="J195" s="92"/>
      <c r="K195" s="93"/>
      <c r="L195" s="94"/>
      <c r="M195" s="94"/>
      <c r="N195" s="95"/>
      <c r="O195" s="66"/>
      <c r="P195" s="96"/>
      <c r="Q195" s="97"/>
      <c r="R195" s="58"/>
      <c r="S195" s="69"/>
      <c r="T195" s="70"/>
      <c r="U195" s="66"/>
      <c r="V195" s="55"/>
      <c r="W195" s="55"/>
      <c r="X195" s="277"/>
      <c r="Y195" s="92"/>
    </row>
    <row r="196" spans="1:25" s="99" customFormat="1" ht="65.099999999999994" customHeight="1">
      <c r="A196" s="89"/>
      <c r="B196" s="89"/>
      <c r="C196" s="90"/>
      <c r="D196" s="91"/>
      <c r="E196" s="92"/>
      <c r="F196" s="92"/>
      <c r="G196" s="92"/>
      <c r="H196" s="92"/>
      <c r="I196" s="92"/>
      <c r="J196" s="92"/>
      <c r="K196" s="93"/>
      <c r="L196" s="94"/>
      <c r="M196" s="94"/>
      <c r="N196" s="95"/>
      <c r="O196" s="66"/>
      <c r="P196" s="96"/>
      <c r="Q196" s="97"/>
      <c r="R196" s="58"/>
      <c r="S196" s="69"/>
      <c r="T196" s="70"/>
      <c r="U196" s="66"/>
      <c r="V196" s="55"/>
      <c r="W196" s="55"/>
      <c r="X196" s="277"/>
      <c r="Y196" s="92"/>
    </row>
    <row r="197" spans="1:25" s="99" customFormat="1" ht="65.099999999999994" customHeight="1">
      <c r="A197" s="89"/>
      <c r="B197" s="89"/>
      <c r="C197" s="90"/>
      <c r="D197" s="91"/>
      <c r="E197" s="92"/>
      <c r="F197" s="92"/>
      <c r="G197" s="92"/>
      <c r="H197" s="92"/>
      <c r="I197" s="92"/>
      <c r="J197" s="92"/>
      <c r="K197" s="93"/>
      <c r="L197" s="94"/>
      <c r="M197" s="94"/>
      <c r="N197" s="95"/>
      <c r="O197" s="66"/>
      <c r="P197" s="96"/>
      <c r="Q197" s="97"/>
      <c r="R197" s="58"/>
      <c r="S197" s="69"/>
      <c r="T197" s="70"/>
      <c r="U197" s="66"/>
      <c r="V197" s="55"/>
      <c r="W197" s="55"/>
      <c r="X197" s="277"/>
      <c r="Y197" s="92"/>
    </row>
    <row r="198" spans="1:25" s="99" customFormat="1" ht="65.099999999999994" customHeight="1">
      <c r="A198" s="89"/>
      <c r="B198" s="89"/>
      <c r="C198" s="90"/>
      <c r="D198" s="91"/>
      <c r="E198" s="92"/>
      <c r="F198" s="92"/>
      <c r="G198" s="92"/>
      <c r="H198" s="92"/>
      <c r="I198" s="92"/>
      <c r="J198" s="92"/>
      <c r="K198" s="93"/>
      <c r="L198" s="94"/>
      <c r="M198" s="94"/>
      <c r="N198" s="95"/>
      <c r="O198" s="66"/>
      <c r="P198" s="96"/>
      <c r="Q198" s="97"/>
      <c r="R198" s="58"/>
      <c r="S198" s="69"/>
      <c r="T198" s="70"/>
      <c r="U198" s="66"/>
      <c r="V198" s="55"/>
      <c r="W198" s="55"/>
      <c r="X198" s="277"/>
      <c r="Y198" s="92"/>
    </row>
  </sheetData>
  <autoFilter ref="A1:Y17"/>
  <mergeCells count="38">
    <mergeCell ref="A47:A50"/>
    <mergeCell ref="A51:A54"/>
    <mergeCell ref="A23:A26"/>
    <mergeCell ref="A27:A30"/>
    <mergeCell ref="A31:A34"/>
    <mergeCell ref="A35:A38"/>
    <mergeCell ref="A39:A42"/>
    <mergeCell ref="A43:A46"/>
    <mergeCell ref="Y1:Y2"/>
    <mergeCell ref="A3:A6"/>
    <mergeCell ref="A7:A10"/>
    <mergeCell ref="A11:A14"/>
    <mergeCell ref="A15:A18"/>
    <mergeCell ref="W1:W2"/>
    <mergeCell ref="X1:X2"/>
    <mergeCell ref="L1:L2"/>
    <mergeCell ref="A1:A2"/>
    <mergeCell ref="B1:B2"/>
    <mergeCell ref="C1:C2"/>
    <mergeCell ref="D1:D2"/>
    <mergeCell ref="E1:E2"/>
    <mergeCell ref="F1:F2"/>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s>
  <conditionalFormatting sqref="G3:J54">
    <cfRule type="containsText" dxfId="13" priority="5" operator="containsText" text="NO">
      <formula>NOT(ISERROR(SEARCH("NO",G3)))</formula>
    </cfRule>
  </conditionalFormatting>
  <conditionalFormatting sqref="X3:X6">
    <cfRule type="containsText" dxfId="12" priority="4" operator="containsText" text="NO CUMPLE">
      <formula>NOT(ISERROR(SEARCH("NO CUMPLE",X3)))</formula>
    </cfRule>
  </conditionalFormatting>
  <conditionalFormatting sqref="X10 X14 X18 X22 X26 X30 X34 X38 X42 X46 X50 X54">
    <cfRule type="containsText" dxfId="11" priority="3" operator="containsText" text="NO CUMPLE">
      <formula>NOT(ISERROR(SEARCH("NO CUMPLE",X10)))</formula>
    </cfRule>
  </conditionalFormatting>
  <conditionalFormatting sqref="X8:X9 X12:X13 X16:X17 X20:X21 X24:X25 X28:X29 X32:X33 X36:X37 X40:X41 X44:X45 X48:X49 X52:X53">
    <cfRule type="containsText" dxfId="10" priority="2" operator="containsText" text="NO CUMPLE">
      <formula>NOT(ISERROR(SEARCH("NO CUMPLE",X8)))</formula>
    </cfRule>
  </conditionalFormatting>
  <conditionalFormatting sqref="X7 X11 X15 X19 X23 X27 X31 X35 X39 X43 X47 X51">
    <cfRule type="containsText" dxfId="9" priority="1" operator="containsText" text="NO CUMPLE">
      <formula>NOT(ISERROR(SEARCH("NO CUMPLE",X7)))</formula>
    </cfRule>
  </conditionalFormatting>
  <dataValidations count="1">
    <dataValidation type="list" allowBlank="1" showInputMessage="1" showErrorMessage="1" sqref="G3:J54">
      <formula1>$AA$1:$AB$1</formula1>
    </dataValidation>
  </dataValidations>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88"/>
  <sheetViews>
    <sheetView zoomScaleNormal="100" zoomScalePageLayoutView="125" workbookViewId="0">
      <pane xSplit="1" ySplit="2" topLeftCell="E3" activePane="bottomRight" state="frozen"/>
      <selection pane="topRight" activeCell="B1" sqref="B1"/>
      <selection pane="bottomLeft" activeCell="A3" sqref="A3"/>
      <selection pane="bottomRight" activeCell="M47" sqref="M47:M48"/>
    </sheetView>
  </sheetViews>
  <sheetFormatPr baseColWidth="10" defaultRowHeight="11.25"/>
  <cols>
    <col min="1" max="1" width="11.125" style="39" customWidth="1"/>
    <col min="2" max="2" width="25.125" style="39" customWidth="1"/>
    <col min="3" max="3" width="9.875" style="39" customWidth="1"/>
    <col min="4" max="4" width="41.125" style="40" customWidth="1"/>
    <col min="5" max="5" width="10.625" style="46" customWidth="1"/>
    <col min="6" max="6" width="16" style="205" customWidth="1"/>
    <col min="7" max="7" width="4.625" style="206" hidden="1" customWidth="1"/>
    <col min="8" max="8" width="13.5" style="204" customWidth="1"/>
    <col min="9" max="9" width="14" style="205" customWidth="1"/>
    <col min="10" max="10" width="13" style="205" customWidth="1"/>
    <col min="11" max="11" width="16.5" style="205" customWidth="1"/>
    <col min="12" max="12" width="13.625" style="156" customWidth="1"/>
    <col min="13" max="13" width="12.875" style="207" customWidth="1"/>
    <col min="14" max="14" width="10.5" style="39" customWidth="1"/>
    <col min="15" max="15" width="30.875" style="39" bestFit="1" customWidth="1"/>
    <col min="16" max="16" width="38.875" style="39" customWidth="1"/>
    <col min="17" max="17" width="15.875" style="39" customWidth="1"/>
    <col min="18" max="19" width="14.875" style="39" customWidth="1"/>
    <col min="20" max="23" width="11.375" style="39" bestFit="1" customWidth="1"/>
    <col min="24" max="24" width="3.5" style="39" customWidth="1"/>
    <col min="25" max="25" width="10.5" style="39" bestFit="1" customWidth="1"/>
    <col min="26" max="26" width="30.875" style="39" bestFit="1" customWidth="1"/>
    <col min="27" max="27" width="38.875" style="39" customWidth="1"/>
    <col min="28" max="28" width="15.875" style="39" customWidth="1"/>
    <col min="29" max="30" width="14.875" style="39" customWidth="1"/>
    <col min="31" max="34" width="11.375" style="39" bestFit="1" customWidth="1"/>
    <col min="35" max="35" width="4.625" style="39" customWidth="1"/>
    <col min="36" max="36" width="9.125" style="39" customWidth="1"/>
    <col min="37" max="37" width="30.875" style="39" bestFit="1" customWidth="1"/>
    <col min="38" max="38" width="38.875" style="39" customWidth="1"/>
    <col min="39" max="39" width="15.875" style="39" customWidth="1"/>
    <col min="40" max="40" width="14.875" style="39" customWidth="1"/>
    <col min="41" max="41" width="15" style="39" customWidth="1"/>
    <col min="42" max="45" width="11.375" style="39" bestFit="1" customWidth="1"/>
    <col min="46" max="46" width="4.125" style="39" customWidth="1"/>
    <col min="47" max="47" width="10.5" style="39" bestFit="1" customWidth="1"/>
    <col min="48" max="48" width="30.875" style="39" bestFit="1" customWidth="1"/>
    <col min="49" max="49" width="38.875" style="39" customWidth="1"/>
    <col min="50" max="50" width="15.875" style="39" customWidth="1"/>
    <col min="51" max="52" width="14.875" style="39" customWidth="1"/>
    <col min="53" max="56" width="11.375" style="39" bestFit="1" customWidth="1"/>
    <col min="57" max="57" width="3.875" style="39" customWidth="1"/>
    <col min="58" max="58" width="10.5" style="39" bestFit="1" customWidth="1"/>
    <col min="59" max="59" width="30.875" style="39" bestFit="1" customWidth="1"/>
    <col min="60" max="60" width="38.875" style="39" customWidth="1"/>
    <col min="61" max="61" width="15.875" style="39" customWidth="1"/>
    <col min="62" max="63" width="14.875" style="39" customWidth="1"/>
    <col min="64" max="67" width="11.375" style="39" bestFit="1" customWidth="1"/>
    <col min="68" max="16384" width="11" style="39"/>
  </cols>
  <sheetData>
    <row r="1" spans="1:13" ht="35.25" customHeight="1">
      <c r="A1" s="855" t="s">
        <v>51</v>
      </c>
      <c r="B1" s="855" t="s">
        <v>52</v>
      </c>
      <c r="C1" s="855" t="s">
        <v>85</v>
      </c>
      <c r="D1" s="855" t="s">
        <v>53</v>
      </c>
      <c r="E1" s="857" t="s">
        <v>72</v>
      </c>
      <c r="F1" s="860" t="s">
        <v>4</v>
      </c>
      <c r="G1" s="862" t="s">
        <v>2</v>
      </c>
      <c r="H1" s="865" t="s">
        <v>1</v>
      </c>
      <c r="I1" s="867" t="s">
        <v>0</v>
      </c>
      <c r="J1" s="867" t="s">
        <v>188</v>
      </c>
      <c r="K1" s="859" t="s">
        <v>413</v>
      </c>
      <c r="L1" s="859" t="s">
        <v>189</v>
      </c>
      <c r="M1" s="859" t="s">
        <v>190</v>
      </c>
    </row>
    <row r="2" spans="1:13" ht="22.5" customHeight="1" thickBot="1">
      <c r="A2" s="856"/>
      <c r="B2" s="856"/>
      <c r="C2" s="856"/>
      <c r="D2" s="856"/>
      <c r="E2" s="858"/>
      <c r="F2" s="861"/>
      <c r="G2" s="863"/>
      <c r="H2" s="866"/>
      <c r="I2" s="859"/>
      <c r="J2" s="859"/>
      <c r="K2" s="859"/>
      <c r="L2" s="859"/>
      <c r="M2" s="859"/>
    </row>
    <row r="3" spans="1:13" s="175" customFormat="1" ht="12" customHeight="1">
      <c r="A3" s="750" t="s">
        <v>192</v>
      </c>
      <c r="B3" s="753" t="s">
        <v>193</v>
      </c>
      <c r="C3" s="274" t="s">
        <v>97</v>
      </c>
      <c r="D3" s="171" t="s">
        <v>194</v>
      </c>
      <c r="E3" s="172">
        <v>0.49</v>
      </c>
      <c r="F3" s="173" t="s">
        <v>748</v>
      </c>
      <c r="G3" s="864"/>
      <c r="H3" s="173">
        <v>21211.041617367548</v>
      </c>
      <c r="I3" s="173">
        <v>16625.176448495127</v>
      </c>
      <c r="J3" s="693">
        <f>+H3+I3</f>
        <v>37836.218065862675</v>
      </c>
      <c r="K3" s="173" t="str">
        <f>+IF(J3&gt;=PARÁMETROS!$L$5,"SI","NO")</f>
        <v>SI</v>
      </c>
      <c r="L3" s="173" t="str">
        <f>+IF(F3="ACREDITA",IF(K3="SI","CUMPLE","NO CUMPLE"),"")</f>
        <v>CUMPLE</v>
      </c>
      <c r="M3" s="750" t="s">
        <v>750</v>
      </c>
    </row>
    <row r="4" spans="1:13" s="175" customFormat="1" ht="12" customHeight="1" thickBot="1">
      <c r="A4" s="752"/>
      <c r="B4" s="755"/>
      <c r="C4" s="218" t="s">
        <v>98</v>
      </c>
      <c r="D4" s="177" t="s">
        <v>195</v>
      </c>
      <c r="E4" s="178">
        <v>0.51</v>
      </c>
      <c r="F4" s="179" t="s">
        <v>749</v>
      </c>
      <c r="G4" s="864"/>
      <c r="H4" s="179">
        <v>10698.705660665786</v>
      </c>
      <c r="I4" s="179">
        <v>10698.705660665786</v>
      </c>
      <c r="J4" s="694">
        <f t="shared" ref="J4:J65" si="0">+H4+I4</f>
        <v>21397.411321331572</v>
      </c>
      <c r="K4" s="179" t="str">
        <f>+IF(J4&gt;=PARÁMETROS!$L$5,"SI","NO")</f>
        <v>SI</v>
      </c>
      <c r="L4" s="179" t="str">
        <f t="shared" ref="L4:L67" si="1">+IF(F4="ACREDITA",IF(K4="SI","CUMPLE","NO CUMPLE"),"")</f>
        <v/>
      </c>
      <c r="M4" s="752"/>
    </row>
    <row r="5" spans="1:13" s="175" customFormat="1" ht="12" customHeight="1">
      <c r="A5" s="750" t="s">
        <v>196</v>
      </c>
      <c r="B5" s="753" t="s">
        <v>197</v>
      </c>
      <c r="C5" s="274" t="s">
        <v>99</v>
      </c>
      <c r="D5" s="171" t="s">
        <v>198</v>
      </c>
      <c r="E5" s="188">
        <v>0.57499999999999996</v>
      </c>
      <c r="F5" s="173" t="s">
        <v>749</v>
      </c>
      <c r="G5" s="864"/>
      <c r="H5" s="173">
        <f>('EXP GEN. 1-5'!U8+'EXP GEN. 1-5'!U9+'EXP GEN. 1-5'!U10)</f>
        <v>19455.792510842861</v>
      </c>
      <c r="I5" s="173">
        <f>('EXP ESPEC. 1-5 '!W7+'EXP ESPEC. 1-5 '!W8+'EXP ESPEC. 1-5 '!W9)</f>
        <v>19455.792510842861</v>
      </c>
      <c r="J5" s="693">
        <f t="shared" si="0"/>
        <v>38911.585021685722</v>
      </c>
      <c r="K5" s="173" t="str">
        <f>+IF(J5&gt;=PARÁMETROS!$L$5,"SI","NO")</f>
        <v>SI</v>
      </c>
      <c r="L5" s="173" t="str">
        <f t="shared" si="1"/>
        <v/>
      </c>
      <c r="M5" s="750" t="s">
        <v>750</v>
      </c>
    </row>
    <row r="6" spans="1:13" s="175" customFormat="1" ht="12" customHeight="1" thickBot="1">
      <c r="A6" s="752"/>
      <c r="B6" s="755"/>
      <c r="C6" s="218" t="s">
        <v>104</v>
      </c>
      <c r="D6" s="177" t="s">
        <v>199</v>
      </c>
      <c r="E6" s="189">
        <v>0.42499999999999999</v>
      </c>
      <c r="F6" s="179" t="s">
        <v>748</v>
      </c>
      <c r="G6" s="864"/>
      <c r="H6" s="179">
        <v>9192.4995579723673</v>
      </c>
      <c r="I6" s="179">
        <v>9192.4995579723673</v>
      </c>
      <c r="J6" s="694">
        <f t="shared" si="0"/>
        <v>18384.999115944735</v>
      </c>
      <c r="K6" s="179" t="str">
        <f>+IF(J6&gt;=PARÁMETROS!$L$5,"SI","NO")</f>
        <v>SI</v>
      </c>
      <c r="L6" s="179" t="str">
        <f t="shared" si="1"/>
        <v>CUMPLE</v>
      </c>
      <c r="M6" s="752"/>
    </row>
    <row r="7" spans="1:13" s="175" customFormat="1" ht="12" customHeight="1">
      <c r="A7" s="750" t="s">
        <v>200</v>
      </c>
      <c r="B7" s="753" t="s">
        <v>193</v>
      </c>
      <c r="C7" s="274" t="s">
        <v>100</v>
      </c>
      <c r="D7" s="171" t="s">
        <v>7</v>
      </c>
      <c r="E7" s="172">
        <v>0.44</v>
      </c>
      <c r="F7" s="173" t="s">
        <v>748</v>
      </c>
      <c r="G7" s="864"/>
      <c r="H7" s="173">
        <v>3944.7665194071542</v>
      </c>
      <c r="I7" s="173">
        <v>3944.7665194071542</v>
      </c>
      <c r="J7" s="693">
        <f t="shared" si="0"/>
        <v>7889.5330388143084</v>
      </c>
      <c r="K7" s="173" t="str">
        <f>+IF(J7&gt;=PARÁMETROS!$L$5,"SI","NO")</f>
        <v>SI</v>
      </c>
      <c r="L7" s="173" t="str">
        <f t="shared" si="1"/>
        <v>CUMPLE</v>
      </c>
      <c r="M7" s="854" t="s">
        <v>756</v>
      </c>
    </row>
    <row r="8" spans="1:13" s="175" customFormat="1" ht="12" customHeight="1">
      <c r="A8" s="751"/>
      <c r="B8" s="754"/>
      <c r="C8" s="276" t="s">
        <v>105</v>
      </c>
      <c r="D8" s="35" t="s">
        <v>201</v>
      </c>
      <c r="E8" s="53">
        <v>0.05</v>
      </c>
      <c r="F8" s="176" t="s">
        <v>749</v>
      </c>
      <c r="G8" s="864"/>
      <c r="H8" s="176">
        <v>6306.283418141792</v>
      </c>
      <c r="I8" s="176">
        <v>4380.3368930191373</v>
      </c>
      <c r="J8" s="695">
        <f t="shared" si="0"/>
        <v>10686.620311160928</v>
      </c>
      <c r="K8" s="176" t="str">
        <f>+IF(J8&gt;=PARÁMETROS!$L$5,"SI","NO")</f>
        <v>SI</v>
      </c>
      <c r="L8" s="176" t="str">
        <f t="shared" si="1"/>
        <v/>
      </c>
      <c r="M8" s="751"/>
    </row>
    <row r="9" spans="1:13" s="175" customFormat="1" ht="12" customHeight="1" thickBot="1">
      <c r="A9" s="752"/>
      <c r="B9" s="755"/>
      <c r="C9" s="218" t="s">
        <v>202</v>
      </c>
      <c r="D9" s="177" t="s">
        <v>203</v>
      </c>
      <c r="E9" s="178">
        <v>0.51</v>
      </c>
      <c r="F9" s="179" t="s">
        <v>749</v>
      </c>
      <c r="G9" s="864"/>
      <c r="H9" s="179">
        <v>18765.602048795234</v>
      </c>
      <c r="I9" s="179">
        <v>13978.798972137536</v>
      </c>
      <c r="J9" s="694">
        <f t="shared" si="0"/>
        <v>32744.401020932768</v>
      </c>
      <c r="K9" s="179" t="str">
        <f>+IF(J9&gt;=PARÁMETROS!$L$5,"SI","NO")</f>
        <v>SI</v>
      </c>
      <c r="L9" s="179" t="str">
        <f t="shared" si="1"/>
        <v/>
      </c>
      <c r="M9" s="752"/>
    </row>
    <row r="10" spans="1:13" s="175" customFormat="1" ht="12" customHeight="1">
      <c r="A10" s="750" t="s">
        <v>204</v>
      </c>
      <c r="B10" s="753" t="s">
        <v>205</v>
      </c>
      <c r="C10" s="274" t="s">
        <v>101</v>
      </c>
      <c r="D10" s="171" t="s">
        <v>206</v>
      </c>
      <c r="E10" s="172">
        <v>0.51</v>
      </c>
      <c r="F10" s="173" t="s">
        <v>748</v>
      </c>
      <c r="G10" s="864"/>
      <c r="H10" s="173">
        <v>12349.582535308169</v>
      </c>
      <c r="I10" s="173">
        <v>9745.7864445016476</v>
      </c>
      <c r="J10" s="693">
        <f t="shared" si="0"/>
        <v>22095.368979809817</v>
      </c>
      <c r="K10" s="173" t="str">
        <f>+IF(J10&gt;=PARÁMETROS!$L$5,"SI","NO")</f>
        <v>SI</v>
      </c>
      <c r="L10" s="173" t="str">
        <f t="shared" si="1"/>
        <v>CUMPLE</v>
      </c>
      <c r="M10" s="750" t="s">
        <v>750</v>
      </c>
    </row>
    <row r="11" spans="1:13" s="175" customFormat="1" ht="12" customHeight="1" thickBot="1">
      <c r="A11" s="752"/>
      <c r="B11" s="755"/>
      <c r="C11" s="218" t="s">
        <v>106</v>
      </c>
      <c r="D11" s="177" t="s">
        <v>207</v>
      </c>
      <c r="E11" s="178">
        <v>0.49</v>
      </c>
      <c r="F11" s="179" t="s">
        <v>749</v>
      </c>
      <c r="G11" s="864"/>
      <c r="H11" s="179">
        <v>20587.500546714055</v>
      </c>
      <c r="I11" s="179">
        <v>19667.620774938332</v>
      </c>
      <c r="J11" s="694">
        <f t="shared" si="0"/>
        <v>40255.12132165239</v>
      </c>
      <c r="K11" s="179" t="str">
        <f>+IF(J11&gt;=PARÁMETROS!$L$5,"SI","NO")</f>
        <v>SI</v>
      </c>
      <c r="L11" s="179" t="str">
        <f t="shared" si="1"/>
        <v/>
      </c>
      <c r="M11" s="752"/>
    </row>
    <row r="12" spans="1:13" s="175" customFormat="1" ht="12" customHeight="1">
      <c r="A12" s="750" t="s">
        <v>208</v>
      </c>
      <c r="B12" s="753" t="s">
        <v>209</v>
      </c>
      <c r="C12" s="274" t="s">
        <v>102</v>
      </c>
      <c r="D12" s="171" t="s">
        <v>210</v>
      </c>
      <c r="E12" s="172">
        <v>0.6</v>
      </c>
      <c r="F12" s="173" t="s">
        <v>749</v>
      </c>
      <c r="G12" s="864"/>
      <c r="H12" s="173">
        <v>31808.683563666491</v>
      </c>
      <c r="I12" s="173">
        <v>31808.683563666491</v>
      </c>
      <c r="J12" s="693">
        <f t="shared" si="0"/>
        <v>63617.367127332982</v>
      </c>
      <c r="K12" s="173" t="str">
        <f>+IF(J12&gt;=PARÁMETROS!$L$5,"SI","NO")</f>
        <v>SI</v>
      </c>
      <c r="L12" s="173" t="str">
        <f t="shared" si="1"/>
        <v/>
      </c>
      <c r="M12" s="750" t="s">
        <v>750</v>
      </c>
    </row>
    <row r="13" spans="1:13" s="175" customFormat="1" ht="12" customHeight="1" thickBot="1">
      <c r="A13" s="752"/>
      <c r="B13" s="755"/>
      <c r="C13" s="218" t="s">
        <v>107</v>
      </c>
      <c r="D13" s="177" t="s">
        <v>211</v>
      </c>
      <c r="E13" s="178">
        <v>0.4</v>
      </c>
      <c r="F13" s="179" t="s">
        <v>748</v>
      </c>
      <c r="G13" s="864"/>
      <c r="H13" s="179">
        <v>31820.512113091521</v>
      </c>
      <c r="I13" s="179">
        <v>21960.584908858302</v>
      </c>
      <c r="J13" s="694">
        <f t="shared" si="0"/>
        <v>53781.097021949827</v>
      </c>
      <c r="K13" s="179" t="str">
        <f>+IF(J13&gt;=PARÁMETROS!$L$5,"SI","NO")</f>
        <v>SI</v>
      </c>
      <c r="L13" s="179" t="str">
        <f t="shared" si="1"/>
        <v>CUMPLE</v>
      </c>
      <c r="M13" s="752"/>
    </row>
    <row r="14" spans="1:13" s="175" customFormat="1" ht="12" customHeight="1">
      <c r="A14" s="750" t="s">
        <v>212</v>
      </c>
      <c r="B14" s="753" t="s">
        <v>213</v>
      </c>
      <c r="C14" s="274" t="s">
        <v>103</v>
      </c>
      <c r="D14" s="171" t="s">
        <v>214</v>
      </c>
      <c r="E14" s="172">
        <v>0.51</v>
      </c>
      <c r="F14" s="173" t="s">
        <v>749</v>
      </c>
      <c r="G14" s="864"/>
      <c r="H14" s="173">
        <v>10932.383003082594</v>
      </c>
      <c r="I14" s="173">
        <v>9378.5925087995602</v>
      </c>
      <c r="J14" s="693">
        <f t="shared" si="0"/>
        <v>20310.975511882156</v>
      </c>
      <c r="K14" s="173" t="str">
        <f>+IF(J14&gt;=PARÁMETROS!$L$5,"SI","NO")</f>
        <v>SI</v>
      </c>
      <c r="L14" s="173" t="str">
        <f t="shared" si="1"/>
        <v/>
      </c>
      <c r="M14" s="750" t="s">
        <v>750</v>
      </c>
    </row>
    <row r="15" spans="1:13" s="175" customFormat="1" ht="27" customHeight="1">
      <c r="A15" s="751"/>
      <c r="B15" s="754"/>
      <c r="C15" s="276" t="s">
        <v>108</v>
      </c>
      <c r="D15" s="35" t="s">
        <v>91</v>
      </c>
      <c r="E15" s="53">
        <v>0.25</v>
      </c>
      <c r="F15" s="176" t="s">
        <v>748</v>
      </c>
      <c r="G15" s="864"/>
      <c r="H15" s="176">
        <v>5584.2182583377453</v>
      </c>
      <c r="I15" s="176">
        <v>5584.2182583377453</v>
      </c>
      <c r="J15" s="695">
        <f t="shared" si="0"/>
        <v>11168.436516675491</v>
      </c>
      <c r="K15" s="176" t="str">
        <f>+IF(J15&gt;=PARÁMETROS!$L$5,"SI","NO")</f>
        <v>SI</v>
      </c>
      <c r="L15" s="176" t="str">
        <f t="shared" si="1"/>
        <v>CUMPLE</v>
      </c>
      <c r="M15" s="751"/>
    </row>
    <row r="16" spans="1:13" s="175" customFormat="1" ht="12" customHeight="1" thickBot="1">
      <c r="A16" s="752"/>
      <c r="B16" s="755"/>
      <c r="C16" s="218" t="s">
        <v>215</v>
      </c>
      <c r="D16" s="177" t="s">
        <v>92</v>
      </c>
      <c r="E16" s="178">
        <v>0.24</v>
      </c>
      <c r="F16" s="423" t="s">
        <v>749</v>
      </c>
      <c r="G16" s="864"/>
      <c r="H16" s="423">
        <v>29965.703577964887</v>
      </c>
      <c r="I16" s="423">
        <v>29965.703577964887</v>
      </c>
      <c r="J16" s="696">
        <f t="shared" si="0"/>
        <v>59931.407155929774</v>
      </c>
      <c r="K16" s="423" t="str">
        <f>+IF(J16&gt;=PARÁMETROS!$L$5,"SI","NO")</f>
        <v>SI</v>
      </c>
      <c r="L16" s="423" t="str">
        <f t="shared" si="1"/>
        <v/>
      </c>
      <c r="M16" s="752"/>
    </row>
    <row r="17" spans="1:13" s="175" customFormat="1" ht="12" customHeight="1">
      <c r="A17" s="750" t="s">
        <v>216</v>
      </c>
      <c r="B17" s="753" t="s">
        <v>217</v>
      </c>
      <c r="C17" s="274" t="s">
        <v>109</v>
      </c>
      <c r="D17" s="171" t="s">
        <v>86</v>
      </c>
      <c r="E17" s="172">
        <v>0.51</v>
      </c>
      <c r="F17" s="174" t="s">
        <v>749</v>
      </c>
      <c r="G17" s="864"/>
      <c r="H17" s="174">
        <v>18841.41528922705</v>
      </c>
      <c r="I17" s="174">
        <v>12285.21917643947</v>
      </c>
      <c r="J17" s="697">
        <f t="shared" si="0"/>
        <v>31126.634465666521</v>
      </c>
      <c r="K17" s="174" t="str">
        <f>+IF(J17&gt;=PARÁMETROS!$L$5,"SI","NO")</f>
        <v>SI</v>
      </c>
      <c r="L17" s="174" t="str">
        <f t="shared" si="1"/>
        <v/>
      </c>
      <c r="M17" s="750" t="s">
        <v>750</v>
      </c>
    </row>
    <row r="18" spans="1:13" s="175" customFormat="1" ht="12" customHeight="1" thickBot="1">
      <c r="A18" s="752"/>
      <c r="B18" s="755"/>
      <c r="C18" s="218" t="s">
        <v>110</v>
      </c>
      <c r="D18" s="177" t="s">
        <v>218</v>
      </c>
      <c r="E18" s="178">
        <v>0.49</v>
      </c>
      <c r="F18" s="202" t="s">
        <v>748</v>
      </c>
      <c r="G18" s="864"/>
      <c r="H18" s="202">
        <v>24494.259084501064</v>
      </c>
      <c r="I18" s="202">
        <v>24494.276012065013</v>
      </c>
      <c r="J18" s="698">
        <f t="shared" si="0"/>
        <v>48988.535096566076</v>
      </c>
      <c r="K18" s="202" t="str">
        <f>+IF(J18&gt;=PARÁMETROS!$L$5,"SI","NO")</f>
        <v>SI</v>
      </c>
      <c r="L18" s="202" t="str">
        <f t="shared" si="1"/>
        <v>CUMPLE</v>
      </c>
      <c r="M18" s="752"/>
    </row>
    <row r="19" spans="1:13" s="175" customFormat="1" ht="12" customHeight="1">
      <c r="A19" s="750" t="s">
        <v>219</v>
      </c>
      <c r="B19" s="753" t="s">
        <v>220</v>
      </c>
      <c r="C19" s="274" t="s">
        <v>111</v>
      </c>
      <c r="D19" s="171" t="s">
        <v>88</v>
      </c>
      <c r="E19" s="172">
        <v>0.49</v>
      </c>
      <c r="F19" s="174" t="s">
        <v>748</v>
      </c>
      <c r="G19" s="864"/>
      <c r="H19" s="174">
        <v>22904.841693341932</v>
      </c>
      <c r="I19" s="174">
        <v>23353.924119658572</v>
      </c>
      <c r="J19" s="697">
        <f t="shared" si="0"/>
        <v>46258.7658130005</v>
      </c>
      <c r="K19" s="174" t="str">
        <f>+IF(J19&gt;=PARÁMETROS!$L$5,"SI","NO")</f>
        <v>SI</v>
      </c>
      <c r="L19" s="174" t="str">
        <f t="shared" si="1"/>
        <v>CUMPLE</v>
      </c>
      <c r="M19" s="854" t="s">
        <v>752</v>
      </c>
    </row>
    <row r="20" spans="1:13" ht="12" customHeight="1" thickBot="1">
      <c r="A20" s="752"/>
      <c r="B20" s="755"/>
      <c r="C20" s="218" t="s">
        <v>112</v>
      </c>
      <c r="D20" s="177" t="s">
        <v>87</v>
      </c>
      <c r="E20" s="178">
        <v>0.51</v>
      </c>
      <c r="F20" s="180" t="s">
        <v>749</v>
      </c>
      <c r="G20" s="864"/>
      <c r="H20" s="180">
        <v>15358.300802978465</v>
      </c>
      <c r="I20" s="180">
        <v>14678.201579526329</v>
      </c>
      <c r="J20" s="699">
        <f t="shared" si="0"/>
        <v>30036.502382504794</v>
      </c>
      <c r="K20" s="180" t="str">
        <f>+IF(J20&gt;=PARÁMETROS!$L$5,"SI","NO")</f>
        <v>SI</v>
      </c>
      <c r="L20" s="180" t="str">
        <f t="shared" si="1"/>
        <v/>
      </c>
      <c r="M20" s="752"/>
    </row>
    <row r="21" spans="1:13" ht="12" customHeight="1">
      <c r="A21" s="750" t="s">
        <v>221</v>
      </c>
      <c r="B21" s="753" t="s">
        <v>222</v>
      </c>
      <c r="C21" s="274" t="s">
        <v>113</v>
      </c>
      <c r="D21" s="171" t="s">
        <v>94</v>
      </c>
      <c r="E21" s="172">
        <v>0.49</v>
      </c>
      <c r="F21" s="173" t="s">
        <v>748</v>
      </c>
      <c r="G21" s="864"/>
      <c r="H21" s="173">
        <v>5890.8438609451387</v>
      </c>
      <c r="I21" s="173">
        <v>5890.8438609451387</v>
      </c>
      <c r="J21" s="693">
        <f t="shared" si="0"/>
        <v>11781.687721890277</v>
      </c>
      <c r="K21" s="173" t="str">
        <f>+IF(J21&gt;=PARÁMETROS!$L$5,"SI","NO")</f>
        <v>SI</v>
      </c>
      <c r="L21" s="173" t="str">
        <f t="shared" si="1"/>
        <v>CUMPLE</v>
      </c>
      <c r="M21" s="750" t="s">
        <v>750</v>
      </c>
    </row>
    <row r="22" spans="1:13" ht="12" customHeight="1" thickBot="1">
      <c r="A22" s="752"/>
      <c r="B22" s="755"/>
      <c r="C22" s="218" t="s">
        <v>114</v>
      </c>
      <c r="D22" s="177" t="s">
        <v>83</v>
      </c>
      <c r="E22" s="178">
        <v>0.51</v>
      </c>
      <c r="F22" s="179" t="s">
        <v>748</v>
      </c>
      <c r="G22" s="864"/>
      <c r="H22" s="179">
        <v>11666.538971192416</v>
      </c>
      <c r="I22" s="179">
        <v>11666.538971192416</v>
      </c>
      <c r="J22" s="694">
        <f t="shared" si="0"/>
        <v>23333.077942384833</v>
      </c>
      <c r="K22" s="179" t="str">
        <f>+IF(J22&gt;=PARÁMETROS!$L$5,"SI","NO")</f>
        <v>SI</v>
      </c>
      <c r="L22" s="179" t="str">
        <f t="shared" si="1"/>
        <v>CUMPLE</v>
      </c>
      <c r="M22" s="752"/>
    </row>
    <row r="23" spans="1:13" ht="12" customHeight="1" thickBot="1">
      <c r="A23" s="203" t="s">
        <v>223</v>
      </c>
      <c r="B23" s="183" t="s">
        <v>96</v>
      </c>
      <c r="C23" s="183" t="s">
        <v>115</v>
      </c>
      <c r="D23" s="184" t="s">
        <v>95</v>
      </c>
      <c r="E23" s="185">
        <v>1</v>
      </c>
      <c r="F23" s="173" t="s">
        <v>748</v>
      </c>
      <c r="G23" s="864"/>
      <c r="H23" s="173">
        <v>27922.248815903957</v>
      </c>
      <c r="I23" s="173">
        <v>19037.442751490969</v>
      </c>
      <c r="J23" s="693">
        <f t="shared" si="0"/>
        <v>46959.691567394926</v>
      </c>
      <c r="K23" s="173" t="str">
        <f>+IF(J23&gt;=PARÁMETROS!$L$5,"SI","NO")</f>
        <v>SI</v>
      </c>
      <c r="L23" s="173" t="str">
        <f t="shared" si="1"/>
        <v>CUMPLE</v>
      </c>
      <c r="M23" s="203" t="s">
        <v>750</v>
      </c>
    </row>
    <row r="24" spans="1:13" ht="12" customHeight="1">
      <c r="A24" s="750" t="s">
        <v>224</v>
      </c>
      <c r="B24" s="753" t="s">
        <v>73</v>
      </c>
      <c r="C24" s="274" t="s">
        <v>116</v>
      </c>
      <c r="D24" s="171" t="s">
        <v>76</v>
      </c>
      <c r="E24" s="172">
        <v>0.51</v>
      </c>
      <c r="F24" s="173" t="s">
        <v>748</v>
      </c>
      <c r="G24" s="864"/>
      <c r="H24" s="173">
        <v>15169.474681951571</v>
      </c>
      <c r="I24" s="173">
        <v>9319.6339771985331</v>
      </c>
      <c r="J24" s="693">
        <f t="shared" si="0"/>
        <v>24489.108659150104</v>
      </c>
      <c r="K24" s="173" t="str">
        <f>+IF(J24&gt;=PARÁMETROS!$L$5,"SI","NO")</f>
        <v>SI</v>
      </c>
      <c r="L24" s="173" t="str">
        <f t="shared" si="1"/>
        <v>CUMPLE</v>
      </c>
      <c r="M24" s="750" t="s">
        <v>750</v>
      </c>
    </row>
    <row r="25" spans="1:13" ht="12" customHeight="1" thickBot="1">
      <c r="A25" s="752"/>
      <c r="B25" s="755"/>
      <c r="C25" s="218" t="s">
        <v>117</v>
      </c>
      <c r="D25" s="177" t="s">
        <v>77</v>
      </c>
      <c r="E25" s="178">
        <v>0.49</v>
      </c>
      <c r="F25" s="179" t="s">
        <v>749</v>
      </c>
      <c r="G25" s="864"/>
      <c r="H25" s="179">
        <v>14424.846734852556</v>
      </c>
      <c r="I25" s="179">
        <v>14424.846734852556</v>
      </c>
      <c r="J25" s="694">
        <f t="shared" si="0"/>
        <v>28849.693469705111</v>
      </c>
      <c r="K25" s="179" t="str">
        <f>+IF(J25&gt;=PARÁMETROS!$L$5,"SI","NO")</f>
        <v>SI</v>
      </c>
      <c r="L25" s="179" t="str">
        <f t="shared" si="1"/>
        <v/>
      </c>
      <c r="M25" s="752"/>
    </row>
    <row r="26" spans="1:13" ht="12" customHeight="1" thickBot="1">
      <c r="A26" s="750" t="s">
        <v>225</v>
      </c>
      <c r="B26" s="753" t="s">
        <v>226</v>
      </c>
      <c r="C26" s="274" t="s">
        <v>118</v>
      </c>
      <c r="D26" s="171" t="s">
        <v>71</v>
      </c>
      <c r="E26" s="172">
        <v>0.7</v>
      </c>
      <c r="F26" s="179" t="s">
        <v>748</v>
      </c>
      <c r="G26" s="864"/>
      <c r="H26" s="179">
        <v>48088.846592716647</v>
      </c>
      <c r="I26" s="179">
        <v>75454.142542393514</v>
      </c>
      <c r="J26" s="694">
        <f t="shared" si="0"/>
        <v>123542.98913511017</v>
      </c>
      <c r="K26" s="179" t="str">
        <f>+IF(J26&gt;=PARÁMETROS!$L$5,"SI","NO")</f>
        <v>SI</v>
      </c>
      <c r="L26" s="179" t="str">
        <f t="shared" si="1"/>
        <v>CUMPLE</v>
      </c>
      <c r="M26" s="854" t="s">
        <v>754</v>
      </c>
    </row>
    <row r="27" spans="1:13" ht="12" customHeight="1" thickBot="1">
      <c r="A27" s="751"/>
      <c r="B27" s="754"/>
      <c r="C27" s="276" t="s">
        <v>119</v>
      </c>
      <c r="D27" s="228" t="s">
        <v>227</v>
      </c>
      <c r="E27" s="229">
        <v>0.3</v>
      </c>
      <c r="F27" s="173" t="s">
        <v>749</v>
      </c>
      <c r="G27" s="864"/>
      <c r="H27" s="173">
        <v>25963.65607504479</v>
      </c>
      <c r="I27" s="173">
        <v>0</v>
      </c>
      <c r="J27" s="693">
        <f t="shared" si="0"/>
        <v>25963.65607504479</v>
      </c>
      <c r="K27" s="173" t="str">
        <f>+IF(J27&gt;=PARÁMETROS!$L$5,"SI","NO")</f>
        <v>SI</v>
      </c>
      <c r="L27" s="173" t="str">
        <f t="shared" si="1"/>
        <v/>
      </c>
      <c r="M27" s="751"/>
    </row>
    <row r="28" spans="1:13" ht="12" customHeight="1">
      <c r="A28" s="750" t="s">
        <v>228</v>
      </c>
      <c r="B28" s="753" t="s">
        <v>229</v>
      </c>
      <c r="C28" s="274" t="s">
        <v>120</v>
      </c>
      <c r="D28" s="171" t="s">
        <v>230</v>
      </c>
      <c r="E28" s="172">
        <v>0.67</v>
      </c>
      <c r="F28" s="181" t="s">
        <v>749</v>
      </c>
      <c r="G28" s="864"/>
      <c r="H28" s="181">
        <f>('EXP GEN. 13-19'!U3+'EXP GEN. 13-19'!U4)</f>
        <v>5029.7230410814091</v>
      </c>
      <c r="I28" s="181">
        <f>('EXP ESPEC. 13-19'!W3+'EXP ESPEC. 13-19'!W4+'EXP ESPEC. 13-19'!W5+'EXP ESPEC. 13-19'!W6)</f>
        <v>39561.660977250416</v>
      </c>
      <c r="J28" s="700">
        <f t="shared" si="0"/>
        <v>44591.384018331824</v>
      </c>
      <c r="K28" s="181" t="str">
        <f>+IF(J28&gt;=PARÁMETROS!$L$5,"SI","NO")</f>
        <v>SI</v>
      </c>
      <c r="L28" s="181" t="str">
        <f t="shared" si="1"/>
        <v/>
      </c>
      <c r="M28" s="854" t="s">
        <v>754</v>
      </c>
    </row>
    <row r="29" spans="1:13" ht="12" customHeight="1" thickBot="1">
      <c r="A29" s="752"/>
      <c r="B29" s="755"/>
      <c r="C29" s="218" t="s">
        <v>121</v>
      </c>
      <c r="D29" s="177" t="s">
        <v>79</v>
      </c>
      <c r="E29" s="178">
        <v>0.33</v>
      </c>
      <c r="F29" s="182" t="s">
        <v>748</v>
      </c>
      <c r="G29" s="864"/>
      <c r="H29" s="182">
        <f>('EXP GEN. 13-19'!U5+'EXP GEN. 13-19'!U6+'EXP GEN. 13-19'!U7)</f>
        <v>6350.3894436122519</v>
      </c>
      <c r="I29" s="182">
        <v>0</v>
      </c>
      <c r="J29" s="701">
        <f t="shared" si="0"/>
        <v>6350.3894436122519</v>
      </c>
      <c r="K29" s="182" t="str">
        <f>+IF(J29&gt;=PARÁMETROS!$L$5,"SI","NO")</f>
        <v>SI</v>
      </c>
      <c r="L29" s="182" t="str">
        <f t="shared" si="1"/>
        <v>CUMPLE</v>
      </c>
      <c r="M29" s="752"/>
    </row>
    <row r="30" spans="1:13" ht="12" customHeight="1">
      <c r="A30" s="750" t="s">
        <v>231</v>
      </c>
      <c r="B30" s="753" t="s">
        <v>232</v>
      </c>
      <c r="C30" s="274" t="s">
        <v>122</v>
      </c>
      <c r="D30" s="171" t="s">
        <v>233</v>
      </c>
      <c r="E30" s="172">
        <v>0.6</v>
      </c>
      <c r="F30" s="181" t="s">
        <v>749</v>
      </c>
      <c r="G30" s="864"/>
      <c r="H30" s="181">
        <f>('EXP GEN. 13-19'!U8)</f>
        <v>4135.4300786369595</v>
      </c>
      <c r="I30" s="181">
        <f>('EXP ESPEC. 13-19'!W7+'EXP ESPEC. 13-19'!W8+'EXP ESPEC. 13-19'!W9)</f>
        <v>14632.709602511854</v>
      </c>
      <c r="J30" s="700">
        <f t="shared" si="0"/>
        <v>18768.139681148812</v>
      </c>
      <c r="K30" s="181" t="str">
        <f>+IF(J30&gt;=PARÁMETROS!$L$5,"SI","NO")</f>
        <v>SI</v>
      </c>
      <c r="L30" s="181" t="str">
        <f t="shared" si="1"/>
        <v/>
      </c>
      <c r="M30" s="750" t="s">
        <v>750</v>
      </c>
    </row>
    <row r="31" spans="1:13" ht="12" customHeight="1" thickBot="1">
      <c r="A31" s="752"/>
      <c r="B31" s="755"/>
      <c r="C31" s="218" t="s">
        <v>123</v>
      </c>
      <c r="D31" s="177" t="s">
        <v>234</v>
      </c>
      <c r="E31" s="178">
        <v>0.4</v>
      </c>
      <c r="F31" s="182" t="s">
        <v>748</v>
      </c>
      <c r="G31" s="864"/>
      <c r="H31" s="182">
        <f>('EXP GEN. 13-19'!U9)</f>
        <v>5199.6832516233762</v>
      </c>
      <c r="I31" s="182">
        <f>('EXP ESPEC. 13-19'!W10)</f>
        <v>5199.6832516233762</v>
      </c>
      <c r="J31" s="701">
        <f t="shared" si="0"/>
        <v>10399.366503246752</v>
      </c>
      <c r="K31" s="182" t="str">
        <f>+IF(J31&gt;=PARÁMETROS!$L$5,"SI","NO")</f>
        <v>SI</v>
      </c>
      <c r="L31" s="182" t="str">
        <f t="shared" si="1"/>
        <v>CUMPLE</v>
      </c>
      <c r="M31" s="752"/>
    </row>
    <row r="32" spans="1:13" ht="12" customHeight="1" thickBot="1">
      <c r="A32" s="266" t="s">
        <v>235</v>
      </c>
      <c r="B32" s="203" t="s">
        <v>241</v>
      </c>
      <c r="C32" s="183" t="s">
        <v>124</v>
      </c>
      <c r="D32" s="184" t="s">
        <v>241</v>
      </c>
      <c r="E32" s="185">
        <v>1</v>
      </c>
      <c r="F32" s="186" t="s">
        <v>748</v>
      </c>
      <c r="G32" s="864"/>
      <c r="H32" s="186">
        <f>('EXP GEN. 13-19'!U10+'EXP GEN. 13-19'!U11+'EXP GEN. 13-19'!U12)</f>
        <v>25715.789086805642</v>
      </c>
      <c r="I32" s="186">
        <f>('EXP ESPEC. 13-19'!W11+'EXP ESPEC. 13-19'!W12+'EXP ESPEC. 13-19'!W13+'EXP ESPEC. 13-19'!W14)</f>
        <v>30522.210001525902</v>
      </c>
      <c r="J32" s="702">
        <f t="shared" si="0"/>
        <v>56237.999088331548</v>
      </c>
      <c r="K32" s="186" t="str">
        <f>+IF(J32&gt;=PARÁMETROS!$L$5,"SI","NO")</f>
        <v>SI</v>
      </c>
      <c r="L32" s="186" t="s">
        <v>750</v>
      </c>
      <c r="M32" s="266" t="s">
        <v>750</v>
      </c>
    </row>
    <row r="33" spans="1:13" ht="12" customHeight="1">
      <c r="A33" s="750" t="s">
        <v>236</v>
      </c>
      <c r="B33" s="756" t="s">
        <v>242</v>
      </c>
      <c r="C33" s="274" t="s">
        <v>125</v>
      </c>
      <c r="D33" s="171" t="s">
        <v>89</v>
      </c>
      <c r="E33" s="172">
        <v>0.65</v>
      </c>
      <c r="F33" s="181" t="s">
        <v>749</v>
      </c>
      <c r="G33" s="864"/>
      <c r="H33" s="181">
        <f>('EXP GEN. 13-19'!U13+'EXP GEN. 13-19'!U14+'EXP GEN. 13-19'!U15+'EXP GEN. 13-19'!U16)</f>
        <v>40594.341480342831</v>
      </c>
      <c r="I33" s="181">
        <f>('EXP ESPEC. 13-19'!W16+'EXP ESPEC. 13-19'!W17+'EXP ESPEC. 13-19'!W18)</f>
        <v>35197.989531057654</v>
      </c>
      <c r="J33" s="700">
        <f t="shared" si="0"/>
        <v>75792.331011400485</v>
      </c>
      <c r="K33" s="181" t="str">
        <f>+IF(J33&gt;=PARÁMETROS!$L$5,"SI","NO")</f>
        <v>SI</v>
      </c>
      <c r="L33" s="181" t="str">
        <f t="shared" si="1"/>
        <v/>
      </c>
      <c r="M33" s="750" t="s">
        <v>750</v>
      </c>
    </row>
    <row r="34" spans="1:13" ht="12" customHeight="1" thickBot="1">
      <c r="A34" s="752"/>
      <c r="B34" s="757"/>
      <c r="C34" s="218" t="s">
        <v>243</v>
      </c>
      <c r="D34" s="177" t="s">
        <v>90</v>
      </c>
      <c r="E34" s="178">
        <v>0.35</v>
      </c>
      <c r="F34" s="182" t="s">
        <v>748</v>
      </c>
      <c r="G34" s="864"/>
      <c r="H34" s="182">
        <f>('EXP GEN. 13-19'!U17+'EXP GEN. 13-19'!U18)</f>
        <v>6585.0156027107278</v>
      </c>
      <c r="I34" s="182">
        <f>'EXP ESPEC. 13-19'!W15</f>
        <v>4348.2507528517117</v>
      </c>
      <c r="J34" s="701">
        <f t="shared" si="0"/>
        <v>10933.266355562439</v>
      </c>
      <c r="K34" s="182" t="str">
        <f>+IF(J34&gt;=PARÁMETROS!$L$5,"SI","NO")</f>
        <v>SI</v>
      </c>
      <c r="L34" s="182" t="str">
        <f t="shared" si="1"/>
        <v>CUMPLE</v>
      </c>
      <c r="M34" s="752"/>
    </row>
    <row r="35" spans="1:13" ht="12" customHeight="1">
      <c r="A35" s="750" t="s">
        <v>237</v>
      </c>
      <c r="B35" s="753" t="s">
        <v>244</v>
      </c>
      <c r="C35" s="274" t="s">
        <v>126</v>
      </c>
      <c r="D35" s="171" t="s">
        <v>245</v>
      </c>
      <c r="E35" s="172">
        <v>0.7</v>
      </c>
      <c r="F35" s="181" t="s">
        <v>748</v>
      </c>
      <c r="G35" s="864"/>
      <c r="H35" s="181">
        <f>('EXP GEN. 13-19'!U19+'EXP GEN. 13-19'!U20+'EXP GEN. 13-19'!U21)</f>
        <v>32135.792254448432</v>
      </c>
      <c r="I35" s="181">
        <f>('EXP ESPEC. 13-19'!W19+'EXP ESPEC. 13-19'!W20+'EXP ESPEC. 13-19'!W22)</f>
        <v>29005.090358894773</v>
      </c>
      <c r="J35" s="700">
        <f t="shared" si="0"/>
        <v>61140.882613343201</v>
      </c>
      <c r="K35" s="181" t="str">
        <f>+IF(J35&gt;=PARÁMETROS!$L$5,"SI","NO")</f>
        <v>SI</v>
      </c>
      <c r="L35" s="181" t="str">
        <f t="shared" si="1"/>
        <v>CUMPLE</v>
      </c>
      <c r="M35" s="750" t="s">
        <v>750</v>
      </c>
    </row>
    <row r="36" spans="1:13" ht="12" customHeight="1" thickBot="1">
      <c r="A36" s="752"/>
      <c r="B36" s="755"/>
      <c r="C36" s="218" t="s">
        <v>127</v>
      </c>
      <c r="D36" s="177" t="s">
        <v>381</v>
      </c>
      <c r="E36" s="178">
        <v>0.3</v>
      </c>
      <c r="F36" s="182" t="s">
        <v>749</v>
      </c>
      <c r="G36" s="864"/>
      <c r="H36" s="182">
        <f>('EXP GEN. 13-19'!U22+'EXP GEN. 13-19'!U23)</f>
        <v>6782.8029558746348</v>
      </c>
      <c r="I36" s="182">
        <f>('EXP ESPEC. 13-19'!W21)</f>
        <v>3776.1299512459373</v>
      </c>
      <c r="J36" s="701">
        <f t="shared" si="0"/>
        <v>10558.932907120572</v>
      </c>
      <c r="K36" s="182" t="str">
        <f>+IF(J36&gt;=PARÁMETROS!$L$5,"SI","NO")</f>
        <v>SI</v>
      </c>
      <c r="L36" s="182" t="str">
        <f t="shared" si="1"/>
        <v/>
      </c>
      <c r="M36" s="752"/>
    </row>
    <row r="37" spans="1:13" ht="12" customHeight="1">
      <c r="A37" s="750" t="s">
        <v>238</v>
      </c>
      <c r="B37" s="753" t="s">
        <v>246</v>
      </c>
      <c r="C37" s="274" t="s">
        <v>128</v>
      </c>
      <c r="D37" s="171" t="s">
        <v>247</v>
      </c>
      <c r="E37" s="172">
        <v>0.51</v>
      </c>
      <c r="F37" s="181" t="s">
        <v>749</v>
      </c>
      <c r="G37" s="864"/>
      <c r="H37" s="181">
        <f>('EXP GEN. 13-19'!U24+'EXP GEN. 13-19'!U25+'EXP GEN. 13-19'!U26)</f>
        <v>10201.982754575083</v>
      </c>
      <c r="I37" s="181">
        <f>('EXP ESPEC. 13-19'!W26)</f>
        <v>4200.7680509970005</v>
      </c>
      <c r="J37" s="700">
        <f t="shared" si="0"/>
        <v>14402.750805572083</v>
      </c>
      <c r="K37" s="181" t="str">
        <f>+IF(J37&gt;=PARÁMETROS!$L$5,"SI","NO")</f>
        <v>SI</v>
      </c>
      <c r="L37" s="181" t="str">
        <f t="shared" si="1"/>
        <v/>
      </c>
      <c r="M37" s="750" t="s">
        <v>750</v>
      </c>
    </row>
    <row r="38" spans="1:13" ht="12" customHeight="1" thickBot="1">
      <c r="A38" s="752"/>
      <c r="B38" s="755"/>
      <c r="C38" s="218" t="s">
        <v>129</v>
      </c>
      <c r="D38" s="177" t="s">
        <v>248</v>
      </c>
      <c r="E38" s="178">
        <v>0.49</v>
      </c>
      <c r="F38" s="182" t="s">
        <v>748</v>
      </c>
      <c r="G38" s="864"/>
      <c r="H38" s="182">
        <f>('EXP GEN. 13-19'!U27+'EXP GEN. 13-19'!U28+'EXP GEN. 13-19'!U29)</f>
        <v>36764.461368857657</v>
      </c>
      <c r="I38" s="182">
        <f>('EXP ESPEC. 13-19'!W23+'EXP ESPEC. 13-19'!W24+'EXP ESPEC. 13-19'!W25)</f>
        <v>36764.461653742801</v>
      </c>
      <c r="J38" s="701">
        <f t="shared" si="0"/>
        <v>73528.923022600458</v>
      </c>
      <c r="K38" s="182" t="str">
        <f>+IF(J38&gt;=PARÁMETROS!$L$5,"SI","NO")</f>
        <v>SI</v>
      </c>
      <c r="L38" s="182" t="str">
        <f t="shared" si="1"/>
        <v>CUMPLE</v>
      </c>
      <c r="M38" s="752"/>
    </row>
    <row r="39" spans="1:13" ht="12" customHeight="1">
      <c r="A39" s="750" t="s">
        <v>239</v>
      </c>
      <c r="B39" s="753" t="s">
        <v>249</v>
      </c>
      <c r="C39" s="274" t="s">
        <v>130</v>
      </c>
      <c r="D39" s="171" t="s">
        <v>93</v>
      </c>
      <c r="E39" s="172">
        <v>0.65</v>
      </c>
      <c r="F39" s="181" t="s">
        <v>749</v>
      </c>
      <c r="G39" s="864"/>
      <c r="H39" s="181">
        <f>('EXP GEN. 13-19'!U30+'EXP GEN. 13-19'!U31)</f>
        <v>22175.999248024022</v>
      </c>
      <c r="I39" s="181">
        <f>('EXP ESPEC. 13-19'!W27+'EXP ESPEC. 13-19'!W28+'EXP ESPEC. 13-19'!W30)</f>
        <v>30468.178073504874</v>
      </c>
      <c r="J39" s="700">
        <f t="shared" si="0"/>
        <v>52644.177321528899</v>
      </c>
      <c r="K39" s="181" t="str">
        <f>+IF(J39&gt;=PARÁMETROS!$L$5,"SI","NO")</f>
        <v>SI</v>
      </c>
      <c r="L39" s="181" t="str">
        <f t="shared" si="1"/>
        <v/>
      </c>
      <c r="M39" s="750" t="s">
        <v>750</v>
      </c>
    </row>
    <row r="40" spans="1:13" ht="12" customHeight="1" thickBot="1">
      <c r="A40" s="752"/>
      <c r="B40" s="755"/>
      <c r="C40" s="218" t="s">
        <v>131</v>
      </c>
      <c r="D40" s="177" t="s">
        <v>250</v>
      </c>
      <c r="E40" s="178">
        <v>0.35</v>
      </c>
      <c r="F40" s="182" t="s">
        <v>748</v>
      </c>
      <c r="G40" s="864"/>
      <c r="H40" s="182">
        <f>('EXP GEN. 13-19'!U32)</f>
        <v>4326.2347368506498</v>
      </c>
      <c r="I40" s="182">
        <f>('EXP ESPEC. 13-19'!W29)</f>
        <v>4326.2347368506498</v>
      </c>
      <c r="J40" s="701">
        <f t="shared" si="0"/>
        <v>8652.4694737012996</v>
      </c>
      <c r="K40" s="182" t="str">
        <f>+IF(J40&gt;=PARÁMETROS!$L$5,"SI","NO")</f>
        <v>SI</v>
      </c>
      <c r="L40" s="182" t="str">
        <f t="shared" si="1"/>
        <v>CUMPLE</v>
      </c>
      <c r="M40" s="752"/>
    </row>
    <row r="41" spans="1:13" ht="12" customHeight="1">
      <c r="A41" s="751" t="s">
        <v>240</v>
      </c>
      <c r="B41" s="754" t="s">
        <v>251</v>
      </c>
      <c r="C41" s="275" t="s">
        <v>132</v>
      </c>
      <c r="D41" s="230" t="s">
        <v>252</v>
      </c>
      <c r="E41" s="231">
        <v>0.51</v>
      </c>
      <c r="F41" s="181" t="s">
        <v>749</v>
      </c>
      <c r="G41" s="864"/>
      <c r="H41" s="181">
        <v>10884.246923438695</v>
      </c>
      <c r="I41" s="181">
        <v>10884.246923438695</v>
      </c>
      <c r="J41" s="700">
        <f t="shared" si="0"/>
        <v>21768.493846877391</v>
      </c>
      <c r="K41" s="181" t="str">
        <f>+IF(J41&gt;=PARÁMETROS!$L$5,"SI","NO")</f>
        <v>SI</v>
      </c>
      <c r="L41" s="181" t="str">
        <f t="shared" si="1"/>
        <v/>
      </c>
      <c r="M41" s="751" t="s">
        <v>750</v>
      </c>
    </row>
    <row r="42" spans="1:13" ht="12" customHeight="1" thickBot="1">
      <c r="A42" s="752"/>
      <c r="B42" s="755"/>
      <c r="C42" s="218" t="s">
        <v>133</v>
      </c>
      <c r="D42" s="177" t="s">
        <v>253</v>
      </c>
      <c r="E42" s="178">
        <v>0.49</v>
      </c>
      <c r="F42" s="182" t="s">
        <v>748</v>
      </c>
      <c r="G42" s="864"/>
      <c r="H42" s="182">
        <v>12405.989836381299</v>
      </c>
      <c r="I42" s="182">
        <v>17513.383302687456</v>
      </c>
      <c r="J42" s="701">
        <f t="shared" si="0"/>
        <v>29919.373139068754</v>
      </c>
      <c r="K42" s="182" t="str">
        <f>+IF(J42&gt;=PARÁMETROS!$L$5,"SI","NO")</f>
        <v>SI</v>
      </c>
      <c r="L42" s="182" t="str">
        <f t="shared" si="1"/>
        <v>CUMPLE</v>
      </c>
      <c r="M42" s="752"/>
    </row>
    <row r="43" spans="1:13" ht="12" customHeight="1">
      <c r="A43" s="750" t="s">
        <v>254</v>
      </c>
      <c r="B43" s="753" t="s">
        <v>255</v>
      </c>
      <c r="C43" s="274" t="s">
        <v>134</v>
      </c>
      <c r="D43" s="171" t="s">
        <v>256</v>
      </c>
      <c r="E43" s="172">
        <v>0.4</v>
      </c>
      <c r="F43" s="181" t="s">
        <v>748</v>
      </c>
      <c r="G43" s="864"/>
      <c r="H43" s="181">
        <v>9749.4763562340977</v>
      </c>
      <c r="I43" s="181">
        <v>0</v>
      </c>
      <c r="J43" s="700">
        <f t="shared" si="0"/>
        <v>9749.4763562340977</v>
      </c>
      <c r="K43" s="181" t="str">
        <f>+IF(J43&gt;=PARÁMETROS!$L$5,"SI","NO")</f>
        <v>SI</v>
      </c>
      <c r="L43" s="181" t="str">
        <f t="shared" si="1"/>
        <v>CUMPLE</v>
      </c>
      <c r="M43" s="750" t="s">
        <v>750</v>
      </c>
    </row>
    <row r="44" spans="1:13" ht="12" customHeight="1" thickBot="1">
      <c r="A44" s="752"/>
      <c r="B44" s="755"/>
      <c r="C44" s="218" t="s">
        <v>135</v>
      </c>
      <c r="D44" s="177" t="s">
        <v>257</v>
      </c>
      <c r="E44" s="178">
        <v>0.6</v>
      </c>
      <c r="F44" s="182" t="s">
        <v>749</v>
      </c>
      <c r="G44" s="864"/>
      <c r="H44" s="182">
        <v>40336.890115287599</v>
      </c>
      <c r="I44" s="182">
        <v>46461.518301886412</v>
      </c>
      <c r="J44" s="701">
        <f t="shared" si="0"/>
        <v>86798.408417174011</v>
      </c>
      <c r="K44" s="182" t="str">
        <f>+IF(J44&gt;=PARÁMETROS!$L$5,"SI","NO")</f>
        <v>SI</v>
      </c>
      <c r="L44" s="182" t="str">
        <f t="shared" si="1"/>
        <v/>
      </c>
      <c r="M44" s="752"/>
    </row>
    <row r="45" spans="1:13" ht="12" customHeight="1">
      <c r="A45" s="750" t="s">
        <v>258</v>
      </c>
      <c r="B45" s="753" t="s">
        <v>259</v>
      </c>
      <c r="C45" s="274" t="s">
        <v>136</v>
      </c>
      <c r="D45" s="171" t="s">
        <v>78</v>
      </c>
      <c r="E45" s="172">
        <v>0.6</v>
      </c>
      <c r="F45" s="181" t="s">
        <v>748</v>
      </c>
      <c r="G45" s="864"/>
      <c r="H45" s="181">
        <v>40438.128146166433</v>
      </c>
      <c r="I45" s="181">
        <v>62501.265838670362</v>
      </c>
      <c r="J45" s="700">
        <f t="shared" si="0"/>
        <v>102939.39398483679</v>
      </c>
      <c r="K45" s="181" t="str">
        <f>+IF(J45&gt;=PARÁMETROS!$L$5,"SI","NO")</f>
        <v>SI</v>
      </c>
      <c r="L45" s="181" t="str">
        <f t="shared" si="1"/>
        <v>CUMPLE</v>
      </c>
      <c r="M45" s="854" t="s">
        <v>756</v>
      </c>
    </row>
    <row r="46" spans="1:13" ht="12" customHeight="1" thickBot="1">
      <c r="A46" s="752"/>
      <c r="B46" s="755"/>
      <c r="C46" s="218" t="s">
        <v>137</v>
      </c>
      <c r="D46" s="177" t="s">
        <v>260</v>
      </c>
      <c r="E46" s="178">
        <v>0.4</v>
      </c>
      <c r="F46" s="182" t="s">
        <v>749</v>
      </c>
      <c r="G46" s="864"/>
      <c r="H46" s="182">
        <v>11200979.29424944</v>
      </c>
      <c r="I46" s="182">
        <v>11200979.29424944</v>
      </c>
      <c r="J46" s="701">
        <f t="shared" si="0"/>
        <v>22401958.588498879</v>
      </c>
      <c r="K46" s="182" t="str">
        <f>+IF(J46&gt;=PARÁMETROS!$L$5,"SI","NO")</f>
        <v>SI</v>
      </c>
      <c r="L46" s="182" t="str">
        <f t="shared" si="1"/>
        <v/>
      </c>
      <c r="M46" s="752"/>
    </row>
    <row r="47" spans="1:13" ht="12" customHeight="1">
      <c r="A47" s="750" t="s">
        <v>261</v>
      </c>
      <c r="B47" s="753" t="s">
        <v>262</v>
      </c>
      <c r="C47" s="274" t="s">
        <v>138</v>
      </c>
      <c r="D47" s="171" t="s">
        <v>263</v>
      </c>
      <c r="E47" s="172">
        <v>0.51</v>
      </c>
      <c r="F47" s="181" t="s">
        <v>749</v>
      </c>
      <c r="G47" s="864"/>
      <c r="H47" s="181">
        <v>25634.054089735771</v>
      </c>
      <c r="I47" s="181">
        <v>16680.570113873895</v>
      </c>
      <c r="J47" s="700">
        <f t="shared" si="0"/>
        <v>42314.624203609666</v>
      </c>
      <c r="K47" s="181" t="str">
        <f>+IF(J47&gt;=PARÁMETROS!$L$5,"SI","NO")</f>
        <v>SI</v>
      </c>
      <c r="L47" s="181" t="str">
        <f t="shared" si="1"/>
        <v/>
      </c>
      <c r="M47" s="854" t="s">
        <v>756</v>
      </c>
    </row>
    <row r="48" spans="1:13" ht="12" customHeight="1" thickBot="1">
      <c r="A48" s="751"/>
      <c r="B48" s="754"/>
      <c r="C48" s="276" t="s">
        <v>139</v>
      </c>
      <c r="D48" s="228" t="s">
        <v>264</v>
      </c>
      <c r="E48" s="229">
        <v>0.49</v>
      </c>
      <c r="F48" s="182" t="s">
        <v>748</v>
      </c>
      <c r="G48" s="864"/>
      <c r="H48" s="182">
        <v>7711.2074209609164</v>
      </c>
      <c r="I48" s="182">
        <v>4475.1912397311426</v>
      </c>
      <c r="J48" s="701">
        <f t="shared" si="0"/>
        <v>12186.398660692059</v>
      </c>
      <c r="K48" s="182" t="str">
        <f>+IF(J48&gt;=PARÁMETROS!$L$5,"SI","NO")</f>
        <v>SI</v>
      </c>
      <c r="L48" s="182" t="str">
        <f t="shared" si="1"/>
        <v>CUMPLE</v>
      </c>
      <c r="M48" s="751"/>
    </row>
    <row r="49" spans="1:13" ht="12" customHeight="1">
      <c r="A49" s="750" t="s">
        <v>265</v>
      </c>
      <c r="B49" s="753" t="s">
        <v>266</v>
      </c>
      <c r="C49" s="274" t="s">
        <v>140</v>
      </c>
      <c r="D49" s="171" t="s">
        <v>267</v>
      </c>
      <c r="E49" s="188">
        <v>0.51</v>
      </c>
      <c r="F49" s="181" t="s">
        <v>749</v>
      </c>
      <c r="G49" s="864"/>
      <c r="H49" s="181">
        <v>25850.884206955048</v>
      </c>
      <c r="I49" s="181">
        <v>0</v>
      </c>
      <c r="J49" s="700">
        <f t="shared" si="0"/>
        <v>25850.884206955048</v>
      </c>
      <c r="K49" s="181" t="str">
        <f>+IF(J49&gt;=PARÁMETROS!$L$5,"SI","NO")</f>
        <v>SI</v>
      </c>
      <c r="L49" s="181" t="str">
        <f t="shared" si="1"/>
        <v/>
      </c>
      <c r="M49" s="750" t="s">
        <v>750</v>
      </c>
    </row>
    <row r="50" spans="1:13" ht="21" customHeight="1">
      <c r="A50" s="751"/>
      <c r="B50" s="754"/>
      <c r="C50" s="276" t="s">
        <v>142</v>
      </c>
      <c r="D50" s="35" t="s">
        <v>268</v>
      </c>
      <c r="E50" s="54">
        <v>0.24</v>
      </c>
      <c r="F50" s="187" t="s">
        <v>749</v>
      </c>
      <c r="G50" s="864"/>
      <c r="H50" s="187">
        <v>9798.404827058599</v>
      </c>
      <c r="I50" s="187">
        <v>16730.541727090971</v>
      </c>
      <c r="J50" s="187">
        <f t="shared" si="0"/>
        <v>26528.94655414957</v>
      </c>
      <c r="K50" s="187" t="str">
        <f>+IF(J50&gt;=PARÁMETROS!$L$5,"SI","NO")</f>
        <v>SI</v>
      </c>
      <c r="L50" s="187" t="str">
        <f t="shared" si="1"/>
        <v/>
      </c>
      <c r="M50" s="751"/>
    </row>
    <row r="51" spans="1:13" ht="12" customHeight="1" thickBot="1">
      <c r="A51" s="752"/>
      <c r="B51" s="755"/>
      <c r="C51" s="218" t="s">
        <v>269</v>
      </c>
      <c r="D51" s="177" t="s">
        <v>74</v>
      </c>
      <c r="E51" s="189">
        <v>0.25</v>
      </c>
      <c r="F51" s="182" t="s">
        <v>748</v>
      </c>
      <c r="G51" s="864"/>
      <c r="H51" s="182">
        <v>13339.612115894832</v>
      </c>
      <c r="I51" s="182">
        <v>8280.1948051948038</v>
      </c>
      <c r="J51" s="182">
        <f t="shared" si="0"/>
        <v>21619.806921089636</v>
      </c>
      <c r="K51" s="182" t="str">
        <f>+IF(J51&gt;=PARÁMETROS!$L$5,"SI","NO")</f>
        <v>SI</v>
      </c>
      <c r="L51" s="182" t="str">
        <f t="shared" si="1"/>
        <v>CUMPLE</v>
      </c>
      <c r="M51" s="752"/>
    </row>
    <row r="52" spans="1:13" ht="12" customHeight="1">
      <c r="A52" s="751" t="s">
        <v>270</v>
      </c>
      <c r="B52" s="772" t="s">
        <v>271</v>
      </c>
      <c r="C52" s="275" t="s">
        <v>141</v>
      </c>
      <c r="D52" s="230" t="s">
        <v>272</v>
      </c>
      <c r="E52" s="231">
        <v>0.51</v>
      </c>
      <c r="F52" s="192" t="s">
        <v>749</v>
      </c>
      <c r="G52" s="864"/>
      <c r="H52" s="192">
        <v>13926.427976104962</v>
      </c>
      <c r="I52" s="192">
        <v>13735.666731957979</v>
      </c>
      <c r="J52" s="192">
        <f t="shared" si="0"/>
        <v>27662.094708062941</v>
      </c>
      <c r="K52" s="192" t="str">
        <f>+IF(J52&gt;=PARÁMETROS!$L$5,"SI","NO")</f>
        <v>SI</v>
      </c>
      <c r="L52" s="192" t="str">
        <f t="shared" si="1"/>
        <v/>
      </c>
      <c r="M52" s="751" t="s">
        <v>750</v>
      </c>
    </row>
    <row r="53" spans="1:13" s="175" customFormat="1" ht="12" customHeight="1">
      <c r="A53" s="751"/>
      <c r="B53" s="772"/>
      <c r="C53" s="276" t="s">
        <v>273</v>
      </c>
      <c r="D53" s="35" t="s">
        <v>274</v>
      </c>
      <c r="E53" s="53">
        <v>0.25</v>
      </c>
      <c r="F53" s="195" t="s">
        <v>748</v>
      </c>
      <c r="G53" s="864"/>
      <c r="H53" s="195">
        <v>3378.5515244397388</v>
      </c>
      <c r="I53" s="195">
        <v>3378.5515244397388</v>
      </c>
      <c r="J53" s="195">
        <f t="shared" si="0"/>
        <v>6757.1030488794777</v>
      </c>
      <c r="K53" s="195" t="str">
        <f>+IF(J53&gt;=PARÁMETROS!$L$5,"SI","NO")</f>
        <v>SI</v>
      </c>
      <c r="L53" s="195" t="str">
        <f t="shared" si="1"/>
        <v>CUMPLE</v>
      </c>
      <c r="M53" s="751"/>
    </row>
    <row r="54" spans="1:13" s="175" customFormat="1" ht="12" customHeight="1" thickBot="1">
      <c r="A54" s="752"/>
      <c r="B54" s="757"/>
      <c r="C54" s="218" t="s">
        <v>275</v>
      </c>
      <c r="D54" s="177" t="s">
        <v>75</v>
      </c>
      <c r="E54" s="178">
        <v>0.24</v>
      </c>
      <c r="F54" s="194" t="s">
        <v>749</v>
      </c>
      <c r="G54" s="864"/>
      <c r="H54" s="194">
        <v>10447.276392835998</v>
      </c>
      <c r="I54" s="194">
        <v>10803.970770532016</v>
      </c>
      <c r="J54" s="194">
        <f t="shared" si="0"/>
        <v>21251.247163368014</v>
      </c>
      <c r="K54" s="194" t="str">
        <f>+IF(J54&gt;=PARÁMETROS!$L$5,"SI","NO")</f>
        <v>SI</v>
      </c>
      <c r="L54" s="194" t="str">
        <f t="shared" si="1"/>
        <v/>
      </c>
      <c r="M54" s="752"/>
    </row>
    <row r="55" spans="1:13" s="175" customFormat="1" ht="12" customHeight="1">
      <c r="A55" s="750" t="s">
        <v>276</v>
      </c>
      <c r="B55" s="753" t="s">
        <v>277</v>
      </c>
      <c r="C55" s="274" t="s">
        <v>143</v>
      </c>
      <c r="D55" s="171" t="s">
        <v>278</v>
      </c>
      <c r="E55" s="191">
        <v>0.51</v>
      </c>
      <c r="F55" s="192" t="s">
        <v>749</v>
      </c>
      <c r="G55" s="864"/>
      <c r="H55" s="192">
        <v>58410.280298404912</v>
      </c>
      <c r="I55" s="192">
        <v>205460.68280178451</v>
      </c>
      <c r="J55" s="192">
        <f t="shared" si="0"/>
        <v>263870.9631001894</v>
      </c>
      <c r="K55" s="192" t="str">
        <f>+IF(J55&gt;=PARÁMETROS!$L$5,"SI","NO")</f>
        <v>SI</v>
      </c>
      <c r="L55" s="192" t="str">
        <f t="shared" si="1"/>
        <v/>
      </c>
      <c r="M55" s="750" t="s">
        <v>750</v>
      </c>
    </row>
    <row r="56" spans="1:13" s="175" customFormat="1" ht="12" customHeight="1" thickBot="1">
      <c r="A56" s="752"/>
      <c r="B56" s="755"/>
      <c r="C56" s="218" t="s">
        <v>144</v>
      </c>
      <c r="D56" s="177" t="s">
        <v>81</v>
      </c>
      <c r="E56" s="193">
        <v>0.49</v>
      </c>
      <c r="F56" s="194" t="s">
        <v>748</v>
      </c>
      <c r="G56" s="864"/>
      <c r="H56" s="194">
        <v>15412.492710848222</v>
      </c>
      <c r="I56" s="194">
        <v>15412.492710848222</v>
      </c>
      <c r="J56" s="194">
        <f t="shared" si="0"/>
        <v>30824.985421696445</v>
      </c>
      <c r="K56" s="194" t="str">
        <f>+IF(J56&gt;=PARÁMETROS!$L$5,"SI","NO")</f>
        <v>SI</v>
      </c>
      <c r="L56" s="194" t="str">
        <f t="shared" si="1"/>
        <v>CUMPLE</v>
      </c>
      <c r="M56" s="752"/>
    </row>
    <row r="57" spans="1:13" s="175" customFormat="1" ht="12" customHeight="1">
      <c r="A57" s="750" t="s">
        <v>279</v>
      </c>
      <c r="B57" s="753" t="s">
        <v>280</v>
      </c>
      <c r="C57" s="274" t="s">
        <v>145</v>
      </c>
      <c r="D57" s="171" t="s">
        <v>281</v>
      </c>
      <c r="E57" s="191">
        <v>0.51</v>
      </c>
      <c r="F57" s="192" t="s">
        <v>749</v>
      </c>
      <c r="G57" s="864"/>
      <c r="H57" s="192">
        <v>13334.88173590467</v>
      </c>
      <c r="I57" s="192">
        <v>7060.1379651996294</v>
      </c>
      <c r="J57" s="192">
        <f t="shared" si="0"/>
        <v>20395.019701104298</v>
      </c>
      <c r="K57" s="192" t="str">
        <f>+IF(J57&gt;=PARÁMETROS!$L$5,"SI","NO")</f>
        <v>SI</v>
      </c>
      <c r="L57" s="192" t="str">
        <f t="shared" si="1"/>
        <v/>
      </c>
      <c r="M57" s="854" t="s">
        <v>756</v>
      </c>
    </row>
    <row r="58" spans="1:13" s="175" customFormat="1" ht="12" customHeight="1" thickBot="1">
      <c r="A58" s="752"/>
      <c r="B58" s="755"/>
      <c r="C58" s="218" t="s">
        <v>146</v>
      </c>
      <c r="D58" s="177" t="s">
        <v>416</v>
      </c>
      <c r="E58" s="193">
        <v>0.49</v>
      </c>
      <c r="F58" s="194" t="s">
        <v>748</v>
      </c>
      <c r="G58" s="864"/>
      <c r="H58" s="194">
        <v>19835.737507638565</v>
      </c>
      <c r="I58" s="194">
        <v>13780.712676647438</v>
      </c>
      <c r="J58" s="194">
        <f t="shared" si="0"/>
        <v>33616.450184286005</v>
      </c>
      <c r="K58" s="194" t="str">
        <f>+IF(J58&gt;=PARÁMETROS!$L$5,"SI","NO")</f>
        <v>SI</v>
      </c>
      <c r="L58" s="194" t="str">
        <f t="shared" si="1"/>
        <v>CUMPLE</v>
      </c>
      <c r="M58" s="752"/>
    </row>
    <row r="59" spans="1:13" s="175" customFormat="1" ht="12" customHeight="1" thickBot="1">
      <c r="A59" s="203" t="s">
        <v>282</v>
      </c>
      <c r="B59" s="183" t="s">
        <v>283</v>
      </c>
      <c r="C59" s="183" t="s">
        <v>147</v>
      </c>
      <c r="D59" s="184" t="s">
        <v>284</v>
      </c>
      <c r="E59" s="232">
        <v>1</v>
      </c>
      <c r="F59" s="190" t="s">
        <v>748</v>
      </c>
      <c r="G59" s="864"/>
      <c r="H59" s="190">
        <v>81848.995327617522</v>
      </c>
      <c r="I59" s="190">
        <v>92251.751457954902</v>
      </c>
      <c r="J59" s="190">
        <f t="shared" si="0"/>
        <v>174100.74678557244</v>
      </c>
      <c r="K59" s="190" t="str">
        <f>+IF(J59&gt;=PARÁMETROS!$L$5,"SI","NO")</f>
        <v>SI</v>
      </c>
      <c r="L59" s="190" t="str">
        <f t="shared" si="1"/>
        <v>CUMPLE</v>
      </c>
      <c r="M59" s="203" t="s">
        <v>750</v>
      </c>
    </row>
    <row r="60" spans="1:13" s="175" customFormat="1" ht="12" customHeight="1">
      <c r="A60" s="750" t="s">
        <v>285</v>
      </c>
      <c r="B60" s="753" t="s">
        <v>286</v>
      </c>
      <c r="C60" s="274" t="s">
        <v>148</v>
      </c>
      <c r="D60" s="171" t="s">
        <v>287</v>
      </c>
      <c r="E60" s="191">
        <v>0.3</v>
      </c>
      <c r="F60" s="192" t="s">
        <v>748</v>
      </c>
      <c r="G60" s="864"/>
      <c r="H60" s="192">
        <v>6180.1786416699579</v>
      </c>
      <c r="I60" s="192">
        <v>3616.9552824427483</v>
      </c>
      <c r="J60" s="192">
        <f t="shared" si="0"/>
        <v>9797.1339241127062</v>
      </c>
      <c r="K60" s="192" t="str">
        <f>+IF(J60&gt;=PARÁMETROS!$L$5,"SI","NO")</f>
        <v>SI</v>
      </c>
      <c r="L60" s="192" t="str">
        <f t="shared" si="1"/>
        <v>CUMPLE</v>
      </c>
      <c r="M60" s="854" t="s">
        <v>753</v>
      </c>
    </row>
    <row r="61" spans="1:13" s="175" customFormat="1" ht="12" customHeight="1" thickBot="1">
      <c r="A61" s="752"/>
      <c r="B61" s="755"/>
      <c r="C61" s="218" t="s">
        <v>149</v>
      </c>
      <c r="D61" s="177" t="s">
        <v>288</v>
      </c>
      <c r="E61" s="193">
        <v>0.7</v>
      </c>
      <c r="F61" s="194" t="s">
        <v>749</v>
      </c>
      <c r="G61" s="864"/>
      <c r="H61" s="194">
        <v>20913.972349210377</v>
      </c>
      <c r="I61" s="194">
        <v>20913.972349210377</v>
      </c>
      <c r="J61" s="194">
        <f t="shared" si="0"/>
        <v>41827.944698420753</v>
      </c>
      <c r="K61" s="194" t="str">
        <f>+IF(J61&gt;=PARÁMETROS!$L$5,"SI","NO")</f>
        <v>SI</v>
      </c>
      <c r="L61" s="194" t="str">
        <f t="shared" si="1"/>
        <v/>
      </c>
      <c r="M61" s="752"/>
    </row>
    <row r="62" spans="1:13" s="175" customFormat="1" ht="12" customHeight="1" thickBot="1">
      <c r="A62" s="203" t="s">
        <v>289</v>
      </c>
      <c r="B62" s="183" t="s">
        <v>290</v>
      </c>
      <c r="C62" s="183" t="s">
        <v>150</v>
      </c>
      <c r="D62" s="184" t="s">
        <v>290</v>
      </c>
      <c r="E62" s="232">
        <v>1</v>
      </c>
      <c r="F62" s="190" t="s">
        <v>748</v>
      </c>
      <c r="G62" s="864"/>
      <c r="H62" s="190">
        <v>48195.203959262079</v>
      </c>
      <c r="I62" s="190">
        <v>36347.405097399431</v>
      </c>
      <c r="J62" s="190">
        <f t="shared" si="0"/>
        <v>84542.609056661517</v>
      </c>
      <c r="K62" s="190" t="str">
        <f>+IF(J62&gt;=PARÁMETROS!$L$5,"SI","NO")</f>
        <v>SI</v>
      </c>
      <c r="L62" s="190" t="str">
        <f t="shared" si="1"/>
        <v>CUMPLE</v>
      </c>
      <c r="M62" s="705" t="s">
        <v>754</v>
      </c>
    </row>
    <row r="63" spans="1:13" s="175" customFormat="1" ht="12" customHeight="1">
      <c r="A63" s="750" t="s">
        <v>291</v>
      </c>
      <c r="B63" s="753" t="s">
        <v>292</v>
      </c>
      <c r="C63" s="274" t="s">
        <v>151</v>
      </c>
      <c r="D63" s="171" t="s">
        <v>80</v>
      </c>
      <c r="E63" s="191">
        <v>0.51</v>
      </c>
      <c r="F63" s="192" t="s">
        <v>748</v>
      </c>
      <c r="G63" s="864"/>
      <c r="H63" s="192">
        <v>12045.183383015006</v>
      </c>
      <c r="I63" s="192">
        <v>8777.1260000616385</v>
      </c>
      <c r="J63" s="192">
        <f t="shared" si="0"/>
        <v>20822.309383076645</v>
      </c>
      <c r="K63" s="192" t="str">
        <f>+IF(J63&gt;=PARÁMETROS!$L$5,"SI","NO")</f>
        <v>SI</v>
      </c>
      <c r="L63" s="192" t="str">
        <f t="shared" si="1"/>
        <v>CUMPLE</v>
      </c>
      <c r="M63" s="854" t="s">
        <v>754</v>
      </c>
    </row>
    <row r="64" spans="1:13" s="175" customFormat="1" ht="12" customHeight="1" thickBot="1">
      <c r="A64" s="752"/>
      <c r="B64" s="755"/>
      <c r="C64" s="218" t="s">
        <v>152</v>
      </c>
      <c r="D64" s="177" t="s">
        <v>293</v>
      </c>
      <c r="E64" s="193">
        <v>0.49</v>
      </c>
      <c r="F64" s="194" t="s">
        <v>749</v>
      </c>
      <c r="G64" s="864"/>
      <c r="H64" s="194">
        <v>13730.05224707635</v>
      </c>
      <c r="I64" s="194">
        <v>23595.4141219679</v>
      </c>
      <c r="J64" s="194">
        <f t="shared" si="0"/>
        <v>37325.466369044254</v>
      </c>
      <c r="K64" s="194" t="str">
        <f>+IF(J64&gt;=PARÁMETROS!$L$5,"SI","NO")</f>
        <v>SI</v>
      </c>
      <c r="L64" s="194" t="str">
        <f t="shared" si="1"/>
        <v/>
      </c>
      <c r="M64" s="752"/>
    </row>
    <row r="65" spans="1:13" s="175" customFormat="1" ht="12" customHeight="1">
      <c r="A65" s="750" t="s">
        <v>294</v>
      </c>
      <c r="B65" s="753" t="s">
        <v>295</v>
      </c>
      <c r="C65" s="274" t="s">
        <v>153</v>
      </c>
      <c r="D65" s="171" t="s">
        <v>296</v>
      </c>
      <c r="E65" s="191">
        <v>0.49</v>
      </c>
      <c r="F65" s="192" t="s">
        <v>748</v>
      </c>
      <c r="G65" s="864"/>
      <c r="H65" s="192">
        <v>10809.467739272135</v>
      </c>
      <c r="I65" s="192">
        <v>4658.514793823233</v>
      </c>
      <c r="J65" s="192">
        <f t="shared" si="0"/>
        <v>15467.982533095368</v>
      </c>
      <c r="K65" s="192" t="str">
        <f>+IF(J65&gt;=PARÁMETROS!$L$5,"SI","NO")</f>
        <v>SI</v>
      </c>
      <c r="L65" s="192" t="str">
        <f t="shared" si="1"/>
        <v>CUMPLE</v>
      </c>
      <c r="M65" s="750" t="s">
        <v>750</v>
      </c>
    </row>
    <row r="66" spans="1:13" s="175" customFormat="1" ht="12" customHeight="1" thickBot="1">
      <c r="A66" s="752"/>
      <c r="B66" s="755"/>
      <c r="C66" s="218" t="s">
        <v>154</v>
      </c>
      <c r="D66" s="177" t="s">
        <v>84</v>
      </c>
      <c r="E66" s="193">
        <v>0.51</v>
      </c>
      <c r="F66" s="194" t="s">
        <v>749</v>
      </c>
      <c r="G66" s="864"/>
      <c r="H66" s="194">
        <v>16598.091384373321</v>
      </c>
      <c r="I66" s="194">
        <v>20899.107497040488</v>
      </c>
      <c r="J66" s="194">
        <f t="shared" ref="J66:J88" si="2">+H66+I66</f>
        <v>37497.198881413809</v>
      </c>
      <c r="K66" s="194" t="str">
        <f>+IF(J66&gt;=PARÁMETROS!$L$5,"SI","NO")</f>
        <v>SI</v>
      </c>
      <c r="L66" s="194" t="str">
        <f t="shared" si="1"/>
        <v/>
      </c>
      <c r="M66" s="752"/>
    </row>
    <row r="67" spans="1:13" s="175" customFormat="1" ht="12" customHeight="1">
      <c r="A67" s="750" t="s">
        <v>297</v>
      </c>
      <c r="B67" s="753" t="s">
        <v>298</v>
      </c>
      <c r="C67" s="274" t="s">
        <v>155</v>
      </c>
      <c r="D67" s="171" t="s">
        <v>299</v>
      </c>
      <c r="E67" s="191">
        <v>0.51</v>
      </c>
      <c r="F67" s="192" t="s">
        <v>748</v>
      </c>
      <c r="G67" s="864"/>
      <c r="H67" s="192">
        <v>10871.128467398594</v>
      </c>
      <c r="I67" s="192">
        <v>5447.580033009709</v>
      </c>
      <c r="J67" s="192">
        <f t="shared" si="2"/>
        <v>16318.708500408302</v>
      </c>
      <c r="K67" s="192" t="str">
        <f>+IF(J67&gt;=PARÁMETROS!$L$5,"SI","NO")</f>
        <v>SI</v>
      </c>
      <c r="L67" s="192" t="str">
        <f t="shared" si="1"/>
        <v>CUMPLE</v>
      </c>
      <c r="M67" s="854" t="s">
        <v>753</v>
      </c>
    </row>
    <row r="68" spans="1:13" s="175" customFormat="1" ht="23.25" customHeight="1">
      <c r="A68" s="751"/>
      <c r="B68" s="754"/>
      <c r="C68" s="276" t="s">
        <v>156</v>
      </c>
      <c r="D68" s="35" t="s">
        <v>8</v>
      </c>
      <c r="E68" s="45">
        <v>0.25</v>
      </c>
      <c r="F68" s="692" t="s">
        <v>749</v>
      </c>
      <c r="G68" s="864"/>
      <c r="H68" s="692">
        <f>+SUM('EXP GEN. 27-33'!U36)</f>
        <v>8158.74</v>
      </c>
      <c r="I68" s="692">
        <f>+SUM('EXP ESPEC. 27-33'!W28)</f>
        <v>8158.74</v>
      </c>
      <c r="J68" s="692">
        <f t="shared" si="2"/>
        <v>16317.48</v>
      </c>
      <c r="K68" s="692" t="str">
        <f>+IF(J68&gt;=PARÁMETROS!$L$5,"SI","NO")</f>
        <v>SI</v>
      </c>
      <c r="L68" s="692" t="str">
        <f t="shared" ref="L68:L88" si="3">+IF(F68="ACREDITA",IF(K68="SI","CUMPLE","NO CUMPLE"),"")</f>
        <v/>
      </c>
      <c r="M68" s="751"/>
    </row>
    <row r="69" spans="1:13" s="175" customFormat="1" ht="21.75" customHeight="1" thickBot="1">
      <c r="A69" s="752"/>
      <c r="B69" s="755"/>
      <c r="C69" s="218" t="s">
        <v>300</v>
      </c>
      <c r="D69" s="177" t="s">
        <v>301</v>
      </c>
      <c r="E69" s="193">
        <v>0.24</v>
      </c>
      <c r="F69" s="182" t="s">
        <v>749</v>
      </c>
      <c r="G69" s="864"/>
      <c r="H69" s="182">
        <v>49791.821387181313</v>
      </c>
      <c r="I69" s="182">
        <v>64045.266364222189</v>
      </c>
      <c r="J69" s="182">
        <f t="shared" si="2"/>
        <v>113837.08775140351</v>
      </c>
      <c r="K69" s="182" t="str">
        <f>+IF(J69&gt;=PARÁMETROS!$L$5,"SI","NO")</f>
        <v>SI</v>
      </c>
      <c r="L69" s="182" t="str">
        <f t="shared" si="3"/>
        <v/>
      </c>
      <c r="M69" s="752"/>
    </row>
    <row r="70" spans="1:13" s="175" customFormat="1" ht="12" customHeight="1">
      <c r="A70" s="750" t="s">
        <v>302</v>
      </c>
      <c r="B70" s="753" t="s">
        <v>303</v>
      </c>
      <c r="C70" s="274" t="s">
        <v>157</v>
      </c>
      <c r="D70" s="171" t="s">
        <v>304</v>
      </c>
      <c r="E70" s="191">
        <v>0.51</v>
      </c>
      <c r="F70" s="181" t="s">
        <v>748</v>
      </c>
      <c r="G70" s="864"/>
      <c r="H70" s="181">
        <f>('EXP GEN. 34-40'!U3+'EXP GEN. 34-40'!U4+'EXP GEN. 34-40'!U5+'EXP GEN. 34-40'!U6+'EXP GEN. 34-40'!U7)</f>
        <v>29546.898443054382</v>
      </c>
      <c r="I70" s="181">
        <f>('EXP ESPEC. 34-40'!W3+'EXP ESPEC. 34-40'!W4+'EXP ESPEC. 34-40'!W5+'EXP ESPEC. 34-40'!W6)</f>
        <v>25435.208630102203</v>
      </c>
      <c r="J70" s="181">
        <f t="shared" si="2"/>
        <v>54982.107073156585</v>
      </c>
      <c r="K70" s="181" t="str">
        <f>+IF(J70&gt;=PARÁMETROS!$L$5,"SI","NO")</f>
        <v>SI</v>
      </c>
      <c r="L70" s="181" t="str">
        <f t="shared" si="3"/>
        <v>CUMPLE</v>
      </c>
      <c r="M70" s="750" t="s">
        <v>750</v>
      </c>
    </row>
    <row r="71" spans="1:13" s="175" customFormat="1" ht="12" customHeight="1" thickBot="1">
      <c r="A71" s="752"/>
      <c r="B71" s="755"/>
      <c r="C71" s="218" t="s">
        <v>158</v>
      </c>
      <c r="D71" s="177" t="s">
        <v>305</v>
      </c>
      <c r="E71" s="193">
        <v>0.49</v>
      </c>
      <c r="F71" s="182" t="s">
        <v>749</v>
      </c>
      <c r="G71" s="864"/>
      <c r="H71" s="182">
        <f>('EXP GEN. 34-40'!U8)</f>
        <v>3278.7639369907661</v>
      </c>
      <c r="I71" s="182">
        <v>0</v>
      </c>
      <c r="J71" s="182">
        <f t="shared" si="2"/>
        <v>3278.7639369907661</v>
      </c>
      <c r="K71" s="182" t="str">
        <f>+IF(J71&gt;=PARÁMETROS!$L$5,"SI","NO")</f>
        <v>NO</v>
      </c>
      <c r="L71" s="182" t="str">
        <f t="shared" si="3"/>
        <v/>
      </c>
      <c r="M71" s="752"/>
    </row>
    <row r="72" spans="1:13" s="175" customFormat="1" ht="12" customHeight="1">
      <c r="A72" s="750" t="s">
        <v>306</v>
      </c>
      <c r="B72" s="753" t="s">
        <v>307</v>
      </c>
      <c r="C72" s="274" t="s">
        <v>159</v>
      </c>
      <c r="D72" s="171" t="s">
        <v>308</v>
      </c>
      <c r="E72" s="191">
        <v>0.49</v>
      </c>
      <c r="F72" s="196" t="s">
        <v>749</v>
      </c>
      <c r="G72" s="864"/>
      <c r="H72" s="196">
        <f>('EXP GEN. 34-40'!U11+'EXP GEN. 34-40'!U12)</f>
        <v>47497.070210741949</v>
      </c>
      <c r="I72" s="196">
        <f>('EXP ESPEC. 34-40'!W8+'EXP ESPEC. 34-40'!W9+'EXP ESPEC. 34-40'!W10)</f>
        <v>44254.047586523149</v>
      </c>
      <c r="J72" s="196">
        <f t="shared" si="2"/>
        <v>91751.117797265091</v>
      </c>
      <c r="K72" s="196" t="str">
        <f>+IF(J72&gt;=PARÁMETROS!$L$5,"SI","NO")</f>
        <v>SI</v>
      </c>
      <c r="L72" s="196" t="str">
        <f t="shared" si="3"/>
        <v/>
      </c>
      <c r="M72" s="750" t="s">
        <v>759</v>
      </c>
    </row>
    <row r="73" spans="1:13" s="175" customFormat="1" ht="12" customHeight="1" thickBot="1">
      <c r="A73" s="752"/>
      <c r="B73" s="755"/>
      <c r="C73" s="218" t="s">
        <v>160</v>
      </c>
      <c r="D73" s="177" t="s">
        <v>9</v>
      </c>
      <c r="E73" s="193">
        <v>0.51</v>
      </c>
      <c r="F73" s="197" t="s">
        <v>748</v>
      </c>
      <c r="G73" s="864"/>
      <c r="H73" s="197">
        <f>('EXP GEN. 34-40'!U9+'EXP GEN. 34-40'!U10)</f>
        <v>13265.96377163446</v>
      </c>
      <c r="I73" s="197">
        <f>('EXP ESPEC. 34-40'!W7)</f>
        <v>10009.006973228836</v>
      </c>
      <c r="J73" s="197">
        <f t="shared" si="2"/>
        <v>23274.970744863298</v>
      </c>
      <c r="K73" s="197" t="str">
        <f>+IF(J73&gt;=PARÁMETROS!$L$5,"SI","NO")</f>
        <v>SI</v>
      </c>
      <c r="L73" s="197" t="str">
        <f t="shared" si="3"/>
        <v>CUMPLE</v>
      </c>
      <c r="M73" s="752"/>
    </row>
    <row r="74" spans="1:13" s="175" customFormat="1" ht="12" customHeight="1">
      <c r="A74" s="750" t="s">
        <v>309</v>
      </c>
      <c r="B74" s="753" t="s">
        <v>310</v>
      </c>
      <c r="C74" s="274" t="s">
        <v>161</v>
      </c>
      <c r="D74" s="198" t="s">
        <v>311</v>
      </c>
      <c r="E74" s="199">
        <v>0.51</v>
      </c>
      <c r="F74" s="181" t="s">
        <v>748</v>
      </c>
      <c r="G74" s="864"/>
      <c r="H74" s="181">
        <f>('EXP GEN. 34-40'!U13+'EXP GEN. 34-40'!U14+'EXP GEN. 34-40'!U15)</f>
        <v>19722.485455007281</v>
      </c>
      <c r="I74" s="181">
        <f>('EXP ESPEC. 34-40'!W11+'EXP ESPEC. 34-40'!W12)</f>
        <v>11346.521808405338</v>
      </c>
      <c r="J74" s="181">
        <f t="shared" si="2"/>
        <v>31069.007263412619</v>
      </c>
      <c r="K74" s="181" t="str">
        <f>+IF(J74&gt;=PARÁMETROS!$L$5,"SI","NO")</f>
        <v>SI</v>
      </c>
      <c r="L74" s="181" t="str">
        <f t="shared" si="3"/>
        <v>CUMPLE</v>
      </c>
      <c r="M74" s="750" t="s">
        <v>750</v>
      </c>
    </row>
    <row r="75" spans="1:13" s="175" customFormat="1" ht="12" customHeight="1" thickBot="1">
      <c r="A75" s="752"/>
      <c r="B75" s="755"/>
      <c r="C75" s="218" t="s">
        <v>162</v>
      </c>
      <c r="D75" s="200" t="s">
        <v>312</v>
      </c>
      <c r="E75" s="201">
        <v>0.49</v>
      </c>
      <c r="F75" s="182" t="s">
        <v>749</v>
      </c>
      <c r="G75" s="864"/>
      <c r="H75" s="182">
        <f>('EXP GEN. 34-40'!U16+'EXP GEN. 34-40'!U17+'EXP GEN. 34-40'!U18)</f>
        <v>27545.878069122966</v>
      </c>
      <c r="I75" s="182">
        <f>('EXP ESPEC. 34-40'!W13+'EXP ESPEC. 34-40'!W14)</f>
        <v>23758.147909472482</v>
      </c>
      <c r="J75" s="182">
        <f t="shared" si="2"/>
        <v>51304.025978595448</v>
      </c>
      <c r="K75" s="182" t="str">
        <f>+IF(J75&gt;=PARÁMETROS!$L$5,"SI","NO")</f>
        <v>SI</v>
      </c>
      <c r="L75" s="182" t="str">
        <f t="shared" si="3"/>
        <v/>
      </c>
      <c r="M75" s="752"/>
    </row>
    <row r="76" spans="1:13" s="175" customFormat="1" ht="12" customHeight="1">
      <c r="A76" s="750" t="s">
        <v>313</v>
      </c>
      <c r="B76" s="771" t="s">
        <v>314</v>
      </c>
      <c r="C76" s="274" t="s">
        <v>163</v>
      </c>
      <c r="D76" s="198" t="s">
        <v>82</v>
      </c>
      <c r="E76" s="199">
        <v>0.51</v>
      </c>
      <c r="F76" s="181" t="s">
        <v>749</v>
      </c>
      <c r="G76" s="864"/>
      <c r="H76" s="181">
        <f>('EXP GEN. 34-40'!U19+'EXP GEN. 34-40'!U20)</f>
        <v>8384.070640873997</v>
      </c>
      <c r="I76" s="181">
        <f>('EXP ESPEC. 34-40'!W15+'EXP ESPEC. 34-40'!W16+'EXP ESPEC. 34-40'!W17+'EXP ESPEC. 34-40'!W18)</f>
        <v>20749.953838763144</v>
      </c>
      <c r="J76" s="181">
        <f t="shared" si="2"/>
        <v>29134.024479637141</v>
      </c>
      <c r="K76" s="181" t="str">
        <f>+IF(J76&gt;=PARÁMETROS!$L$5,"SI","NO")</f>
        <v>SI</v>
      </c>
      <c r="L76" s="181" t="str">
        <f t="shared" si="3"/>
        <v/>
      </c>
      <c r="M76" s="854" t="s">
        <v>753</v>
      </c>
    </row>
    <row r="77" spans="1:13" ht="12" customHeight="1" thickBot="1">
      <c r="A77" s="752"/>
      <c r="B77" s="773"/>
      <c r="C77" s="218" t="s">
        <v>164</v>
      </c>
      <c r="D77" s="200" t="s">
        <v>315</v>
      </c>
      <c r="E77" s="201">
        <v>0.49</v>
      </c>
      <c r="F77" s="182" t="s">
        <v>748</v>
      </c>
      <c r="G77" s="864"/>
      <c r="H77" s="182">
        <f>('EXP GEN. 34-40'!U21+'EXP GEN. 34-40'!U22+'EXP GEN. 34-40'!U23)</f>
        <v>7809.5581047522028</v>
      </c>
      <c r="I77" s="182">
        <v>0</v>
      </c>
      <c r="J77" s="182">
        <f t="shared" si="2"/>
        <v>7809.5581047522028</v>
      </c>
      <c r="K77" s="182" t="str">
        <f>+IF(J77&gt;=PARÁMETROS!$L$5,"SI","NO")</f>
        <v>SI</v>
      </c>
      <c r="L77" s="182" t="str">
        <f t="shared" si="3"/>
        <v>CUMPLE</v>
      </c>
      <c r="M77" s="752"/>
    </row>
    <row r="78" spans="1:13" ht="12" customHeight="1">
      <c r="A78" s="750" t="s">
        <v>316</v>
      </c>
      <c r="B78" s="771" t="s">
        <v>317</v>
      </c>
      <c r="C78" s="274" t="s">
        <v>165</v>
      </c>
      <c r="D78" s="198" t="s">
        <v>318</v>
      </c>
      <c r="E78" s="199">
        <v>0.51</v>
      </c>
      <c r="F78" s="181" t="s">
        <v>749</v>
      </c>
      <c r="G78" s="864"/>
      <c r="H78" s="181">
        <f>('EXP GEN. 34-40'!U24+'EXP GEN. 34-40'!U25)</f>
        <v>16504.705096164031</v>
      </c>
      <c r="I78" s="181">
        <f>('EXP ESPEC. 34-40'!W21+'EXP ESPEC. 34-40'!W22)</f>
        <v>16504.705096164031</v>
      </c>
      <c r="J78" s="181">
        <f t="shared" si="2"/>
        <v>33009.410192328061</v>
      </c>
      <c r="K78" s="181" t="str">
        <f>+IF(J78&gt;=PARÁMETROS!$L$5,"SI","NO")</f>
        <v>SI</v>
      </c>
      <c r="L78" s="181" t="str">
        <f t="shared" si="3"/>
        <v/>
      </c>
      <c r="M78" s="854" t="s">
        <v>756</v>
      </c>
    </row>
    <row r="79" spans="1:13" ht="12" customHeight="1">
      <c r="A79" s="751"/>
      <c r="B79" s="726"/>
      <c r="C79" s="276" t="s">
        <v>167</v>
      </c>
      <c r="D79" s="47" t="s">
        <v>319</v>
      </c>
      <c r="E79" s="48">
        <v>0.25</v>
      </c>
      <c r="F79" s="187" t="s">
        <v>748</v>
      </c>
      <c r="G79" s="864"/>
      <c r="H79" s="187">
        <f>('EXP GEN. 34-40'!U27+'EXP GEN. 34-40'!U28+'EXP GEN. 34-40'!U29)</f>
        <v>12142.900079931795</v>
      </c>
      <c r="I79" s="187">
        <f>('EXP ESPEC. 34-40'!W19+'EXP ESPEC. 34-40'!W20)</f>
        <v>9589.8992587027442</v>
      </c>
      <c r="J79" s="187">
        <f t="shared" si="2"/>
        <v>21732.799338634541</v>
      </c>
      <c r="K79" s="187" t="str">
        <f>+IF(J79&gt;=PARÁMETROS!$L$5,"SI","NO")</f>
        <v>SI</v>
      </c>
      <c r="L79" s="187" t="str">
        <f t="shared" si="3"/>
        <v>CUMPLE</v>
      </c>
      <c r="M79" s="751"/>
    </row>
    <row r="80" spans="1:13" ht="12" customHeight="1" thickBot="1">
      <c r="A80" s="752"/>
      <c r="B80" s="773"/>
      <c r="C80" s="218" t="s">
        <v>320</v>
      </c>
      <c r="D80" s="200" t="s">
        <v>321</v>
      </c>
      <c r="E80" s="201">
        <v>0.24</v>
      </c>
      <c r="F80" s="182" t="s">
        <v>749</v>
      </c>
      <c r="G80" s="864"/>
      <c r="H80" s="182">
        <f>('EXP GEN. 34-40'!U26)</f>
        <v>2743.8299926868904</v>
      </c>
      <c r="I80" s="182">
        <v>0</v>
      </c>
      <c r="J80" s="182">
        <f t="shared" si="2"/>
        <v>2743.8299926868904</v>
      </c>
      <c r="K80" s="182" t="str">
        <f>+IF(J80&gt;=PARÁMETROS!$L$5,"SI","NO")</f>
        <v>NO</v>
      </c>
      <c r="L80" s="182" t="str">
        <f t="shared" si="3"/>
        <v/>
      </c>
      <c r="M80" s="752"/>
    </row>
    <row r="81" spans="1:13" ht="12" customHeight="1">
      <c r="A81" s="750" t="s">
        <v>322</v>
      </c>
      <c r="B81" s="771" t="s">
        <v>323</v>
      </c>
      <c r="C81" s="274" t="s">
        <v>166</v>
      </c>
      <c r="D81" s="198" t="s">
        <v>324</v>
      </c>
      <c r="E81" s="199">
        <v>0.51</v>
      </c>
      <c r="F81" s="181" t="s">
        <v>749</v>
      </c>
      <c r="G81" s="864"/>
      <c r="H81" s="181">
        <f>('EXP GEN. 34-40'!U30+'EXP GEN. 34-40'!U31)</f>
        <v>21182.317256495233</v>
      </c>
      <c r="I81" s="181">
        <f>('EXP ESPEC. 34-40'!W23+'EXP ESPEC. 34-40'!W24)</f>
        <v>21182.317256495233</v>
      </c>
      <c r="J81" s="181">
        <f t="shared" si="2"/>
        <v>42364.634512990466</v>
      </c>
      <c r="K81" s="181" t="str">
        <f>+IF(J81&gt;=PARÁMETROS!$L$5,"SI","NO")</f>
        <v>SI</v>
      </c>
      <c r="L81" s="181" t="str">
        <f t="shared" si="3"/>
        <v/>
      </c>
      <c r="M81" s="854" t="s">
        <v>754</v>
      </c>
    </row>
    <row r="82" spans="1:13" ht="12" customHeight="1" thickBot="1">
      <c r="A82" s="752"/>
      <c r="B82" s="773"/>
      <c r="C82" s="218" t="s">
        <v>168</v>
      </c>
      <c r="D82" s="200" t="s">
        <v>325</v>
      </c>
      <c r="E82" s="201">
        <v>0.49</v>
      </c>
      <c r="F82" s="182" t="s">
        <v>748</v>
      </c>
      <c r="G82" s="864"/>
      <c r="H82" s="182">
        <f>('EXP GEN. 34-40'!U32)</f>
        <v>9138.9291669710055</v>
      </c>
      <c r="I82" s="182">
        <f>('EXP ESPEC. 34-40'!W25+'EXP ESPEC. 34-40'!W26)</f>
        <v>13066.659866089565</v>
      </c>
      <c r="J82" s="182">
        <f t="shared" si="2"/>
        <v>22205.589033060569</v>
      </c>
      <c r="K82" s="182" t="str">
        <f>+IF(J82&gt;=PARÁMETROS!$L$5,"SI","NO")</f>
        <v>SI</v>
      </c>
      <c r="L82" s="182" t="str">
        <f t="shared" si="3"/>
        <v>CUMPLE</v>
      </c>
      <c r="M82" s="752"/>
    </row>
    <row r="83" spans="1:13" ht="12" customHeight="1">
      <c r="A83" s="750" t="s">
        <v>326</v>
      </c>
      <c r="B83" s="771" t="s">
        <v>327</v>
      </c>
      <c r="C83" s="274" t="s">
        <v>169</v>
      </c>
      <c r="D83" s="198" t="s">
        <v>328</v>
      </c>
      <c r="E83" s="199">
        <v>0.51</v>
      </c>
      <c r="F83" s="181" t="s">
        <v>749</v>
      </c>
      <c r="G83" s="864"/>
      <c r="H83" s="181">
        <f>('EXP GEN. 34-40'!U33+'EXP GEN. 34-40'!U34+'EXP GEN. 34-40'!U35)</f>
        <v>12932.810298793906</v>
      </c>
      <c r="I83" s="181">
        <f>('EXP ESPEC. 34-40'!W27+'EXP ESPEC. 34-40'!W28)</f>
        <v>9317.5099699580751</v>
      </c>
      <c r="J83" s="181">
        <f t="shared" si="2"/>
        <v>22250.320268751981</v>
      </c>
      <c r="K83" s="181" t="str">
        <f>+IF(J83&gt;=PARÁMETROS!$L$5,"SI","NO")</f>
        <v>SI</v>
      </c>
      <c r="L83" s="181" t="str">
        <f t="shared" si="3"/>
        <v/>
      </c>
      <c r="M83" s="750" t="s">
        <v>750</v>
      </c>
    </row>
    <row r="84" spans="1:13" ht="12" customHeight="1" thickBot="1">
      <c r="A84" s="751"/>
      <c r="B84" s="726"/>
      <c r="C84" s="276" t="s">
        <v>171</v>
      </c>
      <c r="D84" s="233" t="s">
        <v>329</v>
      </c>
      <c r="E84" s="234">
        <v>0.49</v>
      </c>
      <c r="F84" s="182" t="s">
        <v>748</v>
      </c>
      <c r="G84" s="864"/>
      <c r="H84" s="182">
        <f>('EXP GEN. 34-40'!U36)</f>
        <v>15828.998705051601</v>
      </c>
      <c r="I84" s="182">
        <f>('EXP ESPEC. 34-40'!W29+'EXP ESPEC. 34-40'!W30)</f>
        <v>19648.199429502598</v>
      </c>
      <c r="J84" s="182">
        <f t="shared" si="2"/>
        <v>35477.198134554201</v>
      </c>
      <c r="K84" s="182" t="str">
        <f>+IF(J84&gt;=PARÁMETROS!$L$5,"SI","NO")</f>
        <v>SI</v>
      </c>
      <c r="L84" s="182" t="str">
        <f t="shared" si="3"/>
        <v>CUMPLE</v>
      </c>
      <c r="M84" s="751"/>
    </row>
    <row r="85" spans="1:13" ht="12" customHeight="1">
      <c r="A85" s="765" t="s">
        <v>330</v>
      </c>
      <c r="B85" s="768" t="s">
        <v>331</v>
      </c>
      <c r="C85" s="217" t="s">
        <v>170</v>
      </c>
      <c r="D85" s="198" t="s">
        <v>332</v>
      </c>
      <c r="E85" s="199">
        <v>0.51</v>
      </c>
      <c r="F85" s="181" t="s">
        <v>748</v>
      </c>
      <c r="G85" s="864"/>
      <c r="H85" s="181">
        <v>15083.586340646525</v>
      </c>
      <c r="I85" s="181">
        <v>15083.586340646525</v>
      </c>
      <c r="J85" s="181">
        <f t="shared" si="2"/>
        <v>30167.17268129305</v>
      </c>
      <c r="K85" s="181" t="str">
        <f>+IF(J85&gt;=PARÁMETROS!$L$5,"SI","NO")</f>
        <v>SI</v>
      </c>
      <c r="L85" s="181" t="str">
        <f t="shared" si="3"/>
        <v>CUMPLE</v>
      </c>
      <c r="M85" s="765" t="s">
        <v>750</v>
      </c>
    </row>
    <row r="86" spans="1:13" ht="12" customHeight="1">
      <c r="A86" s="766"/>
      <c r="B86" s="769"/>
      <c r="C86" s="209" t="s">
        <v>172</v>
      </c>
      <c r="D86" s="47" t="s">
        <v>333</v>
      </c>
      <c r="E86" s="48">
        <v>0.25</v>
      </c>
      <c r="F86" s="187" t="s">
        <v>749</v>
      </c>
      <c r="G86" s="864"/>
      <c r="H86" s="187">
        <v>4928.999722330097</v>
      </c>
      <c r="I86" s="187">
        <v>4928.999722330097</v>
      </c>
      <c r="J86" s="187">
        <f t="shared" si="2"/>
        <v>9857.9994446601941</v>
      </c>
      <c r="K86" s="187" t="str">
        <f>+IF(J86&gt;=PARÁMETROS!$L$5,"SI","NO")</f>
        <v>SI</v>
      </c>
      <c r="L86" s="187" t="str">
        <f t="shared" si="3"/>
        <v/>
      </c>
      <c r="M86" s="766"/>
    </row>
    <row r="87" spans="1:13" ht="12" customHeight="1">
      <c r="A87" s="766"/>
      <c r="B87" s="769"/>
      <c r="C87" s="209" t="s">
        <v>334</v>
      </c>
      <c r="D87" s="47" t="s">
        <v>335</v>
      </c>
      <c r="E87" s="48">
        <v>0.12</v>
      </c>
      <c r="F87" s="187" t="s">
        <v>749</v>
      </c>
      <c r="G87" s="864"/>
      <c r="H87" s="187">
        <v>6020.1674979267718</v>
      </c>
      <c r="I87" s="187">
        <v>3420.9379849397592</v>
      </c>
      <c r="J87" s="187">
        <f t="shared" si="2"/>
        <v>9441.105482866531</v>
      </c>
      <c r="K87" s="187" t="str">
        <f>+IF(J87&gt;=PARÁMETROS!$L$5,"SI","NO")</f>
        <v>SI</v>
      </c>
      <c r="L87" s="187" t="str">
        <f t="shared" si="3"/>
        <v/>
      </c>
      <c r="M87" s="766"/>
    </row>
    <row r="88" spans="1:13" ht="12" customHeight="1" thickBot="1">
      <c r="A88" s="767"/>
      <c r="B88" s="770"/>
      <c r="C88" s="218" t="s">
        <v>336</v>
      </c>
      <c r="D88" s="200" t="s">
        <v>337</v>
      </c>
      <c r="E88" s="201">
        <v>0.12</v>
      </c>
      <c r="F88" s="182" t="s">
        <v>749</v>
      </c>
      <c r="G88" s="864"/>
      <c r="H88" s="182">
        <v>2606.1447975974024</v>
      </c>
      <c r="I88" s="182">
        <v>0</v>
      </c>
      <c r="J88" s="182">
        <f t="shared" si="2"/>
        <v>2606.1447975974024</v>
      </c>
      <c r="K88" s="182" t="str">
        <f>+IF(J88&gt;=PARÁMETROS!$L$5,"SI","NO")</f>
        <v>NO</v>
      </c>
      <c r="L88" s="182" t="str">
        <f t="shared" si="3"/>
        <v/>
      </c>
      <c r="M88" s="767"/>
    </row>
  </sheetData>
  <mergeCells count="124">
    <mergeCell ref="C1:C2"/>
    <mergeCell ref="D1:D2"/>
    <mergeCell ref="E1:E2"/>
    <mergeCell ref="L1:L2"/>
    <mergeCell ref="M1:M2"/>
    <mergeCell ref="F1:F2"/>
    <mergeCell ref="G1:G88"/>
    <mergeCell ref="H1:H2"/>
    <mergeCell ref="I1:I2"/>
    <mergeCell ref="J1:J2"/>
    <mergeCell ref="K1:K2"/>
    <mergeCell ref="M3:M4"/>
    <mergeCell ref="M5:M6"/>
    <mergeCell ref="M7:M9"/>
    <mergeCell ref="M10:M11"/>
    <mergeCell ref="M12:M13"/>
    <mergeCell ref="M14:M16"/>
    <mergeCell ref="M17:M18"/>
    <mergeCell ref="M19:M20"/>
    <mergeCell ref="M33:M34"/>
    <mergeCell ref="M35:M36"/>
    <mergeCell ref="M37:M38"/>
    <mergeCell ref="M39:M40"/>
    <mergeCell ref="M41:M42"/>
    <mergeCell ref="A12:A13"/>
    <mergeCell ref="B12:B13"/>
    <mergeCell ref="A17:A18"/>
    <mergeCell ref="B17:B18"/>
    <mergeCell ref="A19:A20"/>
    <mergeCell ref="A10:A11"/>
    <mergeCell ref="B10:B11"/>
    <mergeCell ref="A1:A2"/>
    <mergeCell ref="B1:B2"/>
    <mergeCell ref="A21:A22"/>
    <mergeCell ref="B21:B22"/>
    <mergeCell ref="B19:B20"/>
    <mergeCell ref="A39:A40"/>
    <mergeCell ref="B39:B40"/>
    <mergeCell ref="A30:A31"/>
    <mergeCell ref="B30:B31"/>
    <mergeCell ref="A33:A34"/>
    <mergeCell ref="B33:B34"/>
    <mergeCell ref="A35:A36"/>
    <mergeCell ref="B35:B36"/>
    <mergeCell ref="A37:A38"/>
    <mergeCell ref="B37:B38"/>
    <mergeCell ref="A26:A27"/>
    <mergeCell ref="B26:B27"/>
    <mergeCell ref="A28:A29"/>
    <mergeCell ref="B28:B29"/>
    <mergeCell ref="A24:A25"/>
    <mergeCell ref="B24:B25"/>
    <mergeCell ref="A47:A48"/>
    <mergeCell ref="B47:B48"/>
    <mergeCell ref="A49:A51"/>
    <mergeCell ref="B49:B51"/>
    <mergeCell ref="A52:A54"/>
    <mergeCell ref="B52:B54"/>
    <mergeCell ref="A41:A42"/>
    <mergeCell ref="B41:B42"/>
    <mergeCell ref="A43:A44"/>
    <mergeCell ref="B43:B44"/>
    <mergeCell ref="A45:A46"/>
    <mergeCell ref="B45:B46"/>
    <mergeCell ref="A63:A64"/>
    <mergeCell ref="B63:B64"/>
    <mergeCell ref="A65:A66"/>
    <mergeCell ref="B65:B66"/>
    <mergeCell ref="A67:A69"/>
    <mergeCell ref="B67:B69"/>
    <mergeCell ref="A55:A56"/>
    <mergeCell ref="B55:B56"/>
    <mergeCell ref="A57:A58"/>
    <mergeCell ref="B57:B58"/>
    <mergeCell ref="A60:A61"/>
    <mergeCell ref="B60:B61"/>
    <mergeCell ref="A83:A84"/>
    <mergeCell ref="B83:B84"/>
    <mergeCell ref="A85:A88"/>
    <mergeCell ref="B85:B88"/>
    <mergeCell ref="A3:A4"/>
    <mergeCell ref="B3:B4"/>
    <mergeCell ref="A5:A6"/>
    <mergeCell ref="B5:B6"/>
    <mergeCell ref="A7:A9"/>
    <mergeCell ref="B7:B9"/>
    <mergeCell ref="A14:A16"/>
    <mergeCell ref="B14:B16"/>
    <mergeCell ref="A76:A77"/>
    <mergeCell ref="B76:B77"/>
    <mergeCell ref="A78:A80"/>
    <mergeCell ref="B78:B80"/>
    <mergeCell ref="A81:A82"/>
    <mergeCell ref="B81:B82"/>
    <mergeCell ref="A70:A71"/>
    <mergeCell ref="B70:B71"/>
    <mergeCell ref="A72:A73"/>
    <mergeCell ref="B72:B73"/>
    <mergeCell ref="A74:A75"/>
    <mergeCell ref="B74:B75"/>
    <mergeCell ref="M21:M22"/>
    <mergeCell ref="M24:M25"/>
    <mergeCell ref="M26:M27"/>
    <mergeCell ref="M28:M29"/>
    <mergeCell ref="M30:M31"/>
    <mergeCell ref="M55:M56"/>
    <mergeCell ref="M57:M58"/>
    <mergeCell ref="M60:M61"/>
    <mergeCell ref="M63:M64"/>
    <mergeCell ref="M85:M88"/>
    <mergeCell ref="M67:M69"/>
    <mergeCell ref="M70:M71"/>
    <mergeCell ref="M72:M73"/>
    <mergeCell ref="M74:M75"/>
    <mergeCell ref="M76:M77"/>
    <mergeCell ref="M65:M66"/>
    <mergeCell ref="M43:M44"/>
    <mergeCell ref="M45:M46"/>
    <mergeCell ref="M47:M48"/>
    <mergeCell ref="M49:M51"/>
    <mergeCell ref="M52:M54"/>
    <mergeCell ref="M78:M80"/>
    <mergeCell ref="M81:M82"/>
    <mergeCell ref="M83:M84"/>
  </mergeCells>
  <conditionalFormatting sqref="M89:M1048576">
    <cfRule type="containsText" dxfId="8" priority="1" operator="containsText" text="NO CUMPLE">
      <formula>NOT(ISERROR(SEARCH("NO CUMPLE",M89)))</formula>
    </cfRule>
  </conditionalFormatting>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E4" workbookViewId="0">
      <selection activeCell="J5" sqref="J5"/>
    </sheetView>
  </sheetViews>
  <sheetFormatPr baseColWidth="10" defaultColWidth="10.875" defaultRowHeight="15.75"/>
  <cols>
    <col min="1" max="1" width="48.625" style="1" customWidth="1"/>
    <col min="2" max="2" width="16.125" style="3" bestFit="1" customWidth="1"/>
    <col min="3" max="3" width="5.125" style="3" customWidth="1"/>
    <col min="4" max="4" width="30.375" style="1" bestFit="1" customWidth="1"/>
    <col min="5" max="5" width="2.5" style="1" customWidth="1"/>
    <col min="6" max="6" width="27.125" style="1" bestFit="1" customWidth="1"/>
    <col min="7" max="7" width="2.625" style="1" customWidth="1"/>
    <col min="8" max="8" width="27.875" style="1" bestFit="1" customWidth="1"/>
    <col min="9" max="9" width="4.125" style="1" customWidth="1"/>
    <col min="10" max="10" width="21.5" style="2" customWidth="1"/>
    <col min="11" max="11" width="3.125" style="2" customWidth="1"/>
    <col min="12" max="12" width="30.625" style="2" bestFit="1" customWidth="1"/>
    <col min="13" max="16384" width="10.875" style="2"/>
  </cols>
  <sheetData>
    <row r="1" spans="1:12" ht="16.5" thickBot="1">
      <c r="A1" s="774" t="s">
        <v>191</v>
      </c>
      <c r="B1" s="775"/>
    </row>
    <row r="2" spans="1:12" s="6" customFormat="1" ht="16.5" thickBot="1">
      <c r="A2" s="4" t="s">
        <v>38</v>
      </c>
      <c r="B2" s="5" t="s">
        <v>39</v>
      </c>
      <c r="C2" s="3"/>
      <c r="D2" s="1"/>
      <c r="E2" s="1"/>
      <c r="F2" s="1"/>
      <c r="G2" s="1"/>
      <c r="H2" s="1"/>
      <c r="I2" s="1"/>
    </row>
    <row r="3" spans="1:12" ht="42.75" customHeight="1" thickBot="1">
      <c r="A3" s="7" t="s">
        <v>415</v>
      </c>
      <c r="B3" s="8">
        <v>7241052994</v>
      </c>
      <c r="D3" s="235" t="s">
        <v>40</v>
      </c>
      <c r="F3" s="235" t="s">
        <v>41</v>
      </c>
      <c r="H3" s="235" t="s">
        <v>42</v>
      </c>
      <c r="J3" s="236" t="s">
        <v>43</v>
      </c>
      <c r="L3" s="9" t="s">
        <v>417</v>
      </c>
    </row>
    <row r="4" spans="1:12">
      <c r="A4" s="10" t="s">
        <v>414</v>
      </c>
      <c r="B4" s="11">
        <f>+B3/B36</f>
        <v>11237.763628462792</v>
      </c>
      <c r="D4" s="12" t="s">
        <v>411</v>
      </c>
      <c r="F4" s="12" t="s">
        <v>350</v>
      </c>
      <c r="H4" s="12" t="s">
        <v>351</v>
      </c>
      <c r="J4" s="12" t="s">
        <v>338</v>
      </c>
      <c r="L4" s="12" t="s">
        <v>418</v>
      </c>
    </row>
    <row r="5" spans="1:12" ht="16.5" thickBot="1">
      <c r="A5" s="13" t="s">
        <v>44</v>
      </c>
      <c r="B5" s="14">
        <v>42417</v>
      </c>
      <c r="C5" s="15"/>
      <c r="D5" s="43">
        <f>50%*B4</f>
        <v>5618.8818142313958</v>
      </c>
      <c r="F5" s="43">
        <f>D5*30%</f>
        <v>1685.6645442694187</v>
      </c>
      <c r="G5" s="3"/>
      <c r="H5" s="43">
        <f>51%*D5</f>
        <v>2865.6297252580121</v>
      </c>
      <c r="J5" s="43">
        <f>B4*30%</f>
        <v>3371.3290885388374</v>
      </c>
      <c r="L5" s="16">
        <f>42.5%*B4</f>
        <v>4776.0495420966863</v>
      </c>
    </row>
    <row r="6" spans="1:12" ht="16.5" thickBot="1">
      <c r="A6" s="17" t="s">
        <v>45</v>
      </c>
      <c r="B6" s="18">
        <v>42417</v>
      </c>
      <c r="C6" s="15"/>
    </row>
    <row r="7" spans="1:12">
      <c r="A7" s="19"/>
      <c r="B7" s="15"/>
      <c r="C7" s="15"/>
      <c r="H7" s="2"/>
      <c r="L7" s="294"/>
    </row>
    <row r="8" spans="1:12" ht="16.5" thickBot="1">
      <c r="D8" s="20"/>
      <c r="H8" s="2"/>
    </row>
    <row r="9" spans="1:12">
      <c r="A9" s="4" t="s">
        <v>46</v>
      </c>
      <c r="B9" s="5"/>
      <c r="H9" s="2"/>
    </row>
    <row r="10" spans="1:12">
      <c r="A10" s="21" t="s">
        <v>47</v>
      </c>
      <c r="B10" s="22" t="s">
        <v>48</v>
      </c>
      <c r="H10" s="2"/>
    </row>
    <row r="11" spans="1:12">
      <c r="A11" s="23">
        <v>1990</v>
      </c>
      <c r="B11" s="24">
        <v>41025</v>
      </c>
      <c r="F11" s="20"/>
    </row>
    <row r="12" spans="1:12">
      <c r="A12" s="23">
        <v>1991</v>
      </c>
      <c r="B12" s="24">
        <v>51716</v>
      </c>
    </row>
    <row r="13" spans="1:12">
      <c r="A13" s="23">
        <v>1992</v>
      </c>
      <c r="B13" s="24">
        <v>65190</v>
      </c>
      <c r="D13" s="20"/>
    </row>
    <row r="14" spans="1:12">
      <c r="A14" s="23">
        <v>1993</v>
      </c>
      <c r="B14" s="24">
        <v>81510</v>
      </c>
      <c r="H14" s="25"/>
    </row>
    <row r="15" spans="1:12">
      <c r="A15" s="23">
        <v>1994</v>
      </c>
      <c r="B15" s="24">
        <v>98700</v>
      </c>
    </row>
    <row r="16" spans="1:12">
      <c r="A16" s="23">
        <v>1995</v>
      </c>
      <c r="B16" s="24">
        <v>118933.5</v>
      </c>
    </row>
    <row r="17" spans="1:2">
      <c r="A17" s="23">
        <v>1996</v>
      </c>
      <c r="B17" s="24">
        <v>142125</v>
      </c>
    </row>
    <row r="18" spans="1:2">
      <c r="A18" s="23">
        <v>1997</v>
      </c>
      <c r="B18" s="24">
        <v>172005</v>
      </c>
    </row>
    <row r="19" spans="1:2">
      <c r="A19" s="23">
        <v>1998</v>
      </c>
      <c r="B19" s="24">
        <v>203826</v>
      </c>
    </row>
    <row r="20" spans="1:2">
      <c r="A20" s="23">
        <v>1999</v>
      </c>
      <c r="B20" s="24">
        <v>236460</v>
      </c>
    </row>
    <row r="21" spans="1:2">
      <c r="A21" s="23">
        <v>2000</v>
      </c>
      <c r="B21" s="24">
        <v>260100</v>
      </c>
    </row>
    <row r="22" spans="1:2">
      <c r="A22" s="23">
        <v>2001</v>
      </c>
      <c r="B22" s="24">
        <v>286000</v>
      </c>
    </row>
    <row r="23" spans="1:2">
      <c r="A23" s="23">
        <v>2002</v>
      </c>
      <c r="B23" s="24">
        <v>309000</v>
      </c>
    </row>
    <row r="24" spans="1:2">
      <c r="A24" s="23">
        <v>2003</v>
      </c>
      <c r="B24" s="24">
        <v>332000</v>
      </c>
    </row>
    <row r="25" spans="1:2">
      <c r="A25" s="23">
        <v>2004</v>
      </c>
      <c r="B25" s="24">
        <v>358000</v>
      </c>
    </row>
    <row r="26" spans="1:2">
      <c r="A26" s="23">
        <v>2005</v>
      </c>
      <c r="B26" s="24">
        <v>381500</v>
      </c>
    </row>
    <row r="27" spans="1:2">
      <c r="A27" s="23">
        <v>2006</v>
      </c>
      <c r="B27" s="24">
        <v>408000</v>
      </c>
    </row>
    <row r="28" spans="1:2">
      <c r="A28" s="23">
        <v>2007</v>
      </c>
      <c r="B28" s="24">
        <v>433700</v>
      </c>
    </row>
    <row r="29" spans="1:2">
      <c r="A29" s="23">
        <v>2008</v>
      </c>
      <c r="B29" s="24">
        <v>461500</v>
      </c>
    </row>
    <row r="30" spans="1:2">
      <c r="A30" s="23">
        <v>2009</v>
      </c>
      <c r="B30" s="24">
        <v>496900</v>
      </c>
    </row>
    <row r="31" spans="1:2">
      <c r="A31" s="23">
        <v>2010</v>
      </c>
      <c r="B31" s="24">
        <v>515000</v>
      </c>
    </row>
    <row r="32" spans="1:2">
      <c r="A32" s="23">
        <v>2011</v>
      </c>
      <c r="B32" s="24">
        <v>535600</v>
      </c>
    </row>
    <row r="33" spans="1:2">
      <c r="A33" s="23">
        <v>2012</v>
      </c>
      <c r="B33" s="24">
        <v>566700</v>
      </c>
    </row>
    <row r="34" spans="1:2">
      <c r="A34" s="23">
        <v>2013</v>
      </c>
      <c r="B34" s="24">
        <v>589500</v>
      </c>
    </row>
    <row r="35" spans="1:2">
      <c r="A35" s="23">
        <v>2014</v>
      </c>
      <c r="B35" s="24">
        <v>616000</v>
      </c>
    </row>
    <row r="36" spans="1:2">
      <c r="A36" s="23">
        <v>2015</v>
      </c>
      <c r="B36" s="24">
        <v>644350</v>
      </c>
    </row>
    <row r="37" spans="1:2" ht="16.5" thickBot="1">
      <c r="A37" s="26">
        <v>2016</v>
      </c>
      <c r="B37" s="27">
        <v>689554</v>
      </c>
    </row>
  </sheetData>
  <mergeCells count="1">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AM217"/>
  <sheetViews>
    <sheetView zoomScale="70" zoomScaleNormal="70" zoomScalePageLayoutView="75" workbookViewId="0">
      <pane xSplit="1" ySplit="2" topLeftCell="B7" activePane="bottomRight" state="frozen"/>
      <selection activeCell="F8" sqref="F8"/>
      <selection pane="topRight" activeCell="F8" sqref="F8"/>
      <selection pane="bottomLeft" activeCell="F8" sqref="F8"/>
      <selection pane="bottomRight" activeCell="A8" sqref="A8:A11"/>
    </sheetView>
  </sheetViews>
  <sheetFormatPr baseColWidth="10" defaultColWidth="10.875" defaultRowHeight="15.75"/>
  <cols>
    <col min="1" max="1" width="10.875" style="89" bestFit="1" customWidth="1"/>
    <col min="2" max="2" width="8.875" style="89" customWidth="1"/>
    <col min="3" max="3" width="8.75" style="89" customWidth="1"/>
    <col min="4" max="4" width="15.25" style="92" customWidth="1"/>
    <col min="5" max="5" width="13.875" style="553" customWidth="1"/>
    <col min="6" max="6" width="66.125" style="101" customWidth="1"/>
    <col min="7" max="7" width="8.125" style="101" customWidth="1"/>
    <col min="8" max="8" width="7.125" style="101" customWidth="1"/>
    <col min="9" max="9" width="8.75" style="102" customWidth="1"/>
    <col min="10" max="10" width="10.625" style="103" customWidth="1"/>
    <col min="11" max="11" width="11" style="104" customWidth="1"/>
    <col min="12" max="12" width="7" style="105" customWidth="1"/>
    <col min="13" max="13" width="11" style="68" customWidth="1"/>
    <col min="14" max="14" width="14.625" style="106" customWidth="1"/>
    <col min="15" max="15" width="7.625" style="106" customWidth="1"/>
    <col min="16" max="16" width="8.25" style="68" customWidth="1"/>
    <col min="17" max="17" width="9.5" style="68" customWidth="1"/>
    <col min="18" max="18" width="8.25" style="68" customWidth="1"/>
    <col min="19" max="19" width="15.5" style="68" customWidth="1"/>
    <col min="20" max="20" width="11.625" style="68" customWidth="1"/>
    <col min="21" max="21" width="12.5" style="81" customWidth="1"/>
    <col min="22" max="22" width="16.5" style="554" customWidth="1"/>
    <col min="23" max="23" width="9.125" style="89" customWidth="1"/>
    <col min="24" max="25" width="9.125" style="107" customWidth="1"/>
    <col min="26" max="26" width="9.125" style="89" customWidth="1"/>
    <col min="27" max="31" width="9.125" style="107" customWidth="1"/>
    <col min="32" max="32" width="15.375" style="58" customWidth="1"/>
    <col min="33" max="33" width="11" style="58" customWidth="1"/>
    <col min="34" max="34" width="11.25" style="58" customWidth="1"/>
    <col min="35" max="35" width="15.125" style="58" customWidth="1"/>
    <col min="36" max="36" width="36" style="92" customWidth="1"/>
    <col min="37" max="39" width="10.875" style="108"/>
    <col min="40" max="41" width="15.125" style="108" bestFit="1" customWidth="1"/>
    <col min="42" max="16384" width="10.875" style="108"/>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776" t="s">
        <v>17</v>
      </c>
      <c r="O1" s="776" t="s">
        <v>18</v>
      </c>
      <c r="P1" s="780" t="s">
        <v>19</v>
      </c>
      <c r="Q1" s="780" t="s">
        <v>20</v>
      </c>
      <c r="R1" s="780" t="s">
        <v>21</v>
      </c>
      <c r="S1" s="778" t="s">
        <v>22</v>
      </c>
      <c r="T1" s="778" t="s">
        <v>23</v>
      </c>
      <c r="U1" s="778" t="s">
        <v>485</v>
      </c>
      <c r="V1" s="793" t="s">
        <v>62</v>
      </c>
      <c r="W1" s="776" t="s">
        <v>28</v>
      </c>
      <c r="X1" s="776"/>
      <c r="Y1" s="776"/>
      <c r="Z1" s="776" t="s">
        <v>29</v>
      </c>
      <c r="AA1" s="776"/>
      <c r="AB1" s="776"/>
      <c r="AC1" s="776" t="s">
        <v>30</v>
      </c>
      <c r="AD1" s="776"/>
      <c r="AE1" s="776"/>
      <c r="AF1" s="780" t="s">
        <v>31</v>
      </c>
      <c r="AG1" s="788" t="s">
        <v>339</v>
      </c>
      <c r="AH1" s="789" t="s">
        <v>175</v>
      </c>
      <c r="AI1" s="788" t="s">
        <v>736</v>
      </c>
      <c r="AJ1" s="791" t="s">
        <v>3</v>
      </c>
      <c r="AL1" s="57" t="s">
        <v>10</v>
      </c>
      <c r="AM1" s="57" t="s">
        <v>11</v>
      </c>
    </row>
    <row r="2" spans="1:39" s="56" customFormat="1" ht="74.25" customHeight="1" thickBot="1">
      <c r="A2" s="777"/>
      <c r="B2" s="777"/>
      <c r="C2" s="777"/>
      <c r="D2" s="779"/>
      <c r="E2" s="777"/>
      <c r="F2" s="777"/>
      <c r="G2" s="781"/>
      <c r="H2" s="781"/>
      <c r="I2" s="783"/>
      <c r="J2" s="785"/>
      <c r="K2" s="785"/>
      <c r="L2" s="787"/>
      <c r="M2" s="779"/>
      <c r="N2" s="777"/>
      <c r="O2" s="777"/>
      <c r="P2" s="781"/>
      <c r="Q2" s="781"/>
      <c r="R2" s="781"/>
      <c r="S2" s="779"/>
      <c r="T2" s="779"/>
      <c r="U2" s="779"/>
      <c r="V2" s="794"/>
      <c r="W2" s="281" t="s">
        <v>32</v>
      </c>
      <c r="X2" s="281" t="s">
        <v>33</v>
      </c>
      <c r="Y2" s="281" t="s">
        <v>34</v>
      </c>
      <c r="Z2" s="281" t="s">
        <v>35</v>
      </c>
      <c r="AA2" s="281" t="s">
        <v>33</v>
      </c>
      <c r="AB2" s="281" t="s">
        <v>36</v>
      </c>
      <c r="AC2" s="281" t="s">
        <v>35</v>
      </c>
      <c r="AD2" s="281" t="s">
        <v>33</v>
      </c>
      <c r="AE2" s="281" t="s">
        <v>37</v>
      </c>
      <c r="AF2" s="781"/>
      <c r="AG2" s="789"/>
      <c r="AH2" s="790"/>
      <c r="AI2" s="789"/>
      <c r="AJ2" s="792"/>
    </row>
    <row r="3" spans="1:39" s="72" customFormat="1" ht="45" customHeight="1">
      <c r="A3" s="795" t="s">
        <v>192</v>
      </c>
      <c r="B3" s="123" t="s">
        <v>98</v>
      </c>
      <c r="C3" s="505">
        <v>317</v>
      </c>
      <c r="D3" s="506" t="str">
        <f>+IFERROR(INDEX([1]CONSOLIDADO!$D$4:$D$91,MATCH('EXP GEN. 1-5'!B3,[1]CONSOLIDADO!$C$4:$C$91,0)),"")</f>
        <v xml:space="preserve">SMA S.A.  </v>
      </c>
      <c r="E3" s="137" t="s">
        <v>685</v>
      </c>
      <c r="F3" s="127" t="s">
        <v>686</v>
      </c>
      <c r="G3" s="409" t="s">
        <v>10</v>
      </c>
      <c r="H3" s="279" t="s">
        <v>10</v>
      </c>
      <c r="I3" s="128">
        <v>0.45</v>
      </c>
      <c r="J3" s="129">
        <v>39125</v>
      </c>
      <c r="K3" s="507">
        <v>42012</v>
      </c>
      <c r="L3" s="130">
        <f>IF(K3="","",YEAR(K3))</f>
        <v>2015</v>
      </c>
      <c r="M3" s="131">
        <f>+IFERROR(INDEX([1]PARÁMETROS!$B$11:$B$37,MATCH(L3,[1]PARÁMETROS!$A$11:$A$37,0)),"")</f>
        <v>644350</v>
      </c>
      <c r="N3" s="508">
        <v>15319357761</v>
      </c>
      <c r="O3" s="133" t="s">
        <v>25</v>
      </c>
      <c r="P3" s="58" t="s">
        <v>61</v>
      </c>
      <c r="Q3" s="58" t="s">
        <v>61</v>
      </c>
      <c r="R3" s="135">
        <v>1</v>
      </c>
      <c r="S3" s="131">
        <f>IF(R3&lt;&gt;"",N3*R3,"")</f>
        <v>15319357761</v>
      </c>
      <c r="T3" s="136">
        <f>+IFERROR(S3/M3,"")</f>
        <v>23774.901468146192</v>
      </c>
      <c r="U3" s="136">
        <f>IFERROR(T3*I3,"")</f>
        <v>10698.705660665786</v>
      </c>
      <c r="V3" s="279" t="s">
        <v>687</v>
      </c>
      <c r="W3" s="798"/>
      <c r="X3" s="798"/>
      <c r="Y3" s="798"/>
      <c r="Z3" s="798"/>
      <c r="AA3" s="798"/>
      <c r="AB3" s="798"/>
      <c r="AC3" s="798"/>
      <c r="AD3" s="798"/>
      <c r="AE3" s="798"/>
      <c r="AF3" s="279"/>
      <c r="AG3" s="798" t="str">
        <f>IF(U3:U7="","",IF(SUM(U3:U7)&gt;=[1]PARÁMETROS!$D$5,"HÁBIL","NO HÁBIL"))</f>
        <v>HÁBIL</v>
      </c>
      <c r="AH3" s="798" t="str">
        <f>IF(U3="","",IF(SUM(U3)&gt;=[1]PARÁMETROS!$H$5,"HÁBIL","NO HÁBIL"))</f>
        <v>HÁBIL</v>
      </c>
      <c r="AI3" s="279" t="str">
        <f>+IF(U3="","",IF(U3&gt;=[1]PARÁMETROS!$D$5,"CUMPLE","NO CUMPLE"))</f>
        <v>CUMPLE</v>
      </c>
      <c r="AJ3" s="509"/>
      <c r="AK3" s="109"/>
    </row>
    <row r="4" spans="1:39" s="72" customFormat="1" ht="72.75" customHeight="1">
      <c r="A4" s="796"/>
      <c r="B4" s="58" t="s">
        <v>97</v>
      </c>
      <c r="C4" s="59">
        <v>342</v>
      </c>
      <c r="D4" s="60" t="str">
        <f>+IFERROR(INDEX([1]CONSOLIDADO!$D$4:$D$91,MATCH('EXP GEN. 1-5'!B4,[1]CONSOLIDADO!$C$4:$C$91,0)),"")</f>
        <v xml:space="preserve">WSP SERVICIOS S.A.S  </v>
      </c>
      <c r="E4" s="71" t="s">
        <v>688</v>
      </c>
      <c r="F4" s="61" t="s">
        <v>689</v>
      </c>
      <c r="G4" s="277" t="s">
        <v>10</v>
      </c>
      <c r="H4" s="277" t="s">
        <v>10</v>
      </c>
      <c r="I4" s="73">
        <v>1</v>
      </c>
      <c r="J4" s="64">
        <v>38279</v>
      </c>
      <c r="K4" s="64">
        <v>39813</v>
      </c>
      <c r="L4" s="65">
        <f t="shared" ref="L4:L67" si="0">IF(K4="","",YEAR(K4))</f>
        <v>2008</v>
      </c>
      <c r="M4" s="66">
        <f>+IFERROR(INDEX([1]PARÁMETROS!$B$11:$B$37,MATCH(L4,[1]PARÁMETROS!$A$11:$A$37,0)),"")</f>
        <v>461500</v>
      </c>
      <c r="N4" s="74">
        <v>3975262277</v>
      </c>
      <c r="O4" s="66" t="s">
        <v>25</v>
      </c>
      <c r="P4" s="58" t="s">
        <v>61</v>
      </c>
      <c r="Q4" s="69" t="s">
        <v>61</v>
      </c>
      <c r="R4" s="70">
        <v>1</v>
      </c>
      <c r="S4" s="66">
        <f t="shared" ref="S4:S67" si="1">IF(R4&lt;&gt;"",N4*R4,"")</f>
        <v>3975262277</v>
      </c>
      <c r="T4" s="55">
        <f t="shared" ref="T4:T67" si="2">+IFERROR(S4/M4,"")</f>
        <v>8613.7860823401952</v>
      </c>
      <c r="U4" s="55">
        <f t="shared" ref="U4:U67" si="3">IFERROR(T4*I4,"")</f>
        <v>8613.7860823401952</v>
      </c>
      <c r="V4" s="277">
        <v>9</v>
      </c>
      <c r="W4" s="799" t="s">
        <v>10</v>
      </c>
      <c r="X4" s="799"/>
      <c r="Y4" s="799"/>
      <c r="Z4" s="799" t="s">
        <v>10</v>
      </c>
      <c r="AA4" s="799"/>
      <c r="AB4" s="799"/>
      <c r="AC4" s="799" t="s">
        <v>10</v>
      </c>
      <c r="AD4" s="799"/>
      <c r="AE4" s="799"/>
      <c r="AF4" s="277" t="s">
        <v>10</v>
      </c>
      <c r="AG4" s="799"/>
      <c r="AH4" s="799"/>
      <c r="AI4" s="277" t="str">
        <f>+IF(U4="","",IF(U4&gt;=[1]PARÁMETROS!$D$5,"CUMPLE","NO CUMPLE"))</f>
        <v>CUMPLE</v>
      </c>
      <c r="AJ4" s="139"/>
      <c r="AK4" s="109"/>
    </row>
    <row r="5" spans="1:39" s="72" customFormat="1" ht="65.099999999999994" customHeight="1">
      <c r="A5" s="796"/>
      <c r="B5" s="58" t="s">
        <v>97</v>
      </c>
      <c r="C5" s="59">
        <v>363</v>
      </c>
      <c r="D5" s="60" t="str">
        <f>+IFERROR(INDEX([1]CONSOLIDADO!$D$4:$D$91,MATCH('EXP GEN. 1-5'!B5,[1]CONSOLIDADO!$C$4:$C$91,0)),"")</f>
        <v xml:space="preserve">WSP SERVICIOS S.A.S  </v>
      </c>
      <c r="E5" s="71" t="s">
        <v>690</v>
      </c>
      <c r="F5" s="62" t="s">
        <v>691</v>
      </c>
      <c r="G5" s="277" t="s">
        <v>10</v>
      </c>
      <c r="H5" s="277" t="s">
        <v>10</v>
      </c>
      <c r="I5" s="63">
        <v>1</v>
      </c>
      <c r="J5" s="64">
        <v>40498</v>
      </c>
      <c r="K5" s="64">
        <v>40973</v>
      </c>
      <c r="L5" s="65">
        <f t="shared" si="0"/>
        <v>2012</v>
      </c>
      <c r="M5" s="66">
        <f>+IFERROR(INDEX([1]PARÁMETROS!$B$11:$B$37,MATCH(L5,[1]PARÁMETROS!$A$11:$A$37,0)),"")</f>
        <v>566700</v>
      </c>
      <c r="N5" s="67">
        <v>2159474666</v>
      </c>
      <c r="O5" s="66" t="s">
        <v>25</v>
      </c>
      <c r="P5" s="58" t="s">
        <v>61</v>
      </c>
      <c r="Q5" s="69" t="s">
        <v>61</v>
      </c>
      <c r="R5" s="70">
        <v>1</v>
      </c>
      <c r="S5" s="66">
        <f t="shared" si="1"/>
        <v>2159474666</v>
      </c>
      <c r="T5" s="55">
        <f t="shared" si="2"/>
        <v>3810.6134921475209</v>
      </c>
      <c r="U5" s="55">
        <f t="shared" si="3"/>
        <v>3810.6134921475209</v>
      </c>
      <c r="V5" s="277">
        <v>112</v>
      </c>
      <c r="W5" s="799" t="s">
        <v>10</v>
      </c>
      <c r="X5" s="799"/>
      <c r="Y5" s="799"/>
      <c r="Z5" s="799" t="s">
        <v>10</v>
      </c>
      <c r="AA5" s="799"/>
      <c r="AB5" s="799"/>
      <c r="AC5" s="799" t="s">
        <v>10</v>
      </c>
      <c r="AD5" s="799"/>
      <c r="AE5" s="799"/>
      <c r="AF5" s="277" t="s">
        <v>10</v>
      </c>
      <c r="AG5" s="799"/>
      <c r="AH5" s="799"/>
      <c r="AI5" s="277" t="str">
        <f>+IF(U5="","",IF(U5&gt;=[1]PARÁMETROS!$F$5,"CUMPLE","NO CUMPLE"))</f>
        <v>CUMPLE</v>
      </c>
      <c r="AJ5" s="139"/>
      <c r="AK5" s="109"/>
    </row>
    <row r="6" spans="1:39" s="72" customFormat="1" ht="83.25" customHeight="1">
      <c r="A6" s="796"/>
      <c r="B6" s="58" t="s">
        <v>97</v>
      </c>
      <c r="C6" s="59">
        <v>363</v>
      </c>
      <c r="D6" s="60" t="str">
        <f>+IFERROR(INDEX([1]CONSOLIDADO!$D$4:$D$91,MATCH('EXP GEN. 1-5'!B6,[1]CONSOLIDADO!$C$4:$C$91,0)),"")</f>
        <v xml:space="preserve">WSP SERVICIOS S.A.S  </v>
      </c>
      <c r="E6" s="71" t="s">
        <v>692</v>
      </c>
      <c r="F6" s="62" t="s">
        <v>693</v>
      </c>
      <c r="G6" s="277" t="s">
        <v>10</v>
      </c>
      <c r="H6" s="277" t="s">
        <v>10</v>
      </c>
      <c r="I6" s="63">
        <v>0.6</v>
      </c>
      <c r="J6" s="64">
        <v>40143</v>
      </c>
      <c r="K6" s="64">
        <v>41183</v>
      </c>
      <c r="L6" s="65">
        <f t="shared" si="0"/>
        <v>2012</v>
      </c>
      <c r="M6" s="66">
        <f>+IFERROR(INDEX([1]PARÁMETROS!$B$11:$B$37,MATCH(L6,[1]PARÁMETROS!$A$11:$A$37,0)),"")</f>
        <v>566700</v>
      </c>
      <c r="N6" s="67">
        <v>4331349652</v>
      </c>
      <c r="O6" s="68" t="s">
        <v>25</v>
      </c>
      <c r="P6" s="58" t="s">
        <v>61</v>
      </c>
      <c r="Q6" s="69" t="s">
        <v>61</v>
      </c>
      <c r="R6" s="70">
        <v>1</v>
      </c>
      <c r="S6" s="66">
        <f t="shared" si="1"/>
        <v>4331349652</v>
      </c>
      <c r="T6" s="55">
        <f t="shared" si="2"/>
        <v>7643.1086147873657</v>
      </c>
      <c r="U6" s="55">
        <f t="shared" si="3"/>
        <v>4585.8651688724194</v>
      </c>
      <c r="V6" s="277">
        <v>118</v>
      </c>
      <c r="W6" s="803" t="s">
        <v>10</v>
      </c>
      <c r="X6" s="804"/>
      <c r="Y6" s="805"/>
      <c r="Z6" s="803" t="s">
        <v>10</v>
      </c>
      <c r="AA6" s="804"/>
      <c r="AB6" s="805"/>
      <c r="AC6" s="803" t="s">
        <v>10</v>
      </c>
      <c r="AD6" s="804"/>
      <c r="AE6" s="805"/>
      <c r="AF6" s="277" t="s">
        <v>10</v>
      </c>
      <c r="AG6" s="799"/>
      <c r="AH6" s="799"/>
      <c r="AI6" s="277" t="str">
        <f>+IF(U6="","",IF(U6&gt;=[1]PARÁMETROS!$F$5,"CUMPLE","NO CUMPLE"))</f>
        <v>CUMPLE</v>
      </c>
      <c r="AJ6" s="139"/>
      <c r="AK6" s="109"/>
    </row>
    <row r="7" spans="1:39" s="72" customFormat="1" ht="78.75" customHeight="1" thickBot="1">
      <c r="A7" s="797"/>
      <c r="B7" s="243" t="s">
        <v>97</v>
      </c>
      <c r="C7" s="262">
        <v>376</v>
      </c>
      <c r="D7" s="245" t="str">
        <f>+IFERROR(INDEX([1]CONSOLIDADO!$D$4:$D$91,MATCH('EXP GEN. 1-5'!B7,[1]CONSOLIDADO!$C$4:$C$91,0)),"")</f>
        <v xml:space="preserve">WSP SERVICIOS S.A.S  </v>
      </c>
      <c r="E7" s="264" t="s">
        <v>692</v>
      </c>
      <c r="F7" s="247" t="s">
        <v>694</v>
      </c>
      <c r="G7" s="293" t="s">
        <v>10</v>
      </c>
      <c r="H7" s="293" t="s">
        <v>10</v>
      </c>
      <c r="I7" s="249">
        <v>0.5</v>
      </c>
      <c r="J7" s="250">
        <v>40137</v>
      </c>
      <c r="K7" s="250">
        <v>41232</v>
      </c>
      <c r="L7" s="251">
        <f t="shared" si="0"/>
        <v>2012</v>
      </c>
      <c r="M7" s="252">
        <f>+IFERROR(INDEX([1]PARÁMETROS!$B$11:$B$37,MATCH(L7,[1]PARÁMETROS!$A$11:$A$37,0)),"")</f>
        <v>566700</v>
      </c>
      <c r="N7" s="253">
        <v>4761160509</v>
      </c>
      <c r="O7" s="254" t="s">
        <v>25</v>
      </c>
      <c r="P7" s="243" t="s">
        <v>61</v>
      </c>
      <c r="Q7" s="255" t="s">
        <v>61</v>
      </c>
      <c r="R7" s="256">
        <v>1</v>
      </c>
      <c r="S7" s="252">
        <f t="shared" si="1"/>
        <v>4761160509</v>
      </c>
      <c r="T7" s="257">
        <f t="shared" si="2"/>
        <v>8401.5537480148232</v>
      </c>
      <c r="U7" s="257">
        <f t="shared" si="3"/>
        <v>4200.7768740074116</v>
      </c>
      <c r="V7" s="293">
        <v>117</v>
      </c>
      <c r="W7" s="800" t="s">
        <v>10</v>
      </c>
      <c r="X7" s="800"/>
      <c r="Y7" s="800"/>
      <c r="Z7" s="800" t="s">
        <v>10</v>
      </c>
      <c r="AA7" s="800"/>
      <c r="AB7" s="800"/>
      <c r="AC7" s="800" t="s">
        <v>10</v>
      </c>
      <c r="AD7" s="800"/>
      <c r="AE7" s="800"/>
      <c r="AF7" s="293" t="s">
        <v>10</v>
      </c>
      <c r="AG7" s="800"/>
      <c r="AH7" s="800"/>
      <c r="AI7" s="293" t="str">
        <f>+IF(U7="","",IF(U7&gt;=[1]PARÁMETROS!$F$5,"CUMPLE","NO CUMPLE"))</f>
        <v>CUMPLE</v>
      </c>
      <c r="AJ7" s="259"/>
      <c r="AK7" s="109"/>
    </row>
    <row r="8" spans="1:39" s="519" customFormat="1" ht="140.25">
      <c r="A8" s="795" t="s">
        <v>196</v>
      </c>
      <c r="B8" s="563" t="s">
        <v>99</v>
      </c>
      <c r="C8" s="563">
        <v>94</v>
      </c>
      <c r="D8" s="564" t="str">
        <f>+IFERROR(INDEX([1]CONSOLIDADO!$D$4:$D$91,MATCH('EXP GEN. 1-5'!B8,[1]CONSOLIDADO!$C$4:$C$91,0)),"")</f>
        <v xml:space="preserve">GRUSAMAR INGENIERIA Y CONSULTING SL SUCURSAL </v>
      </c>
      <c r="E8" s="565" t="s">
        <v>386</v>
      </c>
      <c r="F8" s="566" t="s">
        <v>695</v>
      </c>
      <c r="G8" s="567" t="s">
        <v>10</v>
      </c>
      <c r="H8" s="567" t="s">
        <v>10</v>
      </c>
      <c r="I8" s="568">
        <v>0.35</v>
      </c>
      <c r="J8" s="569">
        <v>41075</v>
      </c>
      <c r="K8" s="569">
        <v>42368</v>
      </c>
      <c r="L8" s="570">
        <f t="shared" si="0"/>
        <v>2015</v>
      </c>
      <c r="M8" s="571">
        <f>+IFERROR(INDEX([1]PARÁMETROS!$B$11:$B$37,MATCH(L8,[1]PARÁMETROS!$A$11:$A$37,0)),"")</f>
        <v>644350</v>
      </c>
      <c r="N8" s="572">
        <v>2592214710</v>
      </c>
      <c r="O8" s="573" t="s">
        <v>25</v>
      </c>
      <c r="P8" s="563" t="s">
        <v>61</v>
      </c>
      <c r="Q8" s="574" t="s">
        <v>61</v>
      </c>
      <c r="R8" s="575">
        <v>1</v>
      </c>
      <c r="S8" s="571">
        <v>7418064916</v>
      </c>
      <c r="T8" s="576">
        <f t="shared" si="2"/>
        <v>11512.477560332118</v>
      </c>
      <c r="U8" s="576">
        <f t="shared" si="3"/>
        <v>4029.3671461162407</v>
      </c>
      <c r="V8" s="567" t="s">
        <v>687</v>
      </c>
      <c r="W8" s="807"/>
      <c r="X8" s="807"/>
      <c r="Y8" s="807"/>
      <c r="Z8" s="807"/>
      <c r="AA8" s="807"/>
      <c r="AB8" s="807"/>
      <c r="AC8" s="807"/>
      <c r="AD8" s="807"/>
      <c r="AE8" s="807"/>
      <c r="AF8" s="567"/>
      <c r="AG8" s="798" t="str">
        <f>IF(U8:U11="","",IF(SUM(U8:U11)&gt;=[1]PARÁMETROS!$D$5,"HÁBIL","NO HÁBIL"))</f>
        <v>HÁBIL</v>
      </c>
      <c r="AH8" s="798" t="str">
        <f>IF(U8="","",IF(U8+U9+U10&gt;=[1]PARÁMETROS!$H$5,"HÁBIL","NO HÁBIL"))</f>
        <v>HÁBIL</v>
      </c>
      <c r="AI8" s="567" t="str">
        <f>+IF(U8="","",IF(U8&gt;=[1]PARÁMETROS!$F$5,"CUMPLE","NO CUMPLE"))</f>
        <v>CUMPLE</v>
      </c>
      <c r="AJ8" s="577"/>
      <c r="AK8" s="518"/>
    </row>
    <row r="9" spans="1:39" s="519" customFormat="1" ht="51">
      <c r="A9" s="796"/>
      <c r="B9" s="520" t="s">
        <v>99</v>
      </c>
      <c r="C9" s="520">
        <v>142</v>
      </c>
      <c r="D9" s="560" t="str">
        <f>+IFERROR(INDEX([1]CONSOLIDADO!$D$4:$D$91,MATCH('EXP GEN. 1-5'!B9,[1]CONSOLIDADO!$C$4:$C$91,0)),"")</f>
        <v xml:space="preserve">GRUSAMAR INGENIERIA Y CONSULTING SL SUCURSAL </v>
      </c>
      <c r="E9" s="456" t="s">
        <v>505</v>
      </c>
      <c r="F9" s="521" t="s">
        <v>696</v>
      </c>
      <c r="G9" s="522" t="s">
        <v>10</v>
      </c>
      <c r="H9" s="531" t="s">
        <v>10</v>
      </c>
      <c r="I9" s="523">
        <v>1</v>
      </c>
      <c r="J9" s="524">
        <v>40391</v>
      </c>
      <c r="K9" s="524">
        <v>40209</v>
      </c>
      <c r="L9" s="525">
        <f t="shared" si="0"/>
        <v>2010</v>
      </c>
      <c r="M9" s="526">
        <f>+IFERROR(INDEX([1]PARÁMETROS!$B$11:$B$37,MATCH(L9,[1]PARÁMETROS!$A$11:$A$37,0)),"")</f>
        <v>515000</v>
      </c>
      <c r="N9" s="527">
        <v>1403754.99</v>
      </c>
      <c r="O9" s="528" t="s">
        <v>419</v>
      </c>
      <c r="P9" s="520">
        <v>1.38575</v>
      </c>
      <c r="Q9" s="514">
        <f>+N9*P9</f>
        <v>1945253.4773925</v>
      </c>
      <c r="R9" s="529">
        <v>1982.29</v>
      </c>
      <c r="S9" s="530">
        <f>IF(R9&lt;&gt;"",Q9*R9,"")</f>
        <v>3856056515.7003789</v>
      </c>
      <c r="T9" s="516">
        <f>+IFERROR(S9/M9,"")</f>
        <v>7487.4883800007356</v>
      </c>
      <c r="U9" s="561">
        <f t="shared" si="3"/>
        <v>7487.4883800007356</v>
      </c>
      <c r="V9" s="531">
        <v>5</v>
      </c>
      <c r="W9" s="802" t="s">
        <v>10</v>
      </c>
      <c r="X9" s="802"/>
      <c r="Y9" s="802"/>
      <c r="Z9" s="802" t="s">
        <v>10</v>
      </c>
      <c r="AA9" s="802"/>
      <c r="AB9" s="802"/>
      <c r="AC9" s="802" t="s">
        <v>10</v>
      </c>
      <c r="AD9" s="802"/>
      <c r="AE9" s="802"/>
      <c r="AF9" s="531" t="s">
        <v>10</v>
      </c>
      <c r="AG9" s="799"/>
      <c r="AH9" s="799"/>
      <c r="AI9" s="517" t="str">
        <f>+IF(U9="","",IF(U9&gt;=[1]PARÁMETROS!$F$5,"CUMPLE","NO CUMPLE"))</f>
        <v>CUMPLE</v>
      </c>
      <c r="AJ9" s="532"/>
      <c r="AK9" s="518"/>
    </row>
    <row r="10" spans="1:39" s="519" customFormat="1" ht="51">
      <c r="A10" s="796"/>
      <c r="B10" s="520" t="s">
        <v>99</v>
      </c>
      <c r="C10" s="520">
        <v>147</v>
      </c>
      <c r="D10" s="560" t="str">
        <f>+IFERROR(INDEX([1]CONSOLIDADO!$D$4:$D$91,MATCH('EXP GEN. 1-5'!B10,[1]CONSOLIDADO!$C$4:$C$91,0)),"")</f>
        <v xml:space="preserve">GRUSAMAR INGENIERIA Y CONSULTING SL SUCURSAL </v>
      </c>
      <c r="E10" s="456" t="s">
        <v>505</v>
      </c>
      <c r="F10" s="521" t="s">
        <v>697</v>
      </c>
      <c r="G10" s="531" t="s">
        <v>10</v>
      </c>
      <c r="H10" s="531" t="s">
        <v>10</v>
      </c>
      <c r="I10" s="523">
        <v>1</v>
      </c>
      <c r="J10" s="524">
        <v>39385</v>
      </c>
      <c r="K10" s="524">
        <v>41182</v>
      </c>
      <c r="L10" s="525">
        <f t="shared" si="0"/>
        <v>2012</v>
      </c>
      <c r="M10" s="526">
        <f>+IFERROR(INDEX([1]PARÁMETROS!$B$11:$B$37,MATCH(L10,[1]PARÁMETROS!$A$11:$A$37,0)),"")</f>
        <v>566700</v>
      </c>
      <c r="N10" s="533">
        <v>1943712.48</v>
      </c>
      <c r="O10" s="528" t="s">
        <v>419</v>
      </c>
      <c r="P10" s="520">
        <v>1.2855399999999999</v>
      </c>
      <c r="Q10" s="514">
        <f>+N10*P10</f>
        <v>2498720.1415391997</v>
      </c>
      <c r="R10" s="529">
        <v>1800.52</v>
      </c>
      <c r="S10" s="530">
        <f>IF(R10&lt;&gt;"",Q10*R10,"")</f>
        <v>4498995589.2441597</v>
      </c>
      <c r="T10" s="561">
        <f t="shared" si="2"/>
        <v>7938.9369847258858</v>
      </c>
      <c r="U10" s="561">
        <f t="shared" si="3"/>
        <v>7938.9369847258858</v>
      </c>
      <c r="V10" s="531">
        <v>11</v>
      </c>
      <c r="W10" s="802" t="s">
        <v>10</v>
      </c>
      <c r="X10" s="802"/>
      <c r="Y10" s="802"/>
      <c r="Z10" s="802" t="s">
        <v>10</v>
      </c>
      <c r="AA10" s="802"/>
      <c r="AB10" s="802"/>
      <c r="AC10" s="802" t="s">
        <v>10</v>
      </c>
      <c r="AD10" s="802"/>
      <c r="AE10" s="802"/>
      <c r="AF10" s="531" t="s">
        <v>10</v>
      </c>
      <c r="AG10" s="799"/>
      <c r="AH10" s="799"/>
      <c r="AI10" s="517" t="str">
        <f>+IF(U10="","",IF(U10&gt;=[1]PARÁMETROS!$F$5,"CUMPLE","NO CUMPLE"))</f>
        <v>CUMPLE</v>
      </c>
      <c r="AJ10" s="532"/>
      <c r="AK10" s="518"/>
    </row>
    <row r="11" spans="1:39" s="535" customFormat="1" ht="57.75" thickBot="1">
      <c r="A11" s="806"/>
      <c r="B11" s="141" t="s">
        <v>104</v>
      </c>
      <c r="C11" s="141">
        <v>153</v>
      </c>
      <c r="D11" s="143" t="str">
        <f>+IFERROR(INDEX([1]CONSOLIDADO!$D$4:$D$91,MATCH('EXP GEN. 1-5'!B11,[1]CONSOLIDADO!$C$4:$C$91,0)),"")</f>
        <v xml:space="preserve">JUAN AMADO LIZARAZO </v>
      </c>
      <c r="E11" s="322" t="s">
        <v>371</v>
      </c>
      <c r="F11" s="145" t="s">
        <v>698</v>
      </c>
      <c r="G11" s="289" t="s">
        <v>10</v>
      </c>
      <c r="H11" s="289" t="s">
        <v>10</v>
      </c>
      <c r="I11" s="146">
        <v>0.75</v>
      </c>
      <c r="J11" s="147">
        <v>38327</v>
      </c>
      <c r="K11" s="147">
        <v>40668</v>
      </c>
      <c r="L11" s="148">
        <f t="shared" si="0"/>
        <v>2011</v>
      </c>
      <c r="M11" s="149">
        <f>+IFERROR(INDEX([1]PARÁMETROS!$B$11:$B$37,MATCH(L11,[1]PARÁMETROS!$A$11:$A$37,0)),"")</f>
        <v>535600</v>
      </c>
      <c r="N11" s="150">
        <v>6564670351</v>
      </c>
      <c r="O11" s="151" t="s">
        <v>25</v>
      </c>
      <c r="P11" s="141" t="s">
        <v>61</v>
      </c>
      <c r="Q11" s="152" t="s">
        <v>61</v>
      </c>
      <c r="R11" s="153">
        <v>1</v>
      </c>
      <c r="S11" s="417">
        <f>IF(R11&lt;&gt;"",N11*R11,"")</f>
        <v>6564670351</v>
      </c>
      <c r="T11" s="422">
        <f>+IFERROR(S11/M11,"")</f>
        <v>12256.66607729649</v>
      </c>
      <c r="U11" s="422">
        <f>IFERROR(T11*I11,"")</f>
        <v>9192.4995579723673</v>
      </c>
      <c r="V11" s="289">
        <v>20</v>
      </c>
      <c r="W11" s="801" t="s">
        <v>11</v>
      </c>
      <c r="X11" s="801"/>
      <c r="Y11" s="801"/>
      <c r="Z11" s="801" t="s">
        <v>11</v>
      </c>
      <c r="AA11" s="801"/>
      <c r="AB11" s="801"/>
      <c r="AC11" s="801" t="s">
        <v>10</v>
      </c>
      <c r="AD11" s="801"/>
      <c r="AE11" s="801"/>
      <c r="AF11" s="289" t="s">
        <v>10</v>
      </c>
      <c r="AG11" s="801"/>
      <c r="AH11" s="801"/>
      <c r="AI11" s="578" t="str">
        <f>+IF(U11="","",IF(U11&gt;=[1]PARÁMETROS!$F$5,"CUMPLE","NO CUMPLE"))</f>
        <v>CUMPLE</v>
      </c>
      <c r="AJ11" s="155"/>
      <c r="AK11" s="534"/>
    </row>
    <row r="12" spans="1:39" s="72" customFormat="1" ht="78.75">
      <c r="A12" s="795" t="s">
        <v>200</v>
      </c>
      <c r="B12" s="123" t="s">
        <v>202</v>
      </c>
      <c r="C12" s="123">
        <v>227</v>
      </c>
      <c r="D12" s="125" t="str">
        <f>+IFERROR(INDEX([1]CONSOLIDADO!$D$4:$D$91,MATCH('EXP GEN. 1-5'!B12,[1]CONSOLIDADO!$C$4:$C$91,0)),"")</f>
        <v>GESTIÓN INTEGRAL DEL SUELO SUCURSAL COLOMBIA</v>
      </c>
      <c r="E12" s="137" t="s">
        <v>699</v>
      </c>
      <c r="F12" s="127" t="s">
        <v>700</v>
      </c>
      <c r="G12" s="291" t="s">
        <v>10</v>
      </c>
      <c r="H12" s="291" t="s">
        <v>10</v>
      </c>
      <c r="I12" s="128">
        <v>1</v>
      </c>
      <c r="J12" s="129">
        <v>37573</v>
      </c>
      <c r="K12" s="129">
        <v>39407</v>
      </c>
      <c r="L12" s="130">
        <f t="shared" si="0"/>
        <v>2007</v>
      </c>
      <c r="M12" s="131">
        <f>+IFERROR(INDEX([1]PARÁMETROS!$B$11:$B$37,MATCH(L12,[1]PARÁMETROS!$A$11:$A$37,0)),"")</f>
        <v>433700</v>
      </c>
      <c r="N12" s="536">
        <v>938246.05</v>
      </c>
      <c r="O12" s="537" t="s">
        <v>419</v>
      </c>
      <c r="P12" s="538">
        <v>1.4722900000000001</v>
      </c>
      <c r="Q12" s="579">
        <f>+N12*P12</f>
        <v>1381370.2769545002</v>
      </c>
      <c r="R12" s="579">
        <v>2056.2800000000002</v>
      </c>
      <c r="S12" s="540">
        <f>IF(R12&lt;&gt;"",Q12*R12,"")</f>
        <v>2840484073.0960002</v>
      </c>
      <c r="T12" s="541">
        <f t="shared" si="2"/>
        <v>6549.4214274752139</v>
      </c>
      <c r="U12" s="541">
        <f t="shared" si="3"/>
        <v>6549.4214274752139</v>
      </c>
      <c r="V12" s="291">
        <v>7</v>
      </c>
      <c r="W12" s="798" t="s">
        <v>10</v>
      </c>
      <c r="X12" s="798"/>
      <c r="Y12" s="798"/>
      <c r="Z12" s="798" t="s">
        <v>11</v>
      </c>
      <c r="AA12" s="798"/>
      <c r="AB12" s="798"/>
      <c r="AC12" s="798" t="s">
        <v>10</v>
      </c>
      <c r="AD12" s="798"/>
      <c r="AE12" s="798"/>
      <c r="AF12" s="291" t="s">
        <v>10</v>
      </c>
      <c r="AG12" s="798" t="str">
        <f>IF(U12="","",IF(SUM(U12:U15)&gt;=[1]PARÁMETROS!$D$5,"HÁBIL","NO HÁBIL"))</f>
        <v>HÁBIL</v>
      </c>
      <c r="AH12" s="798" t="str">
        <f>IF(U12="","",IF(U12+U13&gt;=[1]PARÁMETROS!$H$5,"HÁBIL","NO HÁBIL"))</f>
        <v>HÁBIL</v>
      </c>
      <c r="AI12" s="567" t="str">
        <f>+IF(U12="","",IF(U12&gt;=[1]PARÁMETROS!$F$5,"CUMPLE","NO CUMPLE"))</f>
        <v>CUMPLE</v>
      </c>
      <c r="AJ12" s="581"/>
      <c r="AK12" s="109"/>
    </row>
    <row r="13" spans="1:39" s="72" customFormat="1" ht="78.75">
      <c r="A13" s="796"/>
      <c r="B13" s="58" t="s">
        <v>202</v>
      </c>
      <c r="C13" s="58">
        <v>233</v>
      </c>
      <c r="D13" s="60" t="str">
        <f>+IFERROR(INDEX([1]CONSOLIDADO!$D$4:$D$91,MATCH('EXP GEN. 1-5'!B13,[1]CONSOLIDADO!$C$4:$C$91,0)),"")</f>
        <v>GESTIÓN INTEGRAL DEL SUELO SUCURSAL COLOMBIA</v>
      </c>
      <c r="E13" s="71" t="s">
        <v>699</v>
      </c>
      <c r="F13" s="62" t="s">
        <v>701</v>
      </c>
      <c r="G13" s="290" t="s">
        <v>10</v>
      </c>
      <c r="H13" s="290" t="s">
        <v>10</v>
      </c>
      <c r="I13" s="73">
        <v>1</v>
      </c>
      <c r="J13" s="64">
        <v>38260</v>
      </c>
      <c r="K13" s="64">
        <v>39043</v>
      </c>
      <c r="L13" s="65">
        <f t="shared" si="0"/>
        <v>2006</v>
      </c>
      <c r="M13" s="66">
        <f>+IFERROR(INDEX([1]PARÁMETROS!$B$11:$B$37,MATCH(L13,[1]PARÁMETROS!$A$11:$A$37,0)),"")</f>
        <v>408000</v>
      </c>
      <c r="N13" s="74">
        <v>1703434.48</v>
      </c>
      <c r="O13" s="66" t="s">
        <v>419</v>
      </c>
      <c r="P13" s="58">
        <v>1.28182</v>
      </c>
      <c r="Q13" s="514">
        <f>+N13*P13</f>
        <v>2183496.3851536</v>
      </c>
      <c r="R13" s="70">
        <v>2282.67</v>
      </c>
      <c r="S13" s="542">
        <f>IF(R13&lt;&gt;"",Q13*R13,"")</f>
        <v>4984201693.4985685</v>
      </c>
      <c r="T13" s="543">
        <f t="shared" si="2"/>
        <v>12216.180621320022</v>
      </c>
      <c r="U13" s="543">
        <f t="shared" si="3"/>
        <v>12216.180621320022</v>
      </c>
      <c r="V13" s="290">
        <v>15</v>
      </c>
      <c r="W13" s="799" t="s">
        <v>10</v>
      </c>
      <c r="X13" s="799"/>
      <c r="Y13" s="799"/>
      <c r="Z13" s="799" t="s">
        <v>10</v>
      </c>
      <c r="AA13" s="799"/>
      <c r="AB13" s="799"/>
      <c r="AC13" s="799" t="s">
        <v>10</v>
      </c>
      <c r="AD13" s="799"/>
      <c r="AE13" s="799"/>
      <c r="AF13" s="290" t="s">
        <v>10</v>
      </c>
      <c r="AG13" s="799"/>
      <c r="AH13" s="799"/>
      <c r="AI13" s="517" t="str">
        <f>+IF(U13="","",IF(U13&gt;=[1]PARÁMETROS!$F$5,"CUMPLE","NO CUMPLE"))</f>
        <v>CUMPLE</v>
      </c>
      <c r="AJ13" s="139"/>
      <c r="AK13" s="109"/>
    </row>
    <row r="14" spans="1:39" s="72" customFormat="1" ht="44.25" customHeight="1">
      <c r="A14" s="796"/>
      <c r="B14" s="58" t="s">
        <v>105</v>
      </c>
      <c r="C14" s="58">
        <v>237</v>
      </c>
      <c r="D14" s="60" t="str">
        <f>+IFERROR(INDEX([1]CONSOLIDADO!$D$4:$D$91,MATCH('EXP GEN. 1-5'!B14,[1]CONSOLIDADO!$C$4:$C$91,0)),"")</f>
        <v>OMC</v>
      </c>
      <c r="E14" s="71" t="s">
        <v>505</v>
      </c>
      <c r="F14" s="62" t="s">
        <v>702</v>
      </c>
      <c r="G14" s="290" t="s">
        <v>10</v>
      </c>
      <c r="H14" s="290" t="s">
        <v>10</v>
      </c>
      <c r="I14" s="63">
        <v>1</v>
      </c>
      <c r="J14" s="64">
        <v>38056</v>
      </c>
      <c r="K14" s="64">
        <v>39436</v>
      </c>
      <c r="L14" s="65">
        <f t="shared" si="0"/>
        <v>2007</v>
      </c>
      <c r="M14" s="66">
        <f>+IFERROR(INDEX([1]PARÁMETROS!$B$11:$B$37,MATCH(L14,[1]PARÁMETROS!$A$11:$A$37,0)),"")</f>
        <v>433700</v>
      </c>
      <c r="N14" s="67">
        <v>947072.72</v>
      </c>
      <c r="O14" s="68" t="s">
        <v>419</v>
      </c>
      <c r="P14" s="58">
        <v>1.4396800000000001</v>
      </c>
      <c r="Q14" s="69">
        <f>+N14*P14</f>
        <v>1363481.6535296</v>
      </c>
      <c r="R14" s="70">
        <v>2005.92</v>
      </c>
      <c r="S14" s="542">
        <f>IF(R14&lt;&gt;"",Q14*R14,"")</f>
        <v>2735035118.4480953</v>
      </c>
      <c r="T14" s="543">
        <f t="shared" si="2"/>
        <v>6306.283418141792</v>
      </c>
      <c r="U14" s="543">
        <f t="shared" si="3"/>
        <v>6306.283418141792</v>
      </c>
      <c r="V14" s="290">
        <v>2</v>
      </c>
      <c r="W14" s="799" t="s">
        <v>10</v>
      </c>
      <c r="X14" s="799"/>
      <c r="Y14" s="799"/>
      <c r="Z14" s="799" t="s">
        <v>10</v>
      </c>
      <c r="AA14" s="799"/>
      <c r="AB14" s="799"/>
      <c r="AC14" s="799" t="s">
        <v>10</v>
      </c>
      <c r="AD14" s="799"/>
      <c r="AE14" s="799"/>
      <c r="AF14" s="290" t="s">
        <v>10</v>
      </c>
      <c r="AG14" s="799"/>
      <c r="AH14" s="799"/>
      <c r="AI14" s="517" t="str">
        <f>+IF(U14="","",IF(U14&gt;=[1]PARÁMETROS!$F$5,"CUMPLE","NO CUMPLE"))</f>
        <v>CUMPLE</v>
      </c>
      <c r="AJ14" s="139"/>
      <c r="AK14" s="109"/>
    </row>
    <row r="15" spans="1:39" s="72" customFormat="1" ht="99" customHeight="1" thickBot="1">
      <c r="A15" s="806"/>
      <c r="B15" s="141" t="s">
        <v>100</v>
      </c>
      <c r="C15" s="141">
        <v>241</v>
      </c>
      <c r="D15" s="143" t="str">
        <f>+IFERROR(INDEX([1]CONSOLIDADO!$D$4:$D$91,MATCH('EXP GEN. 1-5'!B15,[1]CONSOLIDADO!$C$4:$C$91,0)),"")</f>
        <v>C&amp;M CONSULTORES S.A.</v>
      </c>
      <c r="E15" s="322" t="s">
        <v>386</v>
      </c>
      <c r="F15" s="580" t="s">
        <v>703</v>
      </c>
      <c r="G15" s="289" t="s">
        <v>10</v>
      </c>
      <c r="H15" s="289" t="s">
        <v>10</v>
      </c>
      <c r="I15" s="414">
        <v>0.51</v>
      </c>
      <c r="J15" s="147">
        <v>41878</v>
      </c>
      <c r="K15" s="147">
        <v>42312</v>
      </c>
      <c r="L15" s="148">
        <f t="shared" si="0"/>
        <v>2015</v>
      </c>
      <c r="M15" s="149">
        <f>+IFERROR(INDEX([1]PARÁMETROS!$B$11:$B$37,MATCH(L15,[1]PARÁMETROS!$A$11:$A$37,0)),"")</f>
        <v>644350</v>
      </c>
      <c r="N15" s="418">
        <v>4983941778</v>
      </c>
      <c r="O15" s="419" t="s">
        <v>25</v>
      </c>
      <c r="P15" s="366" t="s">
        <v>61</v>
      </c>
      <c r="Q15" s="420" t="s">
        <v>61</v>
      </c>
      <c r="R15" s="421">
        <v>1</v>
      </c>
      <c r="S15" s="417">
        <f>IF(R15&lt;&gt;"",N15*R15,"")</f>
        <v>4983941778</v>
      </c>
      <c r="T15" s="422">
        <f t="shared" si="2"/>
        <v>7734.8363125630476</v>
      </c>
      <c r="U15" s="422">
        <f>IFERROR(T15*I15,"")</f>
        <v>3944.7665194071542</v>
      </c>
      <c r="V15" s="289" t="s">
        <v>687</v>
      </c>
      <c r="W15" s="801"/>
      <c r="X15" s="801"/>
      <c r="Y15" s="801"/>
      <c r="Z15" s="801"/>
      <c r="AA15" s="801"/>
      <c r="AB15" s="801"/>
      <c r="AC15" s="801"/>
      <c r="AD15" s="801"/>
      <c r="AE15" s="801"/>
      <c r="AF15" s="289"/>
      <c r="AG15" s="801"/>
      <c r="AH15" s="801"/>
      <c r="AI15" s="578" t="str">
        <f>+IF(U15="","",IF(U15&gt;=[1]PARÁMETROS!$F$5,"CUMPLE","NO CUMPLE"))</f>
        <v>CUMPLE</v>
      </c>
      <c r="AJ15" s="155"/>
      <c r="AK15" s="109"/>
    </row>
    <row r="16" spans="1:39" s="72" customFormat="1" ht="47.25">
      <c r="A16" s="795" t="s">
        <v>204</v>
      </c>
      <c r="B16" s="123" t="s">
        <v>101</v>
      </c>
      <c r="C16" s="123">
        <v>189</v>
      </c>
      <c r="D16" s="125" t="str">
        <f>+IFERROR(INDEX([1]CONSOLIDADO!$D$4:$D$91,MATCH('EXP GEN. 1-5'!B16,[1]CONSOLIDADO!$C$4:$C$91,0)),"")</f>
        <v xml:space="preserve">GEOTECNIA Y CIMIENTOS INGEOCIM S.A.S. </v>
      </c>
      <c r="E16" s="583" t="s">
        <v>704</v>
      </c>
      <c r="F16" s="584" t="s">
        <v>705</v>
      </c>
      <c r="G16" s="291" t="s">
        <v>10</v>
      </c>
      <c r="H16" s="291" t="s">
        <v>10</v>
      </c>
      <c r="I16" s="128">
        <v>0.9</v>
      </c>
      <c r="J16" s="129">
        <v>35730</v>
      </c>
      <c r="K16" s="129">
        <v>36459</v>
      </c>
      <c r="L16" s="130">
        <f t="shared" si="0"/>
        <v>1999</v>
      </c>
      <c r="M16" s="131">
        <f>+IFERROR(INDEX([1]PARÁMETROS!$B$11:$B$37,MATCH(L16,[1]PARÁMETROS!$A$11:$A$37,0)),"")</f>
        <v>236460</v>
      </c>
      <c r="N16" s="132">
        <v>1343799332.5</v>
      </c>
      <c r="O16" s="133" t="s">
        <v>25</v>
      </c>
      <c r="P16" s="123" t="s">
        <v>61</v>
      </c>
      <c r="Q16" s="134" t="s">
        <v>61</v>
      </c>
      <c r="R16" s="135">
        <v>1</v>
      </c>
      <c r="S16" s="131">
        <f t="shared" si="1"/>
        <v>1343799332.5</v>
      </c>
      <c r="T16" s="136">
        <f t="shared" si="2"/>
        <v>5682.9879577941301</v>
      </c>
      <c r="U16" s="136">
        <f t="shared" si="3"/>
        <v>5114.6891620147171</v>
      </c>
      <c r="V16" s="291">
        <v>51</v>
      </c>
      <c r="W16" s="798" t="s">
        <v>10</v>
      </c>
      <c r="X16" s="798"/>
      <c r="Y16" s="798"/>
      <c r="Z16" s="798" t="s">
        <v>10</v>
      </c>
      <c r="AA16" s="798"/>
      <c r="AB16" s="798"/>
      <c r="AC16" s="798" t="s">
        <v>10</v>
      </c>
      <c r="AD16" s="798"/>
      <c r="AE16" s="798"/>
      <c r="AF16" s="291" t="s">
        <v>10</v>
      </c>
      <c r="AG16" s="798" t="str">
        <f>IF(U16="","",IF(SUM(U16:U20)&gt;=[1]PARÁMETROS!$D$5,"HÁBIL","NO HÁBIL"))</f>
        <v>HÁBIL</v>
      </c>
      <c r="AH16" s="798" t="str">
        <f>IF(U16="","",IF(U16+U17+U18&gt;=[1]PARÁMETROS!$H$5,"HÁBIL","NO HÁBIL"))</f>
        <v>HÁBIL</v>
      </c>
      <c r="AI16" s="567" t="str">
        <f>+IF(U16="","",IF(U16&gt;=[1]PARÁMETROS!$F$5,"CUMPLE","NO CUMPLE"))</f>
        <v>CUMPLE</v>
      </c>
      <c r="AJ16" s="138"/>
      <c r="AK16" s="109"/>
    </row>
    <row r="17" spans="1:37" s="72" customFormat="1" ht="157.5" customHeight="1">
      <c r="A17" s="796"/>
      <c r="B17" s="58" t="s">
        <v>101</v>
      </c>
      <c r="C17" s="58">
        <v>205</v>
      </c>
      <c r="D17" s="60" t="str">
        <f>+IFERROR(INDEX([1]CONSOLIDADO!$D$4:$D$91,MATCH('EXP GEN. 1-5'!B17,[1]CONSOLIDADO!$C$4:$C$91,0)),"")</f>
        <v xml:space="preserve">GEOTECNIA Y CIMIENTOS INGEOCIM S.A.S. </v>
      </c>
      <c r="E17" s="547" t="s">
        <v>397</v>
      </c>
      <c r="F17" s="546" t="s">
        <v>706</v>
      </c>
      <c r="G17" s="290" t="s">
        <v>10</v>
      </c>
      <c r="H17" s="290" t="s">
        <v>10</v>
      </c>
      <c r="I17" s="63">
        <v>0.5</v>
      </c>
      <c r="J17" s="64">
        <v>38772</v>
      </c>
      <c r="K17" s="64">
        <v>40656</v>
      </c>
      <c r="L17" s="65">
        <f t="shared" si="0"/>
        <v>2011</v>
      </c>
      <c r="M17" s="66">
        <f>+IFERROR(INDEX([1]PARÁMETROS!$B$11:$B$37,MATCH(L17,[1]PARÁMETROS!$A$11:$A$37,0)),"")</f>
        <v>535600</v>
      </c>
      <c r="N17" s="67">
        <v>4960831409</v>
      </c>
      <c r="O17" s="68" t="s">
        <v>25</v>
      </c>
      <c r="P17" s="58" t="s">
        <v>61</v>
      </c>
      <c r="Q17" s="69" t="s">
        <v>61</v>
      </c>
      <c r="R17" s="70">
        <v>1</v>
      </c>
      <c r="S17" s="66">
        <f t="shared" si="1"/>
        <v>4960831409</v>
      </c>
      <c r="T17" s="55">
        <f t="shared" si="2"/>
        <v>9262.1945649738609</v>
      </c>
      <c r="U17" s="55">
        <f t="shared" si="3"/>
        <v>4631.0972824869305</v>
      </c>
      <c r="V17" s="290">
        <v>26</v>
      </c>
      <c r="W17" s="799" t="s">
        <v>10</v>
      </c>
      <c r="X17" s="799"/>
      <c r="Y17" s="799"/>
      <c r="Z17" s="799" t="s">
        <v>10</v>
      </c>
      <c r="AA17" s="799"/>
      <c r="AB17" s="799"/>
      <c r="AC17" s="799" t="s">
        <v>10</v>
      </c>
      <c r="AD17" s="799"/>
      <c r="AE17" s="799"/>
      <c r="AF17" s="290" t="s">
        <v>10</v>
      </c>
      <c r="AG17" s="799"/>
      <c r="AH17" s="799"/>
      <c r="AI17" s="517" t="str">
        <f>+IF(U17="","",IF(U17&gt;=[1]PARÁMETROS!$F$5,"CUMPLE","NO CUMPLE"))</f>
        <v>CUMPLE</v>
      </c>
      <c r="AJ17" s="139"/>
      <c r="AK17" s="109"/>
    </row>
    <row r="18" spans="1:37" s="72" customFormat="1" ht="51">
      <c r="A18" s="796"/>
      <c r="B18" s="58" t="s">
        <v>101</v>
      </c>
      <c r="C18" s="58">
        <v>211</v>
      </c>
      <c r="D18" s="60" t="str">
        <f>+IFERROR(INDEX([1]CONSOLIDADO!$D$4:$D$91,MATCH('EXP GEN. 1-5'!B18,[1]CONSOLIDADO!$C$4:$C$91,0)),"")</f>
        <v xml:space="preserve">GEOTECNIA Y CIMIENTOS INGEOCIM S.A.S. </v>
      </c>
      <c r="E18" s="547" t="s">
        <v>707</v>
      </c>
      <c r="F18" s="546" t="s">
        <v>708</v>
      </c>
      <c r="G18" s="290" t="s">
        <v>10</v>
      </c>
      <c r="H18" s="290" t="s">
        <v>10</v>
      </c>
      <c r="I18" s="63">
        <v>0.6</v>
      </c>
      <c r="J18" s="64">
        <v>41568</v>
      </c>
      <c r="K18" s="64">
        <v>42373</v>
      </c>
      <c r="L18" s="65">
        <f t="shared" si="0"/>
        <v>2016</v>
      </c>
      <c r="M18" s="66">
        <f>+IFERROR(INDEX([1]PARÁMETROS!$B$11:$B$37,MATCH(L18,[1]PARÁMETROS!$A$11:$A$37,0)),"")</f>
        <v>689554</v>
      </c>
      <c r="N18" s="67">
        <v>2992430016</v>
      </c>
      <c r="O18" s="68" t="s">
        <v>25</v>
      </c>
      <c r="P18" s="58" t="s">
        <v>61</v>
      </c>
      <c r="Q18" s="69" t="s">
        <v>61</v>
      </c>
      <c r="R18" s="70">
        <v>1</v>
      </c>
      <c r="S18" s="66">
        <f t="shared" si="1"/>
        <v>2992430016</v>
      </c>
      <c r="T18" s="55">
        <f t="shared" si="2"/>
        <v>4339.6601513442019</v>
      </c>
      <c r="U18" s="55">
        <f t="shared" si="3"/>
        <v>2603.7960908065211</v>
      </c>
      <c r="V18" s="290" t="s">
        <v>687</v>
      </c>
      <c r="W18" s="799" t="s">
        <v>10</v>
      </c>
      <c r="X18" s="799"/>
      <c r="Y18" s="799"/>
      <c r="Z18" s="799" t="s">
        <v>10</v>
      </c>
      <c r="AA18" s="799"/>
      <c r="AB18" s="799"/>
      <c r="AC18" s="799" t="s">
        <v>10</v>
      </c>
      <c r="AD18" s="799"/>
      <c r="AE18" s="799"/>
      <c r="AF18" s="290" t="s">
        <v>10</v>
      </c>
      <c r="AG18" s="799"/>
      <c r="AH18" s="799"/>
      <c r="AI18" s="517" t="str">
        <f>+IF(U18="","",IF(U18&gt;=[1]PARÁMETROS!$F$5,"CUMPLE","NO CUMPLE"))</f>
        <v>CUMPLE</v>
      </c>
      <c r="AJ18" s="139"/>
      <c r="AK18" s="109"/>
    </row>
    <row r="19" spans="1:37" s="72" customFormat="1" ht="38.25">
      <c r="A19" s="796"/>
      <c r="B19" s="58" t="s">
        <v>106</v>
      </c>
      <c r="C19" s="58">
        <v>216</v>
      </c>
      <c r="D19" s="60" t="str">
        <f>+IFERROR(INDEX([1]CONSOLIDADO!$D$4:$D$91,MATCH('EXP GEN. 1-5'!B19,[1]CONSOLIDADO!$C$4:$C$91,0)),"")</f>
        <v>TYPSA</v>
      </c>
      <c r="E19" s="548" t="s">
        <v>434</v>
      </c>
      <c r="F19" s="546" t="s">
        <v>709</v>
      </c>
      <c r="G19" s="290" t="s">
        <v>10</v>
      </c>
      <c r="H19" s="290" t="s">
        <v>10</v>
      </c>
      <c r="I19" s="544">
        <v>1</v>
      </c>
      <c r="J19" s="64">
        <v>37776</v>
      </c>
      <c r="K19" s="64">
        <v>38504</v>
      </c>
      <c r="L19" s="65">
        <f t="shared" si="0"/>
        <v>2005</v>
      </c>
      <c r="M19" s="66">
        <f>+IFERROR(INDEX([1]PARÁMETROS!$B$11:$B$37,MATCH(L19,[1]PARÁMETROS!$A$11:$A$37,0)),"")</f>
        <v>381500</v>
      </c>
      <c r="N19" s="545">
        <v>824026.3</v>
      </c>
      <c r="O19" s="68" t="s">
        <v>419</v>
      </c>
      <c r="P19" s="58">
        <v>1.2303999999999999</v>
      </c>
      <c r="Q19" s="69">
        <f>+N19*P19</f>
        <v>1013881.95952</v>
      </c>
      <c r="R19" s="70">
        <v>2338.89</v>
      </c>
      <c r="S19" s="66">
        <f>IF(R19&lt;&gt;"",Q19*R19,"")</f>
        <v>2371358376.3017325</v>
      </c>
      <c r="T19" s="55">
        <f t="shared" si="2"/>
        <v>6215.8804097030998</v>
      </c>
      <c r="U19" s="55">
        <f t="shared" si="3"/>
        <v>6215.8804097030998</v>
      </c>
      <c r="V19" s="290">
        <v>4</v>
      </c>
      <c r="W19" s="799" t="s">
        <v>10</v>
      </c>
      <c r="X19" s="799"/>
      <c r="Y19" s="799"/>
      <c r="Z19" s="799" t="s">
        <v>10</v>
      </c>
      <c r="AA19" s="799"/>
      <c r="AB19" s="799"/>
      <c r="AC19" s="799" t="s">
        <v>10</v>
      </c>
      <c r="AD19" s="799"/>
      <c r="AE19" s="799"/>
      <c r="AF19" s="290" t="s">
        <v>10</v>
      </c>
      <c r="AG19" s="799"/>
      <c r="AH19" s="799"/>
      <c r="AI19" s="517" t="str">
        <f>+IF(U19="","",IF(U19&gt;=[1]PARÁMETROS!$F$5,"CUMPLE","NO CUMPLE"))</f>
        <v>CUMPLE</v>
      </c>
      <c r="AJ19" s="139"/>
      <c r="AK19" s="109"/>
    </row>
    <row r="20" spans="1:37" s="72" customFormat="1" ht="63" customHeight="1" thickBot="1">
      <c r="A20" s="806"/>
      <c r="B20" s="141" t="s">
        <v>106</v>
      </c>
      <c r="C20" s="141">
        <v>220</v>
      </c>
      <c r="D20" s="143" t="str">
        <f>+IFERROR(INDEX([1]CONSOLIDADO!$D$4:$D$91,MATCH('EXP GEN. 1-5'!B20,[1]CONSOLIDADO!$C$4:$C$91,0)),"")</f>
        <v>TYPSA</v>
      </c>
      <c r="E20" s="585" t="s">
        <v>710</v>
      </c>
      <c r="F20" s="586" t="s">
        <v>711</v>
      </c>
      <c r="G20" s="289" t="s">
        <v>10</v>
      </c>
      <c r="H20" s="289" t="s">
        <v>10</v>
      </c>
      <c r="I20" s="414">
        <v>1</v>
      </c>
      <c r="J20" s="147">
        <v>36281</v>
      </c>
      <c r="K20" s="147">
        <v>37468</v>
      </c>
      <c r="L20" s="148">
        <f t="shared" si="0"/>
        <v>2002</v>
      </c>
      <c r="M20" s="149">
        <f>+IFERROR(INDEX([1]PARÁMETROS!$B$11:$B$37,MATCH(L20,[1]PARÁMETROS!$A$11:$A$37,0)),"")</f>
        <v>309000</v>
      </c>
      <c r="N20" s="150">
        <v>1720437.64</v>
      </c>
      <c r="O20" s="151" t="s">
        <v>419</v>
      </c>
      <c r="P20" s="141">
        <v>0.98329999999999995</v>
      </c>
      <c r="Q20" s="152">
        <f>+N20*P20</f>
        <v>1691706.3314119999</v>
      </c>
      <c r="R20" s="153">
        <v>2625.06</v>
      </c>
      <c r="S20" s="149">
        <f>IF(R20&lt;&gt;"",Q20*R20,"")</f>
        <v>4440830622.3363848</v>
      </c>
      <c r="T20" s="154">
        <f t="shared" si="2"/>
        <v>14371.620137010954</v>
      </c>
      <c r="U20" s="154">
        <f t="shared" si="3"/>
        <v>14371.620137010954</v>
      </c>
      <c r="V20" s="289">
        <v>5</v>
      </c>
      <c r="W20" s="801" t="s">
        <v>10</v>
      </c>
      <c r="X20" s="801"/>
      <c r="Y20" s="801"/>
      <c r="Z20" s="801" t="s">
        <v>10</v>
      </c>
      <c r="AA20" s="801"/>
      <c r="AB20" s="801"/>
      <c r="AC20" s="801" t="s">
        <v>10</v>
      </c>
      <c r="AD20" s="801"/>
      <c r="AE20" s="801"/>
      <c r="AF20" s="289" t="s">
        <v>10</v>
      </c>
      <c r="AG20" s="801"/>
      <c r="AH20" s="801"/>
      <c r="AI20" s="578" t="str">
        <f>+IF(U20="","",IF(U20&gt;=[1]PARÁMETROS!$F$5,"CUMPLE","NO CUMPLE"))</f>
        <v>CUMPLE</v>
      </c>
      <c r="AJ20" s="155"/>
      <c r="AK20" s="109"/>
    </row>
    <row r="21" spans="1:37" s="72" customFormat="1" ht="67.5" customHeight="1">
      <c r="A21" s="808" t="s">
        <v>208</v>
      </c>
      <c r="B21" s="110" t="s">
        <v>102</v>
      </c>
      <c r="C21" s="110">
        <v>129</v>
      </c>
      <c r="D21" s="582" t="str">
        <f>+IFERROR(INDEX([1]CONSOLIDADO!$D$4:$D$91,MATCH('EXP GEN. 1-5'!B21,[1]CONSOLIDADO!$C$4:$C$91,0)),"")</f>
        <v xml:space="preserve">AFA CONSULTORES Y CONSTRUCTORES S.A </v>
      </c>
      <c r="E21" s="562" t="s">
        <v>712</v>
      </c>
      <c r="F21" s="114" t="s">
        <v>713</v>
      </c>
      <c r="G21" s="292" t="s">
        <v>10</v>
      </c>
      <c r="H21" s="292" t="s">
        <v>10</v>
      </c>
      <c r="I21" s="115">
        <v>0.45</v>
      </c>
      <c r="J21" s="116">
        <v>34338</v>
      </c>
      <c r="K21" s="116">
        <v>36305</v>
      </c>
      <c r="L21" s="160">
        <f t="shared" si="0"/>
        <v>1999</v>
      </c>
      <c r="M21" s="117">
        <f>+IFERROR(INDEX([1]PARÁMETROS!$B$11:$B$37,MATCH(L21,[1]PARÁMETROS!$A$11:$A$37,0)),"")</f>
        <v>236460</v>
      </c>
      <c r="N21" s="118">
        <v>4491569047</v>
      </c>
      <c r="O21" s="119" t="s">
        <v>25</v>
      </c>
      <c r="P21" s="110" t="s">
        <v>61</v>
      </c>
      <c r="Q21" s="120" t="s">
        <v>61</v>
      </c>
      <c r="R21" s="121">
        <v>1</v>
      </c>
      <c r="S21" s="117">
        <f t="shared" si="1"/>
        <v>4491569047</v>
      </c>
      <c r="T21" s="122">
        <f t="shared" si="2"/>
        <v>18995.04798697454</v>
      </c>
      <c r="U21" s="122">
        <f t="shared" si="3"/>
        <v>8547.7715941385432</v>
      </c>
      <c r="V21" s="292">
        <v>10</v>
      </c>
      <c r="W21" s="809" t="s">
        <v>11</v>
      </c>
      <c r="X21" s="809"/>
      <c r="Y21" s="809"/>
      <c r="Z21" s="809" t="s">
        <v>10</v>
      </c>
      <c r="AA21" s="809"/>
      <c r="AB21" s="809"/>
      <c r="AC21" s="809" t="s">
        <v>10</v>
      </c>
      <c r="AD21" s="809"/>
      <c r="AE21" s="809"/>
      <c r="AF21" s="292" t="s">
        <v>10</v>
      </c>
      <c r="AG21" s="809" t="str">
        <f>IF(U21:U25="","",IF(SUM(U21:U25)&gt;=[1]PARÁMETROS!$D$5,"HÁBIL","NO HÁBIL"))</f>
        <v>HÁBIL</v>
      </c>
      <c r="AH21" s="809" t="str">
        <f>IF(U21+U22+U23="","",IF(U21+U22+U23&gt;=[1]PARÁMETROS!$H$5,"HÁBIL","NO HÁBIL"))</f>
        <v>HÁBIL</v>
      </c>
      <c r="AI21" s="513" t="str">
        <f>+IF(U21="","",IF(U21&gt;=[1]PARÁMETROS!$F$5,"CUMPLE","NO CUMPLE"))</f>
        <v>CUMPLE</v>
      </c>
      <c r="AJ21" s="167"/>
      <c r="AK21" s="109"/>
    </row>
    <row r="22" spans="1:37" s="72" customFormat="1" ht="30" customHeight="1">
      <c r="A22" s="796"/>
      <c r="B22" s="58" t="s">
        <v>102</v>
      </c>
      <c r="C22" s="58">
        <v>132</v>
      </c>
      <c r="D22" s="549" t="str">
        <f>+IFERROR(INDEX([1]CONSOLIDADO!$D$4:$D$91,MATCH('EXP GEN. 1-5'!B22,[1]CONSOLIDADO!$C$4:$C$91,0)),"")</f>
        <v xml:space="preserve">AFA CONSULTORES Y CONSTRUCTORES S.A </v>
      </c>
      <c r="E22" s="71" t="s">
        <v>714</v>
      </c>
      <c r="F22" s="62" t="s">
        <v>715</v>
      </c>
      <c r="G22" s="277" t="s">
        <v>10</v>
      </c>
      <c r="H22" s="277" t="s">
        <v>10</v>
      </c>
      <c r="I22" s="63">
        <v>1</v>
      </c>
      <c r="J22" s="64">
        <v>39142</v>
      </c>
      <c r="K22" s="64">
        <v>40920</v>
      </c>
      <c r="L22" s="65">
        <f t="shared" si="0"/>
        <v>2012</v>
      </c>
      <c r="M22" s="66">
        <f>+IFERROR(INDEX([1]PARÁMETROS!$B$11:$B$37,MATCH(L22,[1]PARÁMETROS!$A$11:$A$37,0)),"")</f>
        <v>566700</v>
      </c>
      <c r="N22" s="67">
        <v>3161732843</v>
      </c>
      <c r="O22" s="68" t="s">
        <v>25</v>
      </c>
      <c r="P22" s="58" t="s">
        <v>61</v>
      </c>
      <c r="Q22" s="69" t="s">
        <v>61</v>
      </c>
      <c r="R22" s="70">
        <v>1</v>
      </c>
      <c r="S22" s="66">
        <f t="shared" si="1"/>
        <v>3161732843</v>
      </c>
      <c r="T22" s="55">
        <f t="shared" si="2"/>
        <v>5579.2003582142224</v>
      </c>
      <c r="U22" s="55">
        <f t="shared" si="3"/>
        <v>5579.2003582142224</v>
      </c>
      <c r="V22" s="277">
        <v>5</v>
      </c>
      <c r="W22" s="799" t="s">
        <v>11</v>
      </c>
      <c r="X22" s="799"/>
      <c r="Y22" s="799"/>
      <c r="Z22" s="799" t="s">
        <v>10</v>
      </c>
      <c r="AA22" s="799"/>
      <c r="AB22" s="799"/>
      <c r="AC22" s="799" t="s">
        <v>10</v>
      </c>
      <c r="AD22" s="799"/>
      <c r="AE22" s="799"/>
      <c r="AF22" s="277" t="s">
        <v>10</v>
      </c>
      <c r="AG22" s="799"/>
      <c r="AH22" s="799"/>
      <c r="AI22" s="513" t="str">
        <f>+IF(U22="","",IF(U22&gt;=[1]PARÁMETROS!$F$5,"CUMPLE","NO CUMPLE"))</f>
        <v>CUMPLE</v>
      </c>
      <c r="AJ22" s="139"/>
      <c r="AK22" s="109"/>
    </row>
    <row r="23" spans="1:37" s="72" customFormat="1" ht="75.75" customHeight="1">
      <c r="A23" s="796"/>
      <c r="B23" s="58" t="s">
        <v>102</v>
      </c>
      <c r="C23" s="58">
        <v>145</v>
      </c>
      <c r="D23" s="549" t="str">
        <f>+IFERROR(INDEX([1]CONSOLIDADO!$D$4:$D$91,MATCH('EXP GEN. 1-5'!B23,[1]CONSOLIDADO!$C$4:$C$91,0)),"")</f>
        <v xml:space="preserve">AFA CONSULTORES Y CONSTRUCTORES S.A </v>
      </c>
      <c r="E23" s="550" t="s">
        <v>716</v>
      </c>
      <c r="F23" s="551" t="s">
        <v>717</v>
      </c>
      <c r="G23" s="277" t="s">
        <v>10</v>
      </c>
      <c r="H23" s="277" t="s">
        <v>10</v>
      </c>
      <c r="I23" s="77">
        <v>0.5</v>
      </c>
      <c r="J23" s="64">
        <v>39125</v>
      </c>
      <c r="K23" s="64">
        <v>42368</v>
      </c>
      <c r="L23" s="65">
        <f t="shared" si="0"/>
        <v>2015</v>
      </c>
      <c r="M23" s="66">
        <f>+IFERROR(INDEX([1]PARÁMETROS!$B$11:$B$37,MATCH(L23,[1]PARÁMETROS!$A$11:$A$37,0)),"")</f>
        <v>644350</v>
      </c>
      <c r="N23" s="67">
        <v>22786421753.5</v>
      </c>
      <c r="O23" s="68" t="s">
        <v>25</v>
      </c>
      <c r="P23" s="58" t="s">
        <v>61</v>
      </c>
      <c r="Q23" s="69" t="s">
        <v>61</v>
      </c>
      <c r="R23" s="70">
        <v>1</v>
      </c>
      <c r="S23" s="66">
        <f t="shared" si="1"/>
        <v>22786421753.5</v>
      </c>
      <c r="T23" s="55">
        <f t="shared" si="2"/>
        <v>35363.423222627454</v>
      </c>
      <c r="U23" s="55">
        <f t="shared" si="3"/>
        <v>17681.711611313727</v>
      </c>
      <c r="V23" s="277" t="s">
        <v>718</v>
      </c>
      <c r="W23" s="799" t="s">
        <v>10</v>
      </c>
      <c r="X23" s="799"/>
      <c r="Y23" s="799"/>
      <c r="Z23" s="799" t="s">
        <v>10</v>
      </c>
      <c r="AA23" s="799"/>
      <c r="AB23" s="799"/>
      <c r="AC23" s="799" t="s">
        <v>10</v>
      </c>
      <c r="AD23" s="799"/>
      <c r="AE23" s="799"/>
      <c r="AF23" s="277" t="s">
        <v>10</v>
      </c>
      <c r="AG23" s="799"/>
      <c r="AH23" s="799"/>
      <c r="AI23" s="513" t="str">
        <f>+IF(U23="","",IF(U23&gt;=[1]PARÁMETROS!$F$5,"CUMPLE","NO CUMPLE"))</f>
        <v>CUMPLE</v>
      </c>
      <c r="AJ23" s="166"/>
      <c r="AK23" s="109"/>
    </row>
    <row r="24" spans="1:37" s="82" customFormat="1" ht="71.25">
      <c r="A24" s="796"/>
      <c r="B24" s="58" t="s">
        <v>107</v>
      </c>
      <c r="C24" s="58">
        <v>198</v>
      </c>
      <c r="D24" s="60" t="str">
        <f>+IFERROR(INDEX([1]CONSOLIDADO!$D$4:$D$91,MATCH('EXP GEN. 1-5'!B24,[1]CONSOLIDADO!$C$4:$C$91,0)),"")</f>
        <v>INC GROUP S.A.S.</v>
      </c>
      <c r="E24" s="71" t="s">
        <v>380</v>
      </c>
      <c r="F24" s="62" t="s">
        <v>719</v>
      </c>
      <c r="G24" s="277" t="s">
        <v>10</v>
      </c>
      <c r="H24" s="277" t="s">
        <v>10</v>
      </c>
      <c r="I24" s="552">
        <v>0.65</v>
      </c>
      <c r="J24" s="79">
        <v>39615</v>
      </c>
      <c r="K24" s="80">
        <v>41152</v>
      </c>
      <c r="L24" s="65">
        <f t="shared" si="0"/>
        <v>2012</v>
      </c>
      <c r="M24" s="66">
        <f>+IFERROR(INDEX([1]PARÁMETROS!$B$11:$B$37,MATCH(L24,[1]PARÁMETROS!$A$11:$A$37,0)),"")</f>
        <v>566700</v>
      </c>
      <c r="N24" s="68">
        <v>19146251489</v>
      </c>
      <c r="O24" s="68" t="s">
        <v>25</v>
      </c>
      <c r="P24" s="68" t="s">
        <v>61</v>
      </c>
      <c r="Q24" s="68" t="s">
        <v>61</v>
      </c>
      <c r="R24" s="70">
        <v>1</v>
      </c>
      <c r="S24" s="66">
        <f t="shared" si="1"/>
        <v>19146251489</v>
      </c>
      <c r="T24" s="55">
        <f t="shared" si="2"/>
        <v>33785.515244397386</v>
      </c>
      <c r="U24" s="55">
        <f t="shared" si="3"/>
        <v>21960.584908858302</v>
      </c>
      <c r="V24" s="277" t="s">
        <v>720</v>
      </c>
      <c r="W24" s="799"/>
      <c r="X24" s="799"/>
      <c r="Y24" s="799"/>
      <c r="Z24" s="799"/>
      <c r="AA24" s="799"/>
      <c r="AB24" s="799"/>
      <c r="AC24" s="799"/>
      <c r="AD24" s="799"/>
      <c r="AE24" s="799"/>
      <c r="AF24" s="277"/>
      <c r="AG24" s="799"/>
      <c r="AH24" s="799"/>
      <c r="AI24" s="513" t="str">
        <f>+IF(U24="","",IF(U24&gt;=[1]PARÁMETROS!$F$5,"CUMPLE","NO CUMPLE"))</f>
        <v>CUMPLE</v>
      </c>
      <c r="AJ24" s="139"/>
      <c r="AK24" s="158"/>
    </row>
    <row r="25" spans="1:37" s="72" customFormat="1" ht="86.25" thickBot="1">
      <c r="A25" s="796"/>
      <c r="B25" s="58" t="s">
        <v>107</v>
      </c>
      <c r="C25" s="58">
        <v>191</v>
      </c>
      <c r="D25" s="60" t="str">
        <f>+IFERROR(INDEX([1]CONSOLIDADO!$D$4:$D$91,MATCH('EXP GEN. 1-5'!B25,[1]CONSOLIDADO!$C$4:$C$91,0)),"")</f>
        <v>INC GROUP S.A.S.</v>
      </c>
      <c r="E25" s="71" t="s">
        <v>721</v>
      </c>
      <c r="F25" s="62" t="s">
        <v>722</v>
      </c>
      <c r="G25" s="277" t="s">
        <v>10</v>
      </c>
      <c r="H25" s="277" t="s">
        <v>10</v>
      </c>
      <c r="I25" s="544">
        <v>1</v>
      </c>
      <c r="J25" s="64">
        <v>39434</v>
      </c>
      <c r="K25" s="64">
        <v>40895</v>
      </c>
      <c r="L25" s="65">
        <f t="shared" si="0"/>
        <v>2011</v>
      </c>
      <c r="M25" s="66">
        <f>+IFERROR(INDEX([1]PARÁMETROS!$B$11:$B$37,MATCH(L25,[1]PARÁMETROS!$A$11:$A$37,0)),"")</f>
        <v>535600</v>
      </c>
      <c r="N25" s="437">
        <v>2092531.72</v>
      </c>
      <c r="O25" s="68" t="s">
        <v>419</v>
      </c>
      <c r="P25" s="58">
        <v>1.30382</v>
      </c>
      <c r="Q25" s="69">
        <f>+N25*P25</f>
        <v>2728284.7071703998</v>
      </c>
      <c r="R25" s="70">
        <v>1935.64</v>
      </c>
      <c r="S25" s="66">
        <f>IF(R25&lt;&gt;"",Q25*R25,"")</f>
        <v>5280977010.5873127</v>
      </c>
      <c r="T25" s="55">
        <f>+IFERROR(S25/M25,"")</f>
        <v>9859.9272042332195</v>
      </c>
      <c r="U25" s="55">
        <f>IFERROR(T25*I25,"")</f>
        <v>9859.9272042332195</v>
      </c>
      <c r="V25" s="277" t="s">
        <v>720</v>
      </c>
      <c r="W25" s="799"/>
      <c r="X25" s="799"/>
      <c r="Y25" s="799"/>
      <c r="Z25" s="799"/>
      <c r="AA25" s="799"/>
      <c r="AB25" s="799"/>
      <c r="AC25" s="799"/>
      <c r="AD25" s="799"/>
      <c r="AE25" s="799"/>
      <c r="AF25" s="277"/>
      <c r="AG25" s="799"/>
      <c r="AH25" s="799"/>
      <c r="AI25" s="513" t="str">
        <f>+IF(U25="","",IF(U25&gt;=[1]PARÁMETROS!$F$5,"CUMPLE","NO CUMPLE"))</f>
        <v>CUMPLE</v>
      </c>
      <c r="AJ25" s="139"/>
      <c r="AK25" s="109"/>
    </row>
    <row r="26" spans="1:37" s="72" customFormat="1" ht="30" customHeight="1">
      <c r="A26" s="795"/>
      <c r="B26" s="123"/>
      <c r="C26" s="123"/>
      <c r="D26" s="125" t="str">
        <f>+IFERROR(INDEX([1]CONSOLIDADO!$D$4:$D$91,MATCH('EXP GEN. 1-5'!B26,[1]CONSOLIDADO!$C$4:$C$91,0)),"")</f>
        <v/>
      </c>
      <c r="E26" s="137"/>
      <c r="F26" s="127"/>
      <c r="G26" s="279"/>
      <c r="H26" s="279"/>
      <c r="I26" s="128"/>
      <c r="J26" s="129"/>
      <c r="K26" s="129"/>
      <c r="L26" s="130" t="str">
        <f t="shared" si="0"/>
        <v/>
      </c>
      <c r="M26" s="131" t="str">
        <f>+IFERROR(INDEX([1]PARÁMETROS!$B$11:$B$37,MATCH(L26,[1]PARÁMETROS!$A$11:$A$37,0)),"")</f>
        <v/>
      </c>
      <c r="N26" s="132"/>
      <c r="O26" s="133"/>
      <c r="P26" s="123"/>
      <c r="Q26" s="134"/>
      <c r="R26" s="135"/>
      <c r="S26" s="131" t="str">
        <f t="shared" si="1"/>
        <v/>
      </c>
      <c r="T26" s="136" t="str">
        <f t="shared" si="2"/>
        <v/>
      </c>
      <c r="U26" s="136" t="str">
        <f t="shared" si="3"/>
        <v/>
      </c>
      <c r="V26" s="279"/>
      <c r="W26" s="798"/>
      <c r="X26" s="798"/>
      <c r="Y26" s="798"/>
      <c r="Z26" s="798"/>
      <c r="AA26" s="798"/>
      <c r="AB26" s="798"/>
      <c r="AC26" s="798"/>
      <c r="AD26" s="798"/>
      <c r="AE26" s="798"/>
      <c r="AF26" s="279"/>
      <c r="AG26" s="798" t="str">
        <f>IF(U26="","",IF(SUM(U26:U28)&gt;=[1]PARÁMETROS!$D$5,"HÁBIL","NO HÁBIL"))</f>
        <v/>
      </c>
      <c r="AH26" s="798" t="str">
        <f>IF(U26="","",IF(U26&gt;=[1]PARÁMETROS!$H$5,"HÁBIL","NO HÁBIL"))</f>
        <v/>
      </c>
      <c r="AI26" s="279" t="str">
        <f>+IF(U26="","",IF(U26&gt;=[1]PARÁMETROS!$D$5,"CUMPLE","NO CUMPLE"))</f>
        <v/>
      </c>
      <c r="AJ26" s="138"/>
      <c r="AK26" s="109"/>
    </row>
    <row r="27" spans="1:37" s="72" customFormat="1" ht="30" customHeight="1">
      <c r="A27" s="796"/>
      <c r="B27" s="58"/>
      <c r="C27" s="58"/>
      <c r="D27" s="60" t="str">
        <f>+IFERROR(INDEX([1]CONSOLIDADO!$D$4:$D$91,MATCH('EXP GEN. 1-5'!B27,[1]CONSOLIDADO!$C$4:$C$91,0)),"")</f>
        <v/>
      </c>
      <c r="E27" s="71"/>
      <c r="F27" s="62"/>
      <c r="G27" s="277"/>
      <c r="H27" s="277"/>
      <c r="I27" s="63"/>
      <c r="J27" s="64"/>
      <c r="K27" s="64"/>
      <c r="L27" s="65" t="str">
        <f t="shared" si="0"/>
        <v/>
      </c>
      <c r="M27" s="66" t="str">
        <f>+IFERROR(INDEX([1]PARÁMETROS!$B$11:$B$37,MATCH(L27,[1]PARÁMETROS!$A$11:$A$37,0)),"")</f>
        <v/>
      </c>
      <c r="N27" s="67"/>
      <c r="O27" s="68"/>
      <c r="P27" s="58"/>
      <c r="Q27" s="69"/>
      <c r="R27" s="70"/>
      <c r="S27" s="66" t="str">
        <f t="shared" si="1"/>
        <v/>
      </c>
      <c r="T27" s="55" t="str">
        <f t="shared" si="2"/>
        <v/>
      </c>
      <c r="U27" s="55" t="str">
        <f t="shared" si="3"/>
        <v/>
      </c>
      <c r="V27" s="277"/>
      <c r="W27" s="799"/>
      <c r="X27" s="799"/>
      <c r="Y27" s="799"/>
      <c r="Z27" s="799"/>
      <c r="AA27" s="799"/>
      <c r="AB27" s="799"/>
      <c r="AC27" s="799"/>
      <c r="AD27" s="799"/>
      <c r="AE27" s="799"/>
      <c r="AF27" s="277"/>
      <c r="AG27" s="799"/>
      <c r="AH27" s="799"/>
      <c r="AI27" s="277" t="str">
        <f>+IF(U27="","",IF(U27&gt;=[1]PARÁMETROS!$D$5,"CUMPLE","NO CUMPLE"))</f>
        <v/>
      </c>
      <c r="AJ27" s="139"/>
      <c r="AK27" s="109"/>
    </row>
    <row r="28" spans="1:37" s="72" customFormat="1" ht="30" customHeight="1">
      <c r="A28" s="796"/>
      <c r="B28" s="58"/>
      <c r="C28" s="58"/>
      <c r="D28" s="60" t="str">
        <f>+IFERROR(INDEX([1]CONSOLIDADO!$D$4:$D$91,MATCH('EXP GEN. 1-5'!B28,[1]CONSOLIDADO!$C$4:$C$91,0)),"")</f>
        <v/>
      </c>
      <c r="E28" s="71"/>
      <c r="F28" s="62"/>
      <c r="G28" s="277"/>
      <c r="H28" s="277"/>
      <c r="I28" s="63"/>
      <c r="J28" s="64"/>
      <c r="K28" s="64"/>
      <c r="L28" s="65" t="str">
        <f t="shared" si="0"/>
        <v/>
      </c>
      <c r="M28" s="66" t="str">
        <f>+IFERROR(INDEX([1]PARÁMETROS!$B$11:$B$37,MATCH(L28,[1]PARÁMETROS!$A$11:$A$37,0)),"")</f>
        <v/>
      </c>
      <c r="N28" s="67"/>
      <c r="O28" s="68"/>
      <c r="P28" s="58"/>
      <c r="Q28" s="69"/>
      <c r="R28" s="70"/>
      <c r="S28" s="66" t="str">
        <f t="shared" si="1"/>
        <v/>
      </c>
      <c r="T28" s="55" t="str">
        <f t="shared" si="2"/>
        <v/>
      </c>
      <c r="U28" s="55" t="str">
        <f t="shared" si="3"/>
        <v/>
      </c>
      <c r="V28" s="277"/>
      <c r="W28" s="799"/>
      <c r="X28" s="799"/>
      <c r="Y28" s="799"/>
      <c r="Z28" s="799"/>
      <c r="AA28" s="799"/>
      <c r="AB28" s="799"/>
      <c r="AC28" s="799"/>
      <c r="AD28" s="799"/>
      <c r="AE28" s="799"/>
      <c r="AF28" s="277"/>
      <c r="AG28" s="799"/>
      <c r="AH28" s="799"/>
      <c r="AI28" s="277" t="str">
        <f>+IF(U28="","",IF(U28&gt;=[1]PARÁMETROS!$D$5,"CUMPLE","NO CUMPLE"))</f>
        <v/>
      </c>
      <c r="AJ28" s="139"/>
      <c r="AK28" s="109"/>
    </row>
    <row r="29" spans="1:37" s="72" customFormat="1" ht="30" customHeight="1">
      <c r="A29" s="796"/>
      <c r="B29" s="58"/>
      <c r="C29" s="58"/>
      <c r="D29" s="60" t="str">
        <f>+IFERROR(INDEX([1]CONSOLIDADO!$D$4:$D$91,MATCH('EXP GEN. 1-5'!B29,[1]CONSOLIDADO!$C$4:$C$91,0)),"")</f>
        <v/>
      </c>
      <c r="E29" s="71"/>
      <c r="F29" s="62"/>
      <c r="G29" s="277"/>
      <c r="H29" s="277"/>
      <c r="I29" s="63"/>
      <c r="J29" s="64"/>
      <c r="K29" s="64"/>
      <c r="L29" s="65" t="str">
        <f t="shared" si="0"/>
        <v/>
      </c>
      <c r="M29" s="66" t="str">
        <f>+IFERROR(INDEX([1]PARÁMETROS!$B$11:$B$37,MATCH(L29,[1]PARÁMETROS!$A$11:$A$37,0)),"")</f>
        <v/>
      </c>
      <c r="N29" s="67"/>
      <c r="O29" s="68"/>
      <c r="P29" s="58"/>
      <c r="Q29" s="69"/>
      <c r="R29" s="70"/>
      <c r="S29" s="66" t="str">
        <f t="shared" si="1"/>
        <v/>
      </c>
      <c r="T29" s="55" t="str">
        <f t="shared" si="2"/>
        <v/>
      </c>
      <c r="U29" s="55" t="str">
        <f t="shared" si="3"/>
        <v/>
      </c>
      <c r="V29" s="277"/>
      <c r="W29" s="799"/>
      <c r="X29" s="799"/>
      <c r="Y29" s="799"/>
      <c r="Z29" s="799"/>
      <c r="AA29" s="799"/>
      <c r="AB29" s="799"/>
      <c r="AC29" s="799"/>
      <c r="AD29" s="799"/>
      <c r="AE29" s="799"/>
      <c r="AF29" s="277"/>
      <c r="AG29" s="799"/>
      <c r="AH29" s="799"/>
      <c r="AI29" s="277" t="str">
        <f>+IF(U29="","",IF(U29&gt;=[1]PARÁMETROS!$D$5,"CUMPLE","NO CUMPLE"))</f>
        <v/>
      </c>
      <c r="AJ29" s="139"/>
      <c r="AK29" s="109"/>
    </row>
    <row r="30" spans="1:37" s="72" customFormat="1" ht="30" customHeight="1">
      <c r="A30" s="796"/>
      <c r="B30" s="58"/>
      <c r="C30" s="58"/>
      <c r="D30" s="60" t="str">
        <f>+IFERROR(INDEX([1]CONSOLIDADO!$D$4:$D$91,MATCH('EXP GEN. 1-5'!B30,[1]CONSOLIDADO!$C$4:$C$91,0)),"")</f>
        <v/>
      </c>
      <c r="E30" s="71"/>
      <c r="F30" s="62"/>
      <c r="G30" s="277"/>
      <c r="H30" s="277"/>
      <c r="I30" s="63"/>
      <c r="J30" s="64"/>
      <c r="K30" s="64"/>
      <c r="L30" s="65" t="str">
        <f t="shared" si="0"/>
        <v/>
      </c>
      <c r="M30" s="66" t="str">
        <f>+IFERROR(INDEX([1]PARÁMETROS!$B$11:$B$37,MATCH(L30,[1]PARÁMETROS!$A$11:$A$37,0)),"")</f>
        <v/>
      </c>
      <c r="N30" s="67"/>
      <c r="O30" s="68"/>
      <c r="P30" s="58"/>
      <c r="Q30" s="69"/>
      <c r="R30" s="70"/>
      <c r="S30" s="66" t="str">
        <f t="shared" si="1"/>
        <v/>
      </c>
      <c r="T30" s="55" t="str">
        <f t="shared" si="2"/>
        <v/>
      </c>
      <c r="U30" s="55" t="str">
        <f t="shared" si="3"/>
        <v/>
      </c>
      <c r="V30" s="277"/>
      <c r="W30" s="799"/>
      <c r="X30" s="799"/>
      <c r="Y30" s="799"/>
      <c r="Z30" s="799"/>
      <c r="AA30" s="799"/>
      <c r="AB30" s="799"/>
      <c r="AC30" s="799"/>
      <c r="AD30" s="799"/>
      <c r="AE30" s="799"/>
      <c r="AF30" s="277"/>
      <c r="AG30" s="799"/>
      <c r="AH30" s="799"/>
      <c r="AI30" s="277" t="str">
        <f>+IF(U30="","",IF(U30&gt;=[1]PARÁMETROS!$D$5,"CUMPLE","NO CUMPLE"))</f>
        <v/>
      </c>
      <c r="AJ30" s="139"/>
      <c r="AK30" s="109"/>
    </row>
    <row r="31" spans="1:37" s="72" customFormat="1" ht="30" customHeight="1" thickBot="1">
      <c r="A31" s="806"/>
      <c r="B31" s="141"/>
      <c r="C31" s="141"/>
      <c r="D31" s="143" t="str">
        <f>+IFERROR(INDEX([1]CONSOLIDADO!$D$4:$D$91,MATCH('EXP GEN. 1-5'!B31,[1]CONSOLIDADO!$C$4:$C$91,0)),"")</f>
        <v/>
      </c>
      <c r="E31" s="322"/>
      <c r="F31" s="145"/>
      <c r="G31" s="278"/>
      <c r="H31" s="278"/>
      <c r="I31" s="146"/>
      <c r="J31" s="147"/>
      <c r="K31" s="147"/>
      <c r="L31" s="148" t="str">
        <f t="shared" si="0"/>
        <v/>
      </c>
      <c r="M31" s="149" t="str">
        <f>+IFERROR(INDEX([1]PARÁMETROS!$B$11:$B$37,MATCH(L31,[1]PARÁMETROS!$A$11:$A$37,0)),"")</f>
        <v/>
      </c>
      <c r="N31" s="150"/>
      <c r="O31" s="151"/>
      <c r="P31" s="141"/>
      <c r="Q31" s="152"/>
      <c r="R31" s="153"/>
      <c r="S31" s="149" t="str">
        <f t="shared" si="1"/>
        <v/>
      </c>
      <c r="T31" s="154" t="str">
        <f t="shared" si="2"/>
        <v/>
      </c>
      <c r="U31" s="154" t="str">
        <f t="shared" si="3"/>
        <v/>
      </c>
      <c r="V31" s="278"/>
      <c r="W31" s="801"/>
      <c r="X31" s="801"/>
      <c r="Y31" s="801"/>
      <c r="Z31" s="801"/>
      <c r="AA31" s="801"/>
      <c r="AB31" s="801"/>
      <c r="AC31" s="801"/>
      <c r="AD31" s="801"/>
      <c r="AE31" s="801"/>
      <c r="AF31" s="278"/>
      <c r="AG31" s="801"/>
      <c r="AH31" s="801"/>
      <c r="AI31" s="278" t="str">
        <f>+IF(U31="","",IF(U31&gt;=[1]PARÁMETROS!$D$5,"CUMPLE","NO CUMPLE"))</f>
        <v/>
      </c>
      <c r="AJ31" s="155"/>
      <c r="AK31" s="109"/>
    </row>
    <row r="32" spans="1:37" s="72" customFormat="1" ht="30" customHeight="1">
      <c r="A32" s="795"/>
      <c r="B32" s="123"/>
      <c r="C32" s="123"/>
      <c r="D32" s="125" t="str">
        <f>+IFERROR(INDEX([1]CONSOLIDADO!$D$4:$D$91,MATCH('EXP GEN. 1-5'!B32,[1]CONSOLIDADO!$C$4:$C$91,0)),"")</f>
        <v/>
      </c>
      <c r="E32" s="137"/>
      <c r="F32" s="127"/>
      <c r="G32" s="279"/>
      <c r="H32" s="279"/>
      <c r="I32" s="128"/>
      <c r="J32" s="129"/>
      <c r="K32" s="129"/>
      <c r="L32" s="130" t="str">
        <f t="shared" si="0"/>
        <v/>
      </c>
      <c r="M32" s="131" t="str">
        <f>+IFERROR(INDEX([1]PARÁMETROS!$B$11:$B$37,MATCH(L32,[1]PARÁMETROS!$A$11:$A$37,0)),"")</f>
        <v/>
      </c>
      <c r="N32" s="132"/>
      <c r="O32" s="133"/>
      <c r="P32" s="123"/>
      <c r="Q32" s="134"/>
      <c r="R32" s="135"/>
      <c r="S32" s="131" t="str">
        <f t="shared" si="1"/>
        <v/>
      </c>
      <c r="T32" s="136" t="str">
        <f t="shared" si="2"/>
        <v/>
      </c>
      <c r="U32" s="136" t="str">
        <f t="shared" si="3"/>
        <v/>
      </c>
      <c r="V32" s="279"/>
      <c r="W32" s="798"/>
      <c r="X32" s="798"/>
      <c r="Y32" s="798"/>
      <c r="Z32" s="798"/>
      <c r="AA32" s="798"/>
      <c r="AB32" s="798"/>
      <c r="AC32" s="798"/>
      <c r="AD32" s="798"/>
      <c r="AE32" s="798"/>
      <c r="AF32" s="279"/>
      <c r="AG32" s="798" t="str">
        <f>IF(U32="","",IF(SUM(U32:U34)&gt;=[1]PARÁMETROS!$H$5,"HÁBIL","NO HÁBIL"))</f>
        <v/>
      </c>
      <c r="AH32" s="798" t="str">
        <f>IF(U32="","",IF(U32&gt;=[1]PARÁMETROS!$F$5,"HÁBIL","NO HÁBIL"))</f>
        <v/>
      </c>
      <c r="AI32" s="279" t="str">
        <f>+IF(U32="","",IF(U32&gt;=[1]PARÁMETROS!$D$5,"CUMPLE","NO CUMPLE"))</f>
        <v/>
      </c>
      <c r="AJ32" s="138"/>
      <c r="AK32" s="109"/>
    </row>
    <row r="33" spans="1:37" s="72" customFormat="1" ht="30" customHeight="1">
      <c r="A33" s="796"/>
      <c r="B33" s="58"/>
      <c r="C33" s="58"/>
      <c r="D33" s="60" t="str">
        <f>+IFERROR(INDEX([1]CONSOLIDADO!$D$4:$D$91,MATCH('EXP GEN. 1-5'!B33,[1]CONSOLIDADO!$C$4:$C$91,0)),"")</f>
        <v/>
      </c>
      <c r="E33" s="71"/>
      <c r="F33" s="62"/>
      <c r="G33" s="277"/>
      <c r="H33" s="277"/>
      <c r="I33" s="63"/>
      <c r="J33" s="64"/>
      <c r="K33" s="64"/>
      <c r="L33" s="65" t="str">
        <f t="shared" si="0"/>
        <v/>
      </c>
      <c r="M33" s="66" t="str">
        <f>+IFERROR(INDEX([1]PARÁMETROS!$B$11:$B$37,MATCH(L33,[1]PARÁMETROS!$A$11:$A$37,0)),"")</f>
        <v/>
      </c>
      <c r="N33" s="67"/>
      <c r="O33" s="68"/>
      <c r="P33" s="58"/>
      <c r="Q33" s="69"/>
      <c r="R33" s="70"/>
      <c r="S33" s="66" t="str">
        <f t="shared" si="1"/>
        <v/>
      </c>
      <c r="T33" s="55" t="str">
        <f t="shared" si="2"/>
        <v/>
      </c>
      <c r="U33" s="55" t="str">
        <f t="shared" si="3"/>
        <v/>
      </c>
      <c r="V33" s="277"/>
      <c r="W33" s="799"/>
      <c r="X33" s="799"/>
      <c r="Y33" s="799"/>
      <c r="Z33" s="799"/>
      <c r="AA33" s="799"/>
      <c r="AB33" s="799"/>
      <c r="AC33" s="799"/>
      <c r="AD33" s="799"/>
      <c r="AE33" s="799"/>
      <c r="AF33" s="277"/>
      <c r="AG33" s="799"/>
      <c r="AH33" s="799"/>
      <c r="AI33" s="277" t="str">
        <f>+IF(U33="","",IF(U33&gt;=[1]PARÁMETROS!$D$5,"CUMPLE","NO CUMPLE"))</f>
        <v/>
      </c>
      <c r="AJ33" s="139"/>
      <c r="AK33" s="109"/>
    </row>
    <row r="34" spans="1:37" s="72" customFormat="1" ht="30" customHeight="1">
      <c r="A34" s="796"/>
      <c r="B34" s="58"/>
      <c r="C34" s="58"/>
      <c r="D34" s="60" t="str">
        <f>+IFERROR(INDEX([1]CONSOLIDADO!$D$4:$D$91,MATCH('EXP GEN. 1-5'!B34,[1]CONSOLIDADO!$C$4:$C$91,0)),"")</f>
        <v/>
      </c>
      <c r="E34" s="71"/>
      <c r="F34" s="62"/>
      <c r="G34" s="277"/>
      <c r="H34" s="277"/>
      <c r="I34" s="63"/>
      <c r="J34" s="64"/>
      <c r="K34" s="64"/>
      <c r="L34" s="65" t="str">
        <f t="shared" si="0"/>
        <v/>
      </c>
      <c r="M34" s="66" t="str">
        <f>+IFERROR(INDEX([1]PARÁMETROS!$B$11:$B$37,MATCH(L34,[1]PARÁMETROS!$A$11:$A$37,0)),"")</f>
        <v/>
      </c>
      <c r="N34" s="67"/>
      <c r="O34" s="68"/>
      <c r="P34" s="58"/>
      <c r="Q34" s="69"/>
      <c r="R34" s="70"/>
      <c r="S34" s="66" t="str">
        <f t="shared" si="1"/>
        <v/>
      </c>
      <c r="T34" s="55" t="str">
        <f t="shared" si="2"/>
        <v/>
      </c>
      <c r="U34" s="55" t="str">
        <f t="shared" si="3"/>
        <v/>
      </c>
      <c r="V34" s="277"/>
      <c r="W34" s="799"/>
      <c r="X34" s="799"/>
      <c r="Y34" s="799"/>
      <c r="Z34" s="799"/>
      <c r="AA34" s="799"/>
      <c r="AB34" s="799"/>
      <c r="AC34" s="799"/>
      <c r="AD34" s="799"/>
      <c r="AE34" s="799"/>
      <c r="AF34" s="277"/>
      <c r="AG34" s="799"/>
      <c r="AH34" s="799"/>
      <c r="AI34" s="277" t="str">
        <f>+IF(U34="","",IF(U34&gt;=[1]PARÁMETROS!$D$5,"CUMPLE","NO CUMPLE"))</f>
        <v/>
      </c>
      <c r="AJ34" s="139"/>
      <c r="AK34" s="109"/>
    </row>
    <row r="35" spans="1:37" s="72" customFormat="1" ht="30" customHeight="1">
      <c r="A35" s="796"/>
      <c r="B35" s="58"/>
      <c r="C35" s="58"/>
      <c r="D35" s="60" t="str">
        <f>+IFERROR(INDEX([1]CONSOLIDADO!$D$4:$D$91,MATCH('EXP GEN. 1-5'!B35,[1]CONSOLIDADO!$C$4:$C$91,0)),"")</f>
        <v/>
      </c>
      <c r="E35" s="481"/>
      <c r="F35" s="84"/>
      <c r="G35" s="277"/>
      <c r="H35" s="277"/>
      <c r="I35" s="85"/>
      <c r="J35" s="86"/>
      <c r="K35" s="86"/>
      <c r="L35" s="65" t="str">
        <f t="shared" si="0"/>
        <v/>
      </c>
      <c r="M35" s="66" t="str">
        <f>+IFERROR(INDEX([1]PARÁMETROS!$B$11:$B$37,MATCH(L35,[1]PARÁMETROS!$A$11:$A$37,0)),"")</f>
        <v/>
      </c>
      <c r="N35" s="87"/>
      <c r="O35" s="88"/>
      <c r="P35" s="58"/>
      <c r="Q35" s="69"/>
      <c r="R35" s="70"/>
      <c r="S35" s="66" t="str">
        <f t="shared" si="1"/>
        <v/>
      </c>
      <c r="T35" s="55" t="str">
        <f t="shared" si="2"/>
        <v/>
      </c>
      <c r="U35" s="55" t="str">
        <f t="shared" si="3"/>
        <v/>
      </c>
      <c r="V35" s="277"/>
      <c r="W35" s="799"/>
      <c r="X35" s="799"/>
      <c r="Y35" s="799"/>
      <c r="Z35" s="799"/>
      <c r="AA35" s="799"/>
      <c r="AB35" s="799"/>
      <c r="AC35" s="799"/>
      <c r="AD35" s="799"/>
      <c r="AE35" s="799"/>
      <c r="AF35" s="277"/>
      <c r="AG35" s="799"/>
      <c r="AH35" s="799"/>
      <c r="AI35" s="277" t="str">
        <f>+IF(U35="","",IF(U35&gt;=[1]PARÁMETROS!$D$5,"CUMPLE","NO CUMPLE"))</f>
        <v/>
      </c>
      <c r="AJ35" s="140"/>
      <c r="AK35" s="109"/>
    </row>
    <row r="36" spans="1:37" s="72" customFormat="1" ht="30" customHeight="1">
      <c r="A36" s="796"/>
      <c r="B36" s="58"/>
      <c r="C36" s="58"/>
      <c r="D36" s="60" t="str">
        <f>+IFERROR(INDEX([1]CONSOLIDADO!$D$4:$D$91,MATCH('EXP GEN. 1-5'!B36,[1]CONSOLIDADO!$C$4:$C$91,0)),"")</f>
        <v/>
      </c>
      <c r="E36" s="71"/>
      <c r="F36" s="62"/>
      <c r="G36" s="277"/>
      <c r="H36" s="277"/>
      <c r="I36" s="63"/>
      <c r="J36" s="64"/>
      <c r="K36" s="64"/>
      <c r="L36" s="65" t="str">
        <f t="shared" si="0"/>
        <v/>
      </c>
      <c r="M36" s="66" t="str">
        <f>+IFERROR(INDEX([1]PARÁMETROS!$B$11:$B$37,MATCH(L36,[1]PARÁMETROS!$A$11:$A$37,0)),"")</f>
        <v/>
      </c>
      <c r="N36" s="67"/>
      <c r="O36" s="68"/>
      <c r="P36" s="58"/>
      <c r="Q36" s="69"/>
      <c r="R36" s="70"/>
      <c r="S36" s="66" t="str">
        <f t="shared" si="1"/>
        <v/>
      </c>
      <c r="T36" s="55" t="str">
        <f t="shared" si="2"/>
        <v/>
      </c>
      <c r="U36" s="55" t="str">
        <f t="shared" si="3"/>
        <v/>
      </c>
      <c r="V36" s="277"/>
      <c r="W36" s="799"/>
      <c r="X36" s="799"/>
      <c r="Y36" s="799"/>
      <c r="Z36" s="799"/>
      <c r="AA36" s="799"/>
      <c r="AB36" s="799"/>
      <c r="AC36" s="799"/>
      <c r="AD36" s="799"/>
      <c r="AE36" s="799"/>
      <c r="AF36" s="277"/>
      <c r="AG36" s="799"/>
      <c r="AH36" s="799"/>
      <c r="AI36" s="277" t="str">
        <f>+IF(U36="","",IF(U36&gt;=[1]PARÁMETROS!$D$5,"CUMPLE","NO CUMPLE"))</f>
        <v/>
      </c>
      <c r="AJ36" s="139"/>
      <c r="AK36" s="109"/>
    </row>
    <row r="37" spans="1:37" s="72" customFormat="1" ht="30" customHeight="1" thickBot="1">
      <c r="A37" s="806"/>
      <c r="B37" s="141"/>
      <c r="C37" s="141"/>
      <c r="D37" s="143" t="str">
        <f>+IFERROR(INDEX([1]CONSOLIDADO!$D$4:$D$91,MATCH('EXP GEN. 1-5'!B37,[1]CONSOLIDADO!$C$4:$C$91,0)),"")</f>
        <v/>
      </c>
      <c r="E37" s="322"/>
      <c r="F37" s="145"/>
      <c r="G37" s="278"/>
      <c r="H37" s="278"/>
      <c r="I37" s="146"/>
      <c r="J37" s="147"/>
      <c r="K37" s="147"/>
      <c r="L37" s="148" t="str">
        <f t="shared" si="0"/>
        <v/>
      </c>
      <c r="M37" s="149" t="str">
        <f>+IFERROR(INDEX([1]PARÁMETROS!$B$11:$B$37,MATCH(L37,[1]PARÁMETROS!$A$11:$A$37,0)),"")</f>
        <v/>
      </c>
      <c r="N37" s="150"/>
      <c r="O37" s="151"/>
      <c r="P37" s="141"/>
      <c r="Q37" s="152"/>
      <c r="R37" s="153"/>
      <c r="S37" s="149" t="str">
        <f t="shared" si="1"/>
        <v/>
      </c>
      <c r="T37" s="154" t="str">
        <f t="shared" si="2"/>
        <v/>
      </c>
      <c r="U37" s="154" t="str">
        <f t="shared" si="3"/>
        <v/>
      </c>
      <c r="V37" s="278"/>
      <c r="W37" s="801"/>
      <c r="X37" s="801"/>
      <c r="Y37" s="801"/>
      <c r="Z37" s="801"/>
      <c r="AA37" s="801"/>
      <c r="AB37" s="801"/>
      <c r="AC37" s="801"/>
      <c r="AD37" s="801"/>
      <c r="AE37" s="801"/>
      <c r="AF37" s="278"/>
      <c r="AG37" s="801"/>
      <c r="AH37" s="801"/>
      <c r="AI37" s="278" t="str">
        <f>+IF(U37="","",IF(U37&gt;=[1]PARÁMETROS!$D$5,"CUMPLE","NO CUMPLE"))</f>
        <v/>
      </c>
      <c r="AJ37" s="155"/>
      <c r="AK37" s="109"/>
    </row>
    <row r="38" spans="1:37" s="72" customFormat="1" ht="30" customHeight="1">
      <c r="A38" s="795"/>
      <c r="B38" s="123"/>
      <c r="C38" s="123"/>
      <c r="D38" s="125" t="str">
        <f>+IFERROR(INDEX([1]CONSOLIDADO!$D$4:$D$91,MATCH('EXP GEN. 1-5'!B38,[1]CONSOLIDADO!$C$4:$C$91,0)),"")</f>
        <v/>
      </c>
      <c r="E38" s="137"/>
      <c r="F38" s="127"/>
      <c r="G38" s="279"/>
      <c r="H38" s="279"/>
      <c r="I38" s="128"/>
      <c r="J38" s="129"/>
      <c r="K38" s="129"/>
      <c r="L38" s="130" t="str">
        <f t="shared" si="0"/>
        <v/>
      </c>
      <c r="M38" s="131" t="str">
        <f>+IFERROR(INDEX([1]PARÁMETROS!$B$11:$B$37,MATCH(L38,[1]PARÁMETROS!$A$11:$A$37,0)),"")</f>
        <v/>
      </c>
      <c r="N38" s="132"/>
      <c r="O38" s="133"/>
      <c r="P38" s="123"/>
      <c r="Q38" s="134"/>
      <c r="R38" s="135"/>
      <c r="S38" s="131" t="str">
        <f t="shared" si="1"/>
        <v/>
      </c>
      <c r="T38" s="136" t="str">
        <f t="shared" si="2"/>
        <v/>
      </c>
      <c r="U38" s="136" t="str">
        <f t="shared" si="3"/>
        <v/>
      </c>
      <c r="V38" s="279"/>
      <c r="W38" s="798"/>
      <c r="X38" s="798"/>
      <c r="Y38" s="798"/>
      <c r="Z38" s="798"/>
      <c r="AA38" s="798"/>
      <c r="AB38" s="798"/>
      <c r="AC38" s="798"/>
      <c r="AD38" s="798"/>
      <c r="AE38" s="798"/>
      <c r="AF38" s="279"/>
      <c r="AG38" s="798" t="str">
        <f>IF(U38="","",IF(SUM(U38:U40)&gt;=[1]PARÁMETROS!$H$5,"HÁBIL","NO HÁBIL"))</f>
        <v/>
      </c>
      <c r="AH38" s="798" t="str">
        <f>IF(U38="","",IF(U38&gt;=[1]PARÁMETROS!$F$5,"HÁBIL","NO HÁBIL"))</f>
        <v/>
      </c>
      <c r="AI38" s="279" t="str">
        <f>+IF(U38="","",IF(U38&gt;=[1]PARÁMETROS!$D$5,"CUMPLE","NO CUMPLE"))</f>
        <v/>
      </c>
      <c r="AJ38" s="138"/>
      <c r="AK38" s="109"/>
    </row>
    <row r="39" spans="1:37" s="72" customFormat="1" ht="30" customHeight="1">
      <c r="A39" s="796"/>
      <c r="B39" s="58"/>
      <c r="C39" s="58"/>
      <c r="D39" s="60" t="str">
        <f>+IFERROR(INDEX([1]CONSOLIDADO!$D$4:$D$91,MATCH('EXP GEN. 1-5'!B39,[1]CONSOLIDADO!$C$4:$C$91,0)),"")</f>
        <v/>
      </c>
      <c r="E39" s="71"/>
      <c r="F39" s="62"/>
      <c r="G39" s="277"/>
      <c r="H39" s="277"/>
      <c r="I39" s="63"/>
      <c r="J39" s="64"/>
      <c r="K39" s="64"/>
      <c r="L39" s="65" t="str">
        <f t="shared" si="0"/>
        <v/>
      </c>
      <c r="M39" s="66" t="str">
        <f>+IFERROR(INDEX([1]PARÁMETROS!$B$11:$B$37,MATCH(L39,[1]PARÁMETROS!$A$11:$A$37,0)),"")</f>
        <v/>
      </c>
      <c r="N39" s="67"/>
      <c r="O39" s="68"/>
      <c r="P39" s="58"/>
      <c r="Q39" s="69"/>
      <c r="R39" s="70"/>
      <c r="S39" s="66" t="str">
        <f t="shared" si="1"/>
        <v/>
      </c>
      <c r="T39" s="55" t="str">
        <f t="shared" si="2"/>
        <v/>
      </c>
      <c r="U39" s="55" t="str">
        <f t="shared" si="3"/>
        <v/>
      </c>
      <c r="V39" s="277"/>
      <c r="W39" s="799"/>
      <c r="X39" s="799"/>
      <c r="Y39" s="799"/>
      <c r="Z39" s="799"/>
      <c r="AA39" s="799"/>
      <c r="AB39" s="799"/>
      <c r="AC39" s="799"/>
      <c r="AD39" s="799"/>
      <c r="AE39" s="799"/>
      <c r="AF39" s="277"/>
      <c r="AG39" s="799"/>
      <c r="AH39" s="799"/>
      <c r="AI39" s="277" t="str">
        <f>+IF(U39="","",IF(U39&gt;=[1]PARÁMETROS!$D$5,"CUMPLE","NO CUMPLE"))</f>
        <v/>
      </c>
      <c r="AJ39" s="139"/>
      <c r="AK39" s="109"/>
    </row>
    <row r="40" spans="1:37" s="72" customFormat="1" ht="30" customHeight="1">
      <c r="A40" s="796"/>
      <c r="B40" s="58"/>
      <c r="C40" s="58"/>
      <c r="D40" s="60" t="str">
        <f>+IFERROR(INDEX([1]CONSOLIDADO!$D$4:$D$91,MATCH('EXP GEN. 1-5'!B40,[1]CONSOLIDADO!$C$4:$C$91,0)),"")</f>
        <v/>
      </c>
      <c r="E40" s="71"/>
      <c r="F40" s="62"/>
      <c r="G40" s="277"/>
      <c r="H40" s="277"/>
      <c r="I40" s="63"/>
      <c r="J40" s="64"/>
      <c r="K40" s="64"/>
      <c r="L40" s="65" t="str">
        <f t="shared" si="0"/>
        <v/>
      </c>
      <c r="M40" s="66" t="str">
        <f>+IFERROR(INDEX([1]PARÁMETROS!$B$11:$B$37,MATCH(L40,[1]PARÁMETROS!$A$11:$A$37,0)),"")</f>
        <v/>
      </c>
      <c r="N40" s="67"/>
      <c r="O40" s="68"/>
      <c r="P40" s="58"/>
      <c r="Q40" s="69"/>
      <c r="R40" s="70"/>
      <c r="S40" s="66" t="str">
        <f t="shared" si="1"/>
        <v/>
      </c>
      <c r="T40" s="55" t="str">
        <f t="shared" si="2"/>
        <v/>
      </c>
      <c r="U40" s="55" t="str">
        <f t="shared" si="3"/>
        <v/>
      </c>
      <c r="V40" s="277"/>
      <c r="W40" s="799"/>
      <c r="X40" s="799"/>
      <c r="Y40" s="799"/>
      <c r="Z40" s="799"/>
      <c r="AA40" s="799"/>
      <c r="AB40" s="799"/>
      <c r="AC40" s="799"/>
      <c r="AD40" s="799"/>
      <c r="AE40" s="799"/>
      <c r="AF40" s="277"/>
      <c r="AG40" s="799"/>
      <c r="AH40" s="799"/>
      <c r="AI40" s="277" t="str">
        <f>+IF(U40="","",IF(U40&gt;=[1]PARÁMETROS!$D$5,"CUMPLE","NO CUMPLE"))</f>
        <v/>
      </c>
      <c r="AJ40" s="139"/>
      <c r="AK40" s="109"/>
    </row>
    <row r="41" spans="1:37" s="72" customFormat="1" ht="30" customHeight="1">
      <c r="A41" s="796"/>
      <c r="B41" s="58"/>
      <c r="C41" s="58"/>
      <c r="D41" s="60" t="str">
        <f>+IFERROR(INDEX([1]CONSOLIDADO!$D$4:$D$91,MATCH('EXP GEN. 1-5'!B41,[1]CONSOLIDADO!$C$4:$C$91,0)),"")</f>
        <v/>
      </c>
      <c r="E41" s="71"/>
      <c r="F41" s="62"/>
      <c r="G41" s="277"/>
      <c r="H41" s="277"/>
      <c r="I41" s="63"/>
      <c r="J41" s="64"/>
      <c r="K41" s="64"/>
      <c r="L41" s="65" t="str">
        <f t="shared" si="0"/>
        <v/>
      </c>
      <c r="M41" s="66" t="str">
        <f>+IFERROR(INDEX([1]PARÁMETROS!$B$11:$B$37,MATCH(L41,[1]PARÁMETROS!$A$11:$A$37,0)),"")</f>
        <v/>
      </c>
      <c r="N41" s="67"/>
      <c r="O41" s="68"/>
      <c r="P41" s="58"/>
      <c r="Q41" s="69"/>
      <c r="R41" s="70"/>
      <c r="S41" s="66" t="str">
        <f t="shared" si="1"/>
        <v/>
      </c>
      <c r="T41" s="55" t="str">
        <f t="shared" si="2"/>
        <v/>
      </c>
      <c r="U41" s="55" t="str">
        <f t="shared" si="3"/>
        <v/>
      </c>
      <c r="V41" s="277"/>
      <c r="W41" s="799"/>
      <c r="X41" s="799"/>
      <c r="Y41" s="799"/>
      <c r="Z41" s="799"/>
      <c r="AA41" s="799"/>
      <c r="AB41" s="799"/>
      <c r="AC41" s="799"/>
      <c r="AD41" s="799"/>
      <c r="AE41" s="799"/>
      <c r="AF41" s="277"/>
      <c r="AG41" s="799"/>
      <c r="AH41" s="799"/>
      <c r="AI41" s="277" t="str">
        <f>+IF(U41="","",IF(U41&gt;=[1]PARÁMETROS!$D$5,"CUMPLE","NO CUMPLE"))</f>
        <v/>
      </c>
      <c r="AJ41" s="139"/>
      <c r="AK41" s="109"/>
    </row>
    <row r="42" spans="1:37" s="72" customFormat="1" ht="30" customHeight="1">
      <c r="A42" s="796"/>
      <c r="B42" s="58"/>
      <c r="C42" s="58"/>
      <c r="D42" s="60" t="str">
        <f>+IFERROR(INDEX([1]CONSOLIDADO!$D$4:$D$91,MATCH('EXP GEN. 1-5'!B42,[1]CONSOLIDADO!$C$4:$C$91,0)),"")</f>
        <v/>
      </c>
      <c r="E42" s="71"/>
      <c r="F42" s="61"/>
      <c r="G42" s="277"/>
      <c r="H42" s="277"/>
      <c r="I42" s="73"/>
      <c r="J42" s="64"/>
      <c r="K42" s="64"/>
      <c r="L42" s="65" t="str">
        <f t="shared" si="0"/>
        <v/>
      </c>
      <c r="M42" s="66" t="str">
        <f>+IFERROR(INDEX([1]PARÁMETROS!$B$11:$B$37,MATCH(L42,[1]PARÁMETROS!$A$11:$A$37,0)),"")</f>
        <v/>
      </c>
      <c r="N42" s="74"/>
      <c r="O42" s="66"/>
      <c r="P42" s="58"/>
      <c r="Q42" s="69"/>
      <c r="R42" s="70"/>
      <c r="S42" s="66" t="str">
        <f t="shared" si="1"/>
        <v/>
      </c>
      <c r="T42" s="55" t="str">
        <f t="shared" si="2"/>
        <v/>
      </c>
      <c r="U42" s="55" t="str">
        <f t="shared" si="3"/>
        <v/>
      </c>
      <c r="V42" s="277"/>
      <c r="W42" s="799"/>
      <c r="X42" s="799"/>
      <c r="Y42" s="799"/>
      <c r="Z42" s="799"/>
      <c r="AA42" s="799"/>
      <c r="AB42" s="799"/>
      <c r="AC42" s="799"/>
      <c r="AD42" s="799"/>
      <c r="AE42" s="799"/>
      <c r="AF42" s="277"/>
      <c r="AG42" s="799"/>
      <c r="AH42" s="799"/>
      <c r="AI42" s="277" t="str">
        <f>+IF(U42="","",IF(U42&gt;=[1]PARÁMETROS!$D$5,"CUMPLE","NO CUMPLE"))</f>
        <v/>
      </c>
      <c r="AJ42" s="139"/>
      <c r="AK42" s="109"/>
    </row>
    <row r="43" spans="1:37" s="72" customFormat="1" ht="30" customHeight="1" thickBot="1">
      <c r="A43" s="806"/>
      <c r="B43" s="141"/>
      <c r="C43" s="141"/>
      <c r="D43" s="143" t="str">
        <f>+IFERROR(INDEX([1]CONSOLIDADO!$D$4:$D$91,MATCH('EXP GEN. 1-5'!B43,[1]CONSOLIDADO!$C$4:$C$91,0)),"")</f>
        <v/>
      </c>
      <c r="E43" s="322"/>
      <c r="F43" s="144"/>
      <c r="G43" s="278"/>
      <c r="H43" s="278"/>
      <c r="I43" s="164"/>
      <c r="J43" s="147"/>
      <c r="K43" s="147"/>
      <c r="L43" s="148" t="str">
        <f t="shared" si="0"/>
        <v/>
      </c>
      <c r="M43" s="149" t="str">
        <f>+IFERROR(INDEX([1]PARÁMETROS!$B$11:$B$37,MATCH(L43,[1]PARÁMETROS!$A$11:$A$37,0)),"")</f>
        <v/>
      </c>
      <c r="N43" s="165"/>
      <c r="O43" s="149"/>
      <c r="P43" s="141"/>
      <c r="Q43" s="152"/>
      <c r="R43" s="153"/>
      <c r="S43" s="149" t="str">
        <f t="shared" si="1"/>
        <v/>
      </c>
      <c r="T43" s="154" t="str">
        <f t="shared" si="2"/>
        <v/>
      </c>
      <c r="U43" s="154" t="str">
        <f t="shared" si="3"/>
        <v/>
      </c>
      <c r="V43" s="278"/>
      <c r="W43" s="801"/>
      <c r="X43" s="801"/>
      <c r="Y43" s="801"/>
      <c r="Z43" s="801"/>
      <c r="AA43" s="801"/>
      <c r="AB43" s="801"/>
      <c r="AC43" s="801"/>
      <c r="AD43" s="801"/>
      <c r="AE43" s="801"/>
      <c r="AF43" s="278"/>
      <c r="AG43" s="801"/>
      <c r="AH43" s="801"/>
      <c r="AI43" s="278" t="str">
        <f>+IF(U43="","",IF(U43&gt;=[1]PARÁMETROS!$D$5,"CUMPLE","NO CUMPLE"))</f>
        <v/>
      </c>
      <c r="AJ43" s="155"/>
      <c r="AK43" s="109"/>
    </row>
    <row r="44" spans="1:37" s="72" customFormat="1" ht="30" customHeight="1">
      <c r="A44" s="795"/>
      <c r="B44" s="123"/>
      <c r="C44" s="123"/>
      <c r="D44" s="125" t="str">
        <f>+IFERROR(INDEX([1]CONSOLIDADO!$D$4:$D$91,MATCH('EXP GEN. 1-5'!B44,[1]CONSOLIDADO!$C$4:$C$91,0)),"")</f>
        <v/>
      </c>
      <c r="E44" s="137"/>
      <c r="F44" s="126"/>
      <c r="G44" s="279"/>
      <c r="H44" s="279"/>
      <c r="I44" s="162"/>
      <c r="J44" s="129"/>
      <c r="K44" s="129"/>
      <c r="L44" s="130" t="str">
        <f t="shared" si="0"/>
        <v/>
      </c>
      <c r="M44" s="131" t="str">
        <f>+IFERROR(INDEX([1]PARÁMETROS!$B$11:$B$37,MATCH(L44,[1]PARÁMETROS!$A$11:$A$37,0)),"")</f>
        <v/>
      </c>
      <c r="N44" s="163"/>
      <c r="O44" s="131"/>
      <c r="P44" s="123"/>
      <c r="Q44" s="134"/>
      <c r="R44" s="135"/>
      <c r="S44" s="131" t="str">
        <f t="shared" si="1"/>
        <v/>
      </c>
      <c r="T44" s="136" t="str">
        <f t="shared" si="2"/>
        <v/>
      </c>
      <c r="U44" s="136" t="str">
        <f t="shared" si="3"/>
        <v/>
      </c>
      <c r="V44" s="279"/>
      <c r="W44" s="798"/>
      <c r="X44" s="798"/>
      <c r="Y44" s="798"/>
      <c r="Z44" s="798"/>
      <c r="AA44" s="798"/>
      <c r="AB44" s="798"/>
      <c r="AC44" s="798"/>
      <c r="AD44" s="798"/>
      <c r="AE44" s="798"/>
      <c r="AF44" s="279"/>
      <c r="AG44" s="798" t="str">
        <f>IF(U44="","",IF(SUM(U44:U46)&gt;=[1]PARÁMETROS!$H$5,"HÁBIL","NO HÁBIL"))</f>
        <v/>
      </c>
      <c r="AH44" s="798" t="str">
        <f>IF(U44="","",IF(U44&gt;=[1]PARÁMETROS!$F$5,"HÁBIL","NO HÁBIL"))</f>
        <v/>
      </c>
      <c r="AI44" s="279" t="str">
        <f>+IF(U44="","",IF(U44&gt;=[1]PARÁMETROS!$D$5,"CUMPLE","NO CUMPLE"))</f>
        <v/>
      </c>
      <c r="AJ44" s="138"/>
      <c r="AK44" s="109"/>
    </row>
    <row r="45" spans="1:37" s="72" customFormat="1" ht="30" customHeight="1">
      <c r="A45" s="796"/>
      <c r="B45" s="58"/>
      <c r="C45" s="58"/>
      <c r="D45" s="60" t="str">
        <f>+IFERROR(INDEX([1]CONSOLIDADO!$D$4:$D$91,MATCH('EXP GEN. 1-5'!B45,[1]CONSOLIDADO!$C$4:$C$91,0)),"")</f>
        <v/>
      </c>
      <c r="E45" s="71"/>
      <c r="F45" s="61"/>
      <c r="G45" s="277"/>
      <c r="H45" s="277"/>
      <c r="I45" s="73"/>
      <c r="J45" s="64"/>
      <c r="K45" s="64"/>
      <c r="L45" s="65" t="str">
        <f t="shared" si="0"/>
        <v/>
      </c>
      <c r="M45" s="66" t="str">
        <f>+IFERROR(INDEX([1]PARÁMETROS!$B$11:$B$37,MATCH(L45,[1]PARÁMETROS!$A$11:$A$37,0)),"")</f>
        <v/>
      </c>
      <c r="N45" s="74"/>
      <c r="O45" s="66"/>
      <c r="P45" s="58"/>
      <c r="Q45" s="69"/>
      <c r="R45" s="70"/>
      <c r="S45" s="66" t="str">
        <f t="shared" si="1"/>
        <v/>
      </c>
      <c r="T45" s="55" t="str">
        <f t="shared" si="2"/>
        <v/>
      </c>
      <c r="U45" s="55" t="str">
        <f t="shared" si="3"/>
        <v/>
      </c>
      <c r="V45" s="277"/>
      <c r="W45" s="799"/>
      <c r="X45" s="799"/>
      <c r="Y45" s="799"/>
      <c r="Z45" s="799"/>
      <c r="AA45" s="799"/>
      <c r="AB45" s="799"/>
      <c r="AC45" s="799"/>
      <c r="AD45" s="799"/>
      <c r="AE45" s="799"/>
      <c r="AF45" s="277"/>
      <c r="AG45" s="799"/>
      <c r="AH45" s="799"/>
      <c r="AI45" s="277" t="str">
        <f>+IF(U45="","",IF(U45&gt;=[1]PARÁMETROS!$D$5,"CUMPLE","NO CUMPLE"))</f>
        <v/>
      </c>
      <c r="AJ45" s="139"/>
      <c r="AK45" s="109"/>
    </row>
    <row r="46" spans="1:37" s="72" customFormat="1" ht="30" customHeight="1">
      <c r="A46" s="796"/>
      <c r="B46" s="58"/>
      <c r="C46" s="58"/>
      <c r="D46" s="60" t="str">
        <f>+IFERROR(INDEX([1]CONSOLIDADO!$D$4:$D$91,MATCH('EXP GEN. 1-5'!B46,[1]CONSOLIDADO!$C$4:$C$91,0)),"")</f>
        <v/>
      </c>
      <c r="E46" s="71"/>
      <c r="F46" s="61"/>
      <c r="G46" s="277"/>
      <c r="H46" s="277"/>
      <c r="I46" s="73"/>
      <c r="J46" s="64"/>
      <c r="K46" s="64"/>
      <c r="L46" s="65" t="str">
        <f t="shared" si="0"/>
        <v/>
      </c>
      <c r="M46" s="66" t="str">
        <f>+IFERROR(INDEX([1]PARÁMETROS!$B$11:$B$37,MATCH(L46,[1]PARÁMETROS!$A$11:$A$37,0)),"")</f>
        <v/>
      </c>
      <c r="N46" s="74"/>
      <c r="O46" s="66"/>
      <c r="P46" s="58"/>
      <c r="Q46" s="69"/>
      <c r="R46" s="70"/>
      <c r="S46" s="66" t="str">
        <f t="shared" si="1"/>
        <v/>
      </c>
      <c r="T46" s="55" t="str">
        <f t="shared" si="2"/>
        <v/>
      </c>
      <c r="U46" s="55" t="str">
        <f t="shared" si="3"/>
        <v/>
      </c>
      <c r="V46" s="277"/>
      <c r="W46" s="799"/>
      <c r="X46" s="799"/>
      <c r="Y46" s="799"/>
      <c r="Z46" s="799"/>
      <c r="AA46" s="799"/>
      <c r="AB46" s="799"/>
      <c r="AC46" s="799"/>
      <c r="AD46" s="799"/>
      <c r="AE46" s="799"/>
      <c r="AF46" s="277"/>
      <c r="AG46" s="799"/>
      <c r="AH46" s="799"/>
      <c r="AI46" s="277" t="str">
        <f>+IF(U46="","",IF(U46&gt;=[1]PARÁMETROS!$D$5,"CUMPLE","NO CUMPLE"))</f>
        <v/>
      </c>
      <c r="AJ46" s="139"/>
      <c r="AK46" s="109"/>
    </row>
    <row r="47" spans="1:37" s="72" customFormat="1" ht="30" customHeight="1">
      <c r="A47" s="796"/>
      <c r="B47" s="58"/>
      <c r="C47" s="58"/>
      <c r="D47" s="60" t="str">
        <f>+IFERROR(INDEX([1]CONSOLIDADO!$D$4:$D$91,MATCH('EXP GEN. 1-5'!B47,[1]CONSOLIDADO!$C$4:$C$91,0)),"")</f>
        <v/>
      </c>
      <c r="E47" s="71"/>
      <c r="F47" s="61"/>
      <c r="G47" s="277"/>
      <c r="H47" s="277"/>
      <c r="I47" s="73"/>
      <c r="J47" s="64"/>
      <c r="K47" s="64"/>
      <c r="L47" s="65" t="str">
        <f t="shared" si="0"/>
        <v/>
      </c>
      <c r="M47" s="66" t="str">
        <f>+IFERROR(INDEX([1]PARÁMETROS!$B$11:$B$37,MATCH(L47,[1]PARÁMETROS!$A$11:$A$37,0)),"")</f>
        <v/>
      </c>
      <c r="N47" s="74"/>
      <c r="O47" s="66"/>
      <c r="P47" s="58"/>
      <c r="Q47" s="69"/>
      <c r="R47" s="70"/>
      <c r="S47" s="66" t="str">
        <f t="shared" si="1"/>
        <v/>
      </c>
      <c r="T47" s="55" t="str">
        <f t="shared" si="2"/>
        <v/>
      </c>
      <c r="U47" s="55" t="str">
        <f t="shared" si="3"/>
        <v/>
      </c>
      <c r="V47" s="277"/>
      <c r="W47" s="799"/>
      <c r="X47" s="799"/>
      <c r="Y47" s="799"/>
      <c r="Z47" s="799"/>
      <c r="AA47" s="799"/>
      <c r="AB47" s="799"/>
      <c r="AC47" s="799"/>
      <c r="AD47" s="799"/>
      <c r="AE47" s="799"/>
      <c r="AF47" s="277"/>
      <c r="AG47" s="799"/>
      <c r="AH47" s="799"/>
      <c r="AI47" s="277" t="str">
        <f>+IF(U47="","",IF(U47&gt;=[1]PARÁMETROS!$D$5,"CUMPLE","NO CUMPLE"))</f>
        <v/>
      </c>
      <c r="AJ47" s="139"/>
      <c r="AK47" s="109"/>
    </row>
    <row r="48" spans="1:37" s="72" customFormat="1" ht="30" customHeight="1">
      <c r="A48" s="796"/>
      <c r="B48" s="58"/>
      <c r="C48" s="58"/>
      <c r="D48" s="60" t="str">
        <f>+IFERROR(INDEX([1]CONSOLIDADO!$D$4:$D$91,MATCH('EXP GEN. 1-5'!B48,[1]CONSOLIDADO!$C$4:$C$91,0)),"")</f>
        <v/>
      </c>
      <c r="E48" s="71"/>
      <c r="F48" s="61"/>
      <c r="G48" s="277"/>
      <c r="H48" s="277"/>
      <c r="I48" s="73"/>
      <c r="J48" s="64"/>
      <c r="K48" s="64"/>
      <c r="L48" s="65" t="str">
        <f t="shared" si="0"/>
        <v/>
      </c>
      <c r="M48" s="66" t="str">
        <f>+IFERROR(INDEX([1]PARÁMETROS!$B$11:$B$37,MATCH(L48,[1]PARÁMETROS!$A$11:$A$37,0)),"")</f>
        <v/>
      </c>
      <c r="N48" s="74"/>
      <c r="O48" s="66"/>
      <c r="P48" s="58"/>
      <c r="Q48" s="69"/>
      <c r="R48" s="70"/>
      <c r="S48" s="66" t="str">
        <f t="shared" si="1"/>
        <v/>
      </c>
      <c r="T48" s="55" t="str">
        <f t="shared" si="2"/>
        <v/>
      </c>
      <c r="U48" s="55" t="str">
        <f t="shared" si="3"/>
        <v/>
      </c>
      <c r="V48" s="277"/>
      <c r="W48" s="799"/>
      <c r="X48" s="799"/>
      <c r="Y48" s="799"/>
      <c r="Z48" s="799"/>
      <c r="AA48" s="799"/>
      <c r="AB48" s="799"/>
      <c r="AC48" s="799"/>
      <c r="AD48" s="799"/>
      <c r="AE48" s="799"/>
      <c r="AF48" s="277"/>
      <c r="AG48" s="799"/>
      <c r="AH48" s="799"/>
      <c r="AI48" s="277" t="str">
        <f>+IF(U48="","",IF(U48&gt;=[1]PARÁMETROS!$D$5,"CUMPLE","NO CUMPLE"))</f>
        <v/>
      </c>
      <c r="AJ48" s="139"/>
      <c r="AK48" s="109"/>
    </row>
    <row r="49" spans="1:37" s="72" customFormat="1" ht="30" customHeight="1" thickBot="1">
      <c r="A49" s="806"/>
      <c r="B49" s="141"/>
      <c r="C49" s="141"/>
      <c r="D49" s="143" t="str">
        <f>+IFERROR(INDEX([1]CONSOLIDADO!$D$4:$D$91,MATCH('EXP GEN. 1-5'!B49,[1]CONSOLIDADO!$C$4:$C$91,0)),"")</f>
        <v/>
      </c>
      <c r="E49" s="322"/>
      <c r="F49" s="144"/>
      <c r="G49" s="278"/>
      <c r="H49" s="278"/>
      <c r="I49" s="164"/>
      <c r="J49" s="147"/>
      <c r="K49" s="147"/>
      <c r="L49" s="148" t="str">
        <f t="shared" si="0"/>
        <v/>
      </c>
      <c r="M49" s="149" t="str">
        <f>+IFERROR(INDEX([1]PARÁMETROS!$B$11:$B$37,MATCH(L49,[1]PARÁMETROS!$A$11:$A$37,0)),"")</f>
        <v/>
      </c>
      <c r="N49" s="165"/>
      <c r="O49" s="149"/>
      <c r="P49" s="141"/>
      <c r="Q49" s="152"/>
      <c r="R49" s="153"/>
      <c r="S49" s="149" t="str">
        <f t="shared" si="1"/>
        <v/>
      </c>
      <c r="T49" s="154" t="str">
        <f t="shared" si="2"/>
        <v/>
      </c>
      <c r="U49" s="154" t="str">
        <f t="shared" si="3"/>
        <v/>
      </c>
      <c r="V49" s="278"/>
      <c r="W49" s="801"/>
      <c r="X49" s="801"/>
      <c r="Y49" s="801"/>
      <c r="Z49" s="801"/>
      <c r="AA49" s="801"/>
      <c r="AB49" s="801"/>
      <c r="AC49" s="801"/>
      <c r="AD49" s="801"/>
      <c r="AE49" s="801"/>
      <c r="AF49" s="278"/>
      <c r="AG49" s="801"/>
      <c r="AH49" s="801"/>
      <c r="AI49" s="278" t="str">
        <f>+IF(U49="","",IF(U49&gt;=[1]PARÁMETROS!$D$5,"CUMPLE","NO CUMPLE"))</f>
        <v/>
      </c>
      <c r="AJ49" s="155"/>
      <c r="AK49" s="109"/>
    </row>
    <row r="50" spans="1:37" s="72" customFormat="1" ht="30" customHeight="1">
      <c r="A50" s="795"/>
      <c r="B50" s="123"/>
      <c r="C50" s="123"/>
      <c r="D50" s="125" t="str">
        <f>+IFERROR(INDEX([1]CONSOLIDADO!$D$4:$D$91,MATCH('EXP GEN. 1-5'!B50,[1]CONSOLIDADO!$C$4:$C$91,0)),"")</f>
        <v/>
      </c>
      <c r="E50" s="137"/>
      <c r="F50" s="126"/>
      <c r="G50" s="279"/>
      <c r="H50" s="279"/>
      <c r="I50" s="162"/>
      <c r="J50" s="129"/>
      <c r="K50" s="129"/>
      <c r="L50" s="130" t="str">
        <f t="shared" si="0"/>
        <v/>
      </c>
      <c r="M50" s="131" t="str">
        <f>+IFERROR(INDEX([1]PARÁMETROS!$B$11:$B$37,MATCH(L50,[1]PARÁMETROS!$A$11:$A$37,0)),"")</f>
        <v/>
      </c>
      <c r="N50" s="163"/>
      <c r="O50" s="131"/>
      <c r="P50" s="123"/>
      <c r="Q50" s="134"/>
      <c r="R50" s="135"/>
      <c r="S50" s="131" t="str">
        <f t="shared" si="1"/>
        <v/>
      </c>
      <c r="T50" s="136" t="str">
        <f t="shared" si="2"/>
        <v/>
      </c>
      <c r="U50" s="136" t="str">
        <f t="shared" si="3"/>
        <v/>
      </c>
      <c r="V50" s="279"/>
      <c r="W50" s="798"/>
      <c r="X50" s="798"/>
      <c r="Y50" s="798"/>
      <c r="Z50" s="798"/>
      <c r="AA50" s="798"/>
      <c r="AB50" s="798"/>
      <c r="AC50" s="798"/>
      <c r="AD50" s="798"/>
      <c r="AE50" s="798"/>
      <c r="AF50" s="279"/>
      <c r="AG50" s="798" t="str">
        <f>IF(U50="","",IF(SUM(U50:U52)&gt;=[1]PARÁMETROS!$H$5,"HÁBIL","NO HÁBIL"))</f>
        <v/>
      </c>
      <c r="AH50" s="798" t="str">
        <f>IF(U50="","",IF(U50&gt;=[1]PARÁMETROS!$F$5,"HÁBIL","NO HÁBIL"))</f>
        <v/>
      </c>
      <c r="AI50" s="279" t="str">
        <f>+IF(U50="","",IF(U50&gt;=[1]PARÁMETROS!$D$5,"CUMPLE","NO CUMPLE"))</f>
        <v/>
      </c>
      <c r="AJ50" s="138"/>
      <c r="AK50" s="109"/>
    </row>
    <row r="51" spans="1:37" s="72" customFormat="1" ht="30" customHeight="1">
      <c r="A51" s="796"/>
      <c r="B51" s="58"/>
      <c r="C51" s="58"/>
      <c r="D51" s="60" t="str">
        <f>+IFERROR(INDEX([1]CONSOLIDADO!$D$4:$D$91,MATCH('EXP GEN. 1-5'!B51,[1]CONSOLIDADO!$C$4:$C$91,0)),"")</f>
        <v/>
      </c>
      <c r="E51" s="71"/>
      <c r="F51" s="61"/>
      <c r="G51" s="277"/>
      <c r="H51" s="277"/>
      <c r="I51" s="73"/>
      <c r="J51" s="64"/>
      <c r="K51" s="64"/>
      <c r="L51" s="65" t="str">
        <f t="shared" si="0"/>
        <v/>
      </c>
      <c r="M51" s="66" t="str">
        <f>+IFERROR(INDEX([1]PARÁMETROS!$B$11:$B$37,MATCH(L51,[1]PARÁMETROS!$A$11:$A$37,0)),"")</f>
        <v/>
      </c>
      <c r="N51" s="74"/>
      <c r="O51" s="66"/>
      <c r="P51" s="58"/>
      <c r="Q51" s="69"/>
      <c r="R51" s="70"/>
      <c r="S51" s="66" t="str">
        <f t="shared" si="1"/>
        <v/>
      </c>
      <c r="T51" s="55" t="str">
        <f t="shared" si="2"/>
        <v/>
      </c>
      <c r="U51" s="55" t="str">
        <f t="shared" si="3"/>
        <v/>
      </c>
      <c r="V51" s="277"/>
      <c r="W51" s="799"/>
      <c r="X51" s="799"/>
      <c r="Y51" s="799"/>
      <c r="Z51" s="799"/>
      <c r="AA51" s="799"/>
      <c r="AB51" s="799"/>
      <c r="AC51" s="799"/>
      <c r="AD51" s="799"/>
      <c r="AE51" s="799"/>
      <c r="AF51" s="277"/>
      <c r="AG51" s="799"/>
      <c r="AH51" s="799"/>
      <c r="AI51" s="277" t="str">
        <f>+IF(U51="","",IF(U51&gt;=[1]PARÁMETROS!$D$5,"CUMPLE","NO CUMPLE"))</f>
        <v/>
      </c>
      <c r="AJ51" s="139"/>
      <c r="AK51" s="109"/>
    </row>
    <row r="52" spans="1:37" s="72" customFormat="1" ht="30" customHeight="1">
      <c r="A52" s="796"/>
      <c r="B52" s="58"/>
      <c r="C52" s="58"/>
      <c r="D52" s="60" t="str">
        <f>+IFERROR(INDEX([1]CONSOLIDADO!$D$4:$D$91,MATCH('EXP GEN. 1-5'!B52,[1]CONSOLIDADO!$C$4:$C$91,0)),"")</f>
        <v/>
      </c>
      <c r="E52" s="71"/>
      <c r="F52" s="61"/>
      <c r="G52" s="277"/>
      <c r="H52" s="277"/>
      <c r="I52" s="73"/>
      <c r="J52" s="64"/>
      <c r="K52" s="64"/>
      <c r="L52" s="65" t="str">
        <f t="shared" si="0"/>
        <v/>
      </c>
      <c r="M52" s="66" t="str">
        <f>+IFERROR(INDEX([1]PARÁMETROS!$B$11:$B$37,MATCH(L52,[1]PARÁMETROS!$A$11:$A$37,0)),"")</f>
        <v/>
      </c>
      <c r="N52" s="74"/>
      <c r="O52" s="66"/>
      <c r="P52" s="58"/>
      <c r="Q52" s="69"/>
      <c r="R52" s="70"/>
      <c r="S52" s="66" t="str">
        <f t="shared" si="1"/>
        <v/>
      </c>
      <c r="T52" s="55" t="str">
        <f t="shared" si="2"/>
        <v/>
      </c>
      <c r="U52" s="55" t="str">
        <f t="shared" si="3"/>
        <v/>
      </c>
      <c r="V52" s="277"/>
      <c r="W52" s="799"/>
      <c r="X52" s="799"/>
      <c r="Y52" s="799"/>
      <c r="Z52" s="799"/>
      <c r="AA52" s="799"/>
      <c r="AB52" s="799"/>
      <c r="AC52" s="799"/>
      <c r="AD52" s="799"/>
      <c r="AE52" s="799"/>
      <c r="AF52" s="277"/>
      <c r="AG52" s="799"/>
      <c r="AH52" s="799"/>
      <c r="AI52" s="277" t="str">
        <f>+IF(U52="","",IF(U52&gt;=[1]PARÁMETROS!$D$5,"CUMPLE","NO CUMPLE"))</f>
        <v/>
      </c>
      <c r="AJ52" s="139"/>
      <c r="AK52" s="109"/>
    </row>
    <row r="53" spans="1:37" s="72" customFormat="1" ht="30" customHeight="1">
      <c r="A53" s="796"/>
      <c r="B53" s="58"/>
      <c r="C53" s="58"/>
      <c r="D53" s="60" t="str">
        <f>+IFERROR(INDEX([1]CONSOLIDADO!$D$4:$D$91,MATCH('EXP GEN. 1-5'!B53,[1]CONSOLIDADO!$C$4:$C$91,0)),"")</f>
        <v/>
      </c>
      <c r="E53" s="71"/>
      <c r="F53" s="61"/>
      <c r="G53" s="277"/>
      <c r="H53" s="277"/>
      <c r="I53" s="73"/>
      <c r="J53" s="64"/>
      <c r="K53" s="64"/>
      <c r="L53" s="65" t="str">
        <f t="shared" si="0"/>
        <v/>
      </c>
      <c r="M53" s="66" t="str">
        <f>+IFERROR(INDEX([1]PARÁMETROS!$B$11:$B$37,MATCH(L53,[1]PARÁMETROS!$A$11:$A$37,0)),"")</f>
        <v/>
      </c>
      <c r="N53" s="74"/>
      <c r="O53" s="66"/>
      <c r="P53" s="58"/>
      <c r="Q53" s="69"/>
      <c r="R53" s="70"/>
      <c r="S53" s="66" t="str">
        <f t="shared" si="1"/>
        <v/>
      </c>
      <c r="T53" s="55" t="str">
        <f t="shared" si="2"/>
        <v/>
      </c>
      <c r="U53" s="55" t="str">
        <f t="shared" si="3"/>
        <v/>
      </c>
      <c r="V53" s="277"/>
      <c r="W53" s="799"/>
      <c r="X53" s="799"/>
      <c r="Y53" s="799"/>
      <c r="Z53" s="799"/>
      <c r="AA53" s="799"/>
      <c r="AB53" s="799"/>
      <c r="AC53" s="799"/>
      <c r="AD53" s="799"/>
      <c r="AE53" s="799"/>
      <c r="AF53" s="277"/>
      <c r="AG53" s="799"/>
      <c r="AH53" s="799"/>
      <c r="AI53" s="277" t="str">
        <f>+IF(U53="","",IF(U53&gt;=[1]PARÁMETROS!$D$5,"CUMPLE","NO CUMPLE"))</f>
        <v/>
      </c>
      <c r="AJ53" s="139"/>
      <c r="AK53" s="109"/>
    </row>
    <row r="54" spans="1:37" s="72" customFormat="1" ht="30" customHeight="1">
      <c r="A54" s="796"/>
      <c r="B54" s="58"/>
      <c r="C54" s="58"/>
      <c r="D54" s="60" t="str">
        <f>+IFERROR(INDEX([1]CONSOLIDADO!$D$4:$D$91,MATCH('EXP GEN. 1-5'!B54,[1]CONSOLIDADO!$C$4:$C$91,0)),"")</f>
        <v/>
      </c>
      <c r="E54" s="71"/>
      <c r="F54" s="61"/>
      <c r="G54" s="277"/>
      <c r="H54" s="277"/>
      <c r="I54" s="73"/>
      <c r="J54" s="64"/>
      <c r="K54" s="64"/>
      <c r="L54" s="65" t="str">
        <f t="shared" si="0"/>
        <v/>
      </c>
      <c r="M54" s="66" t="str">
        <f>+IFERROR(INDEX([1]PARÁMETROS!$B$11:$B$37,MATCH(L54,[1]PARÁMETROS!$A$11:$A$37,0)),"")</f>
        <v/>
      </c>
      <c r="N54" s="74"/>
      <c r="O54" s="66"/>
      <c r="P54" s="58"/>
      <c r="Q54" s="69"/>
      <c r="R54" s="70"/>
      <c r="S54" s="66" t="str">
        <f t="shared" si="1"/>
        <v/>
      </c>
      <c r="T54" s="55" t="str">
        <f t="shared" si="2"/>
        <v/>
      </c>
      <c r="U54" s="55" t="str">
        <f t="shared" si="3"/>
        <v/>
      </c>
      <c r="V54" s="277"/>
      <c r="W54" s="799"/>
      <c r="X54" s="799"/>
      <c r="Y54" s="799"/>
      <c r="Z54" s="799"/>
      <c r="AA54" s="799"/>
      <c r="AB54" s="799"/>
      <c r="AC54" s="799"/>
      <c r="AD54" s="799"/>
      <c r="AE54" s="799"/>
      <c r="AF54" s="277"/>
      <c r="AG54" s="799"/>
      <c r="AH54" s="799"/>
      <c r="AI54" s="277" t="str">
        <f>+IF(U54="","",IF(U54&gt;=[1]PARÁMETROS!$D$5,"CUMPLE","NO CUMPLE"))</f>
        <v/>
      </c>
      <c r="AJ54" s="139"/>
      <c r="AK54" s="109"/>
    </row>
    <row r="55" spans="1:37" s="72" customFormat="1" ht="30" customHeight="1" thickBot="1">
      <c r="A55" s="806"/>
      <c r="B55" s="141"/>
      <c r="C55" s="141"/>
      <c r="D55" s="143" t="str">
        <f>+IFERROR(INDEX([1]CONSOLIDADO!$D$4:$D$91,MATCH('EXP GEN. 1-5'!B55,[1]CONSOLIDADO!$C$4:$C$91,0)),"")</f>
        <v/>
      </c>
      <c r="E55" s="322"/>
      <c r="F55" s="144"/>
      <c r="G55" s="278"/>
      <c r="H55" s="278"/>
      <c r="I55" s="164"/>
      <c r="J55" s="147"/>
      <c r="K55" s="147"/>
      <c r="L55" s="148" t="str">
        <f t="shared" si="0"/>
        <v/>
      </c>
      <c r="M55" s="149" t="str">
        <f>+IFERROR(INDEX([1]PARÁMETROS!$B$11:$B$37,MATCH(L55,[1]PARÁMETROS!$A$11:$A$37,0)),"")</f>
        <v/>
      </c>
      <c r="N55" s="165"/>
      <c r="O55" s="149"/>
      <c r="P55" s="141"/>
      <c r="Q55" s="152"/>
      <c r="R55" s="153"/>
      <c r="S55" s="149" t="str">
        <f t="shared" si="1"/>
        <v/>
      </c>
      <c r="T55" s="154" t="str">
        <f t="shared" si="2"/>
        <v/>
      </c>
      <c r="U55" s="154" t="str">
        <f t="shared" si="3"/>
        <v/>
      </c>
      <c r="V55" s="278"/>
      <c r="W55" s="801"/>
      <c r="X55" s="801"/>
      <c r="Y55" s="801"/>
      <c r="Z55" s="801"/>
      <c r="AA55" s="801"/>
      <c r="AB55" s="801"/>
      <c r="AC55" s="801"/>
      <c r="AD55" s="801"/>
      <c r="AE55" s="801"/>
      <c r="AF55" s="278"/>
      <c r="AG55" s="801"/>
      <c r="AH55" s="801"/>
      <c r="AI55" s="278" t="str">
        <f>+IF(U55="","",IF(U55&gt;=[1]PARÁMETROS!$D$5,"CUMPLE","NO CUMPLE"))</f>
        <v/>
      </c>
      <c r="AJ55" s="155"/>
      <c r="AK55" s="109"/>
    </row>
    <row r="56" spans="1:37" s="72" customFormat="1" ht="30" customHeight="1">
      <c r="A56" s="795"/>
      <c r="B56" s="123"/>
      <c r="C56" s="123"/>
      <c r="D56" s="125" t="str">
        <f>+IFERROR(INDEX([1]CONSOLIDADO!$D$4:$D$91,MATCH('EXP GEN. 1-5'!B56,[1]CONSOLIDADO!$C$4:$C$91,0)),"")</f>
        <v/>
      </c>
      <c r="E56" s="137"/>
      <c r="F56" s="126"/>
      <c r="G56" s="279"/>
      <c r="H56" s="279"/>
      <c r="I56" s="162"/>
      <c r="J56" s="129"/>
      <c r="K56" s="129"/>
      <c r="L56" s="130" t="str">
        <f t="shared" si="0"/>
        <v/>
      </c>
      <c r="M56" s="131" t="str">
        <f>+IFERROR(INDEX([1]PARÁMETROS!$B$11:$B$37,MATCH(L56,[1]PARÁMETROS!$A$11:$A$37,0)),"")</f>
        <v/>
      </c>
      <c r="N56" s="163"/>
      <c r="O56" s="131"/>
      <c r="P56" s="123"/>
      <c r="Q56" s="134"/>
      <c r="R56" s="135"/>
      <c r="S56" s="131" t="str">
        <f t="shared" si="1"/>
        <v/>
      </c>
      <c r="T56" s="136" t="str">
        <f t="shared" si="2"/>
        <v/>
      </c>
      <c r="U56" s="136" t="str">
        <f t="shared" si="3"/>
        <v/>
      </c>
      <c r="V56" s="279"/>
      <c r="W56" s="798"/>
      <c r="X56" s="798"/>
      <c r="Y56" s="798"/>
      <c r="Z56" s="798"/>
      <c r="AA56" s="798"/>
      <c r="AB56" s="798"/>
      <c r="AC56" s="798"/>
      <c r="AD56" s="798"/>
      <c r="AE56" s="798"/>
      <c r="AF56" s="279"/>
      <c r="AG56" s="798" t="str">
        <f>IF(U56="","",IF(SUM(U56:U58)&gt;=[1]PARÁMETROS!$H$5,"HÁBIL","NO HÁBIL"))</f>
        <v/>
      </c>
      <c r="AH56" s="798" t="str">
        <f>IF(U56="","",IF(U56&gt;=[1]PARÁMETROS!$F$5,"HÁBIL","NO HÁBIL"))</f>
        <v/>
      </c>
      <c r="AI56" s="279" t="str">
        <f>+IF(U56="","",IF(U56&gt;=[1]PARÁMETROS!$D$5,"CUMPLE","NO CUMPLE"))</f>
        <v/>
      </c>
      <c r="AJ56" s="138"/>
      <c r="AK56" s="109"/>
    </row>
    <row r="57" spans="1:37" s="72" customFormat="1" ht="30" customHeight="1">
      <c r="A57" s="796"/>
      <c r="B57" s="58"/>
      <c r="C57" s="58"/>
      <c r="D57" s="60" t="str">
        <f>+IFERROR(INDEX([1]CONSOLIDADO!$D$4:$D$91,MATCH('EXP GEN. 1-5'!B57,[1]CONSOLIDADO!$C$4:$C$91,0)),"")</f>
        <v/>
      </c>
      <c r="E57" s="71"/>
      <c r="F57" s="61"/>
      <c r="G57" s="277"/>
      <c r="H57" s="277"/>
      <c r="I57" s="73"/>
      <c r="J57" s="64"/>
      <c r="K57" s="64"/>
      <c r="L57" s="65" t="str">
        <f t="shared" si="0"/>
        <v/>
      </c>
      <c r="M57" s="66" t="str">
        <f>+IFERROR(INDEX([1]PARÁMETROS!$B$11:$B$37,MATCH(L57,[1]PARÁMETROS!$A$11:$A$37,0)),"")</f>
        <v/>
      </c>
      <c r="N57" s="74"/>
      <c r="O57" s="66"/>
      <c r="P57" s="58"/>
      <c r="Q57" s="69"/>
      <c r="R57" s="70"/>
      <c r="S57" s="66" t="str">
        <f t="shared" si="1"/>
        <v/>
      </c>
      <c r="T57" s="55" t="str">
        <f t="shared" si="2"/>
        <v/>
      </c>
      <c r="U57" s="55" t="str">
        <f t="shared" si="3"/>
        <v/>
      </c>
      <c r="V57" s="277"/>
      <c r="W57" s="799"/>
      <c r="X57" s="799"/>
      <c r="Y57" s="799"/>
      <c r="Z57" s="799"/>
      <c r="AA57" s="799"/>
      <c r="AB57" s="799"/>
      <c r="AC57" s="799"/>
      <c r="AD57" s="799"/>
      <c r="AE57" s="799"/>
      <c r="AF57" s="277"/>
      <c r="AG57" s="799"/>
      <c r="AH57" s="799"/>
      <c r="AI57" s="277" t="str">
        <f>+IF(U57="","",IF(U57&gt;=[1]PARÁMETROS!$D$5,"CUMPLE","NO CUMPLE"))</f>
        <v/>
      </c>
      <c r="AJ57" s="139"/>
      <c r="AK57" s="109"/>
    </row>
    <row r="58" spans="1:37" s="72" customFormat="1" ht="30" customHeight="1">
      <c r="A58" s="796"/>
      <c r="B58" s="58"/>
      <c r="C58" s="58"/>
      <c r="D58" s="60" t="str">
        <f>+IFERROR(INDEX([1]CONSOLIDADO!$D$4:$D$91,MATCH('EXP GEN. 1-5'!B58,[1]CONSOLIDADO!$C$4:$C$91,0)),"")</f>
        <v/>
      </c>
      <c r="E58" s="71"/>
      <c r="F58" s="61"/>
      <c r="G58" s="277"/>
      <c r="H58" s="277"/>
      <c r="I58" s="73"/>
      <c r="J58" s="64"/>
      <c r="K58" s="64"/>
      <c r="L58" s="65" t="str">
        <f t="shared" si="0"/>
        <v/>
      </c>
      <c r="M58" s="66" t="str">
        <f>+IFERROR(INDEX([1]PARÁMETROS!$B$11:$B$37,MATCH(L58,[1]PARÁMETROS!$A$11:$A$37,0)),"")</f>
        <v/>
      </c>
      <c r="N58" s="74"/>
      <c r="O58" s="66"/>
      <c r="P58" s="58"/>
      <c r="Q58" s="69"/>
      <c r="R58" s="70"/>
      <c r="S58" s="66" t="str">
        <f t="shared" si="1"/>
        <v/>
      </c>
      <c r="T58" s="55" t="str">
        <f t="shared" si="2"/>
        <v/>
      </c>
      <c r="U58" s="55" t="str">
        <f t="shared" si="3"/>
        <v/>
      </c>
      <c r="V58" s="277"/>
      <c r="W58" s="799"/>
      <c r="X58" s="799"/>
      <c r="Y58" s="799"/>
      <c r="Z58" s="799"/>
      <c r="AA58" s="799"/>
      <c r="AB58" s="799"/>
      <c r="AC58" s="799"/>
      <c r="AD58" s="799"/>
      <c r="AE58" s="799"/>
      <c r="AF58" s="277"/>
      <c r="AG58" s="799"/>
      <c r="AH58" s="799"/>
      <c r="AI58" s="277" t="str">
        <f>+IF(U58="","",IF(U58&gt;=[1]PARÁMETROS!$D$5,"CUMPLE","NO CUMPLE"))</f>
        <v/>
      </c>
      <c r="AJ58" s="139"/>
      <c r="AK58" s="109"/>
    </row>
    <row r="59" spans="1:37" s="72" customFormat="1" ht="30" customHeight="1">
      <c r="A59" s="796"/>
      <c r="B59" s="58"/>
      <c r="C59" s="58"/>
      <c r="D59" s="60" t="str">
        <f>+IFERROR(INDEX([1]CONSOLIDADO!$D$4:$D$91,MATCH('EXP GEN. 1-5'!B59,[1]CONSOLIDADO!$C$4:$C$91,0)),"")</f>
        <v/>
      </c>
      <c r="E59" s="71"/>
      <c r="F59" s="61"/>
      <c r="G59" s="277"/>
      <c r="H59" s="277"/>
      <c r="I59" s="73"/>
      <c r="J59" s="64"/>
      <c r="K59" s="64"/>
      <c r="L59" s="65" t="str">
        <f t="shared" si="0"/>
        <v/>
      </c>
      <c r="M59" s="66" t="str">
        <f>+IFERROR(INDEX([1]PARÁMETROS!$B$11:$B$37,MATCH(L59,[1]PARÁMETROS!$A$11:$A$37,0)),"")</f>
        <v/>
      </c>
      <c r="N59" s="74"/>
      <c r="O59" s="66"/>
      <c r="P59" s="58"/>
      <c r="Q59" s="69"/>
      <c r="R59" s="70"/>
      <c r="S59" s="66" t="str">
        <f t="shared" si="1"/>
        <v/>
      </c>
      <c r="T59" s="55" t="str">
        <f t="shared" si="2"/>
        <v/>
      </c>
      <c r="U59" s="55" t="str">
        <f t="shared" si="3"/>
        <v/>
      </c>
      <c r="V59" s="277"/>
      <c r="W59" s="799"/>
      <c r="X59" s="799"/>
      <c r="Y59" s="799"/>
      <c r="Z59" s="799"/>
      <c r="AA59" s="799"/>
      <c r="AB59" s="799"/>
      <c r="AC59" s="799"/>
      <c r="AD59" s="799"/>
      <c r="AE59" s="799"/>
      <c r="AF59" s="277"/>
      <c r="AG59" s="799"/>
      <c r="AH59" s="799"/>
      <c r="AI59" s="277" t="str">
        <f>+IF(U59="","",IF(U59&gt;=[1]PARÁMETROS!$D$5,"CUMPLE","NO CUMPLE"))</f>
        <v/>
      </c>
      <c r="AJ59" s="139"/>
      <c r="AK59" s="109"/>
    </row>
    <row r="60" spans="1:37" s="72" customFormat="1" ht="30" customHeight="1">
      <c r="A60" s="796"/>
      <c r="B60" s="58"/>
      <c r="C60" s="58"/>
      <c r="D60" s="60" t="str">
        <f>+IFERROR(INDEX([1]CONSOLIDADO!$D$4:$D$91,MATCH('EXP GEN. 1-5'!B60,[1]CONSOLIDADO!$C$4:$C$91,0)),"")</f>
        <v/>
      </c>
      <c r="E60" s="71"/>
      <c r="F60" s="61"/>
      <c r="G60" s="277"/>
      <c r="H60" s="277"/>
      <c r="I60" s="73"/>
      <c r="J60" s="64"/>
      <c r="K60" s="64"/>
      <c r="L60" s="65" t="str">
        <f t="shared" si="0"/>
        <v/>
      </c>
      <c r="M60" s="66" t="str">
        <f>+IFERROR(INDEX([1]PARÁMETROS!$B$11:$B$37,MATCH(L60,[1]PARÁMETROS!$A$11:$A$37,0)),"")</f>
        <v/>
      </c>
      <c r="N60" s="74"/>
      <c r="O60" s="66"/>
      <c r="P60" s="58"/>
      <c r="Q60" s="69"/>
      <c r="R60" s="70"/>
      <c r="S60" s="66" t="str">
        <f t="shared" si="1"/>
        <v/>
      </c>
      <c r="T60" s="55" t="str">
        <f t="shared" si="2"/>
        <v/>
      </c>
      <c r="U60" s="55" t="str">
        <f t="shared" si="3"/>
        <v/>
      </c>
      <c r="V60" s="277"/>
      <c r="W60" s="799"/>
      <c r="X60" s="799"/>
      <c r="Y60" s="799"/>
      <c r="Z60" s="799"/>
      <c r="AA60" s="799"/>
      <c r="AB60" s="799"/>
      <c r="AC60" s="799"/>
      <c r="AD60" s="799"/>
      <c r="AE60" s="799"/>
      <c r="AF60" s="277"/>
      <c r="AG60" s="799"/>
      <c r="AH60" s="799"/>
      <c r="AI60" s="277" t="str">
        <f>+IF(U60="","",IF(U60&gt;=[1]PARÁMETROS!$D$5,"CUMPLE","NO CUMPLE"))</f>
        <v/>
      </c>
      <c r="AJ60" s="139"/>
      <c r="AK60" s="109"/>
    </row>
    <row r="61" spans="1:37" s="72" customFormat="1" ht="30" customHeight="1" thickBot="1">
      <c r="A61" s="806"/>
      <c r="B61" s="141"/>
      <c r="C61" s="141"/>
      <c r="D61" s="143" t="str">
        <f>+IFERROR(INDEX([1]CONSOLIDADO!$D$4:$D$91,MATCH('EXP GEN. 1-5'!B61,[1]CONSOLIDADO!$C$4:$C$91,0)),"")</f>
        <v/>
      </c>
      <c r="E61" s="322"/>
      <c r="F61" s="144"/>
      <c r="G61" s="278"/>
      <c r="H61" s="278"/>
      <c r="I61" s="164"/>
      <c r="J61" s="147"/>
      <c r="K61" s="147"/>
      <c r="L61" s="148" t="str">
        <f t="shared" si="0"/>
        <v/>
      </c>
      <c r="M61" s="149" t="str">
        <f>+IFERROR(INDEX([1]PARÁMETROS!$B$11:$B$37,MATCH(L61,[1]PARÁMETROS!$A$11:$A$37,0)),"")</f>
        <v/>
      </c>
      <c r="N61" s="165"/>
      <c r="O61" s="149"/>
      <c r="P61" s="141"/>
      <c r="Q61" s="152"/>
      <c r="R61" s="153"/>
      <c r="S61" s="149" t="str">
        <f t="shared" si="1"/>
        <v/>
      </c>
      <c r="T61" s="154" t="str">
        <f t="shared" si="2"/>
        <v/>
      </c>
      <c r="U61" s="154" t="str">
        <f t="shared" si="3"/>
        <v/>
      </c>
      <c r="V61" s="278"/>
      <c r="W61" s="801"/>
      <c r="X61" s="801"/>
      <c r="Y61" s="801"/>
      <c r="Z61" s="801"/>
      <c r="AA61" s="801"/>
      <c r="AB61" s="801"/>
      <c r="AC61" s="801"/>
      <c r="AD61" s="801"/>
      <c r="AE61" s="801"/>
      <c r="AF61" s="278"/>
      <c r="AG61" s="801"/>
      <c r="AH61" s="801"/>
      <c r="AI61" s="278" t="str">
        <f>+IF(U61="","",IF(U61&gt;=[1]PARÁMETROS!$D$5,"CUMPLE","NO CUMPLE"))</f>
        <v/>
      </c>
      <c r="AJ61" s="155"/>
      <c r="AK61" s="109"/>
    </row>
    <row r="62" spans="1:37" s="72" customFormat="1" ht="30" customHeight="1">
      <c r="A62" s="795"/>
      <c r="B62" s="123"/>
      <c r="C62" s="123"/>
      <c r="D62" s="125" t="str">
        <f>+IFERROR(INDEX([1]CONSOLIDADO!$D$4:$D$91,MATCH('EXP GEN. 1-5'!B62,[1]CONSOLIDADO!$C$4:$C$91,0)),"")</f>
        <v/>
      </c>
      <c r="E62" s="137"/>
      <c r="F62" s="126"/>
      <c r="G62" s="279"/>
      <c r="H62" s="279"/>
      <c r="I62" s="162"/>
      <c r="J62" s="129"/>
      <c r="K62" s="129"/>
      <c r="L62" s="130" t="str">
        <f t="shared" si="0"/>
        <v/>
      </c>
      <c r="M62" s="131" t="str">
        <f>+IFERROR(INDEX([1]PARÁMETROS!$B$11:$B$37,MATCH(L62,[1]PARÁMETROS!$A$11:$A$37,0)),"")</f>
        <v/>
      </c>
      <c r="N62" s="163"/>
      <c r="O62" s="131"/>
      <c r="P62" s="123"/>
      <c r="Q62" s="134"/>
      <c r="R62" s="135"/>
      <c r="S62" s="131" t="str">
        <f t="shared" si="1"/>
        <v/>
      </c>
      <c r="T62" s="136" t="str">
        <f t="shared" si="2"/>
        <v/>
      </c>
      <c r="U62" s="136" t="str">
        <f t="shared" si="3"/>
        <v/>
      </c>
      <c r="V62" s="279"/>
      <c r="W62" s="798"/>
      <c r="X62" s="798"/>
      <c r="Y62" s="798"/>
      <c r="Z62" s="798"/>
      <c r="AA62" s="798"/>
      <c r="AB62" s="798"/>
      <c r="AC62" s="798"/>
      <c r="AD62" s="798"/>
      <c r="AE62" s="798"/>
      <c r="AF62" s="279"/>
      <c r="AG62" s="798" t="str">
        <f>IF(U62="","",IF(SUM(U62:U64)&gt;=[1]PARÁMETROS!$H$5,"HÁBIL","NO HÁBIL"))</f>
        <v/>
      </c>
      <c r="AH62" s="798" t="str">
        <f>IF(U62="","",IF(U62&gt;=[1]PARÁMETROS!$F$5,"HÁBIL","NO HÁBIL"))</f>
        <v/>
      </c>
      <c r="AI62" s="279" t="str">
        <f>+IF(U62="","",IF(U62&gt;=[1]PARÁMETROS!$D$5,"CUMPLE","NO CUMPLE"))</f>
        <v/>
      </c>
      <c r="AJ62" s="138"/>
      <c r="AK62" s="109"/>
    </row>
    <row r="63" spans="1:37" s="72" customFormat="1" ht="30" customHeight="1">
      <c r="A63" s="796"/>
      <c r="B63" s="58"/>
      <c r="C63" s="58"/>
      <c r="D63" s="60" t="str">
        <f>+IFERROR(INDEX([1]CONSOLIDADO!$D$4:$D$91,MATCH('EXP GEN. 1-5'!B63,[1]CONSOLIDADO!$C$4:$C$91,0)),"")</f>
        <v/>
      </c>
      <c r="E63" s="71"/>
      <c r="F63" s="61"/>
      <c r="G63" s="277"/>
      <c r="H63" s="277"/>
      <c r="I63" s="73"/>
      <c r="J63" s="64"/>
      <c r="K63" s="64"/>
      <c r="L63" s="65" t="str">
        <f t="shared" si="0"/>
        <v/>
      </c>
      <c r="M63" s="66" t="str">
        <f>+IFERROR(INDEX([1]PARÁMETROS!$B$11:$B$37,MATCH(L63,[1]PARÁMETROS!$A$11:$A$37,0)),"")</f>
        <v/>
      </c>
      <c r="N63" s="74"/>
      <c r="O63" s="66"/>
      <c r="P63" s="58"/>
      <c r="Q63" s="69"/>
      <c r="R63" s="70"/>
      <c r="S63" s="66" t="str">
        <f t="shared" si="1"/>
        <v/>
      </c>
      <c r="T63" s="55" t="str">
        <f t="shared" si="2"/>
        <v/>
      </c>
      <c r="U63" s="55" t="str">
        <f t="shared" si="3"/>
        <v/>
      </c>
      <c r="V63" s="277"/>
      <c r="W63" s="799"/>
      <c r="X63" s="799"/>
      <c r="Y63" s="799"/>
      <c r="Z63" s="799"/>
      <c r="AA63" s="799"/>
      <c r="AB63" s="799"/>
      <c r="AC63" s="799"/>
      <c r="AD63" s="799"/>
      <c r="AE63" s="799"/>
      <c r="AF63" s="277"/>
      <c r="AG63" s="799"/>
      <c r="AH63" s="799"/>
      <c r="AI63" s="277" t="str">
        <f>+IF(U63="","",IF(U63&gt;=[1]PARÁMETROS!$D$5,"CUMPLE","NO CUMPLE"))</f>
        <v/>
      </c>
      <c r="AJ63" s="139"/>
      <c r="AK63" s="109"/>
    </row>
    <row r="64" spans="1:37" s="72" customFormat="1" ht="30" customHeight="1">
      <c r="A64" s="796"/>
      <c r="B64" s="58"/>
      <c r="C64" s="58"/>
      <c r="D64" s="60" t="str">
        <f>+IFERROR(INDEX([1]CONSOLIDADO!$D$4:$D$91,MATCH('EXP GEN. 1-5'!B64,[1]CONSOLIDADO!$C$4:$C$91,0)),"")</f>
        <v/>
      </c>
      <c r="E64" s="71"/>
      <c r="F64" s="61"/>
      <c r="G64" s="277"/>
      <c r="H64" s="277"/>
      <c r="I64" s="73"/>
      <c r="J64" s="64"/>
      <c r="K64" s="64"/>
      <c r="L64" s="65" t="str">
        <f t="shared" si="0"/>
        <v/>
      </c>
      <c r="M64" s="66" t="str">
        <f>+IFERROR(INDEX([1]PARÁMETROS!$B$11:$B$37,MATCH(L64,[1]PARÁMETROS!$A$11:$A$37,0)),"")</f>
        <v/>
      </c>
      <c r="N64" s="74"/>
      <c r="O64" s="66"/>
      <c r="P64" s="58"/>
      <c r="Q64" s="69"/>
      <c r="R64" s="70"/>
      <c r="S64" s="66" t="str">
        <f t="shared" si="1"/>
        <v/>
      </c>
      <c r="T64" s="55" t="str">
        <f t="shared" si="2"/>
        <v/>
      </c>
      <c r="U64" s="55" t="str">
        <f t="shared" si="3"/>
        <v/>
      </c>
      <c r="V64" s="277"/>
      <c r="W64" s="799"/>
      <c r="X64" s="799"/>
      <c r="Y64" s="799"/>
      <c r="Z64" s="799"/>
      <c r="AA64" s="799"/>
      <c r="AB64" s="799"/>
      <c r="AC64" s="799"/>
      <c r="AD64" s="799"/>
      <c r="AE64" s="799"/>
      <c r="AF64" s="277"/>
      <c r="AG64" s="799"/>
      <c r="AH64" s="799"/>
      <c r="AI64" s="277" t="str">
        <f>+IF(U64="","",IF(U64&gt;=[1]PARÁMETROS!$D$5,"CUMPLE","NO CUMPLE"))</f>
        <v/>
      </c>
      <c r="AJ64" s="139"/>
      <c r="AK64" s="109"/>
    </row>
    <row r="65" spans="1:37" s="72" customFormat="1" ht="30" customHeight="1">
      <c r="A65" s="796"/>
      <c r="B65" s="58"/>
      <c r="C65" s="58"/>
      <c r="D65" s="60" t="str">
        <f>+IFERROR(INDEX([1]CONSOLIDADO!$D$4:$D$91,MATCH('EXP GEN. 1-5'!B65,[1]CONSOLIDADO!$C$4:$C$91,0)),"")</f>
        <v/>
      </c>
      <c r="E65" s="71"/>
      <c r="F65" s="61"/>
      <c r="G65" s="277"/>
      <c r="H65" s="277"/>
      <c r="I65" s="73"/>
      <c r="J65" s="64"/>
      <c r="K65" s="64"/>
      <c r="L65" s="65" t="str">
        <f t="shared" si="0"/>
        <v/>
      </c>
      <c r="M65" s="66" t="str">
        <f>+IFERROR(INDEX([1]PARÁMETROS!$B$11:$B$37,MATCH(L65,[1]PARÁMETROS!$A$11:$A$37,0)),"")</f>
        <v/>
      </c>
      <c r="N65" s="74"/>
      <c r="O65" s="66"/>
      <c r="P65" s="58"/>
      <c r="Q65" s="69"/>
      <c r="R65" s="70"/>
      <c r="S65" s="66" t="str">
        <f t="shared" si="1"/>
        <v/>
      </c>
      <c r="T65" s="55" t="str">
        <f t="shared" si="2"/>
        <v/>
      </c>
      <c r="U65" s="55" t="str">
        <f t="shared" si="3"/>
        <v/>
      </c>
      <c r="V65" s="277"/>
      <c r="W65" s="799"/>
      <c r="X65" s="799"/>
      <c r="Y65" s="799"/>
      <c r="Z65" s="799"/>
      <c r="AA65" s="799"/>
      <c r="AB65" s="799"/>
      <c r="AC65" s="799"/>
      <c r="AD65" s="799"/>
      <c r="AE65" s="799"/>
      <c r="AF65" s="277"/>
      <c r="AG65" s="799"/>
      <c r="AH65" s="799"/>
      <c r="AI65" s="277" t="str">
        <f>+IF(U65="","",IF(U65&gt;=[1]PARÁMETROS!$D$5,"CUMPLE","NO CUMPLE"))</f>
        <v/>
      </c>
      <c r="AJ65" s="139"/>
      <c r="AK65" s="109"/>
    </row>
    <row r="66" spans="1:37" s="72" customFormat="1" ht="30" customHeight="1">
      <c r="A66" s="796"/>
      <c r="B66" s="58"/>
      <c r="C66" s="58"/>
      <c r="D66" s="60" t="str">
        <f>+IFERROR(INDEX([1]CONSOLIDADO!$D$4:$D$91,MATCH('EXP GEN. 1-5'!B66,[1]CONSOLIDADO!$C$4:$C$91,0)),"")</f>
        <v/>
      </c>
      <c r="E66" s="71"/>
      <c r="F66" s="61"/>
      <c r="G66" s="277"/>
      <c r="H66" s="277"/>
      <c r="I66" s="73"/>
      <c r="J66" s="64"/>
      <c r="K66" s="64"/>
      <c r="L66" s="65" t="str">
        <f t="shared" si="0"/>
        <v/>
      </c>
      <c r="M66" s="66" t="str">
        <f>+IFERROR(INDEX([1]PARÁMETROS!$B$11:$B$37,MATCH(L66,[1]PARÁMETROS!$A$11:$A$37,0)),"")</f>
        <v/>
      </c>
      <c r="N66" s="74"/>
      <c r="O66" s="66"/>
      <c r="P66" s="58"/>
      <c r="Q66" s="69"/>
      <c r="R66" s="70"/>
      <c r="S66" s="66" t="str">
        <f t="shared" si="1"/>
        <v/>
      </c>
      <c r="T66" s="55" t="str">
        <f t="shared" si="2"/>
        <v/>
      </c>
      <c r="U66" s="55" t="str">
        <f t="shared" si="3"/>
        <v/>
      </c>
      <c r="V66" s="277"/>
      <c r="W66" s="799"/>
      <c r="X66" s="799"/>
      <c r="Y66" s="799"/>
      <c r="Z66" s="799"/>
      <c r="AA66" s="799"/>
      <c r="AB66" s="799"/>
      <c r="AC66" s="799"/>
      <c r="AD66" s="799"/>
      <c r="AE66" s="799"/>
      <c r="AF66" s="277"/>
      <c r="AG66" s="799"/>
      <c r="AH66" s="799"/>
      <c r="AI66" s="277" t="str">
        <f>+IF(U66="","",IF(U66&gt;=[1]PARÁMETROS!$D$5,"CUMPLE","NO CUMPLE"))</f>
        <v/>
      </c>
      <c r="AJ66" s="139"/>
      <c r="AK66" s="109"/>
    </row>
    <row r="67" spans="1:37" s="72" customFormat="1" ht="30" customHeight="1" thickBot="1">
      <c r="A67" s="806"/>
      <c r="B67" s="141"/>
      <c r="C67" s="141"/>
      <c r="D67" s="143" t="str">
        <f>+IFERROR(INDEX([1]CONSOLIDADO!$D$4:$D$91,MATCH('EXP GEN. 1-5'!B67,[1]CONSOLIDADO!$C$4:$C$91,0)),"")</f>
        <v/>
      </c>
      <c r="E67" s="322"/>
      <c r="F67" s="144"/>
      <c r="G67" s="278"/>
      <c r="H67" s="278"/>
      <c r="I67" s="164"/>
      <c r="J67" s="147"/>
      <c r="K67" s="147"/>
      <c r="L67" s="148" t="str">
        <f t="shared" si="0"/>
        <v/>
      </c>
      <c r="M67" s="149" t="str">
        <f>+IFERROR(INDEX([1]PARÁMETROS!$B$11:$B$37,MATCH(L67,[1]PARÁMETROS!$A$11:$A$37,0)),"")</f>
        <v/>
      </c>
      <c r="N67" s="165"/>
      <c r="O67" s="149"/>
      <c r="P67" s="141"/>
      <c r="Q67" s="152"/>
      <c r="R67" s="153"/>
      <c r="S67" s="149" t="str">
        <f t="shared" si="1"/>
        <v/>
      </c>
      <c r="T67" s="154" t="str">
        <f t="shared" si="2"/>
        <v/>
      </c>
      <c r="U67" s="154" t="str">
        <f t="shared" si="3"/>
        <v/>
      </c>
      <c r="V67" s="278"/>
      <c r="W67" s="801"/>
      <c r="X67" s="801"/>
      <c r="Y67" s="801"/>
      <c r="Z67" s="801"/>
      <c r="AA67" s="801"/>
      <c r="AB67" s="801"/>
      <c r="AC67" s="801"/>
      <c r="AD67" s="801"/>
      <c r="AE67" s="801"/>
      <c r="AF67" s="278"/>
      <c r="AG67" s="801"/>
      <c r="AH67" s="801"/>
      <c r="AI67" s="278" t="str">
        <f>+IF(U67="","",IF(U67&gt;=[1]PARÁMETROS!$D$5,"CUMPLE","NO CUMPLE"))</f>
        <v/>
      </c>
      <c r="AJ67" s="155"/>
      <c r="AK67" s="109"/>
    </row>
    <row r="68" spans="1:37" s="72" customFormat="1" ht="30" customHeight="1">
      <c r="A68" s="795"/>
      <c r="B68" s="123"/>
      <c r="C68" s="123"/>
      <c r="D68" s="125" t="str">
        <f>+IFERROR(INDEX([1]CONSOLIDADO!$D$4:$D$91,MATCH('EXP GEN. 1-5'!B68,[1]CONSOLIDADO!$C$4:$C$91,0)),"")</f>
        <v/>
      </c>
      <c r="E68" s="137"/>
      <c r="F68" s="126"/>
      <c r="G68" s="279"/>
      <c r="H68" s="279"/>
      <c r="I68" s="162"/>
      <c r="J68" s="129"/>
      <c r="K68" s="129"/>
      <c r="L68" s="130" t="str">
        <f t="shared" ref="L68:L73" si="4">IF(K68="","",YEAR(K68))</f>
        <v/>
      </c>
      <c r="M68" s="131" t="str">
        <f>+IFERROR(INDEX([1]PARÁMETROS!$B$11:$B$37,MATCH(L68,[1]PARÁMETROS!$A$11:$A$37,0)),"")</f>
        <v/>
      </c>
      <c r="N68" s="163"/>
      <c r="O68" s="131"/>
      <c r="P68" s="123"/>
      <c r="Q68" s="134"/>
      <c r="R68" s="135"/>
      <c r="S68" s="131" t="str">
        <f t="shared" ref="S68:S73" si="5">IF(R68&lt;&gt;"",N68*R68,"")</f>
        <v/>
      </c>
      <c r="T68" s="136" t="str">
        <f t="shared" ref="T68:T73" si="6">+IFERROR(S68/M68,"")</f>
        <v/>
      </c>
      <c r="U68" s="136" t="str">
        <f t="shared" ref="U68:U73" si="7">IFERROR(T68*I68,"")</f>
        <v/>
      </c>
      <c r="V68" s="279"/>
      <c r="W68" s="798"/>
      <c r="X68" s="798"/>
      <c r="Y68" s="798"/>
      <c r="Z68" s="798"/>
      <c r="AA68" s="798"/>
      <c r="AB68" s="798"/>
      <c r="AC68" s="798"/>
      <c r="AD68" s="798"/>
      <c r="AE68" s="798"/>
      <c r="AF68" s="279"/>
      <c r="AG68" s="798" t="str">
        <f>IF(U68="","",IF(SUM(U68:U70)&gt;=[1]PARÁMETROS!$H$5,"HÁBIL","NO HÁBIL"))</f>
        <v/>
      </c>
      <c r="AH68" s="798" t="str">
        <f>IF(U68="","",IF(U68&gt;=[1]PARÁMETROS!$F$5,"HÁBIL","NO HÁBIL"))</f>
        <v/>
      </c>
      <c r="AI68" s="279" t="str">
        <f>+IF(U68="","",IF(U68&gt;=[1]PARÁMETROS!$D$5,"CUMPLE","NO CUMPLE"))</f>
        <v/>
      </c>
      <c r="AJ68" s="138"/>
      <c r="AK68" s="109"/>
    </row>
    <row r="69" spans="1:37" s="72" customFormat="1" ht="30" customHeight="1">
      <c r="A69" s="796"/>
      <c r="B69" s="58"/>
      <c r="C69" s="58"/>
      <c r="D69" s="60" t="str">
        <f>+IFERROR(INDEX([1]CONSOLIDADO!$D$4:$D$91,MATCH('EXP GEN. 1-5'!B69,[1]CONSOLIDADO!$C$4:$C$91,0)),"")</f>
        <v/>
      </c>
      <c r="E69" s="71"/>
      <c r="F69" s="61"/>
      <c r="G69" s="277"/>
      <c r="H69" s="277"/>
      <c r="I69" s="73"/>
      <c r="J69" s="64"/>
      <c r="K69" s="64"/>
      <c r="L69" s="65" t="str">
        <f t="shared" si="4"/>
        <v/>
      </c>
      <c r="M69" s="66" t="str">
        <f>+IFERROR(INDEX([1]PARÁMETROS!$B$11:$B$37,MATCH(L69,[1]PARÁMETROS!$A$11:$A$37,0)),"")</f>
        <v/>
      </c>
      <c r="N69" s="74"/>
      <c r="O69" s="66"/>
      <c r="P69" s="58"/>
      <c r="Q69" s="69"/>
      <c r="R69" s="70"/>
      <c r="S69" s="66" t="str">
        <f t="shared" si="5"/>
        <v/>
      </c>
      <c r="T69" s="55" t="str">
        <f t="shared" si="6"/>
        <v/>
      </c>
      <c r="U69" s="55" t="str">
        <f t="shared" si="7"/>
        <v/>
      </c>
      <c r="V69" s="277"/>
      <c r="W69" s="799"/>
      <c r="X69" s="799"/>
      <c r="Y69" s="799"/>
      <c r="Z69" s="799"/>
      <c r="AA69" s="799"/>
      <c r="AB69" s="799"/>
      <c r="AC69" s="799"/>
      <c r="AD69" s="799"/>
      <c r="AE69" s="799"/>
      <c r="AF69" s="277"/>
      <c r="AG69" s="799"/>
      <c r="AH69" s="799"/>
      <c r="AI69" s="277" t="str">
        <f>+IF(U69="","",IF(U69&gt;=[1]PARÁMETROS!$D$5,"CUMPLE","NO CUMPLE"))</f>
        <v/>
      </c>
      <c r="AJ69" s="139"/>
      <c r="AK69" s="109"/>
    </row>
    <row r="70" spans="1:37" s="72" customFormat="1" ht="30" customHeight="1">
      <c r="A70" s="796"/>
      <c r="B70" s="58"/>
      <c r="C70" s="58"/>
      <c r="D70" s="60" t="str">
        <f>+IFERROR(INDEX([1]CONSOLIDADO!$D$4:$D$91,MATCH('EXP GEN. 1-5'!B70,[1]CONSOLIDADO!$C$4:$C$91,0)),"")</f>
        <v/>
      </c>
      <c r="E70" s="71"/>
      <c r="F70" s="61"/>
      <c r="G70" s="277"/>
      <c r="H70" s="277"/>
      <c r="I70" s="73"/>
      <c r="J70" s="64"/>
      <c r="K70" s="64"/>
      <c r="L70" s="65" t="str">
        <f t="shared" si="4"/>
        <v/>
      </c>
      <c r="M70" s="66" t="str">
        <f>+IFERROR(INDEX([1]PARÁMETROS!$B$11:$B$37,MATCH(L70,[1]PARÁMETROS!$A$11:$A$37,0)),"")</f>
        <v/>
      </c>
      <c r="N70" s="74"/>
      <c r="O70" s="66"/>
      <c r="P70" s="58"/>
      <c r="Q70" s="69"/>
      <c r="R70" s="70"/>
      <c r="S70" s="66" t="str">
        <f t="shared" si="5"/>
        <v/>
      </c>
      <c r="T70" s="55" t="str">
        <f t="shared" si="6"/>
        <v/>
      </c>
      <c r="U70" s="55" t="str">
        <f t="shared" si="7"/>
        <v/>
      </c>
      <c r="V70" s="277"/>
      <c r="W70" s="799"/>
      <c r="X70" s="799"/>
      <c r="Y70" s="799"/>
      <c r="Z70" s="799"/>
      <c r="AA70" s="799"/>
      <c r="AB70" s="799"/>
      <c r="AC70" s="799"/>
      <c r="AD70" s="799"/>
      <c r="AE70" s="799"/>
      <c r="AF70" s="277"/>
      <c r="AG70" s="799"/>
      <c r="AH70" s="799"/>
      <c r="AI70" s="277" t="str">
        <f>+IF(U70="","",IF(U70&gt;=[1]PARÁMETROS!$D$5,"CUMPLE","NO CUMPLE"))</f>
        <v/>
      </c>
      <c r="AJ70" s="139"/>
      <c r="AK70" s="109"/>
    </row>
    <row r="71" spans="1:37" s="72" customFormat="1" ht="30" customHeight="1">
      <c r="A71" s="796"/>
      <c r="B71" s="58"/>
      <c r="C71" s="58"/>
      <c r="D71" s="60" t="str">
        <f>+IFERROR(INDEX([1]CONSOLIDADO!$D$4:$D$91,MATCH('EXP GEN. 1-5'!B71,[1]CONSOLIDADO!$C$4:$C$91,0)),"")</f>
        <v/>
      </c>
      <c r="E71" s="71"/>
      <c r="F71" s="61"/>
      <c r="G71" s="277"/>
      <c r="H71" s="277"/>
      <c r="I71" s="73"/>
      <c r="J71" s="64"/>
      <c r="K71" s="64"/>
      <c r="L71" s="65" t="str">
        <f t="shared" si="4"/>
        <v/>
      </c>
      <c r="M71" s="66" t="str">
        <f>+IFERROR(INDEX([1]PARÁMETROS!$B$11:$B$37,MATCH(L71,[1]PARÁMETROS!$A$11:$A$37,0)),"")</f>
        <v/>
      </c>
      <c r="N71" s="74"/>
      <c r="O71" s="66"/>
      <c r="P71" s="58"/>
      <c r="Q71" s="69"/>
      <c r="R71" s="70"/>
      <c r="S71" s="66" t="str">
        <f t="shared" si="5"/>
        <v/>
      </c>
      <c r="T71" s="55" t="str">
        <f t="shared" si="6"/>
        <v/>
      </c>
      <c r="U71" s="55" t="str">
        <f t="shared" si="7"/>
        <v/>
      </c>
      <c r="V71" s="277"/>
      <c r="W71" s="799"/>
      <c r="X71" s="799"/>
      <c r="Y71" s="799"/>
      <c r="Z71" s="799"/>
      <c r="AA71" s="799"/>
      <c r="AB71" s="799"/>
      <c r="AC71" s="799"/>
      <c r="AD71" s="799"/>
      <c r="AE71" s="799"/>
      <c r="AF71" s="277"/>
      <c r="AG71" s="799"/>
      <c r="AH71" s="799"/>
      <c r="AI71" s="277" t="str">
        <f>+IF(U71="","",IF(U71&gt;=[1]PARÁMETROS!$D$5,"CUMPLE","NO CUMPLE"))</f>
        <v/>
      </c>
      <c r="AJ71" s="139"/>
      <c r="AK71" s="109"/>
    </row>
    <row r="72" spans="1:37" s="72" customFormat="1" ht="30" customHeight="1">
      <c r="A72" s="796"/>
      <c r="B72" s="58"/>
      <c r="C72" s="58"/>
      <c r="D72" s="60" t="str">
        <f>+IFERROR(INDEX([1]CONSOLIDADO!$D$4:$D$91,MATCH('EXP GEN. 1-5'!B72,[1]CONSOLIDADO!$C$4:$C$91,0)),"")</f>
        <v/>
      </c>
      <c r="E72" s="71"/>
      <c r="F72" s="61"/>
      <c r="G72" s="277"/>
      <c r="H72" s="277"/>
      <c r="I72" s="73"/>
      <c r="J72" s="64"/>
      <c r="K72" s="64"/>
      <c r="L72" s="65" t="str">
        <f t="shared" si="4"/>
        <v/>
      </c>
      <c r="M72" s="66" t="str">
        <f>+IFERROR(INDEX([1]PARÁMETROS!$B$11:$B$37,MATCH(L72,[1]PARÁMETROS!$A$11:$A$37,0)),"")</f>
        <v/>
      </c>
      <c r="N72" s="74"/>
      <c r="O72" s="66"/>
      <c r="P72" s="58"/>
      <c r="Q72" s="69"/>
      <c r="R72" s="70"/>
      <c r="S72" s="66" t="str">
        <f t="shared" si="5"/>
        <v/>
      </c>
      <c r="T72" s="55" t="str">
        <f t="shared" si="6"/>
        <v/>
      </c>
      <c r="U72" s="55" t="str">
        <f t="shared" si="7"/>
        <v/>
      </c>
      <c r="V72" s="277"/>
      <c r="W72" s="799"/>
      <c r="X72" s="799"/>
      <c r="Y72" s="799"/>
      <c r="Z72" s="799"/>
      <c r="AA72" s="799"/>
      <c r="AB72" s="799"/>
      <c r="AC72" s="799"/>
      <c r="AD72" s="799"/>
      <c r="AE72" s="799"/>
      <c r="AF72" s="277"/>
      <c r="AG72" s="799"/>
      <c r="AH72" s="799"/>
      <c r="AI72" s="277" t="str">
        <f>+IF(U72="","",IF(U72&gt;=[1]PARÁMETROS!$D$5,"CUMPLE","NO CUMPLE"))</f>
        <v/>
      </c>
      <c r="AJ72" s="139"/>
      <c r="AK72" s="109"/>
    </row>
    <row r="73" spans="1:37" s="72" customFormat="1" ht="30" customHeight="1" thickBot="1">
      <c r="A73" s="806"/>
      <c r="B73" s="141"/>
      <c r="C73" s="141"/>
      <c r="D73" s="143" t="str">
        <f>+IFERROR(INDEX([1]CONSOLIDADO!$D$4:$D$91,MATCH('EXP GEN. 1-5'!B73,[1]CONSOLIDADO!$C$4:$C$91,0)),"")</f>
        <v/>
      </c>
      <c r="E73" s="322"/>
      <c r="F73" s="144"/>
      <c r="G73" s="278"/>
      <c r="H73" s="278"/>
      <c r="I73" s="164"/>
      <c r="J73" s="147"/>
      <c r="K73" s="147"/>
      <c r="L73" s="148" t="str">
        <f t="shared" si="4"/>
        <v/>
      </c>
      <c r="M73" s="149" t="str">
        <f>+IFERROR(INDEX([1]PARÁMETROS!$B$11:$B$37,MATCH(L73,[1]PARÁMETROS!$A$11:$A$37,0)),"")</f>
        <v/>
      </c>
      <c r="N73" s="165"/>
      <c r="O73" s="149"/>
      <c r="P73" s="141"/>
      <c r="Q73" s="152"/>
      <c r="R73" s="153"/>
      <c r="S73" s="149" t="str">
        <f t="shared" si="5"/>
        <v/>
      </c>
      <c r="T73" s="154" t="str">
        <f t="shared" si="6"/>
        <v/>
      </c>
      <c r="U73" s="154" t="str">
        <f t="shared" si="7"/>
        <v/>
      </c>
      <c r="V73" s="278"/>
      <c r="W73" s="801"/>
      <c r="X73" s="801"/>
      <c r="Y73" s="801"/>
      <c r="Z73" s="801"/>
      <c r="AA73" s="801"/>
      <c r="AB73" s="801"/>
      <c r="AC73" s="801"/>
      <c r="AD73" s="801"/>
      <c r="AE73" s="801"/>
      <c r="AF73" s="278"/>
      <c r="AG73" s="801"/>
      <c r="AH73" s="801"/>
      <c r="AI73" s="278" t="str">
        <f>+IF(U73="","",IF(U73&gt;=[1]PARÁMETROS!$D$5,"CUMPLE","NO CUMPLE"))</f>
        <v/>
      </c>
      <c r="AJ73" s="155"/>
      <c r="AK73" s="109"/>
    </row>
    <row r="74" spans="1:37" s="72" customFormat="1" ht="30" customHeight="1">
      <c r="A74" s="58"/>
      <c r="B74" s="58"/>
      <c r="C74" s="58"/>
      <c r="D74" s="60"/>
      <c r="E74" s="71"/>
      <c r="F74" s="61"/>
      <c r="G74" s="61"/>
      <c r="H74" s="61"/>
      <c r="I74" s="73"/>
      <c r="J74" s="64"/>
      <c r="K74" s="64"/>
      <c r="L74" s="65"/>
      <c r="M74" s="66"/>
      <c r="N74" s="74"/>
      <c r="O74" s="66"/>
      <c r="P74" s="58"/>
      <c r="Q74" s="69"/>
      <c r="R74" s="70"/>
      <c r="S74" s="66"/>
      <c r="T74" s="55"/>
      <c r="U74" s="55"/>
      <c r="V74" s="277"/>
      <c r="W74" s="277"/>
      <c r="X74" s="277"/>
      <c r="Y74" s="277"/>
      <c r="Z74" s="277"/>
      <c r="AA74" s="277"/>
      <c r="AB74" s="277"/>
      <c r="AC74" s="277"/>
      <c r="AD74" s="277"/>
      <c r="AE74" s="277"/>
      <c r="AF74" s="277"/>
      <c r="AG74" s="277"/>
      <c r="AH74" s="277"/>
      <c r="AI74" s="277"/>
      <c r="AJ74" s="61"/>
    </row>
    <row r="75" spans="1:37" s="72" customFormat="1" ht="30" customHeight="1">
      <c r="A75" s="58"/>
      <c r="B75" s="58"/>
      <c r="C75" s="58"/>
      <c r="D75" s="60"/>
      <c r="E75" s="71"/>
      <c r="F75" s="61"/>
      <c r="G75" s="61"/>
      <c r="H75" s="61"/>
      <c r="I75" s="73"/>
      <c r="J75" s="64"/>
      <c r="K75" s="64"/>
      <c r="L75" s="65"/>
      <c r="M75" s="66"/>
      <c r="N75" s="74"/>
      <c r="O75" s="66"/>
      <c r="P75" s="58"/>
      <c r="Q75" s="69"/>
      <c r="R75" s="70"/>
      <c r="S75" s="66"/>
      <c r="T75" s="55"/>
      <c r="U75" s="55"/>
      <c r="V75" s="277"/>
      <c r="W75" s="277"/>
      <c r="X75" s="277"/>
      <c r="Y75" s="277"/>
      <c r="Z75" s="277"/>
      <c r="AA75" s="277"/>
      <c r="AB75" s="277"/>
      <c r="AC75" s="277"/>
      <c r="AD75" s="277"/>
      <c r="AE75" s="277"/>
      <c r="AF75" s="277"/>
      <c r="AG75" s="277"/>
      <c r="AH75" s="277"/>
      <c r="AI75" s="277"/>
      <c r="AJ75" s="61"/>
    </row>
    <row r="76" spans="1:37" s="72" customFormat="1" ht="30" customHeight="1">
      <c r="A76" s="58"/>
      <c r="B76" s="58"/>
      <c r="C76" s="58"/>
      <c r="D76" s="60"/>
      <c r="E76" s="71"/>
      <c r="F76" s="61"/>
      <c r="G76" s="61"/>
      <c r="H76" s="61"/>
      <c r="I76" s="73"/>
      <c r="J76" s="64"/>
      <c r="K76" s="64"/>
      <c r="L76" s="65"/>
      <c r="M76" s="66"/>
      <c r="N76" s="74"/>
      <c r="O76" s="66"/>
      <c r="P76" s="58"/>
      <c r="Q76" s="69"/>
      <c r="R76" s="70"/>
      <c r="S76" s="66"/>
      <c r="T76" s="55"/>
      <c r="U76" s="55"/>
      <c r="V76" s="277"/>
      <c r="W76" s="277"/>
      <c r="X76" s="277"/>
      <c r="Y76" s="277"/>
      <c r="Z76" s="277"/>
      <c r="AA76" s="277"/>
      <c r="AB76" s="277"/>
      <c r="AC76" s="277"/>
      <c r="AD76" s="277"/>
      <c r="AE76" s="277"/>
      <c r="AF76" s="277"/>
      <c r="AG76" s="277"/>
      <c r="AH76" s="277"/>
      <c r="AI76" s="277"/>
      <c r="AJ76" s="61"/>
    </row>
    <row r="77" spans="1:37" s="72" customFormat="1" ht="30" customHeight="1">
      <c r="A77" s="58"/>
      <c r="B77" s="58"/>
      <c r="C77" s="58"/>
      <c r="D77" s="60"/>
      <c r="E77" s="71"/>
      <c r="F77" s="61"/>
      <c r="G77" s="61"/>
      <c r="H77" s="61"/>
      <c r="I77" s="73"/>
      <c r="J77" s="64"/>
      <c r="K77" s="64"/>
      <c r="L77" s="65"/>
      <c r="M77" s="66"/>
      <c r="N77" s="74"/>
      <c r="O77" s="66"/>
      <c r="P77" s="58"/>
      <c r="Q77" s="69"/>
      <c r="R77" s="70"/>
      <c r="S77" s="66"/>
      <c r="T77" s="55"/>
      <c r="U77" s="55"/>
      <c r="V77" s="277"/>
      <c r="W77" s="277"/>
      <c r="X77" s="277"/>
      <c r="Y77" s="277"/>
      <c r="Z77" s="277"/>
      <c r="AA77" s="277"/>
      <c r="AB77" s="277"/>
      <c r="AC77" s="277"/>
      <c r="AD77" s="277"/>
      <c r="AE77" s="277"/>
      <c r="AF77" s="277"/>
      <c r="AG77" s="277"/>
      <c r="AH77" s="277"/>
      <c r="AI77" s="277"/>
      <c r="AJ77" s="61"/>
    </row>
    <row r="78" spans="1:37" s="72" customFormat="1" ht="30" customHeight="1">
      <c r="A78" s="58"/>
      <c r="B78" s="58"/>
      <c r="C78" s="58"/>
      <c r="D78" s="60"/>
      <c r="E78" s="71"/>
      <c r="F78" s="61"/>
      <c r="G78" s="61"/>
      <c r="H78" s="61"/>
      <c r="I78" s="73"/>
      <c r="J78" s="64"/>
      <c r="K78" s="64"/>
      <c r="L78" s="65"/>
      <c r="M78" s="66"/>
      <c r="N78" s="74"/>
      <c r="O78" s="66"/>
      <c r="P78" s="58"/>
      <c r="Q78" s="69"/>
      <c r="R78" s="70"/>
      <c r="S78" s="66"/>
      <c r="T78" s="55"/>
      <c r="U78" s="55"/>
      <c r="V78" s="277"/>
      <c r="W78" s="277"/>
      <c r="X78" s="277"/>
      <c r="Y78" s="277"/>
      <c r="Z78" s="277"/>
      <c r="AA78" s="277"/>
      <c r="AB78" s="277"/>
      <c r="AC78" s="277"/>
      <c r="AD78" s="277"/>
      <c r="AE78" s="277"/>
      <c r="AF78" s="277"/>
      <c r="AG78" s="277"/>
      <c r="AH78" s="277"/>
      <c r="AI78" s="277"/>
      <c r="AJ78" s="61"/>
    </row>
    <row r="79" spans="1:37" s="72" customFormat="1" ht="30" customHeight="1">
      <c r="A79" s="58"/>
      <c r="B79" s="58"/>
      <c r="C79" s="58"/>
      <c r="D79" s="60"/>
      <c r="E79" s="71"/>
      <c r="F79" s="61"/>
      <c r="G79" s="61"/>
      <c r="H79" s="61"/>
      <c r="I79" s="73"/>
      <c r="J79" s="64"/>
      <c r="K79" s="64"/>
      <c r="L79" s="65"/>
      <c r="M79" s="66"/>
      <c r="N79" s="74"/>
      <c r="O79" s="66"/>
      <c r="P79" s="58"/>
      <c r="Q79" s="69"/>
      <c r="R79" s="70"/>
      <c r="S79" s="66"/>
      <c r="T79" s="55"/>
      <c r="U79" s="55"/>
      <c r="V79" s="277"/>
      <c r="W79" s="277"/>
      <c r="X79" s="277"/>
      <c r="Y79" s="277"/>
      <c r="Z79" s="277"/>
      <c r="AA79" s="277"/>
      <c r="AB79" s="277"/>
      <c r="AC79" s="277"/>
      <c r="AD79" s="277"/>
      <c r="AE79" s="277"/>
      <c r="AF79" s="277"/>
      <c r="AG79" s="277"/>
      <c r="AH79" s="277"/>
      <c r="AI79" s="277"/>
      <c r="AJ79" s="61"/>
    </row>
    <row r="80" spans="1:37" s="72" customFormat="1" ht="30" customHeight="1">
      <c r="A80" s="58"/>
      <c r="B80" s="58"/>
      <c r="C80" s="58"/>
      <c r="D80" s="60"/>
      <c r="E80" s="71"/>
      <c r="F80" s="61"/>
      <c r="G80" s="61"/>
      <c r="H80" s="61"/>
      <c r="I80" s="73"/>
      <c r="J80" s="64"/>
      <c r="K80" s="64"/>
      <c r="L80" s="65"/>
      <c r="M80" s="66"/>
      <c r="N80" s="74"/>
      <c r="O80" s="66"/>
      <c r="P80" s="58"/>
      <c r="Q80" s="69"/>
      <c r="R80" s="70"/>
      <c r="S80" s="66"/>
      <c r="T80" s="55"/>
      <c r="U80" s="55"/>
      <c r="V80" s="277"/>
      <c r="W80" s="277"/>
      <c r="X80" s="277"/>
      <c r="Y80" s="277"/>
      <c r="Z80" s="277"/>
      <c r="AA80" s="277"/>
      <c r="AB80" s="277"/>
      <c r="AC80" s="277"/>
      <c r="AD80" s="277"/>
      <c r="AE80" s="277"/>
      <c r="AF80" s="277"/>
      <c r="AG80" s="277"/>
      <c r="AH80" s="277"/>
      <c r="AI80" s="277"/>
      <c r="AJ80" s="61"/>
    </row>
    <row r="81" spans="1:36" s="72" customFormat="1" ht="30" customHeight="1">
      <c r="A81" s="58"/>
      <c r="B81" s="58"/>
      <c r="C81" s="58"/>
      <c r="D81" s="60"/>
      <c r="E81" s="71"/>
      <c r="F81" s="61"/>
      <c r="G81" s="61"/>
      <c r="H81" s="61"/>
      <c r="I81" s="73"/>
      <c r="J81" s="64"/>
      <c r="K81" s="64"/>
      <c r="L81" s="65"/>
      <c r="M81" s="66"/>
      <c r="N81" s="74"/>
      <c r="O81" s="66"/>
      <c r="P81" s="58"/>
      <c r="Q81" s="69"/>
      <c r="R81" s="70"/>
      <c r="S81" s="66"/>
      <c r="T81" s="55"/>
      <c r="U81" s="55"/>
      <c r="V81" s="277"/>
      <c r="W81" s="277"/>
      <c r="X81" s="277"/>
      <c r="Y81" s="277"/>
      <c r="Z81" s="277"/>
      <c r="AA81" s="277"/>
      <c r="AB81" s="277"/>
      <c r="AC81" s="277"/>
      <c r="AD81" s="277"/>
      <c r="AE81" s="277"/>
      <c r="AF81" s="277"/>
      <c r="AG81" s="277"/>
      <c r="AH81" s="277"/>
      <c r="AI81" s="277"/>
      <c r="AJ81" s="61"/>
    </row>
    <row r="82" spans="1:36" s="72" customFormat="1" ht="30" customHeight="1">
      <c r="A82" s="58"/>
      <c r="B82" s="58"/>
      <c r="C82" s="58"/>
      <c r="D82" s="60"/>
      <c r="E82" s="71"/>
      <c r="F82" s="61"/>
      <c r="G82" s="61"/>
      <c r="H82" s="61"/>
      <c r="I82" s="73"/>
      <c r="J82" s="64"/>
      <c r="K82" s="64"/>
      <c r="L82" s="65"/>
      <c r="M82" s="66"/>
      <c r="N82" s="74"/>
      <c r="O82" s="66"/>
      <c r="P82" s="58"/>
      <c r="Q82" s="69"/>
      <c r="R82" s="70"/>
      <c r="S82" s="66"/>
      <c r="T82" s="55"/>
      <c r="U82" s="55"/>
      <c r="V82" s="277"/>
      <c r="W82" s="277"/>
      <c r="X82" s="277"/>
      <c r="Y82" s="277"/>
      <c r="Z82" s="277"/>
      <c r="AA82" s="277"/>
      <c r="AB82" s="277"/>
      <c r="AC82" s="277"/>
      <c r="AD82" s="277"/>
      <c r="AE82" s="277"/>
      <c r="AF82" s="277"/>
      <c r="AG82" s="277"/>
      <c r="AH82" s="277"/>
      <c r="AI82" s="277"/>
      <c r="AJ82" s="61"/>
    </row>
    <row r="83" spans="1:36" s="72" customFormat="1" ht="30" customHeight="1">
      <c r="A83" s="58"/>
      <c r="B83" s="58"/>
      <c r="C83" s="58"/>
      <c r="D83" s="60"/>
      <c r="E83" s="71"/>
      <c r="F83" s="61"/>
      <c r="G83" s="61"/>
      <c r="H83" s="61"/>
      <c r="I83" s="73"/>
      <c r="J83" s="64"/>
      <c r="K83" s="64"/>
      <c r="L83" s="65"/>
      <c r="M83" s="66"/>
      <c r="N83" s="74"/>
      <c r="O83" s="66"/>
      <c r="P83" s="58"/>
      <c r="Q83" s="69"/>
      <c r="R83" s="70"/>
      <c r="S83" s="66"/>
      <c r="T83" s="55"/>
      <c r="U83" s="55"/>
      <c r="V83" s="277"/>
      <c r="W83" s="277"/>
      <c r="X83" s="277"/>
      <c r="Y83" s="277"/>
      <c r="Z83" s="277"/>
      <c r="AA83" s="277"/>
      <c r="AB83" s="277"/>
      <c r="AC83" s="277"/>
      <c r="AD83" s="277"/>
      <c r="AE83" s="277"/>
      <c r="AF83" s="277"/>
      <c r="AG83" s="277"/>
      <c r="AH83" s="277"/>
      <c r="AI83" s="277"/>
      <c r="AJ83" s="61"/>
    </row>
    <row r="84" spans="1:36" s="72" customFormat="1" ht="30" customHeight="1">
      <c r="A84" s="58"/>
      <c r="B84" s="58"/>
      <c r="C84" s="58"/>
      <c r="D84" s="60"/>
      <c r="E84" s="71"/>
      <c r="F84" s="61"/>
      <c r="G84" s="61"/>
      <c r="H84" s="61"/>
      <c r="I84" s="73"/>
      <c r="J84" s="64"/>
      <c r="K84" s="64"/>
      <c r="L84" s="65"/>
      <c r="M84" s="66"/>
      <c r="N84" s="74"/>
      <c r="O84" s="66"/>
      <c r="P84" s="58"/>
      <c r="Q84" s="69"/>
      <c r="R84" s="70"/>
      <c r="S84" s="66"/>
      <c r="T84" s="55"/>
      <c r="U84" s="55"/>
      <c r="V84" s="277"/>
      <c r="W84" s="277"/>
      <c r="X84" s="277"/>
      <c r="Y84" s="277"/>
      <c r="Z84" s="277"/>
      <c r="AA84" s="277"/>
      <c r="AB84" s="277"/>
      <c r="AC84" s="277"/>
      <c r="AD84" s="277"/>
      <c r="AE84" s="277"/>
      <c r="AF84" s="277"/>
      <c r="AG84" s="277"/>
      <c r="AH84" s="277"/>
      <c r="AI84" s="277"/>
      <c r="AJ84" s="61"/>
    </row>
    <row r="85" spans="1:36" s="72" customFormat="1" ht="30" customHeight="1">
      <c r="A85" s="58"/>
      <c r="B85" s="58"/>
      <c r="C85" s="58"/>
      <c r="D85" s="60"/>
      <c r="E85" s="71"/>
      <c r="F85" s="61"/>
      <c r="G85" s="61"/>
      <c r="H85" s="61"/>
      <c r="I85" s="73"/>
      <c r="J85" s="64"/>
      <c r="K85" s="64"/>
      <c r="L85" s="65"/>
      <c r="M85" s="66"/>
      <c r="N85" s="74"/>
      <c r="O85" s="66"/>
      <c r="P85" s="58"/>
      <c r="Q85" s="69"/>
      <c r="R85" s="70"/>
      <c r="S85" s="66"/>
      <c r="T85" s="55"/>
      <c r="U85" s="55"/>
      <c r="V85" s="277"/>
      <c r="W85" s="277"/>
      <c r="X85" s="277"/>
      <c r="Y85" s="277"/>
      <c r="Z85" s="277"/>
      <c r="AA85" s="277"/>
      <c r="AB85" s="277"/>
      <c r="AC85" s="277"/>
      <c r="AD85" s="277"/>
      <c r="AE85" s="277"/>
      <c r="AF85" s="277"/>
      <c r="AG85" s="277"/>
      <c r="AH85" s="277"/>
      <c r="AI85" s="277"/>
      <c r="AJ85" s="61"/>
    </row>
    <row r="86" spans="1:36" s="99" customFormat="1" ht="30" customHeight="1">
      <c r="A86" s="89"/>
      <c r="B86" s="89"/>
      <c r="C86" s="89"/>
      <c r="D86" s="91"/>
      <c r="E86" s="553"/>
      <c r="F86" s="92"/>
      <c r="G86" s="92"/>
      <c r="H86" s="92"/>
      <c r="I86" s="93"/>
      <c r="J86" s="94"/>
      <c r="K86" s="94"/>
      <c r="L86" s="95"/>
      <c r="M86" s="66"/>
      <c r="N86" s="96"/>
      <c r="O86" s="97"/>
      <c r="P86" s="58"/>
      <c r="Q86" s="69"/>
      <c r="R86" s="70"/>
      <c r="S86" s="66"/>
      <c r="T86" s="55"/>
      <c r="U86" s="55"/>
      <c r="V86" s="277"/>
      <c r="W86" s="98"/>
      <c r="X86" s="98"/>
      <c r="Y86" s="98"/>
      <c r="Z86" s="98"/>
      <c r="AA86" s="98"/>
      <c r="AB86" s="98"/>
      <c r="AC86" s="98"/>
      <c r="AD86" s="98"/>
      <c r="AE86" s="98"/>
      <c r="AF86" s="277"/>
      <c r="AG86" s="277"/>
      <c r="AH86" s="277"/>
      <c r="AI86" s="277"/>
      <c r="AJ86" s="92"/>
    </row>
    <row r="87" spans="1:36" s="99" customFormat="1" ht="30" customHeight="1">
      <c r="A87" s="89"/>
      <c r="B87" s="89"/>
      <c r="C87" s="89"/>
      <c r="D87" s="91"/>
      <c r="E87" s="553"/>
      <c r="F87" s="92"/>
      <c r="G87" s="92"/>
      <c r="H87" s="92"/>
      <c r="I87" s="93"/>
      <c r="J87" s="94"/>
      <c r="K87" s="94"/>
      <c r="L87" s="95"/>
      <c r="M87" s="66"/>
      <c r="N87" s="96"/>
      <c r="O87" s="97"/>
      <c r="P87" s="58"/>
      <c r="Q87" s="69"/>
      <c r="R87" s="70"/>
      <c r="S87" s="66"/>
      <c r="T87" s="55"/>
      <c r="U87" s="55"/>
      <c r="V87" s="277"/>
      <c r="W87" s="98"/>
      <c r="X87" s="98"/>
      <c r="Y87" s="98"/>
      <c r="Z87" s="98"/>
      <c r="AA87" s="98"/>
      <c r="AB87" s="98"/>
      <c r="AC87" s="98"/>
      <c r="AD87" s="98"/>
      <c r="AE87" s="98"/>
      <c r="AF87" s="277"/>
      <c r="AG87" s="277"/>
      <c r="AH87" s="277"/>
      <c r="AI87" s="277"/>
      <c r="AJ87" s="92"/>
    </row>
    <row r="88" spans="1:36" s="99" customFormat="1" ht="30" customHeight="1">
      <c r="A88" s="89"/>
      <c r="B88" s="89"/>
      <c r="C88" s="89"/>
      <c r="D88" s="91"/>
      <c r="E88" s="553"/>
      <c r="F88" s="92"/>
      <c r="G88" s="92"/>
      <c r="H88" s="92"/>
      <c r="I88" s="93"/>
      <c r="J88" s="94"/>
      <c r="K88" s="94"/>
      <c r="L88" s="95"/>
      <c r="M88" s="66"/>
      <c r="N88" s="96"/>
      <c r="O88" s="97"/>
      <c r="P88" s="58"/>
      <c r="Q88" s="69"/>
      <c r="R88" s="70"/>
      <c r="S88" s="66"/>
      <c r="T88" s="55"/>
      <c r="U88" s="55"/>
      <c r="V88" s="277"/>
      <c r="W88" s="98"/>
      <c r="X88" s="98"/>
      <c r="Y88" s="98"/>
      <c r="Z88" s="98"/>
      <c r="AA88" s="98"/>
      <c r="AB88" s="98"/>
      <c r="AC88" s="98"/>
      <c r="AD88" s="98"/>
      <c r="AE88" s="98"/>
      <c r="AF88" s="277"/>
      <c r="AG88" s="277"/>
      <c r="AH88" s="277"/>
      <c r="AI88" s="277"/>
      <c r="AJ88" s="92"/>
    </row>
    <row r="89" spans="1:36" s="99" customFormat="1" ht="30" customHeight="1">
      <c r="A89" s="89"/>
      <c r="B89" s="89"/>
      <c r="C89" s="89"/>
      <c r="D89" s="91"/>
      <c r="E89" s="553"/>
      <c r="F89" s="92"/>
      <c r="G89" s="92"/>
      <c r="H89" s="92"/>
      <c r="I89" s="93"/>
      <c r="J89" s="94"/>
      <c r="K89" s="94"/>
      <c r="L89" s="95"/>
      <c r="M89" s="66"/>
      <c r="N89" s="96"/>
      <c r="O89" s="97"/>
      <c r="P89" s="58"/>
      <c r="Q89" s="69"/>
      <c r="R89" s="70"/>
      <c r="S89" s="66"/>
      <c r="T89" s="55"/>
      <c r="U89" s="55"/>
      <c r="V89" s="277"/>
      <c r="W89" s="98"/>
      <c r="X89" s="98"/>
      <c r="Y89" s="98"/>
      <c r="Z89" s="98"/>
      <c r="AA89" s="98"/>
      <c r="AB89" s="98"/>
      <c r="AC89" s="98"/>
      <c r="AD89" s="98"/>
      <c r="AE89" s="98"/>
      <c r="AF89" s="277"/>
      <c r="AG89" s="277"/>
      <c r="AH89" s="277"/>
      <c r="AI89" s="277"/>
      <c r="AJ89" s="92"/>
    </row>
    <row r="90" spans="1:36" s="99" customFormat="1" ht="30" customHeight="1">
      <c r="A90" s="89"/>
      <c r="B90" s="89"/>
      <c r="C90" s="89"/>
      <c r="D90" s="91"/>
      <c r="E90" s="553"/>
      <c r="F90" s="92"/>
      <c r="G90" s="92"/>
      <c r="H90" s="92"/>
      <c r="I90" s="93"/>
      <c r="J90" s="94"/>
      <c r="K90" s="94"/>
      <c r="L90" s="95"/>
      <c r="M90" s="66"/>
      <c r="N90" s="96"/>
      <c r="O90" s="97"/>
      <c r="P90" s="58"/>
      <c r="Q90" s="69"/>
      <c r="R90" s="70"/>
      <c r="S90" s="66"/>
      <c r="T90" s="55"/>
      <c r="U90" s="55"/>
      <c r="V90" s="277"/>
      <c r="W90" s="98"/>
      <c r="X90" s="98"/>
      <c r="Y90" s="98"/>
      <c r="Z90" s="98"/>
      <c r="AA90" s="98"/>
      <c r="AB90" s="98"/>
      <c r="AC90" s="98"/>
      <c r="AD90" s="98"/>
      <c r="AE90" s="98"/>
      <c r="AF90" s="277"/>
      <c r="AG90" s="277"/>
      <c r="AH90" s="277"/>
      <c r="AI90" s="277"/>
      <c r="AJ90" s="92"/>
    </row>
    <row r="91" spans="1:36" s="99" customFormat="1" ht="30" customHeight="1">
      <c r="A91" s="89"/>
      <c r="B91" s="89"/>
      <c r="C91" s="89"/>
      <c r="D91" s="91"/>
      <c r="E91" s="553"/>
      <c r="F91" s="92"/>
      <c r="G91" s="92"/>
      <c r="H91" s="92"/>
      <c r="I91" s="93"/>
      <c r="J91" s="94"/>
      <c r="K91" s="94"/>
      <c r="L91" s="95"/>
      <c r="M91" s="66"/>
      <c r="N91" s="96"/>
      <c r="O91" s="97"/>
      <c r="P91" s="58"/>
      <c r="Q91" s="69"/>
      <c r="R91" s="70"/>
      <c r="S91" s="66"/>
      <c r="T91" s="55"/>
      <c r="U91" s="55"/>
      <c r="V91" s="277"/>
      <c r="W91" s="98"/>
      <c r="X91" s="98"/>
      <c r="Y91" s="98"/>
      <c r="Z91" s="98"/>
      <c r="AA91" s="98"/>
      <c r="AB91" s="98"/>
      <c r="AC91" s="98"/>
      <c r="AD91" s="98"/>
      <c r="AE91" s="98"/>
      <c r="AF91" s="277"/>
      <c r="AG91" s="277"/>
      <c r="AH91" s="277"/>
      <c r="AI91" s="277"/>
      <c r="AJ91" s="92"/>
    </row>
    <row r="92" spans="1:36" s="99" customFormat="1" ht="30" customHeight="1">
      <c r="A92" s="89"/>
      <c r="B92" s="89"/>
      <c r="C92" s="89"/>
      <c r="D92" s="91"/>
      <c r="E92" s="553"/>
      <c r="F92" s="92"/>
      <c r="G92" s="92"/>
      <c r="H92" s="92"/>
      <c r="I92" s="93"/>
      <c r="J92" s="94"/>
      <c r="K92" s="94"/>
      <c r="L92" s="95"/>
      <c r="M92" s="66"/>
      <c r="N92" s="96"/>
      <c r="O92" s="97"/>
      <c r="P92" s="58"/>
      <c r="Q92" s="69"/>
      <c r="R92" s="70"/>
      <c r="S92" s="66"/>
      <c r="T92" s="55"/>
      <c r="U92" s="55"/>
      <c r="V92" s="277"/>
      <c r="W92" s="98"/>
      <c r="X92" s="98"/>
      <c r="Y92" s="98"/>
      <c r="Z92" s="98"/>
      <c r="AA92" s="98"/>
      <c r="AB92" s="98"/>
      <c r="AC92" s="98"/>
      <c r="AD92" s="98"/>
      <c r="AE92" s="98"/>
      <c r="AF92" s="277"/>
      <c r="AG92" s="277"/>
      <c r="AH92" s="277"/>
      <c r="AI92" s="277"/>
      <c r="AJ92" s="92"/>
    </row>
    <row r="93" spans="1:36" s="99" customFormat="1" ht="30" customHeight="1">
      <c r="A93" s="89"/>
      <c r="B93" s="89"/>
      <c r="C93" s="89"/>
      <c r="D93" s="91"/>
      <c r="E93" s="553"/>
      <c r="F93" s="92"/>
      <c r="G93" s="92"/>
      <c r="H93" s="92"/>
      <c r="I93" s="93"/>
      <c r="J93" s="94"/>
      <c r="K93" s="94"/>
      <c r="L93" s="95"/>
      <c r="M93" s="66"/>
      <c r="N93" s="96"/>
      <c r="O93" s="97"/>
      <c r="P93" s="58"/>
      <c r="Q93" s="69"/>
      <c r="R93" s="70"/>
      <c r="S93" s="66"/>
      <c r="T93" s="55"/>
      <c r="U93" s="55"/>
      <c r="V93" s="277"/>
      <c r="W93" s="98"/>
      <c r="X93" s="98"/>
      <c r="Y93" s="98"/>
      <c r="Z93" s="98"/>
      <c r="AA93" s="98"/>
      <c r="AB93" s="98"/>
      <c r="AC93" s="98"/>
      <c r="AD93" s="98"/>
      <c r="AE93" s="98"/>
      <c r="AF93" s="277"/>
      <c r="AG93" s="277"/>
      <c r="AH93" s="277"/>
      <c r="AI93" s="277"/>
      <c r="AJ93" s="92"/>
    </row>
    <row r="94" spans="1:36" s="99" customFormat="1" ht="30" customHeight="1">
      <c r="A94" s="89"/>
      <c r="B94" s="89"/>
      <c r="C94" s="89"/>
      <c r="D94" s="91"/>
      <c r="E94" s="553"/>
      <c r="F94" s="92"/>
      <c r="G94" s="92"/>
      <c r="H94" s="92"/>
      <c r="I94" s="93"/>
      <c r="J94" s="94"/>
      <c r="K94" s="94"/>
      <c r="L94" s="95"/>
      <c r="M94" s="66"/>
      <c r="N94" s="96"/>
      <c r="O94" s="97"/>
      <c r="P94" s="58"/>
      <c r="Q94" s="69"/>
      <c r="R94" s="70"/>
      <c r="S94" s="66"/>
      <c r="T94" s="55"/>
      <c r="U94" s="55"/>
      <c r="V94" s="277"/>
      <c r="W94" s="98"/>
      <c r="X94" s="98"/>
      <c r="Y94" s="98"/>
      <c r="Z94" s="98"/>
      <c r="AA94" s="98"/>
      <c r="AB94" s="98"/>
      <c r="AC94" s="98"/>
      <c r="AD94" s="98"/>
      <c r="AE94" s="98"/>
      <c r="AF94" s="277"/>
      <c r="AG94" s="277"/>
      <c r="AH94" s="277"/>
      <c r="AI94" s="277"/>
      <c r="AJ94" s="92"/>
    </row>
    <row r="95" spans="1:36" s="99" customFormat="1" ht="30" customHeight="1">
      <c r="A95" s="89"/>
      <c r="B95" s="89"/>
      <c r="C95" s="89"/>
      <c r="D95" s="91"/>
      <c r="E95" s="553"/>
      <c r="F95" s="92"/>
      <c r="G95" s="92"/>
      <c r="H95" s="92"/>
      <c r="I95" s="93"/>
      <c r="J95" s="94"/>
      <c r="K95" s="94"/>
      <c r="L95" s="95"/>
      <c r="M95" s="66"/>
      <c r="N95" s="96"/>
      <c r="O95" s="97"/>
      <c r="P95" s="58"/>
      <c r="Q95" s="69"/>
      <c r="R95" s="70"/>
      <c r="S95" s="66"/>
      <c r="T95" s="55"/>
      <c r="U95" s="55"/>
      <c r="V95" s="277"/>
      <c r="W95" s="98"/>
      <c r="X95" s="98"/>
      <c r="Y95" s="98"/>
      <c r="Z95" s="98"/>
      <c r="AA95" s="98"/>
      <c r="AB95" s="98"/>
      <c r="AC95" s="98"/>
      <c r="AD95" s="98"/>
      <c r="AE95" s="98"/>
      <c r="AF95" s="277"/>
      <c r="AG95" s="277"/>
      <c r="AH95" s="277"/>
      <c r="AI95" s="277"/>
      <c r="AJ95" s="92"/>
    </row>
    <row r="96" spans="1:36" s="99" customFormat="1" ht="30" customHeight="1">
      <c r="A96" s="89"/>
      <c r="B96" s="89"/>
      <c r="C96" s="89"/>
      <c r="D96" s="91"/>
      <c r="E96" s="553"/>
      <c r="F96" s="92"/>
      <c r="G96" s="92"/>
      <c r="H96" s="92"/>
      <c r="I96" s="93"/>
      <c r="J96" s="94"/>
      <c r="K96" s="94"/>
      <c r="L96" s="95"/>
      <c r="M96" s="66"/>
      <c r="N96" s="96"/>
      <c r="O96" s="97"/>
      <c r="P96" s="58"/>
      <c r="Q96" s="69"/>
      <c r="R96" s="70"/>
      <c r="S96" s="66"/>
      <c r="T96" s="55"/>
      <c r="U96" s="55"/>
      <c r="V96" s="277"/>
      <c r="W96" s="98"/>
      <c r="X96" s="98"/>
      <c r="Y96" s="98"/>
      <c r="Z96" s="98"/>
      <c r="AA96" s="98"/>
      <c r="AB96" s="98"/>
      <c r="AC96" s="98"/>
      <c r="AD96" s="98"/>
      <c r="AE96" s="98"/>
      <c r="AF96" s="277"/>
      <c r="AG96" s="277"/>
      <c r="AH96" s="277"/>
      <c r="AI96" s="277"/>
      <c r="AJ96" s="92"/>
    </row>
    <row r="97" spans="1:36" s="99" customFormat="1" ht="30" customHeight="1">
      <c r="A97" s="89"/>
      <c r="B97" s="89"/>
      <c r="C97" s="89"/>
      <c r="D97" s="91"/>
      <c r="E97" s="553"/>
      <c r="F97" s="92"/>
      <c r="G97" s="92"/>
      <c r="H97" s="92"/>
      <c r="I97" s="93"/>
      <c r="J97" s="94"/>
      <c r="K97" s="94"/>
      <c r="L97" s="95"/>
      <c r="M97" s="66"/>
      <c r="N97" s="96"/>
      <c r="O97" s="97"/>
      <c r="P97" s="58"/>
      <c r="Q97" s="69"/>
      <c r="R97" s="70"/>
      <c r="S97" s="66"/>
      <c r="T97" s="55"/>
      <c r="U97" s="55"/>
      <c r="V97" s="277"/>
      <c r="W97" s="98"/>
      <c r="X97" s="98"/>
      <c r="Y97" s="98"/>
      <c r="Z97" s="98"/>
      <c r="AA97" s="98"/>
      <c r="AB97" s="98"/>
      <c r="AC97" s="98"/>
      <c r="AD97" s="98"/>
      <c r="AE97" s="98"/>
      <c r="AF97" s="277"/>
      <c r="AG97" s="277"/>
      <c r="AH97" s="277"/>
      <c r="AI97" s="277"/>
      <c r="AJ97" s="92"/>
    </row>
    <row r="98" spans="1:36" s="99" customFormat="1" ht="30" customHeight="1">
      <c r="A98" s="89"/>
      <c r="B98" s="89"/>
      <c r="C98" s="89"/>
      <c r="D98" s="91"/>
      <c r="E98" s="553"/>
      <c r="F98" s="92"/>
      <c r="G98" s="92"/>
      <c r="H98" s="92"/>
      <c r="I98" s="93"/>
      <c r="J98" s="94"/>
      <c r="K98" s="94"/>
      <c r="L98" s="95"/>
      <c r="M98" s="66"/>
      <c r="N98" s="96"/>
      <c r="O98" s="97"/>
      <c r="P98" s="58"/>
      <c r="Q98" s="69"/>
      <c r="R98" s="70"/>
      <c r="S98" s="66"/>
      <c r="T98" s="55"/>
      <c r="U98" s="55"/>
      <c r="V98" s="277"/>
      <c r="W98" s="98"/>
      <c r="X98" s="98"/>
      <c r="Y98" s="98"/>
      <c r="Z98" s="98"/>
      <c r="AA98" s="98"/>
      <c r="AB98" s="98"/>
      <c r="AC98" s="98"/>
      <c r="AD98" s="98"/>
      <c r="AE98" s="98"/>
      <c r="AF98" s="277"/>
      <c r="AG98" s="277"/>
      <c r="AH98" s="277"/>
      <c r="AI98" s="277"/>
      <c r="AJ98" s="92"/>
    </row>
    <row r="99" spans="1:36" s="99" customFormat="1" ht="30" customHeight="1">
      <c r="A99" s="89"/>
      <c r="B99" s="89"/>
      <c r="C99" s="89"/>
      <c r="D99" s="91"/>
      <c r="E99" s="553"/>
      <c r="F99" s="92"/>
      <c r="G99" s="92"/>
      <c r="H99" s="92"/>
      <c r="I99" s="93"/>
      <c r="J99" s="94"/>
      <c r="K99" s="94"/>
      <c r="L99" s="95"/>
      <c r="M99" s="66"/>
      <c r="N99" s="96"/>
      <c r="O99" s="97"/>
      <c r="P99" s="58"/>
      <c r="Q99" s="69"/>
      <c r="R99" s="70"/>
      <c r="S99" s="66"/>
      <c r="T99" s="55"/>
      <c r="U99" s="55"/>
      <c r="V99" s="277"/>
      <c r="W99" s="98"/>
      <c r="X99" s="98"/>
      <c r="Y99" s="98"/>
      <c r="Z99" s="98"/>
      <c r="AA99" s="98"/>
      <c r="AB99" s="98"/>
      <c r="AC99" s="98"/>
      <c r="AD99" s="98"/>
      <c r="AE99" s="98"/>
      <c r="AF99" s="277"/>
      <c r="AG99" s="277"/>
      <c r="AH99" s="277"/>
      <c r="AI99" s="277"/>
      <c r="AJ99" s="92"/>
    </row>
    <row r="100" spans="1:36" s="99" customFormat="1" ht="30" customHeight="1">
      <c r="A100" s="89"/>
      <c r="B100" s="89"/>
      <c r="C100" s="89"/>
      <c r="D100" s="91"/>
      <c r="E100" s="553"/>
      <c r="F100" s="92"/>
      <c r="G100" s="92"/>
      <c r="H100" s="92"/>
      <c r="I100" s="93"/>
      <c r="J100" s="94"/>
      <c r="K100" s="94"/>
      <c r="L100" s="95"/>
      <c r="M100" s="66"/>
      <c r="N100" s="96"/>
      <c r="O100" s="97"/>
      <c r="P100" s="58"/>
      <c r="Q100" s="69"/>
      <c r="R100" s="70"/>
      <c r="S100" s="66"/>
      <c r="T100" s="55"/>
      <c r="U100" s="55"/>
      <c r="V100" s="277"/>
      <c r="W100" s="98"/>
      <c r="X100" s="98"/>
      <c r="Y100" s="98"/>
      <c r="Z100" s="98"/>
      <c r="AA100" s="98"/>
      <c r="AB100" s="98"/>
      <c r="AC100" s="98"/>
      <c r="AD100" s="98"/>
      <c r="AE100" s="98"/>
      <c r="AF100" s="277"/>
      <c r="AG100" s="277"/>
      <c r="AH100" s="277"/>
      <c r="AI100" s="277"/>
      <c r="AJ100" s="92"/>
    </row>
    <row r="101" spans="1:36" s="99" customFormat="1" ht="30" customHeight="1">
      <c r="A101" s="89"/>
      <c r="B101" s="89"/>
      <c r="C101" s="89"/>
      <c r="D101" s="91"/>
      <c r="E101" s="553"/>
      <c r="F101" s="92"/>
      <c r="G101" s="92"/>
      <c r="H101" s="92"/>
      <c r="I101" s="93"/>
      <c r="J101" s="94"/>
      <c r="K101" s="94"/>
      <c r="L101" s="95"/>
      <c r="M101" s="66"/>
      <c r="N101" s="96"/>
      <c r="O101" s="97"/>
      <c r="P101" s="58"/>
      <c r="Q101" s="69"/>
      <c r="R101" s="70"/>
      <c r="S101" s="66"/>
      <c r="T101" s="55"/>
      <c r="U101" s="55"/>
      <c r="V101" s="277"/>
      <c r="W101" s="98"/>
      <c r="X101" s="98"/>
      <c r="Y101" s="98"/>
      <c r="Z101" s="98"/>
      <c r="AA101" s="98"/>
      <c r="AB101" s="98"/>
      <c r="AC101" s="98"/>
      <c r="AD101" s="98"/>
      <c r="AE101" s="98"/>
      <c r="AF101" s="277"/>
      <c r="AG101" s="277"/>
      <c r="AH101" s="277"/>
      <c r="AI101" s="277"/>
      <c r="AJ101" s="92"/>
    </row>
    <row r="102" spans="1:36" s="99" customFormat="1" ht="30" customHeight="1">
      <c r="A102" s="89"/>
      <c r="B102" s="89"/>
      <c r="C102" s="89"/>
      <c r="D102" s="91"/>
      <c r="E102" s="553"/>
      <c r="F102" s="92"/>
      <c r="G102" s="92"/>
      <c r="H102" s="92"/>
      <c r="I102" s="93"/>
      <c r="J102" s="94"/>
      <c r="K102" s="94"/>
      <c r="L102" s="95"/>
      <c r="M102" s="66"/>
      <c r="N102" s="96"/>
      <c r="O102" s="97"/>
      <c r="P102" s="58"/>
      <c r="Q102" s="69"/>
      <c r="R102" s="70"/>
      <c r="S102" s="66"/>
      <c r="T102" s="55"/>
      <c r="U102" s="55"/>
      <c r="V102" s="277"/>
      <c r="W102" s="98"/>
      <c r="X102" s="98"/>
      <c r="Y102" s="98"/>
      <c r="Z102" s="98"/>
      <c r="AA102" s="98"/>
      <c r="AB102" s="98"/>
      <c r="AC102" s="98"/>
      <c r="AD102" s="98"/>
      <c r="AE102" s="98"/>
      <c r="AF102" s="277"/>
      <c r="AG102" s="277"/>
      <c r="AH102" s="277"/>
      <c r="AI102" s="277"/>
      <c r="AJ102" s="92"/>
    </row>
    <row r="103" spans="1:36" s="99" customFormat="1" ht="30" customHeight="1">
      <c r="A103" s="89"/>
      <c r="B103" s="89"/>
      <c r="C103" s="89"/>
      <c r="D103" s="91"/>
      <c r="E103" s="553"/>
      <c r="F103" s="92"/>
      <c r="G103" s="92"/>
      <c r="H103" s="92"/>
      <c r="I103" s="93"/>
      <c r="J103" s="94"/>
      <c r="K103" s="94"/>
      <c r="L103" s="95"/>
      <c r="M103" s="66"/>
      <c r="N103" s="96"/>
      <c r="O103" s="97"/>
      <c r="P103" s="58"/>
      <c r="Q103" s="69"/>
      <c r="R103" s="70"/>
      <c r="S103" s="66"/>
      <c r="T103" s="55"/>
      <c r="U103" s="55"/>
      <c r="V103" s="277"/>
      <c r="W103" s="98"/>
      <c r="X103" s="98"/>
      <c r="Y103" s="98"/>
      <c r="Z103" s="98"/>
      <c r="AA103" s="98"/>
      <c r="AB103" s="98"/>
      <c r="AC103" s="98"/>
      <c r="AD103" s="98"/>
      <c r="AE103" s="98"/>
      <c r="AF103" s="277"/>
      <c r="AG103" s="277"/>
      <c r="AH103" s="277"/>
      <c r="AI103" s="277"/>
      <c r="AJ103" s="92"/>
    </row>
    <row r="104" spans="1:36" s="99" customFormat="1" ht="30" customHeight="1">
      <c r="A104" s="89"/>
      <c r="B104" s="89"/>
      <c r="C104" s="89"/>
      <c r="D104" s="91"/>
      <c r="E104" s="553"/>
      <c r="F104" s="92"/>
      <c r="G104" s="92"/>
      <c r="H104" s="92"/>
      <c r="I104" s="93"/>
      <c r="J104" s="94"/>
      <c r="K104" s="94"/>
      <c r="L104" s="95"/>
      <c r="M104" s="66"/>
      <c r="N104" s="96"/>
      <c r="O104" s="97"/>
      <c r="P104" s="58"/>
      <c r="Q104" s="69"/>
      <c r="R104" s="70"/>
      <c r="S104" s="66"/>
      <c r="T104" s="55"/>
      <c r="U104" s="55"/>
      <c r="V104" s="277"/>
      <c r="W104" s="98"/>
      <c r="X104" s="98"/>
      <c r="Y104" s="98"/>
      <c r="Z104" s="98"/>
      <c r="AA104" s="98"/>
      <c r="AB104" s="98"/>
      <c r="AC104" s="98"/>
      <c r="AD104" s="98"/>
      <c r="AE104" s="98"/>
      <c r="AF104" s="277"/>
      <c r="AG104" s="277"/>
      <c r="AH104" s="277"/>
      <c r="AI104" s="277"/>
      <c r="AJ104" s="92"/>
    </row>
    <row r="105" spans="1:36" s="99" customFormat="1" ht="30" customHeight="1">
      <c r="A105" s="89"/>
      <c r="B105" s="89"/>
      <c r="C105" s="89"/>
      <c r="D105" s="91"/>
      <c r="E105" s="553"/>
      <c r="F105" s="92"/>
      <c r="G105" s="92"/>
      <c r="H105" s="92"/>
      <c r="I105" s="93"/>
      <c r="J105" s="94"/>
      <c r="K105" s="94"/>
      <c r="L105" s="95"/>
      <c r="M105" s="66"/>
      <c r="N105" s="96"/>
      <c r="O105" s="97"/>
      <c r="P105" s="58"/>
      <c r="Q105" s="69"/>
      <c r="R105" s="70"/>
      <c r="S105" s="66"/>
      <c r="T105" s="55"/>
      <c r="U105" s="55"/>
      <c r="V105" s="277"/>
      <c r="W105" s="98"/>
      <c r="X105" s="98"/>
      <c r="Y105" s="98"/>
      <c r="Z105" s="98"/>
      <c r="AA105" s="98"/>
      <c r="AB105" s="98"/>
      <c r="AC105" s="98"/>
      <c r="AD105" s="98"/>
      <c r="AE105" s="98"/>
      <c r="AF105" s="277"/>
      <c r="AG105" s="277"/>
      <c r="AH105" s="277"/>
      <c r="AI105" s="277"/>
      <c r="AJ105" s="92"/>
    </row>
    <row r="106" spans="1:36" s="99" customFormat="1" ht="30" customHeight="1">
      <c r="A106" s="89"/>
      <c r="B106" s="89"/>
      <c r="C106" s="89"/>
      <c r="D106" s="91"/>
      <c r="E106" s="553"/>
      <c r="F106" s="92"/>
      <c r="G106" s="92"/>
      <c r="H106" s="92"/>
      <c r="I106" s="93"/>
      <c r="J106" s="94"/>
      <c r="K106" s="94"/>
      <c r="L106" s="95"/>
      <c r="M106" s="66"/>
      <c r="N106" s="96"/>
      <c r="O106" s="97"/>
      <c r="P106" s="58"/>
      <c r="Q106" s="69"/>
      <c r="R106" s="70"/>
      <c r="S106" s="66"/>
      <c r="T106" s="55"/>
      <c r="U106" s="55"/>
      <c r="V106" s="277"/>
      <c r="W106" s="98"/>
      <c r="X106" s="98"/>
      <c r="Y106" s="98"/>
      <c r="Z106" s="98"/>
      <c r="AA106" s="98"/>
      <c r="AB106" s="98"/>
      <c r="AC106" s="98"/>
      <c r="AD106" s="98"/>
      <c r="AE106" s="98"/>
      <c r="AF106" s="277"/>
      <c r="AG106" s="277"/>
      <c r="AH106" s="277"/>
      <c r="AI106" s="277"/>
      <c r="AJ106" s="92"/>
    </row>
    <row r="107" spans="1:36" s="99" customFormat="1" ht="30" customHeight="1">
      <c r="A107" s="89"/>
      <c r="B107" s="89"/>
      <c r="C107" s="89"/>
      <c r="D107" s="91"/>
      <c r="E107" s="553"/>
      <c r="F107" s="92"/>
      <c r="G107" s="92"/>
      <c r="H107" s="92"/>
      <c r="I107" s="93"/>
      <c r="J107" s="94"/>
      <c r="K107" s="94"/>
      <c r="L107" s="95"/>
      <c r="M107" s="66"/>
      <c r="N107" s="96"/>
      <c r="O107" s="97"/>
      <c r="P107" s="58"/>
      <c r="Q107" s="69"/>
      <c r="R107" s="70"/>
      <c r="S107" s="66"/>
      <c r="T107" s="55"/>
      <c r="U107" s="55"/>
      <c r="V107" s="277"/>
      <c r="W107" s="98"/>
      <c r="X107" s="98"/>
      <c r="Y107" s="98"/>
      <c r="Z107" s="98"/>
      <c r="AA107" s="98"/>
      <c r="AB107" s="98"/>
      <c r="AC107" s="98"/>
      <c r="AD107" s="98"/>
      <c r="AE107" s="98"/>
      <c r="AF107" s="277"/>
      <c r="AG107" s="277"/>
      <c r="AH107" s="277"/>
      <c r="AI107" s="277"/>
      <c r="AJ107" s="92"/>
    </row>
    <row r="108" spans="1:36" s="99" customFormat="1" ht="30" customHeight="1">
      <c r="A108" s="89"/>
      <c r="B108" s="89"/>
      <c r="C108" s="89"/>
      <c r="D108" s="91"/>
      <c r="E108" s="553"/>
      <c r="F108" s="92"/>
      <c r="G108" s="92"/>
      <c r="H108" s="92"/>
      <c r="I108" s="93"/>
      <c r="J108" s="94"/>
      <c r="K108" s="94"/>
      <c r="L108" s="95"/>
      <c r="M108" s="66"/>
      <c r="N108" s="96"/>
      <c r="O108" s="97"/>
      <c r="P108" s="58"/>
      <c r="Q108" s="69"/>
      <c r="R108" s="70"/>
      <c r="S108" s="66"/>
      <c r="T108" s="55"/>
      <c r="U108" s="55"/>
      <c r="V108" s="277"/>
      <c r="W108" s="98"/>
      <c r="X108" s="98"/>
      <c r="Y108" s="98"/>
      <c r="Z108" s="98"/>
      <c r="AA108" s="98"/>
      <c r="AB108" s="98"/>
      <c r="AC108" s="98"/>
      <c r="AD108" s="98"/>
      <c r="AE108" s="98"/>
      <c r="AF108" s="277"/>
      <c r="AG108" s="277"/>
      <c r="AH108" s="277"/>
      <c r="AI108" s="277"/>
      <c r="AJ108" s="92"/>
    </row>
    <row r="109" spans="1:36" s="99" customFormat="1" ht="30" customHeight="1">
      <c r="A109" s="89"/>
      <c r="B109" s="89"/>
      <c r="C109" s="89"/>
      <c r="D109" s="91"/>
      <c r="E109" s="553"/>
      <c r="F109" s="92"/>
      <c r="G109" s="92"/>
      <c r="H109" s="92"/>
      <c r="I109" s="93"/>
      <c r="J109" s="94"/>
      <c r="K109" s="94"/>
      <c r="L109" s="95"/>
      <c r="M109" s="66"/>
      <c r="N109" s="96"/>
      <c r="O109" s="97"/>
      <c r="P109" s="58"/>
      <c r="Q109" s="69"/>
      <c r="R109" s="70"/>
      <c r="S109" s="66"/>
      <c r="T109" s="55"/>
      <c r="U109" s="55"/>
      <c r="V109" s="277"/>
      <c r="W109" s="98"/>
      <c r="X109" s="98"/>
      <c r="Y109" s="98"/>
      <c r="Z109" s="98"/>
      <c r="AA109" s="98"/>
      <c r="AB109" s="98"/>
      <c r="AC109" s="98"/>
      <c r="AD109" s="98"/>
      <c r="AE109" s="98"/>
      <c r="AF109" s="277"/>
      <c r="AG109" s="277"/>
      <c r="AH109" s="277"/>
      <c r="AI109" s="277"/>
      <c r="AJ109" s="92"/>
    </row>
    <row r="110" spans="1:36" s="99" customFormat="1" ht="30" customHeight="1">
      <c r="A110" s="89"/>
      <c r="B110" s="89"/>
      <c r="C110" s="89"/>
      <c r="D110" s="91"/>
      <c r="E110" s="553"/>
      <c r="F110" s="92"/>
      <c r="G110" s="92"/>
      <c r="H110" s="92"/>
      <c r="I110" s="93"/>
      <c r="J110" s="94"/>
      <c r="K110" s="94"/>
      <c r="L110" s="95"/>
      <c r="M110" s="66"/>
      <c r="N110" s="96"/>
      <c r="O110" s="97"/>
      <c r="P110" s="58"/>
      <c r="Q110" s="69"/>
      <c r="R110" s="70"/>
      <c r="S110" s="66"/>
      <c r="T110" s="55"/>
      <c r="U110" s="55"/>
      <c r="V110" s="277"/>
      <c r="W110" s="98"/>
      <c r="X110" s="98"/>
      <c r="Y110" s="98"/>
      <c r="Z110" s="98"/>
      <c r="AA110" s="98"/>
      <c r="AB110" s="98"/>
      <c r="AC110" s="98"/>
      <c r="AD110" s="98"/>
      <c r="AE110" s="98"/>
      <c r="AF110" s="277"/>
      <c r="AG110" s="277"/>
      <c r="AH110" s="277"/>
      <c r="AI110" s="277"/>
      <c r="AJ110" s="92"/>
    </row>
    <row r="111" spans="1:36" s="99" customFormat="1" ht="30" customHeight="1">
      <c r="A111" s="89"/>
      <c r="B111" s="89"/>
      <c r="C111" s="89"/>
      <c r="D111" s="91"/>
      <c r="E111" s="553"/>
      <c r="F111" s="92"/>
      <c r="G111" s="92"/>
      <c r="H111" s="92"/>
      <c r="I111" s="93"/>
      <c r="J111" s="94"/>
      <c r="K111" s="94"/>
      <c r="L111" s="95"/>
      <c r="M111" s="66"/>
      <c r="N111" s="96"/>
      <c r="O111" s="97"/>
      <c r="P111" s="58"/>
      <c r="Q111" s="69"/>
      <c r="R111" s="70"/>
      <c r="S111" s="66"/>
      <c r="T111" s="55"/>
      <c r="U111" s="55"/>
      <c r="V111" s="277"/>
      <c r="W111" s="98"/>
      <c r="X111" s="98"/>
      <c r="Y111" s="98"/>
      <c r="Z111" s="98"/>
      <c r="AA111" s="98"/>
      <c r="AB111" s="98"/>
      <c r="AC111" s="98"/>
      <c r="AD111" s="98"/>
      <c r="AE111" s="98"/>
      <c r="AF111" s="277"/>
      <c r="AG111" s="277"/>
      <c r="AH111" s="277"/>
      <c r="AI111" s="277"/>
      <c r="AJ111" s="92"/>
    </row>
    <row r="112" spans="1:36" s="99" customFormat="1" ht="30" customHeight="1">
      <c r="A112" s="89"/>
      <c r="B112" s="89"/>
      <c r="C112" s="89"/>
      <c r="D112" s="91"/>
      <c r="E112" s="553"/>
      <c r="F112" s="92"/>
      <c r="G112" s="92"/>
      <c r="H112" s="92"/>
      <c r="I112" s="93"/>
      <c r="J112" s="94"/>
      <c r="K112" s="94"/>
      <c r="L112" s="95"/>
      <c r="M112" s="66"/>
      <c r="N112" s="96"/>
      <c r="O112" s="97"/>
      <c r="P112" s="58"/>
      <c r="Q112" s="69"/>
      <c r="R112" s="70"/>
      <c r="S112" s="66"/>
      <c r="T112" s="55"/>
      <c r="U112" s="55"/>
      <c r="V112" s="277"/>
      <c r="W112" s="98"/>
      <c r="X112" s="98"/>
      <c r="Y112" s="98"/>
      <c r="Z112" s="98"/>
      <c r="AA112" s="98"/>
      <c r="AB112" s="98"/>
      <c r="AC112" s="98"/>
      <c r="AD112" s="98"/>
      <c r="AE112" s="98"/>
      <c r="AF112" s="277"/>
      <c r="AG112" s="277"/>
      <c r="AH112" s="277"/>
      <c r="AI112" s="277"/>
      <c r="AJ112" s="92"/>
    </row>
    <row r="113" spans="1:36" s="99" customFormat="1" ht="30" customHeight="1">
      <c r="A113" s="89"/>
      <c r="B113" s="89"/>
      <c r="C113" s="89"/>
      <c r="D113" s="91"/>
      <c r="E113" s="553"/>
      <c r="F113" s="92"/>
      <c r="G113" s="92"/>
      <c r="H113" s="92"/>
      <c r="I113" s="93"/>
      <c r="J113" s="94"/>
      <c r="K113" s="94"/>
      <c r="L113" s="95"/>
      <c r="M113" s="66"/>
      <c r="N113" s="96"/>
      <c r="O113" s="97"/>
      <c r="P113" s="58"/>
      <c r="Q113" s="69"/>
      <c r="R113" s="70"/>
      <c r="S113" s="66"/>
      <c r="T113" s="55"/>
      <c r="U113" s="55"/>
      <c r="V113" s="277"/>
      <c r="W113" s="98"/>
      <c r="X113" s="98"/>
      <c r="Y113" s="98"/>
      <c r="Z113" s="98"/>
      <c r="AA113" s="98"/>
      <c r="AB113" s="98"/>
      <c r="AC113" s="98"/>
      <c r="AD113" s="98"/>
      <c r="AE113" s="98"/>
      <c r="AF113" s="277"/>
      <c r="AG113" s="277"/>
      <c r="AH113" s="277"/>
      <c r="AI113" s="277"/>
      <c r="AJ113" s="92"/>
    </row>
    <row r="114" spans="1:36" s="99" customFormat="1" ht="30" customHeight="1">
      <c r="A114" s="89"/>
      <c r="B114" s="89"/>
      <c r="C114" s="89"/>
      <c r="D114" s="91"/>
      <c r="E114" s="553"/>
      <c r="F114" s="92"/>
      <c r="G114" s="92"/>
      <c r="H114" s="92"/>
      <c r="I114" s="93"/>
      <c r="J114" s="94"/>
      <c r="K114" s="94"/>
      <c r="L114" s="95"/>
      <c r="M114" s="66"/>
      <c r="N114" s="96"/>
      <c r="O114" s="97"/>
      <c r="P114" s="58"/>
      <c r="Q114" s="69"/>
      <c r="R114" s="70"/>
      <c r="S114" s="66"/>
      <c r="T114" s="55"/>
      <c r="U114" s="55"/>
      <c r="V114" s="277"/>
      <c r="W114" s="98"/>
      <c r="X114" s="98"/>
      <c r="Y114" s="98"/>
      <c r="Z114" s="98"/>
      <c r="AA114" s="98"/>
      <c r="AB114" s="98"/>
      <c r="AC114" s="98"/>
      <c r="AD114" s="98"/>
      <c r="AE114" s="98"/>
      <c r="AF114" s="277"/>
      <c r="AG114" s="277"/>
      <c r="AH114" s="277"/>
      <c r="AI114" s="277"/>
      <c r="AJ114" s="92"/>
    </row>
    <row r="115" spans="1:36" s="99" customFormat="1" ht="30" customHeight="1">
      <c r="A115" s="89"/>
      <c r="B115" s="89"/>
      <c r="C115" s="89"/>
      <c r="D115" s="91"/>
      <c r="E115" s="553"/>
      <c r="F115" s="92"/>
      <c r="G115" s="92"/>
      <c r="H115" s="92"/>
      <c r="I115" s="93"/>
      <c r="J115" s="94"/>
      <c r="K115" s="94"/>
      <c r="L115" s="95"/>
      <c r="M115" s="66"/>
      <c r="N115" s="96"/>
      <c r="O115" s="97"/>
      <c r="P115" s="58"/>
      <c r="Q115" s="69"/>
      <c r="R115" s="70"/>
      <c r="S115" s="66"/>
      <c r="T115" s="55"/>
      <c r="U115" s="55"/>
      <c r="V115" s="277"/>
      <c r="W115" s="98"/>
      <c r="X115" s="98"/>
      <c r="Y115" s="98"/>
      <c r="Z115" s="98"/>
      <c r="AA115" s="98"/>
      <c r="AB115" s="98"/>
      <c r="AC115" s="98"/>
      <c r="AD115" s="98"/>
      <c r="AE115" s="98"/>
      <c r="AF115" s="277"/>
      <c r="AG115" s="277"/>
      <c r="AH115" s="277"/>
      <c r="AI115" s="277"/>
      <c r="AJ115" s="92"/>
    </row>
    <row r="116" spans="1:36" s="99" customFormat="1" ht="30" customHeight="1">
      <c r="A116" s="89"/>
      <c r="B116" s="89"/>
      <c r="C116" s="89"/>
      <c r="D116" s="91"/>
      <c r="E116" s="553"/>
      <c r="F116" s="92"/>
      <c r="G116" s="92"/>
      <c r="H116" s="92"/>
      <c r="I116" s="93"/>
      <c r="J116" s="94"/>
      <c r="K116" s="94"/>
      <c r="L116" s="95"/>
      <c r="M116" s="66"/>
      <c r="N116" s="96"/>
      <c r="O116" s="97"/>
      <c r="P116" s="58"/>
      <c r="Q116" s="69"/>
      <c r="R116" s="70"/>
      <c r="S116" s="66"/>
      <c r="T116" s="55"/>
      <c r="U116" s="55"/>
      <c r="V116" s="277"/>
      <c r="W116" s="98"/>
      <c r="X116" s="98"/>
      <c r="Y116" s="98"/>
      <c r="Z116" s="98"/>
      <c r="AA116" s="98"/>
      <c r="AB116" s="98"/>
      <c r="AC116" s="98"/>
      <c r="AD116" s="98"/>
      <c r="AE116" s="98"/>
      <c r="AF116" s="277"/>
      <c r="AG116" s="277"/>
      <c r="AH116" s="277"/>
      <c r="AI116" s="277"/>
      <c r="AJ116" s="92"/>
    </row>
    <row r="117" spans="1:36" s="99" customFormat="1" ht="30" customHeight="1">
      <c r="A117" s="89"/>
      <c r="B117" s="89"/>
      <c r="C117" s="89"/>
      <c r="D117" s="91"/>
      <c r="E117" s="553"/>
      <c r="F117" s="92"/>
      <c r="G117" s="92"/>
      <c r="H117" s="92"/>
      <c r="I117" s="93"/>
      <c r="J117" s="94"/>
      <c r="K117" s="94"/>
      <c r="L117" s="95"/>
      <c r="M117" s="66"/>
      <c r="N117" s="96"/>
      <c r="O117" s="97"/>
      <c r="P117" s="58"/>
      <c r="Q117" s="69"/>
      <c r="R117" s="70"/>
      <c r="S117" s="66"/>
      <c r="T117" s="55"/>
      <c r="U117" s="55"/>
      <c r="V117" s="277"/>
      <c r="W117" s="98"/>
      <c r="X117" s="98"/>
      <c r="Y117" s="98"/>
      <c r="Z117" s="98"/>
      <c r="AA117" s="98"/>
      <c r="AB117" s="98"/>
      <c r="AC117" s="98"/>
      <c r="AD117" s="98"/>
      <c r="AE117" s="98"/>
      <c r="AF117" s="277"/>
      <c r="AG117" s="277"/>
      <c r="AH117" s="277"/>
      <c r="AI117" s="277"/>
      <c r="AJ117" s="92"/>
    </row>
    <row r="118" spans="1:36" s="99" customFormat="1" ht="30" customHeight="1">
      <c r="A118" s="89"/>
      <c r="B118" s="89"/>
      <c r="C118" s="89"/>
      <c r="D118" s="91"/>
      <c r="E118" s="553"/>
      <c r="F118" s="92"/>
      <c r="G118" s="92"/>
      <c r="H118" s="92"/>
      <c r="I118" s="93"/>
      <c r="J118" s="94"/>
      <c r="K118" s="94"/>
      <c r="L118" s="95"/>
      <c r="M118" s="66"/>
      <c r="N118" s="96"/>
      <c r="O118" s="97"/>
      <c r="P118" s="58"/>
      <c r="Q118" s="69"/>
      <c r="R118" s="70"/>
      <c r="S118" s="66"/>
      <c r="T118" s="55"/>
      <c r="U118" s="55"/>
      <c r="V118" s="277"/>
      <c r="W118" s="98"/>
      <c r="X118" s="98"/>
      <c r="Y118" s="98"/>
      <c r="Z118" s="98"/>
      <c r="AA118" s="98"/>
      <c r="AB118" s="98"/>
      <c r="AC118" s="98"/>
      <c r="AD118" s="98"/>
      <c r="AE118" s="98"/>
      <c r="AF118" s="277"/>
      <c r="AG118" s="277"/>
      <c r="AH118" s="277"/>
      <c r="AI118" s="277"/>
      <c r="AJ118" s="92"/>
    </row>
    <row r="119" spans="1:36" s="99" customFormat="1" ht="30" customHeight="1">
      <c r="A119" s="89"/>
      <c r="B119" s="89"/>
      <c r="C119" s="89"/>
      <c r="D119" s="91"/>
      <c r="E119" s="553"/>
      <c r="F119" s="92"/>
      <c r="G119" s="92"/>
      <c r="H119" s="92"/>
      <c r="I119" s="93"/>
      <c r="J119" s="94"/>
      <c r="K119" s="94"/>
      <c r="L119" s="95"/>
      <c r="M119" s="66"/>
      <c r="N119" s="96"/>
      <c r="O119" s="97"/>
      <c r="P119" s="58"/>
      <c r="Q119" s="69"/>
      <c r="R119" s="70"/>
      <c r="S119" s="66"/>
      <c r="T119" s="55"/>
      <c r="U119" s="55"/>
      <c r="V119" s="277"/>
      <c r="W119" s="98"/>
      <c r="X119" s="98"/>
      <c r="Y119" s="98"/>
      <c r="Z119" s="98"/>
      <c r="AA119" s="98"/>
      <c r="AB119" s="98"/>
      <c r="AC119" s="98"/>
      <c r="AD119" s="98"/>
      <c r="AE119" s="98"/>
      <c r="AF119" s="277"/>
      <c r="AG119" s="277"/>
      <c r="AH119" s="277"/>
      <c r="AI119" s="277"/>
      <c r="AJ119" s="92"/>
    </row>
    <row r="120" spans="1:36" s="99" customFormat="1" ht="30" customHeight="1">
      <c r="A120" s="89"/>
      <c r="B120" s="89"/>
      <c r="C120" s="89"/>
      <c r="D120" s="91"/>
      <c r="E120" s="553"/>
      <c r="F120" s="92"/>
      <c r="G120" s="92"/>
      <c r="H120" s="92"/>
      <c r="I120" s="93"/>
      <c r="J120" s="94"/>
      <c r="K120" s="94"/>
      <c r="L120" s="95"/>
      <c r="M120" s="66"/>
      <c r="N120" s="96"/>
      <c r="O120" s="97"/>
      <c r="P120" s="58"/>
      <c r="Q120" s="69"/>
      <c r="R120" s="70"/>
      <c r="S120" s="66"/>
      <c r="T120" s="55"/>
      <c r="U120" s="55"/>
      <c r="V120" s="277"/>
      <c r="W120" s="98"/>
      <c r="X120" s="98"/>
      <c r="Y120" s="98"/>
      <c r="Z120" s="98"/>
      <c r="AA120" s="98"/>
      <c r="AB120" s="98"/>
      <c r="AC120" s="98"/>
      <c r="AD120" s="98"/>
      <c r="AE120" s="98"/>
      <c r="AF120" s="277"/>
      <c r="AG120" s="277"/>
      <c r="AH120" s="277"/>
      <c r="AI120" s="277"/>
      <c r="AJ120" s="92"/>
    </row>
    <row r="121" spans="1:36" s="99" customFormat="1" ht="30" customHeight="1">
      <c r="A121" s="89"/>
      <c r="B121" s="89"/>
      <c r="C121" s="89"/>
      <c r="D121" s="91"/>
      <c r="E121" s="553"/>
      <c r="F121" s="92"/>
      <c r="G121" s="92"/>
      <c r="H121" s="92"/>
      <c r="I121" s="93"/>
      <c r="J121" s="94"/>
      <c r="K121" s="94"/>
      <c r="L121" s="95"/>
      <c r="M121" s="66"/>
      <c r="N121" s="96"/>
      <c r="O121" s="97"/>
      <c r="P121" s="58"/>
      <c r="Q121" s="69"/>
      <c r="R121" s="70"/>
      <c r="S121" s="66"/>
      <c r="T121" s="55"/>
      <c r="U121" s="55"/>
      <c r="V121" s="277"/>
      <c r="W121" s="98"/>
      <c r="X121" s="98"/>
      <c r="Y121" s="98"/>
      <c r="Z121" s="98"/>
      <c r="AA121" s="98"/>
      <c r="AB121" s="98"/>
      <c r="AC121" s="98"/>
      <c r="AD121" s="98"/>
      <c r="AE121" s="98"/>
      <c r="AF121" s="277"/>
      <c r="AG121" s="277"/>
      <c r="AH121" s="277"/>
      <c r="AI121" s="277"/>
      <c r="AJ121" s="92"/>
    </row>
    <row r="122" spans="1:36" s="99" customFormat="1" ht="30" customHeight="1">
      <c r="A122" s="89"/>
      <c r="B122" s="89"/>
      <c r="C122" s="89"/>
      <c r="D122" s="91"/>
      <c r="E122" s="553"/>
      <c r="F122" s="92"/>
      <c r="G122" s="92"/>
      <c r="H122" s="92"/>
      <c r="I122" s="93"/>
      <c r="J122" s="94"/>
      <c r="K122" s="94"/>
      <c r="L122" s="95"/>
      <c r="M122" s="66"/>
      <c r="N122" s="96"/>
      <c r="O122" s="97"/>
      <c r="P122" s="58"/>
      <c r="Q122" s="69"/>
      <c r="R122" s="70"/>
      <c r="S122" s="66"/>
      <c r="T122" s="55"/>
      <c r="U122" s="55"/>
      <c r="V122" s="277"/>
      <c r="W122" s="98"/>
      <c r="X122" s="98"/>
      <c r="Y122" s="98"/>
      <c r="Z122" s="98"/>
      <c r="AA122" s="98"/>
      <c r="AB122" s="98"/>
      <c r="AC122" s="98"/>
      <c r="AD122" s="98"/>
      <c r="AE122" s="98"/>
      <c r="AF122" s="277"/>
      <c r="AG122" s="277"/>
      <c r="AH122" s="277"/>
      <c r="AI122" s="277"/>
      <c r="AJ122" s="92"/>
    </row>
    <row r="123" spans="1:36" s="99" customFormat="1" ht="30" customHeight="1">
      <c r="A123" s="89"/>
      <c r="B123" s="89"/>
      <c r="C123" s="89"/>
      <c r="D123" s="91"/>
      <c r="E123" s="553"/>
      <c r="F123" s="92"/>
      <c r="G123" s="92"/>
      <c r="H123" s="92"/>
      <c r="I123" s="93"/>
      <c r="J123" s="94"/>
      <c r="K123" s="94"/>
      <c r="L123" s="95"/>
      <c r="M123" s="66"/>
      <c r="N123" s="96"/>
      <c r="O123" s="97"/>
      <c r="P123" s="58"/>
      <c r="Q123" s="69"/>
      <c r="R123" s="70"/>
      <c r="S123" s="66"/>
      <c r="T123" s="55"/>
      <c r="U123" s="55"/>
      <c r="V123" s="277"/>
      <c r="W123" s="98"/>
      <c r="X123" s="98"/>
      <c r="Y123" s="98"/>
      <c r="Z123" s="98"/>
      <c r="AA123" s="98"/>
      <c r="AB123" s="98"/>
      <c r="AC123" s="98"/>
      <c r="AD123" s="98"/>
      <c r="AE123" s="98"/>
      <c r="AF123" s="277"/>
      <c r="AG123" s="277"/>
      <c r="AH123" s="277"/>
      <c r="AI123" s="277"/>
      <c r="AJ123" s="92"/>
    </row>
    <row r="124" spans="1:36" s="99" customFormat="1" ht="30" customHeight="1">
      <c r="A124" s="89"/>
      <c r="B124" s="89"/>
      <c r="C124" s="89"/>
      <c r="D124" s="91"/>
      <c r="E124" s="553"/>
      <c r="F124" s="92"/>
      <c r="G124" s="92"/>
      <c r="H124" s="92"/>
      <c r="I124" s="93"/>
      <c r="J124" s="94"/>
      <c r="K124" s="94"/>
      <c r="L124" s="95"/>
      <c r="M124" s="66"/>
      <c r="N124" s="96"/>
      <c r="O124" s="97"/>
      <c r="P124" s="58"/>
      <c r="Q124" s="69"/>
      <c r="R124" s="70"/>
      <c r="S124" s="66"/>
      <c r="T124" s="55"/>
      <c r="U124" s="55"/>
      <c r="V124" s="277"/>
      <c r="W124" s="98"/>
      <c r="X124" s="98"/>
      <c r="Y124" s="98"/>
      <c r="Z124" s="98"/>
      <c r="AA124" s="98"/>
      <c r="AB124" s="98"/>
      <c r="AC124" s="98"/>
      <c r="AD124" s="98"/>
      <c r="AE124" s="98"/>
      <c r="AF124" s="277"/>
      <c r="AG124" s="277"/>
      <c r="AH124" s="277"/>
      <c r="AI124" s="277"/>
      <c r="AJ124" s="92"/>
    </row>
    <row r="125" spans="1:36" s="99" customFormat="1" ht="30" customHeight="1">
      <c r="A125" s="89"/>
      <c r="B125" s="89"/>
      <c r="C125" s="89"/>
      <c r="D125" s="91"/>
      <c r="E125" s="553"/>
      <c r="F125" s="92"/>
      <c r="G125" s="92"/>
      <c r="H125" s="92"/>
      <c r="I125" s="93"/>
      <c r="J125" s="94"/>
      <c r="K125" s="94"/>
      <c r="L125" s="95"/>
      <c r="M125" s="66"/>
      <c r="N125" s="96"/>
      <c r="O125" s="97"/>
      <c r="P125" s="58"/>
      <c r="Q125" s="69"/>
      <c r="R125" s="70"/>
      <c r="S125" s="66"/>
      <c r="T125" s="55"/>
      <c r="U125" s="55"/>
      <c r="V125" s="277"/>
      <c r="W125" s="98"/>
      <c r="X125" s="98"/>
      <c r="Y125" s="98"/>
      <c r="Z125" s="98"/>
      <c r="AA125" s="98"/>
      <c r="AB125" s="98"/>
      <c r="AC125" s="98"/>
      <c r="AD125" s="98"/>
      <c r="AE125" s="98"/>
      <c r="AF125" s="277"/>
      <c r="AG125" s="277"/>
      <c r="AH125" s="277"/>
      <c r="AI125" s="277"/>
      <c r="AJ125" s="92"/>
    </row>
    <row r="126" spans="1:36" s="99" customFormat="1" ht="30" customHeight="1">
      <c r="A126" s="89"/>
      <c r="B126" s="89"/>
      <c r="C126" s="89"/>
      <c r="D126" s="91"/>
      <c r="E126" s="553"/>
      <c r="F126" s="92"/>
      <c r="G126" s="92"/>
      <c r="H126" s="92"/>
      <c r="I126" s="93"/>
      <c r="J126" s="94"/>
      <c r="K126" s="94"/>
      <c r="L126" s="95"/>
      <c r="M126" s="66"/>
      <c r="N126" s="96"/>
      <c r="O126" s="97"/>
      <c r="P126" s="58"/>
      <c r="Q126" s="69"/>
      <c r="R126" s="70"/>
      <c r="S126" s="66"/>
      <c r="T126" s="55"/>
      <c r="U126" s="55"/>
      <c r="V126" s="277"/>
      <c r="W126" s="98"/>
      <c r="X126" s="98"/>
      <c r="Y126" s="98"/>
      <c r="Z126" s="98"/>
      <c r="AA126" s="98"/>
      <c r="AB126" s="98"/>
      <c r="AC126" s="98"/>
      <c r="AD126" s="98"/>
      <c r="AE126" s="98"/>
      <c r="AF126" s="277"/>
      <c r="AG126" s="277"/>
      <c r="AH126" s="277"/>
      <c r="AI126" s="277"/>
      <c r="AJ126" s="92"/>
    </row>
    <row r="127" spans="1:36" s="99" customFormat="1" ht="30" customHeight="1">
      <c r="A127" s="89"/>
      <c r="B127" s="89"/>
      <c r="C127" s="89"/>
      <c r="D127" s="91"/>
      <c r="E127" s="553"/>
      <c r="F127" s="92"/>
      <c r="G127" s="92"/>
      <c r="H127" s="92"/>
      <c r="I127" s="93"/>
      <c r="J127" s="94"/>
      <c r="K127" s="94"/>
      <c r="L127" s="95"/>
      <c r="M127" s="66"/>
      <c r="N127" s="96"/>
      <c r="O127" s="97"/>
      <c r="P127" s="58"/>
      <c r="Q127" s="69"/>
      <c r="R127" s="70"/>
      <c r="S127" s="66"/>
      <c r="T127" s="55"/>
      <c r="U127" s="55"/>
      <c r="V127" s="277"/>
      <c r="W127" s="98"/>
      <c r="X127" s="98"/>
      <c r="Y127" s="98"/>
      <c r="Z127" s="98"/>
      <c r="AA127" s="98"/>
      <c r="AB127" s="98"/>
      <c r="AC127" s="98"/>
      <c r="AD127" s="98"/>
      <c r="AE127" s="98"/>
      <c r="AF127" s="277"/>
      <c r="AG127" s="277"/>
      <c r="AH127" s="277"/>
      <c r="AI127" s="277"/>
      <c r="AJ127" s="92"/>
    </row>
    <row r="128" spans="1:36" s="99" customFormat="1" ht="30" customHeight="1">
      <c r="A128" s="89"/>
      <c r="B128" s="89"/>
      <c r="C128" s="89"/>
      <c r="D128" s="91"/>
      <c r="E128" s="553"/>
      <c r="F128" s="92"/>
      <c r="G128" s="92"/>
      <c r="H128" s="92"/>
      <c r="I128" s="93"/>
      <c r="J128" s="94"/>
      <c r="K128" s="94"/>
      <c r="L128" s="95"/>
      <c r="M128" s="66"/>
      <c r="N128" s="96"/>
      <c r="O128" s="97"/>
      <c r="P128" s="58"/>
      <c r="Q128" s="69"/>
      <c r="R128" s="70"/>
      <c r="S128" s="66"/>
      <c r="T128" s="55"/>
      <c r="U128" s="55"/>
      <c r="V128" s="277"/>
      <c r="W128" s="98"/>
      <c r="X128" s="98"/>
      <c r="Y128" s="98"/>
      <c r="Z128" s="98"/>
      <c r="AA128" s="98"/>
      <c r="AB128" s="98"/>
      <c r="AC128" s="98"/>
      <c r="AD128" s="98"/>
      <c r="AE128" s="98"/>
      <c r="AF128" s="277"/>
      <c r="AG128" s="277"/>
      <c r="AH128" s="277"/>
      <c r="AI128" s="277"/>
      <c r="AJ128" s="92"/>
    </row>
    <row r="129" spans="1:36" s="99" customFormat="1" ht="65.099999999999994" customHeight="1">
      <c r="A129" s="89"/>
      <c r="B129" s="89"/>
      <c r="C129" s="89"/>
      <c r="D129" s="91"/>
      <c r="E129" s="553"/>
      <c r="F129" s="92"/>
      <c r="G129" s="92"/>
      <c r="H129" s="92"/>
      <c r="I129" s="93"/>
      <c r="J129" s="94"/>
      <c r="K129" s="94"/>
      <c r="L129" s="95"/>
      <c r="M129" s="66"/>
      <c r="N129" s="96"/>
      <c r="O129" s="97"/>
      <c r="P129" s="58"/>
      <c r="Q129" s="69"/>
      <c r="R129" s="70"/>
      <c r="S129" s="66"/>
      <c r="T129" s="55"/>
      <c r="U129" s="55"/>
      <c r="V129" s="277"/>
      <c r="W129" s="98"/>
      <c r="X129" s="98"/>
      <c r="Y129" s="98"/>
      <c r="Z129" s="98"/>
      <c r="AA129" s="98"/>
      <c r="AB129" s="98"/>
      <c r="AC129" s="98"/>
      <c r="AD129" s="98"/>
      <c r="AE129" s="98"/>
      <c r="AF129" s="277"/>
      <c r="AG129" s="277"/>
      <c r="AH129" s="277"/>
      <c r="AI129" s="277"/>
      <c r="AJ129" s="92"/>
    </row>
    <row r="130" spans="1:36" s="99" customFormat="1" ht="65.099999999999994" customHeight="1">
      <c r="A130" s="89"/>
      <c r="B130" s="89"/>
      <c r="C130" s="89"/>
      <c r="D130" s="91"/>
      <c r="E130" s="553"/>
      <c r="F130" s="92"/>
      <c r="G130" s="92"/>
      <c r="H130" s="92"/>
      <c r="I130" s="93"/>
      <c r="J130" s="94"/>
      <c r="K130" s="94"/>
      <c r="L130" s="95"/>
      <c r="M130" s="66"/>
      <c r="N130" s="96"/>
      <c r="O130" s="97"/>
      <c r="P130" s="58"/>
      <c r="Q130" s="69"/>
      <c r="R130" s="70"/>
      <c r="S130" s="66"/>
      <c r="T130" s="55"/>
      <c r="U130" s="55"/>
      <c r="V130" s="277"/>
      <c r="W130" s="98"/>
      <c r="X130" s="98"/>
      <c r="Y130" s="98"/>
      <c r="Z130" s="98"/>
      <c r="AA130" s="98"/>
      <c r="AB130" s="98"/>
      <c r="AC130" s="98"/>
      <c r="AD130" s="98"/>
      <c r="AE130" s="98"/>
      <c r="AF130" s="277"/>
      <c r="AG130" s="277"/>
      <c r="AH130" s="277"/>
      <c r="AI130" s="277"/>
      <c r="AJ130" s="92"/>
    </row>
    <row r="131" spans="1:36" s="99" customFormat="1" ht="65.099999999999994" customHeight="1">
      <c r="A131" s="89"/>
      <c r="B131" s="89"/>
      <c r="C131" s="89"/>
      <c r="D131" s="91"/>
      <c r="E131" s="553"/>
      <c r="F131" s="92"/>
      <c r="G131" s="92"/>
      <c r="H131" s="92"/>
      <c r="I131" s="93"/>
      <c r="J131" s="94"/>
      <c r="K131" s="94"/>
      <c r="L131" s="95"/>
      <c r="M131" s="66"/>
      <c r="N131" s="96"/>
      <c r="O131" s="97"/>
      <c r="P131" s="58"/>
      <c r="Q131" s="69"/>
      <c r="R131" s="70"/>
      <c r="S131" s="66"/>
      <c r="T131" s="55"/>
      <c r="U131" s="55"/>
      <c r="V131" s="277"/>
      <c r="W131" s="98"/>
      <c r="X131" s="98"/>
      <c r="Y131" s="98"/>
      <c r="Z131" s="98"/>
      <c r="AA131" s="98"/>
      <c r="AB131" s="98"/>
      <c r="AC131" s="98"/>
      <c r="AD131" s="98"/>
      <c r="AE131" s="98"/>
      <c r="AF131" s="277"/>
      <c r="AG131" s="277"/>
      <c r="AH131" s="277"/>
      <c r="AI131" s="277"/>
      <c r="AJ131" s="92"/>
    </row>
    <row r="132" spans="1:36" s="99" customFormat="1" ht="65.099999999999994" customHeight="1">
      <c r="A132" s="89"/>
      <c r="B132" s="89"/>
      <c r="C132" s="89"/>
      <c r="D132" s="91"/>
      <c r="E132" s="553"/>
      <c r="F132" s="92"/>
      <c r="G132" s="92"/>
      <c r="H132" s="92"/>
      <c r="I132" s="93"/>
      <c r="J132" s="94"/>
      <c r="K132" s="94"/>
      <c r="L132" s="95"/>
      <c r="M132" s="66"/>
      <c r="N132" s="96"/>
      <c r="O132" s="97"/>
      <c r="P132" s="58"/>
      <c r="Q132" s="69"/>
      <c r="R132" s="70"/>
      <c r="S132" s="66"/>
      <c r="T132" s="55"/>
      <c r="U132" s="55"/>
      <c r="V132" s="277"/>
      <c r="W132" s="98"/>
      <c r="X132" s="98"/>
      <c r="Y132" s="98"/>
      <c r="Z132" s="98"/>
      <c r="AA132" s="98"/>
      <c r="AB132" s="98"/>
      <c r="AC132" s="98"/>
      <c r="AD132" s="98"/>
      <c r="AE132" s="98"/>
      <c r="AF132" s="277"/>
      <c r="AG132" s="277"/>
      <c r="AH132" s="277"/>
      <c r="AI132" s="277"/>
      <c r="AJ132" s="92"/>
    </row>
    <row r="133" spans="1:36" s="99" customFormat="1" ht="65.099999999999994" customHeight="1">
      <c r="A133" s="89"/>
      <c r="B133" s="89"/>
      <c r="C133" s="89"/>
      <c r="D133" s="91"/>
      <c r="E133" s="553"/>
      <c r="F133" s="92"/>
      <c r="G133" s="92"/>
      <c r="H133" s="92"/>
      <c r="I133" s="93"/>
      <c r="J133" s="94"/>
      <c r="K133" s="94"/>
      <c r="L133" s="95"/>
      <c r="M133" s="66"/>
      <c r="N133" s="96"/>
      <c r="O133" s="97"/>
      <c r="P133" s="58"/>
      <c r="Q133" s="69"/>
      <c r="R133" s="70"/>
      <c r="S133" s="66"/>
      <c r="T133" s="55"/>
      <c r="U133" s="55"/>
      <c r="V133" s="277"/>
      <c r="W133" s="98"/>
      <c r="X133" s="98"/>
      <c r="Y133" s="98"/>
      <c r="Z133" s="98"/>
      <c r="AA133" s="98"/>
      <c r="AB133" s="98"/>
      <c r="AC133" s="98"/>
      <c r="AD133" s="98"/>
      <c r="AE133" s="98"/>
      <c r="AF133" s="277"/>
      <c r="AG133" s="277"/>
      <c r="AH133" s="277"/>
      <c r="AI133" s="277"/>
      <c r="AJ133" s="92"/>
    </row>
    <row r="134" spans="1:36" s="99" customFormat="1" ht="65.099999999999994" customHeight="1">
      <c r="A134" s="89"/>
      <c r="B134" s="89"/>
      <c r="C134" s="89"/>
      <c r="D134" s="91"/>
      <c r="E134" s="553"/>
      <c r="F134" s="92"/>
      <c r="G134" s="92"/>
      <c r="H134" s="92"/>
      <c r="I134" s="93"/>
      <c r="J134" s="94"/>
      <c r="K134" s="94"/>
      <c r="L134" s="95"/>
      <c r="M134" s="66"/>
      <c r="N134" s="96"/>
      <c r="O134" s="97"/>
      <c r="P134" s="58"/>
      <c r="Q134" s="69"/>
      <c r="R134" s="70"/>
      <c r="S134" s="66"/>
      <c r="T134" s="55"/>
      <c r="U134" s="55"/>
      <c r="V134" s="277"/>
      <c r="W134" s="98"/>
      <c r="X134" s="98"/>
      <c r="Y134" s="98"/>
      <c r="Z134" s="98"/>
      <c r="AA134" s="98"/>
      <c r="AB134" s="98"/>
      <c r="AC134" s="98"/>
      <c r="AD134" s="98"/>
      <c r="AE134" s="98"/>
      <c r="AF134" s="277"/>
      <c r="AG134" s="277"/>
      <c r="AH134" s="277"/>
      <c r="AI134" s="277"/>
      <c r="AJ134" s="92"/>
    </row>
    <row r="135" spans="1:36" s="99" customFormat="1" ht="65.099999999999994" customHeight="1">
      <c r="A135" s="89"/>
      <c r="B135" s="89"/>
      <c r="C135" s="89"/>
      <c r="D135" s="91"/>
      <c r="E135" s="553"/>
      <c r="F135" s="92"/>
      <c r="G135" s="92"/>
      <c r="H135" s="92"/>
      <c r="I135" s="93"/>
      <c r="J135" s="94"/>
      <c r="K135" s="94"/>
      <c r="L135" s="95"/>
      <c r="M135" s="66"/>
      <c r="N135" s="96"/>
      <c r="O135" s="97"/>
      <c r="P135" s="58"/>
      <c r="Q135" s="69"/>
      <c r="R135" s="70"/>
      <c r="S135" s="66"/>
      <c r="T135" s="55"/>
      <c r="U135" s="55"/>
      <c r="V135" s="277"/>
      <c r="W135" s="98"/>
      <c r="X135" s="98"/>
      <c r="Y135" s="98"/>
      <c r="Z135" s="98"/>
      <c r="AA135" s="98"/>
      <c r="AB135" s="98"/>
      <c r="AC135" s="98"/>
      <c r="AD135" s="98"/>
      <c r="AE135" s="98"/>
      <c r="AF135" s="277"/>
      <c r="AG135" s="277"/>
      <c r="AH135" s="277"/>
      <c r="AI135" s="277"/>
      <c r="AJ135" s="92"/>
    </row>
    <row r="136" spans="1:36" s="99" customFormat="1" ht="65.099999999999994" customHeight="1">
      <c r="A136" s="89"/>
      <c r="B136" s="89"/>
      <c r="C136" s="89"/>
      <c r="D136" s="91"/>
      <c r="E136" s="553"/>
      <c r="F136" s="92"/>
      <c r="G136" s="92"/>
      <c r="H136" s="92"/>
      <c r="I136" s="93"/>
      <c r="J136" s="94"/>
      <c r="K136" s="94"/>
      <c r="L136" s="95"/>
      <c r="M136" s="66"/>
      <c r="N136" s="96"/>
      <c r="O136" s="97"/>
      <c r="P136" s="58"/>
      <c r="Q136" s="69"/>
      <c r="R136" s="70"/>
      <c r="S136" s="66"/>
      <c r="T136" s="55"/>
      <c r="U136" s="55"/>
      <c r="V136" s="277"/>
      <c r="W136" s="98"/>
      <c r="X136" s="98"/>
      <c r="Y136" s="98"/>
      <c r="Z136" s="98"/>
      <c r="AA136" s="98"/>
      <c r="AB136" s="98"/>
      <c r="AC136" s="98"/>
      <c r="AD136" s="98"/>
      <c r="AE136" s="98"/>
      <c r="AF136" s="277"/>
      <c r="AG136" s="277"/>
      <c r="AH136" s="277"/>
      <c r="AI136" s="277"/>
      <c r="AJ136" s="92"/>
    </row>
    <row r="137" spans="1:36" s="99" customFormat="1" ht="65.099999999999994" customHeight="1">
      <c r="A137" s="89"/>
      <c r="B137" s="89"/>
      <c r="C137" s="89"/>
      <c r="D137" s="91"/>
      <c r="E137" s="553"/>
      <c r="F137" s="92"/>
      <c r="G137" s="92"/>
      <c r="H137" s="92"/>
      <c r="I137" s="93"/>
      <c r="J137" s="94"/>
      <c r="K137" s="94"/>
      <c r="L137" s="95"/>
      <c r="M137" s="66"/>
      <c r="N137" s="96"/>
      <c r="O137" s="97"/>
      <c r="P137" s="58"/>
      <c r="Q137" s="69"/>
      <c r="R137" s="70"/>
      <c r="S137" s="66"/>
      <c r="T137" s="55"/>
      <c r="U137" s="55"/>
      <c r="V137" s="277"/>
      <c r="W137" s="98"/>
      <c r="X137" s="98"/>
      <c r="Y137" s="98"/>
      <c r="Z137" s="98"/>
      <c r="AA137" s="98"/>
      <c r="AB137" s="98"/>
      <c r="AC137" s="98"/>
      <c r="AD137" s="98"/>
      <c r="AE137" s="98"/>
      <c r="AF137" s="277"/>
      <c r="AG137" s="277"/>
      <c r="AH137" s="277"/>
      <c r="AI137" s="277"/>
      <c r="AJ137" s="92"/>
    </row>
    <row r="138" spans="1:36" s="99" customFormat="1" ht="65.099999999999994" customHeight="1">
      <c r="A138" s="89"/>
      <c r="B138" s="89"/>
      <c r="C138" s="89"/>
      <c r="D138" s="91"/>
      <c r="E138" s="553"/>
      <c r="F138" s="92"/>
      <c r="G138" s="92"/>
      <c r="H138" s="92"/>
      <c r="I138" s="93"/>
      <c r="J138" s="94"/>
      <c r="K138" s="94"/>
      <c r="L138" s="95"/>
      <c r="M138" s="66"/>
      <c r="N138" s="96"/>
      <c r="O138" s="97"/>
      <c r="P138" s="58"/>
      <c r="Q138" s="69"/>
      <c r="R138" s="70"/>
      <c r="S138" s="66"/>
      <c r="T138" s="55"/>
      <c r="U138" s="55"/>
      <c r="V138" s="277"/>
      <c r="W138" s="98"/>
      <c r="X138" s="98"/>
      <c r="Y138" s="98"/>
      <c r="Z138" s="98"/>
      <c r="AA138" s="98"/>
      <c r="AB138" s="98"/>
      <c r="AC138" s="98"/>
      <c r="AD138" s="98"/>
      <c r="AE138" s="98"/>
      <c r="AF138" s="277"/>
      <c r="AG138" s="277"/>
      <c r="AH138" s="277"/>
      <c r="AI138" s="277"/>
      <c r="AJ138" s="92"/>
    </row>
    <row r="139" spans="1:36" s="99" customFormat="1" ht="65.099999999999994" customHeight="1">
      <c r="A139" s="89"/>
      <c r="B139" s="89"/>
      <c r="C139" s="89"/>
      <c r="D139" s="91"/>
      <c r="E139" s="553"/>
      <c r="F139" s="92"/>
      <c r="G139" s="92"/>
      <c r="H139" s="92"/>
      <c r="I139" s="93"/>
      <c r="J139" s="94"/>
      <c r="K139" s="94"/>
      <c r="L139" s="95"/>
      <c r="M139" s="66"/>
      <c r="N139" s="96"/>
      <c r="O139" s="97"/>
      <c r="P139" s="58"/>
      <c r="Q139" s="69"/>
      <c r="R139" s="70"/>
      <c r="S139" s="66"/>
      <c r="T139" s="55"/>
      <c r="U139" s="55"/>
      <c r="V139" s="277"/>
      <c r="W139" s="98"/>
      <c r="X139" s="98"/>
      <c r="Y139" s="98"/>
      <c r="Z139" s="98"/>
      <c r="AA139" s="98"/>
      <c r="AB139" s="98"/>
      <c r="AC139" s="98"/>
      <c r="AD139" s="98"/>
      <c r="AE139" s="98"/>
      <c r="AF139" s="277"/>
      <c r="AG139" s="277"/>
      <c r="AH139" s="277"/>
      <c r="AI139" s="277"/>
      <c r="AJ139" s="92"/>
    </row>
    <row r="140" spans="1:36" s="99" customFormat="1" ht="65.099999999999994" customHeight="1">
      <c r="A140" s="89"/>
      <c r="B140" s="89"/>
      <c r="C140" s="89"/>
      <c r="D140" s="91"/>
      <c r="E140" s="553"/>
      <c r="F140" s="92"/>
      <c r="G140" s="92"/>
      <c r="H140" s="92"/>
      <c r="I140" s="93"/>
      <c r="J140" s="94"/>
      <c r="K140" s="94"/>
      <c r="L140" s="95"/>
      <c r="M140" s="66"/>
      <c r="N140" s="96"/>
      <c r="O140" s="97"/>
      <c r="P140" s="58"/>
      <c r="Q140" s="69"/>
      <c r="R140" s="70"/>
      <c r="S140" s="66"/>
      <c r="T140" s="55"/>
      <c r="U140" s="55"/>
      <c r="V140" s="277"/>
      <c r="W140" s="98"/>
      <c r="X140" s="98"/>
      <c r="Y140" s="98"/>
      <c r="Z140" s="98"/>
      <c r="AA140" s="98"/>
      <c r="AB140" s="98"/>
      <c r="AC140" s="98"/>
      <c r="AD140" s="98"/>
      <c r="AE140" s="98"/>
      <c r="AF140" s="277"/>
      <c r="AG140" s="277"/>
      <c r="AH140" s="277"/>
      <c r="AI140" s="277"/>
      <c r="AJ140" s="92"/>
    </row>
    <row r="141" spans="1:36" s="99" customFormat="1" ht="65.099999999999994" customHeight="1">
      <c r="A141" s="89"/>
      <c r="B141" s="89"/>
      <c r="C141" s="89"/>
      <c r="D141" s="91"/>
      <c r="E141" s="553"/>
      <c r="F141" s="92"/>
      <c r="G141" s="92"/>
      <c r="H141" s="92"/>
      <c r="I141" s="93"/>
      <c r="J141" s="94"/>
      <c r="K141" s="94"/>
      <c r="L141" s="95"/>
      <c r="M141" s="66"/>
      <c r="N141" s="96"/>
      <c r="O141" s="97"/>
      <c r="P141" s="58"/>
      <c r="Q141" s="69"/>
      <c r="R141" s="70"/>
      <c r="S141" s="66"/>
      <c r="T141" s="55"/>
      <c r="U141" s="55"/>
      <c r="V141" s="277"/>
      <c r="W141" s="98"/>
      <c r="X141" s="98"/>
      <c r="Y141" s="98"/>
      <c r="Z141" s="98"/>
      <c r="AA141" s="98"/>
      <c r="AB141" s="98"/>
      <c r="AC141" s="98"/>
      <c r="AD141" s="98"/>
      <c r="AE141" s="98"/>
      <c r="AF141" s="277"/>
      <c r="AG141" s="277"/>
      <c r="AH141" s="277"/>
      <c r="AI141" s="277"/>
      <c r="AJ141" s="92"/>
    </row>
    <row r="142" spans="1:36" s="99" customFormat="1" ht="65.099999999999994" customHeight="1">
      <c r="A142" s="89"/>
      <c r="B142" s="89"/>
      <c r="C142" s="89"/>
      <c r="D142" s="91"/>
      <c r="E142" s="553"/>
      <c r="F142" s="92"/>
      <c r="G142" s="92"/>
      <c r="H142" s="92"/>
      <c r="I142" s="93"/>
      <c r="J142" s="94"/>
      <c r="K142" s="94"/>
      <c r="L142" s="95"/>
      <c r="M142" s="66"/>
      <c r="N142" s="96"/>
      <c r="O142" s="97"/>
      <c r="P142" s="58"/>
      <c r="Q142" s="69"/>
      <c r="R142" s="70"/>
      <c r="S142" s="66"/>
      <c r="T142" s="55"/>
      <c r="U142" s="55"/>
      <c r="V142" s="277"/>
      <c r="W142" s="98"/>
      <c r="X142" s="98"/>
      <c r="Y142" s="98"/>
      <c r="Z142" s="98"/>
      <c r="AA142" s="98"/>
      <c r="AB142" s="98"/>
      <c r="AC142" s="98"/>
      <c r="AD142" s="98"/>
      <c r="AE142" s="98"/>
      <c r="AF142" s="277"/>
      <c r="AG142" s="277"/>
      <c r="AH142" s="277"/>
      <c r="AI142" s="277"/>
      <c r="AJ142" s="92"/>
    </row>
    <row r="143" spans="1:36" s="99" customFormat="1" ht="65.099999999999994" customHeight="1">
      <c r="A143" s="89"/>
      <c r="B143" s="89"/>
      <c r="C143" s="89"/>
      <c r="D143" s="91"/>
      <c r="E143" s="553"/>
      <c r="F143" s="92"/>
      <c r="G143" s="92"/>
      <c r="H143" s="92"/>
      <c r="I143" s="93"/>
      <c r="J143" s="94"/>
      <c r="K143" s="94"/>
      <c r="L143" s="95"/>
      <c r="M143" s="66"/>
      <c r="N143" s="96"/>
      <c r="O143" s="97"/>
      <c r="P143" s="58"/>
      <c r="Q143" s="69"/>
      <c r="R143" s="70"/>
      <c r="S143" s="66"/>
      <c r="T143" s="55"/>
      <c r="U143" s="55"/>
      <c r="V143" s="277"/>
      <c r="W143" s="98"/>
      <c r="X143" s="98"/>
      <c r="Y143" s="98"/>
      <c r="Z143" s="98"/>
      <c r="AA143" s="98"/>
      <c r="AB143" s="98"/>
      <c r="AC143" s="98"/>
      <c r="AD143" s="98"/>
      <c r="AE143" s="98"/>
      <c r="AF143" s="277"/>
      <c r="AG143" s="277"/>
      <c r="AH143" s="277"/>
      <c r="AI143" s="277"/>
      <c r="AJ143" s="92"/>
    </row>
    <row r="144" spans="1:36" s="99" customFormat="1" ht="65.099999999999994" customHeight="1">
      <c r="A144" s="89"/>
      <c r="B144" s="89"/>
      <c r="C144" s="89"/>
      <c r="D144" s="91"/>
      <c r="E144" s="553"/>
      <c r="F144" s="92"/>
      <c r="G144" s="92"/>
      <c r="H144" s="92"/>
      <c r="I144" s="93"/>
      <c r="J144" s="94"/>
      <c r="K144" s="94"/>
      <c r="L144" s="95"/>
      <c r="M144" s="66"/>
      <c r="N144" s="96"/>
      <c r="O144" s="97"/>
      <c r="P144" s="58"/>
      <c r="Q144" s="69"/>
      <c r="R144" s="70"/>
      <c r="S144" s="66"/>
      <c r="T144" s="55"/>
      <c r="U144" s="55"/>
      <c r="V144" s="277"/>
      <c r="W144" s="98"/>
      <c r="X144" s="98"/>
      <c r="Y144" s="98"/>
      <c r="Z144" s="98"/>
      <c r="AA144" s="98"/>
      <c r="AB144" s="98"/>
      <c r="AC144" s="98"/>
      <c r="AD144" s="98"/>
      <c r="AE144" s="98"/>
      <c r="AF144" s="277"/>
      <c r="AG144" s="277"/>
      <c r="AH144" s="277"/>
      <c r="AI144" s="277"/>
      <c r="AJ144" s="92"/>
    </row>
    <row r="145" spans="1:36" s="99" customFormat="1" ht="65.099999999999994" customHeight="1">
      <c r="A145" s="89"/>
      <c r="B145" s="89"/>
      <c r="C145" s="89"/>
      <c r="D145" s="91"/>
      <c r="E145" s="553"/>
      <c r="F145" s="92"/>
      <c r="G145" s="92"/>
      <c r="H145" s="92"/>
      <c r="I145" s="93"/>
      <c r="J145" s="94"/>
      <c r="K145" s="94"/>
      <c r="L145" s="95"/>
      <c r="M145" s="66"/>
      <c r="N145" s="96"/>
      <c r="O145" s="97"/>
      <c r="P145" s="58"/>
      <c r="Q145" s="69"/>
      <c r="R145" s="70"/>
      <c r="S145" s="66"/>
      <c r="T145" s="55"/>
      <c r="U145" s="55"/>
      <c r="V145" s="277"/>
      <c r="W145" s="98"/>
      <c r="X145" s="98"/>
      <c r="Y145" s="98"/>
      <c r="Z145" s="98"/>
      <c r="AA145" s="98"/>
      <c r="AB145" s="98"/>
      <c r="AC145" s="98"/>
      <c r="AD145" s="98"/>
      <c r="AE145" s="98"/>
      <c r="AF145" s="277"/>
      <c r="AG145" s="277"/>
      <c r="AH145" s="277"/>
      <c r="AI145" s="277"/>
      <c r="AJ145" s="92"/>
    </row>
    <row r="146" spans="1:36" s="99" customFormat="1" ht="65.099999999999994" customHeight="1">
      <c r="A146" s="89"/>
      <c r="B146" s="89"/>
      <c r="C146" s="89"/>
      <c r="D146" s="91"/>
      <c r="E146" s="553"/>
      <c r="F146" s="92"/>
      <c r="G146" s="92"/>
      <c r="H146" s="92"/>
      <c r="I146" s="93"/>
      <c r="J146" s="94"/>
      <c r="K146" s="94"/>
      <c r="L146" s="95"/>
      <c r="M146" s="66"/>
      <c r="N146" s="96"/>
      <c r="O146" s="97"/>
      <c r="P146" s="58"/>
      <c r="Q146" s="69"/>
      <c r="R146" s="70"/>
      <c r="S146" s="66"/>
      <c r="T146" s="55"/>
      <c r="U146" s="55"/>
      <c r="V146" s="277"/>
      <c r="W146" s="98"/>
      <c r="X146" s="98"/>
      <c r="Y146" s="98"/>
      <c r="Z146" s="98"/>
      <c r="AA146" s="98"/>
      <c r="AB146" s="98"/>
      <c r="AC146" s="98"/>
      <c r="AD146" s="98"/>
      <c r="AE146" s="98"/>
      <c r="AF146" s="277"/>
      <c r="AG146" s="277"/>
      <c r="AH146" s="277"/>
      <c r="AI146" s="277"/>
      <c r="AJ146" s="92"/>
    </row>
    <row r="147" spans="1:36" s="99" customFormat="1" ht="65.099999999999994" customHeight="1">
      <c r="A147" s="89"/>
      <c r="B147" s="89"/>
      <c r="C147" s="89"/>
      <c r="D147" s="91"/>
      <c r="E147" s="553"/>
      <c r="F147" s="92"/>
      <c r="G147" s="92"/>
      <c r="H147" s="92"/>
      <c r="I147" s="93"/>
      <c r="J147" s="94"/>
      <c r="K147" s="94"/>
      <c r="L147" s="95"/>
      <c r="M147" s="66"/>
      <c r="N147" s="96"/>
      <c r="O147" s="97"/>
      <c r="P147" s="58"/>
      <c r="Q147" s="69"/>
      <c r="R147" s="70"/>
      <c r="S147" s="66"/>
      <c r="T147" s="55"/>
      <c r="U147" s="55"/>
      <c r="V147" s="277"/>
      <c r="W147" s="98"/>
      <c r="X147" s="98"/>
      <c r="Y147" s="98"/>
      <c r="Z147" s="98"/>
      <c r="AA147" s="98"/>
      <c r="AB147" s="98"/>
      <c r="AC147" s="98"/>
      <c r="AD147" s="98"/>
      <c r="AE147" s="98"/>
      <c r="AF147" s="277"/>
      <c r="AG147" s="277"/>
      <c r="AH147" s="277"/>
      <c r="AI147" s="277"/>
      <c r="AJ147" s="92"/>
    </row>
    <row r="148" spans="1:36" s="99" customFormat="1" ht="65.099999999999994" customHeight="1">
      <c r="A148" s="89"/>
      <c r="B148" s="89"/>
      <c r="C148" s="89"/>
      <c r="D148" s="91"/>
      <c r="E148" s="553"/>
      <c r="F148" s="92"/>
      <c r="G148" s="92"/>
      <c r="H148" s="92"/>
      <c r="I148" s="93"/>
      <c r="J148" s="94"/>
      <c r="K148" s="94"/>
      <c r="L148" s="95"/>
      <c r="M148" s="66"/>
      <c r="N148" s="96"/>
      <c r="O148" s="97"/>
      <c r="P148" s="58"/>
      <c r="Q148" s="69"/>
      <c r="R148" s="70"/>
      <c r="S148" s="66"/>
      <c r="T148" s="55"/>
      <c r="U148" s="55"/>
      <c r="V148" s="277"/>
      <c r="W148" s="98"/>
      <c r="X148" s="98"/>
      <c r="Y148" s="98"/>
      <c r="Z148" s="98"/>
      <c r="AA148" s="98"/>
      <c r="AB148" s="98"/>
      <c r="AC148" s="98"/>
      <c r="AD148" s="98"/>
      <c r="AE148" s="98"/>
      <c r="AF148" s="277"/>
      <c r="AG148" s="277"/>
      <c r="AH148" s="277"/>
      <c r="AI148" s="277"/>
      <c r="AJ148" s="92"/>
    </row>
    <row r="149" spans="1:36" s="99" customFormat="1" ht="65.099999999999994" customHeight="1">
      <c r="A149" s="89"/>
      <c r="B149" s="89"/>
      <c r="C149" s="89"/>
      <c r="D149" s="91"/>
      <c r="E149" s="553"/>
      <c r="F149" s="92"/>
      <c r="G149" s="92"/>
      <c r="H149" s="92"/>
      <c r="I149" s="93"/>
      <c r="J149" s="94"/>
      <c r="K149" s="94"/>
      <c r="L149" s="95"/>
      <c r="M149" s="66"/>
      <c r="N149" s="96"/>
      <c r="O149" s="97"/>
      <c r="P149" s="58"/>
      <c r="Q149" s="69"/>
      <c r="R149" s="70"/>
      <c r="S149" s="66"/>
      <c r="T149" s="55"/>
      <c r="U149" s="55"/>
      <c r="V149" s="277"/>
      <c r="W149" s="98"/>
      <c r="X149" s="98"/>
      <c r="Y149" s="98"/>
      <c r="Z149" s="98"/>
      <c r="AA149" s="98"/>
      <c r="AB149" s="98"/>
      <c r="AC149" s="98"/>
      <c r="AD149" s="98"/>
      <c r="AE149" s="98"/>
      <c r="AF149" s="277"/>
      <c r="AG149" s="277"/>
      <c r="AH149" s="277"/>
      <c r="AI149" s="277"/>
      <c r="AJ149" s="92"/>
    </row>
    <row r="150" spans="1:36" s="99" customFormat="1" ht="65.099999999999994" customHeight="1">
      <c r="A150" s="89"/>
      <c r="B150" s="89"/>
      <c r="C150" s="89"/>
      <c r="D150" s="91"/>
      <c r="E150" s="553"/>
      <c r="F150" s="92"/>
      <c r="G150" s="92"/>
      <c r="H150" s="92"/>
      <c r="I150" s="93"/>
      <c r="J150" s="94"/>
      <c r="K150" s="94"/>
      <c r="L150" s="95"/>
      <c r="M150" s="66"/>
      <c r="N150" s="96"/>
      <c r="O150" s="97"/>
      <c r="P150" s="58"/>
      <c r="Q150" s="69"/>
      <c r="R150" s="70"/>
      <c r="S150" s="66"/>
      <c r="T150" s="55"/>
      <c r="U150" s="55"/>
      <c r="V150" s="277"/>
      <c r="W150" s="98"/>
      <c r="X150" s="98"/>
      <c r="Y150" s="98"/>
      <c r="Z150" s="98"/>
      <c r="AA150" s="98"/>
      <c r="AB150" s="98"/>
      <c r="AC150" s="98"/>
      <c r="AD150" s="98"/>
      <c r="AE150" s="98"/>
      <c r="AF150" s="277"/>
      <c r="AG150" s="277"/>
      <c r="AH150" s="277"/>
      <c r="AI150" s="277"/>
      <c r="AJ150" s="92"/>
    </row>
    <row r="151" spans="1:36" s="99" customFormat="1" ht="65.099999999999994" customHeight="1">
      <c r="A151" s="89"/>
      <c r="B151" s="89"/>
      <c r="C151" s="89"/>
      <c r="D151" s="91"/>
      <c r="E151" s="553"/>
      <c r="F151" s="92"/>
      <c r="G151" s="92"/>
      <c r="H151" s="92"/>
      <c r="I151" s="93"/>
      <c r="J151" s="94"/>
      <c r="K151" s="94"/>
      <c r="L151" s="95"/>
      <c r="M151" s="66"/>
      <c r="N151" s="96"/>
      <c r="O151" s="97"/>
      <c r="P151" s="58"/>
      <c r="Q151" s="69"/>
      <c r="R151" s="70"/>
      <c r="S151" s="66"/>
      <c r="T151" s="55"/>
      <c r="U151" s="55"/>
      <c r="V151" s="277"/>
      <c r="W151" s="98"/>
      <c r="X151" s="98"/>
      <c r="Y151" s="98"/>
      <c r="Z151" s="98"/>
      <c r="AA151" s="98"/>
      <c r="AB151" s="98"/>
      <c r="AC151" s="98"/>
      <c r="AD151" s="98"/>
      <c r="AE151" s="98"/>
      <c r="AF151" s="277"/>
      <c r="AG151" s="277"/>
      <c r="AH151" s="277"/>
      <c r="AI151" s="277"/>
      <c r="AJ151" s="92"/>
    </row>
    <row r="152" spans="1:36" s="99" customFormat="1" ht="65.099999999999994" customHeight="1">
      <c r="A152" s="89"/>
      <c r="B152" s="89"/>
      <c r="C152" s="89"/>
      <c r="D152" s="91"/>
      <c r="E152" s="553"/>
      <c r="F152" s="92"/>
      <c r="G152" s="92"/>
      <c r="H152" s="92"/>
      <c r="I152" s="93"/>
      <c r="J152" s="94"/>
      <c r="K152" s="94"/>
      <c r="L152" s="95"/>
      <c r="M152" s="66"/>
      <c r="N152" s="96"/>
      <c r="O152" s="97"/>
      <c r="P152" s="58"/>
      <c r="Q152" s="69"/>
      <c r="R152" s="70"/>
      <c r="S152" s="66"/>
      <c r="T152" s="55"/>
      <c r="U152" s="55"/>
      <c r="V152" s="277"/>
      <c r="W152" s="98"/>
      <c r="X152" s="98"/>
      <c r="Y152" s="98"/>
      <c r="Z152" s="98"/>
      <c r="AA152" s="98"/>
      <c r="AB152" s="98"/>
      <c r="AC152" s="98"/>
      <c r="AD152" s="98"/>
      <c r="AE152" s="98"/>
      <c r="AF152" s="277"/>
      <c r="AG152" s="277"/>
      <c r="AH152" s="277"/>
      <c r="AI152" s="277"/>
      <c r="AJ152" s="92"/>
    </row>
    <row r="153" spans="1:36" s="99" customFormat="1" ht="65.099999999999994" customHeight="1">
      <c r="A153" s="89"/>
      <c r="B153" s="89"/>
      <c r="C153" s="89"/>
      <c r="D153" s="91"/>
      <c r="E153" s="553"/>
      <c r="F153" s="92"/>
      <c r="G153" s="92"/>
      <c r="H153" s="92"/>
      <c r="I153" s="93"/>
      <c r="J153" s="94"/>
      <c r="K153" s="94"/>
      <c r="L153" s="95"/>
      <c r="M153" s="66"/>
      <c r="N153" s="96"/>
      <c r="O153" s="97"/>
      <c r="P153" s="58"/>
      <c r="Q153" s="69"/>
      <c r="R153" s="70"/>
      <c r="S153" s="66"/>
      <c r="T153" s="55"/>
      <c r="U153" s="55"/>
      <c r="V153" s="277"/>
      <c r="W153" s="98"/>
      <c r="X153" s="98"/>
      <c r="Y153" s="98"/>
      <c r="Z153" s="98"/>
      <c r="AA153" s="98"/>
      <c r="AB153" s="98"/>
      <c r="AC153" s="98"/>
      <c r="AD153" s="98"/>
      <c r="AE153" s="98"/>
      <c r="AF153" s="277"/>
      <c r="AG153" s="277"/>
      <c r="AH153" s="277"/>
      <c r="AI153" s="277"/>
      <c r="AJ153" s="92"/>
    </row>
    <row r="154" spans="1:36" s="99" customFormat="1" ht="65.099999999999994" customHeight="1">
      <c r="A154" s="89"/>
      <c r="B154" s="89"/>
      <c r="C154" s="89"/>
      <c r="D154" s="91"/>
      <c r="E154" s="553"/>
      <c r="F154" s="92"/>
      <c r="G154" s="92"/>
      <c r="H154" s="92"/>
      <c r="I154" s="93"/>
      <c r="J154" s="94"/>
      <c r="K154" s="94"/>
      <c r="L154" s="95"/>
      <c r="M154" s="66"/>
      <c r="N154" s="96"/>
      <c r="O154" s="97"/>
      <c r="P154" s="58"/>
      <c r="Q154" s="69"/>
      <c r="R154" s="70"/>
      <c r="S154" s="66"/>
      <c r="T154" s="55"/>
      <c r="U154" s="55"/>
      <c r="V154" s="277"/>
      <c r="W154" s="98"/>
      <c r="X154" s="98"/>
      <c r="Y154" s="98"/>
      <c r="Z154" s="98"/>
      <c r="AA154" s="98"/>
      <c r="AB154" s="98"/>
      <c r="AC154" s="98"/>
      <c r="AD154" s="98"/>
      <c r="AE154" s="98"/>
      <c r="AF154" s="277"/>
      <c r="AG154" s="277"/>
      <c r="AH154" s="277"/>
      <c r="AI154" s="277"/>
      <c r="AJ154" s="92"/>
    </row>
    <row r="155" spans="1:36" s="99" customFormat="1" ht="65.099999999999994" customHeight="1">
      <c r="A155" s="89"/>
      <c r="B155" s="89"/>
      <c r="C155" s="89"/>
      <c r="D155" s="91"/>
      <c r="E155" s="553"/>
      <c r="F155" s="92"/>
      <c r="G155" s="92"/>
      <c r="H155" s="92"/>
      <c r="I155" s="93"/>
      <c r="J155" s="94"/>
      <c r="K155" s="94"/>
      <c r="L155" s="95"/>
      <c r="M155" s="66"/>
      <c r="N155" s="96"/>
      <c r="O155" s="97"/>
      <c r="P155" s="58"/>
      <c r="Q155" s="69"/>
      <c r="R155" s="70"/>
      <c r="S155" s="66"/>
      <c r="T155" s="55"/>
      <c r="U155" s="55"/>
      <c r="V155" s="277"/>
      <c r="W155" s="98"/>
      <c r="X155" s="98"/>
      <c r="Y155" s="98"/>
      <c r="Z155" s="98"/>
      <c r="AA155" s="98"/>
      <c r="AB155" s="98"/>
      <c r="AC155" s="98"/>
      <c r="AD155" s="98"/>
      <c r="AE155" s="98"/>
      <c r="AF155" s="277"/>
      <c r="AG155" s="277"/>
      <c r="AH155" s="277"/>
      <c r="AI155" s="277"/>
      <c r="AJ155" s="92"/>
    </row>
    <row r="156" spans="1:36" s="99" customFormat="1" ht="65.099999999999994" customHeight="1">
      <c r="A156" s="89"/>
      <c r="B156" s="89"/>
      <c r="C156" s="89"/>
      <c r="D156" s="91"/>
      <c r="E156" s="553"/>
      <c r="F156" s="92"/>
      <c r="G156" s="92"/>
      <c r="H156" s="92"/>
      <c r="I156" s="93"/>
      <c r="J156" s="94"/>
      <c r="K156" s="94"/>
      <c r="L156" s="95"/>
      <c r="M156" s="66"/>
      <c r="N156" s="96"/>
      <c r="O156" s="97"/>
      <c r="P156" s="58"/>
      <c r="Q156" s="69"/>
      <c r="R156" s="70"/>
      <c r="S156" s="66"/>
      <c r="T156" s="55"/>
      <c r="U156" s="55"/>
      <c r="V156" s="277"/>
      <c r="W156" s="98"/>
      <c r="X156" s="98"/>
      <c r="Y156" s="98"/>
      <c r="Z156" s="98"/>
      <c r="AA156" s="98"/>
      <c r="AB156" s="98"/>
      <c r="AC156" s="98"/>
      <c r="AD156" s="98"/>
      <c r="AE156" s="98"/>
      <c r="AF156" s="277"/>
      <c r="AG156" s="277"/>
      <c r="AH156" s="277"/>
      <c r="AI156" s="277"/>
      <c r="AJ156" s="92"/>
    </row>
    <row r="157" spans="1:36" s="99" customFormat="1" ht="65.099999999999994" customHeight="1">
      <c r="A157" s="89"/>
      <c r="B157" s="89"/>
      <c r="C157" s="89"/>
      <c r="D157" s="91"/>
      <c r="E157" s="553"/>
      <c r="F157" s="92"/>
      <c r="G157" s="92"/>
      <c r="H157" s="92"/>
      <c r="I157" s="93"/>
      <c r="J157" s="94"/>
      <c r="K157" s="94"/>
      <c r="L157" s="95"/>
      <c r="M157" s="66"/>
      <c r="N157" s="96"/>
      <c r="O157" s="97"/>
      <c r="P157" s="58"/>
      <c r="Q157" s="69"/>
      <c r="R157" s="70"/>
      <c r="S157" s="66"/>
      <c r="T157" s="55"/>
      <c r="U157" s="55"/>
      <c r="V157" s="277"/>
      <c r="W157" s="98"/>
      <c r="X157" s="98"/>
      <c r="Y157" s="98"/>
      <c r="Z157" s="98"/>
      <c r="AA157" s="98"/>
      <c r="AB157" s="98"/>
      <c r="AC157" s="98"/>
      <c r="AD157" s="98"/>
      <c r="AE157" s="98"/>
      <c r="AF157" s="277"/>
      <c r="AG157" s="277"/>
      <c r="AH157" s="277"/>
      <c r="AI157" s="277"/>
      <c r="AJ157" s="92"/>
    </row>
    <row r="158" spans="1:36" s="99" customFormat="1" ht="65.099999999999994" customHeight="1">
      <c r="A158" s="89"/>
      <c r="B158" s="89"/>
      <c r="C158" s="89"/>
      <c r="D158" s="91"/>
      <c r="E158" s="553"/>
      <c r="F158" s="92"/>
      <c r="G158" s="92"/>
      <c r="H158" s="92"/>
      <c r="I158" s="93"/>
      <c r="J158" s="94"/>
      <c r="K158" s="94"/>
      <c r="L158" s="95"/>
      <c r="M158" s="66"/>
      <c r="N158" s="96"/>
      <c r="O158" s="97"/>
      <c r="P158" s="58"/>
      <c r="Q158" s="69"/>
      <c r="R158" s="70"/>
      <c r="S158" s="66"/>
      <c r="T158" s="55"/>
      <c r="U158" s="55"/>
      <c r="V158" s="277"/>
      <c r="W158" s="98"/>
      <c r="X158" s="98"/>
      <c r="Y158" s="98"/>
      <c r="Z158" s="98"/>
      <c r="AA158" s="98"/>
      <c r="AB158" s="98"/>
      <c r="AC158" s="98"/>
      <c r="AD158" s="98"/>
      <c r="AE158" s="98"/>
      <c r="AF158" s="277"/>
      <c r="AG158" s="277"/>
      <c r="AH158" s="277"/>
      <c r="AI158" s="277"/>
      <c r="AJ158" s="92"/>
    </row>
    <row r="159" spans="1:36" s="99" customFormat="1" ht="65.099999999999994" customHeight="1">
      <c r="A159" s="89"/>
      <c r="B159" s="89"/>
      <c r="C159" s="89"/>
      <c r="D159" s="91"/>
      <c r="E159" s="553"/>
      <c r="F159" s="92"/>
      <c r="G159" s="92"/>
      <c r="H159" s="92"/>
      <c r="I159" s="93"/>
      <c r="J159" s="94"/>
      <c r="K159" s="94"/>
      <c r="L159" s="95"/>
      <c r="M159" s="66"/>
      <c r="N159" s="96"/>
      <c r="O159" s="97"/>
      <c r="P159" s="58"/>
      <c r="Q159" s="69"/>
      <c r="R159" s="70"/>
      <c r="S159" s="66"/>
      <c r="T159" s="55"/>
      <c r="U159" s="55"/>
      <c r="V159" s="277"/>
      <c r="W159" s="98"/>
      <c r="X159" s="98"/>
      <c r="Y159" s="98"/>
      <c r="Z159" s="98"/>
      <c r="AA159" s="98"/>
      <c r="AB159" s="98"/>
      <c r="AC159" s="98"/>
      <c r="AD159" s="98"/>
      <c r="AE159" s="98"/>
      <c r="AF159" s="277"/>
      <c r="AG159" s="277"/>
      <c r="AH159" s="277"/>
      <c r="AI159" s="277"/>
      <c r="AJ159" s="92"/>
    </row>
    <row r="160" spans="1:36" s="99" customFormat="1" ht="65.099999999999994" customHeight="1">
      <c r="A160" s="89"/>
      <c r="B160" s="89"/>
      <c r="C160" s="89"/>
      <c r="D160" s="91"/>
      <c r="E160" s="553"/>
      <c r="F160" s="92"/>
      <c r="G160" s="92"/>
      <c r="H160" s="92"/>
      <c r="I160" s="93"/>
      <c r="J160" s="94"/>
      <c r="K160" s="94"/>
      <c r="L160" s="95"/>
      <c r="M160" s="66"/>
      <c r="N160" s="96"/>
      <c r="O160" s="97"/>
      <c r="P160" s="58"/>
      <c r="Q160" s="69"/>
      <c r="R160" s="70"/>
      <c r="S160" s="66"/>
      <c r="T160" s="55"/>
      <c r="U160" s="55"/>
      <c r="V160" s="277"/>
      <c r="W160" s="98"/>
      <c r="X160" s="98"/>
      <c r="Y160" s="98"/>
      <c r="Z160" s="98"/>
      <c r="AA160" s="98"/>
      <c r="AB160" s="98"/>
      <c r="AC160" s="98"/>
      <c r="AD160" s="98"/>
      <c r="AE160" s="98"/>
      <c r="AF160" s="277"/>
      <c r="AG160" s="277"/>
      <c r="AH160" s="277"/>
      <c r="AI160" s="277"/>
      <c r="AJ160" s="92"/>
    </row>
    <row r="161" spans="1:36" s="99" customFormat="1" ht="65.099999999999994" customHeight="1">
      <c r="A161" s="89"/>
      <c r="B161" s="89"/>
      <c r="C161" s="89"/>
      <c r="D161" s="91"/>
      <c r="E161" s="553"/>
      <c r="F161" s="92"/>
      <c r="G161" s="92"/>
      <c r="H161" s="92"/>
      <c r="I161" s="93"/>
      <c r="J161" s="94"/>
      <c r="K161" s="94"/>
      <c r="L161" s="95"/>
      <c r="M161" s="66"/>
      <c r="N161" s="96"/>
      <c r="O161" s="97"/>
      <c r="P161" s="58"/>
      <c r="Q161" s="69"/>
      <c r="R161" s="70"/>
      <c r="S161" s="66"/>
      <c r="T161" s="55"/>
      <c r="U161" s="55"/>
      <c r="V161" s="277"/>
      <c r="W161" s="98"/>
      <c r="X161" s="98"/>
      <c r="Y161" s="98"/>
      <c r="Z161" s="98"/>
      <c r="AA161" s="98"/>
      <c r="AB161" s="98"/>
      <c r="AC161" s="98"/>
      <c r="AD161" s="98"/>
      <c r="AE161" s="98"/>
      <c r="AF161" s="277"/>
      <c r="AG161" s="277"/>
      <c r="AH161" s="277"/>
      <c r="AI161" s="277"/>
      <c r="AJ161" s="92"/>
    </row>
    <row r="162" spans="1:36" s="99" customFormat="1" ht="65.099999999999994" customHeight="1">
      <c r="A162" s="89"/>
      <c r="B162" s="89"/>
      <c r="C162" s="89"/>
      <c r="D162" s="91"/>
      <c r="E162" s="553"/>
      <c r="F162" s="92"/>
      <c r="G162" s="92"/>
      <c r="H162" s="92"/>
      <c r="I162" s="93"/>
      <c r="J162" s="94"/>
      <c r="K162" s="94"/>
      <c r="L162" s="95"/>
      <c r="M162" s="66"/>
      <c r="N162" s="96"/>
      <c r="O162" s="97"/>
      <c r="P162" s="58"/>
      <c r="Q162" s="69"/>
      <c r="R162" s="70"/>
      <c r="S162" s="66"/>
      <c r="T162" s="55"/>
      <c r="U162" s="55"/>
      <c r="V162" s="277"/>
      <c r="W162" s="98"/>
      <c r="X162" s="98"/>
      <c r="Y162" s="98"/>
      <c r="Z162" s="98"/>
      <c r="AA162" s="98"/>
      <c r="AB162" s="98"/>
      <c r="AC162" s="98"/>
      <c r="AD162" s="98"/>
      <c r="AE162" s="98"/>
      <c r="AF162" s="277"/>
      <c r="AG162" s="277"/>
      <c r="AH162" s="277"/>
      <c r="AI162" s="277"/>
      <c r="AJ162" s="92"/>
    </row>
    <row r="163" spans="1:36" s="99" customFormat="1" ht="65.099999999999994" customHeight="1">
      <c r="A163" s="89"/>
      <c r="B163" s="89"/>
      <c r="C163" s="89"/>
      <c r="D163" s="91"/>
      <c r="E163" s="553"/>
      <c r="F163" s="92"/>
      <c r="G163" s="92"/>
      <c r="H163" s="92"/>
      <c r="I163" s="93"/>
      <c r="J163" s="94"/>
      <c r="K163" s="94"/>
      <c r="L163" s="95"/>
      <c r="M163" s="66"/>
      <c r="N163" s="96"/>
      <c r="O163" s="97"/>
      <c r="P163" s="58"/>
      <c r="Q163" s="69"/>
      <c r="R163" s="70"/>
      <c r="S163" s="66"/>
      <c r="T163" s="55"/>
      <c r="U163" s="55"/>
      <c r="V163" s="277"/>
      <c r="W163" s="98"/>
      <c r="X163" s="98"/>
      <c r="Y163" s="98"/>
      <c r="Z163" s="98"/>
      <c r="AA163" s="98"/>
      <c r="AB163" s="98"/>
      <c r="AC163" s="98"/>
      <c r="AD163" s="98"/>
      <c r="AE163" s="98"/>
      <c r="AF163" s="277"/>
      <c r="AG163" s="277"/>
      <c r="AH163" s="277"/>
      <c r="AI163" s="277"/>
      <c r="AJ163" s="92"/>
    </row>
    <row r="164" spans="1:36" s="99" customFormat="1" ht="65.099999999999994" customHeight="1">
      <c r="A164" s="89"/>
      <c r="B164" s="89"/>
      <c r="C164" s="89"/>
      <c r="D164" s="91"/>
      <c r="E164" s="553"/>
      <c r="F164" s="92"/>
      <c r="G164" s="92"/>
      <c r="H164" s="92"/>
      <c r="I164" s="93"/>
      <c r="J164" s="94"/>
      <c r="K164" s="94"/>
      <c r="L164" s="95"/>
      <c r="M164" s="66"/>
      <c r="N164" s="96"/>
      <c r="O164" s="97"/>
      <c r="P164" s="58"/>
      <c r="Q164" s="69"/>
      <c r="R164" s="70"/>
      <c r="S164" s="66"/>
      <c r="T164" s="55"/>
      <c r="U164" s="55"/>
      <c r="V164" s="277"/>
      <c r="W164" s="98"/>
      <c r="X164" s="98"/>
      <c r="Y164" s="98"/>
      <c r="Z164" s="98"/>
      <c r="AA164" s="98"/>
      <c r="AB164" s="98"/>
      <c r="AC164" s="98"/>
      <c r="AD164" s="98"/>
      <c r="AE164" s="98"/>
      <c r="AF164" s="277"/>
      <c r="AG164" s="277"/>
      <c r="AH164" s="277"/>
      <c r="AI164" s="277"/>
      <c r="AJ164" s="92"/>
    </row>
    <row r="165" spans="1:36" s="99" customFormat="1" ht="65.099999999999994" customHeight="1">
      <c r="A165" s="89"/>
      <c r="B165" s="89"/>
      <c r="C165" s="89"/>
      <c r="D165" s="91"/>
      <c r="E165" s="553"/>
      <c r="F165" s="92"/>
      <c r="G165" s="92"/>
      <c r="H165" s="92"/>
      <c r="I165" s="93"/>
      <c r="J165" s="94"/>
      <c r="K165" s="94"/>
      <c r="L165" s="95"/>
      <c r="M165" s="66"/>
      <c r="N165" s="96"/>
      <c r="O165" s="97"/>
      <c r="P165" s="58"/>
      <c r="Q165" s="69"/>
      <c r="R165" s="70"/>
      <c r="S165" s="66"/>
      <c r="T165" s="55"/>
      <c r="U165" s="55"/>
      <c r="V165" s="277"/>
      <c r="W165" s="98"/>
      <c r="X165" s="98"/>
      <c r="Y165" s="98"/>
      <c r="Z165" s="98"/>
      <c r="AA165" s="98"/>
      <c r="AB165" s="98"/>
      <c r="AC165" s="98"/>
      <c r="AD165" s="98"/>
      <c r="AE165" s="98"/>
      <c r="AF165" s="277"/>
      <c r="AG165" s="277"/>
      <c r="AH165" s="277"/>
      <c r="AI165" s="277"/>
      <c r="AJ165" s="92"/>
    </row>
    <row r="166" spans="1:36" s="99" customFormat="1" ht="65.099999999999994" customHeight="1">
      <c r="A166" s="89"/>
      <c r="B166" s="89"/>
      <c r="C166" s="89"/>
      <c r="D166" s="91"/>
      <c r="E166" s="553"/>
      <c r="F166" s="92"/>
      <c r="G166" s="92"/>
      <c r="H166" s="92"/>
      <c r="I166" s="93"/>
      <c r="J166" s="94"/>
      <c r="K166" s="94"/>
      <c r="L166" s="95"/>
      <c r="M166" s="66"/>
      <c r="N166" s="96"/>
      <c r="O166" s="97"/>
      <c r="P166" s="58"/>
      <c r="Q166" s="69"/>
      <c r="R166" s="70"/>
      <c r="S166" s="66"/>
      <c r="T166" s="55"/>
      <c r="U166" s="55"/>
      <c r="V166" s="277"/>
      <c r="W166" s="98"/>
      <c r="X166" s="98"/>
      <c r="Y166" s="98"/>
      <c r="Z166" s="98"/>
      <c r="AA166" s="98"/>
      <c r="AB166" s="98"/>
      <c r="AC166" s="98"/>
      <c r="AD166" s="98"/>
      <c r="AE166" s="98"/>
      <c r="AF166" s="277"/>
      <c r="AG166" s="277"/>
      <c r="AH166" s="277"/>
      <c r="AI166" s="277"/>
      <c r="AJ166" s="92"/>
    </row>
    <row r="167" spans="1:36" s="99" customFormat="1" ht="65.099999999999994" customHeight="1">
      <c r="A167" s="89"/>
      <c r="B167" s="89"/>
      <c r="C167" s="89"/>
      <c r="D167" s="91"/>
      <c r="E167" s="553"/>
      <c r="F167" s="92"/>
      <c r="G167" s="92"/>
      <c r="H167" s="92"/>
      <c r="I167" s="93"/>
      <c r="J167" s="94"/>
      <c r="K167" s="94"/>
      <c r="L167" s="95"/>
      <c r="M167" s="66"/>
      <c r="N167" s="96"/>
      <c r="O167" s="97"/>
      <c r="P167" s="58"/>
      <c r="Q167" s="69"/>
      <c r="R167" s="70"/>
      <c r="S167" s="66"/>
      <c r="T167" s="55"/>
      <c r="U167" s="55"/>
      <c r="V167" s="277"/>
      <c r="W167" s="98"/>
      <c r="X167" s="98"/>
      <c r="Y167" s="98"/>
      <c r="Z167" s="98"/>
      <c r="AA167" s="98"/>
      <c r="AB167" s="98"/>
      <c r="AC167" s="98"/>
      <c r="AD167" s="98"/>
      <c r="AE167" s="98"/>
      <c r="AF167" s="277"/>
      <c r="AG167" s="277"/>
      <c r="AH167" s="277"/>
      <c r="AI167" s="277"/>
      <c r="AJ167" s="92"/>
    </row>
    <row r="168" spans="1:36" s="99" customFormat="1" ht="65.099999999999994" customHeight="1">
      <c r="A168" s="89"/>
      <c r="B168" s="89"/>
      <c r="C168" s="89"/>
      <c r="D168" s="91"/>
      <c r="E168" s="553"/>
      <c r="F168" s="92"/>
      <c r="G168" s="92"/>
      <c r="H168" s="92"/>
      <c r="I168" s="93"/>
      <c r="J168" s="94"/>
      <c r="K168" s="94"/>
      <c r="L168" s="95"/>
      <c r="M168" s="66"/>
      <c r="N168" s="96"/>
      <c r="O168" s="97"/>
      <c r="P168" s="58"/>
      <c r="Q168" s="69"/>
      <c r="R168" s="70"/>
      <c r="S168" s="66"/>
      <c r="T168" s="55"/>
      <c r="U168" s="55"/>
      <c r="V168" s="277"/>
      <c r="W168" s="98"/>
      <c r="X168" s="98"/>
      <c r="Y168" s="98"/>
      <c r="Z168" s="98"/>
      <c r="AA168" s="98"/>
      <c r="AB168" s="98"/>
      <c r="AC168" s="98"/>
      <c r="AD168" s="98"/>
      <c r="AE168" s="98"/>
      <c r="AF168" s="277"/>
      <c r="AG168" s="277"/>
      <c r="AH168" s="277"/>
      <c r="AI168" s="277"/>
      <c r="AJ168" s="92"/>
    </row>
    <row r="169" spans="1:36" s="99" customFormat="1" ht="65.099999999999994" customHeight="1">
      <c r="A169" s="89"/>
      <c r="B169" s="89"/>
      <c r="C169" s="89"/>
      <c r="D169" s="91"/>
      <c r="E169" s="553"/>
      <c r="F169" s="92"/>
      <c r="G169" s="92"/>
      <c r="H169" s="92"/>
      <c r="I169" s="93"/>
      <c r="J169" s="94"/>
      <c r="K169" s="94"/>
      <c r="L169" s="95"/>
      <c r="M169" s="66"/>
      <c r="N169" s="96"/>
      <c r="O169" s="97"/>
      <c r="P169" s="58"/>
      <c r="Q169" s="69"/>
      <c r="R169" s="70"/>
      <c r="S169" s="66"/>
      <c r="T169" s="55"/>
      <c r="U169" s="55"/>
      <c r="V169" s="277"/>
      <c r="W169" s="98"/>
      <c r="X169" s="98"/>
      <c r="Y169" s="98"/>
      <c r="Z169" s="98"/>
      <c r="AA169" s="98"/>
      <c r="AB169" s="98"/>
      <c r="AC169" s="98"/>
      <c r="AD169" s="98"/>
      <c r="AE169" s="98"/>
      <c r="AF169" s="277"/>
      <c r="AG169" s="277"/>
      <c r="AH169" s="277"/>
      <c r="AI169" s="277"/>
      <c r="AJ169" s="92"/>
    </row>
    <row r="170" spans="1:36" s="99" customFormat="1" ht="65.099999999999994" customHeight="1">
      <c r="A170" s="89"/>
      <c r="B170" s="89"/>
      <c r="C170" s="89"/>
      <c r="D170" s="91"/>
      <c r="E170" s="553"/>
      <c r="F170" s="92"/>
      <c r="G170" s="92"/>
      <c r="H170" s="92"/>
      <c r="I170" s="93"/>
      <c r="J170" s="94"/>
      <c r="K170" s="94"/>
      <c r="L170" s="95"/>
      <c r="M170" s="66"/>
      <c r="N170" s="96"/>
      <c r="O170" s="97"/>
      <c r="P170" s="58"/>
      <c r="Q170" s="69"/>
      <c r="R170" s="70"/>
      <c r="S170" s="66"/>
      <c r="T170" s="55"/>
      <c r="U170" s="55"/>
      <c r="V170" s="277"/>
      <c r="W170" s="98"/>
      <c r="X170" s="98"/>
      <c r="Y170" s="98"/>
      <c r="Z170" s="98"/>
      <c r="AA170" s="98"/>
      <c r="AB170" s="98"/>
      <c r="AC170" s="98"/>
      <c r="AD170" s="98"/>
      <c r="AE170" s="98"/>
      <c r="AF170" s="277"/>
      <c r="AG170" s="277"/>
      <c r="AH170" s="277"/>
      <c r="AI170" s="277"/>
      <c r="AJ170" s="92"/>
    </row>
    <row r="171" spans="1:36" s="99" customFormat="1" ht="65.099999999999994" customHeight="1">
      <c r="A171" s="89"/>
      <c r="B171" s="89"/>
      <c r="C171" s="89"/>
      <c r="D171" s="91"/>
      <c r="E171" s="553"/>
      <c r="F171" s="92"/>
      <c r="G171" s="92"/>
      <c r="H171" s="92"/>
      <c r="I171" s="93"/>
      <c r="J171" s="94"/>
      <c r="K171" s="94"/>
      <c r="L171" s="95"/>
      <c r="M171" s="66"/>
      <c r="N171" s="96"/>
      <c r="O171" s="97"/>
      <c r="P171" s="58"/>
      <c r="Q171" s="69"/>
      <c r="R171" s="70"/>
      <c r="S171" s="66"/>
      <c r="T171" s="55"/>
      <c r="U171" s="55"/>
      <c r="V171" s="277"/>
      <c r="W171" s="98"/>
      <c r="X171" s="98"/>
      <c r="Y171" s="98"/>
      <c r="Z171" s="98"/>
      <c r="AA171" s="98"/>
      <c r="AB171" s="98"/>
      <c r="AC171" s="98"/>
      <c r="AD171" s="98"/>
      <c r="AE171" s="98"/>
      <c r="AF171" s="277"/>
      <c r="AG171" s="277"/>
      <c r="AH171" s="277"/>
      <c r="AI171" s="277"/>
      <c r="AJ171" s="92"/>
    </row>
    <row r="172" spans="1:36" s="99" customFormat="1" ht="65.099999999999994" customHeight="1">
      <c r="A172" s="89"/>
      <c r="B172" s="89"/>
      <c r="C172" s="89"/>
      <c r="D172" s="91"/>
      <c r="E172" s="553"/>
      <c r="F172" s="92"/>
      <c r="G172" s="92"/>
      <c r="H172" s="92"/>
      <c r="I172" s="93"/>
      <c r="J172" s="94"/>
      <c r="K172" s="94"/>
      <c r="L172" s="95"/>
      <c r="M172" s="66"/>
      <c r="N172" s="96"/>
      <c r="O172" s="97"/>
      <c r="P172" s="58"/>
      <c r="Q172" s="69"/>
      <c r="R172" s="70"/>
      <c r="S172" s="66"/>
      <c r="T172" s="55"/>
      <c r="U172" s="55"/>
      <c r="V172" s="277"/>
      <c r="W172" s="98"/>
      <c r="X172" s="98"/>
      <c r="Y172" s="98"/>
      <c r="Z172" s="98"/>
      <c r="AA172" s="98"/>
      <c r="AB172" s="98"/>
      <c r="AC172" s="98"/>
      <c r="AD172" s="98"/>
      <c r="AE172" s="98"/>
      <c r="AF172" s="277"/>
      <c r="AG172" s="277"/>
      <c r="AH172" s="277"/>
      <c r="AI172" s="277"/>
      <c r="AJ172" s="92"/>
    </row>
    <row r="173" spans="1:36" s="99" customFormat="1" ht="65.099999999999994" customHeight="1">
      <c r="A173" s="89"/>
      <c r="B173" s="89"/>
      <c r="C173" s="89"/>
      <c r="D173" s="91"/>
      <c r="E173" s="553"/>
      <c r="F173" s="92"/>
      <c r="G173" s="92"/>
      <c r="H173" s="92"/>
      <c r="I173" s="93"/>
      <c r="J173" s="94"/>
      <c r="K173" s="94"/>
      <c r="L173" s="95"/>
      <c r="M173" s="66"/>
      <c r="N173" s="96"/>
      <c r="O173" s="97"/>
      <c r="P173" s="58"/>
      <c r="Q173" s="69"/>
      <c r="R173" s="70"/>
      <c r="S173" s="66"/>
      <c r="T173" s="55"/>
      <c r="U173" s="55"/>
      <c r="V173" s="277"/>
      <c r="W173" s="98"/>
      <c r="X173" s="98"/>
      <c r="Y173" s="98"/>
      <c r="Z173" s="98"/>
      <c r="AA173" s="98"/>
      <c r="AB173" s="98"/>
      <c r="AC173" s="98"/>
      <c r="AD173" s="98"/>
      <c r="AE173" s="98"/>
      <c r="AF173" s="277"/>
      <c r="AG173" s="277"/>
      <c r="AH173" s="277"/>
      <c r="AI173" s="277"/>
      <c r="AJ173" s="92"/>
    </row>
    <row r="174" spans="1:36" s="99" customFormat="1" ht="65.099999999999994" customHeight="1">
      <c r="A174" s="89"/>
      <c r="B174" s="89"/>
      <c r="C174" s="89"/>
      <c r="D174" s="91"/>
      <c r="E174" s="553"/>
      <c r="F174" s="92"/>
      <c r="G174" s="92"/>
      <c r="H174" s="92"/>
      <c r="I174" s="93"/>
      <c r="J174" s="94"/>
      <c r="K174" s="94"/>
      <c r="L174" s="95"/>
      <c r="M174" s="66"/>
      <c r="N174" s="96"/>
      <c r="O174" s="97"/>
      <c r="P174" s="58"/>
      <c r="Q174" s="69"/>
      <c r="R174" s="70"/>
      <c r="S174" s="66"/>
      <c r="T174" s="55"/>
      <c r="U174" s="55"/>
      <c r="V174" s="277"/>
      <c r="W174" s="98"/>
      <c r="X174" s="98"/>
      <c r="Y174" s="98"/>
      <c r="Z174" s="98"/>
      <c r="AA174" s="98"/>
      <c r="AB174" s="98"/>
      <c r="AC174" s="98"/>
      <c r="AD174" s="98"/>
      <c r="AE174" s="98"/>
      <c r="AF174" s="277"/>
      <c r="AG174" s="277"/>
      <c r="AH174" s="277"/>
      <c r="AI174" s="277"/>
      <c r="AJ174" s="92"/>
    </row>
    <row r="175" spans="1:36" s="99" customFormat="1" ht="65.099999999999994" customHeight="1">
      <c r="A175" s="89"/>
      <c r="B175" s="89"/>
      <c r="C175" s="89"/>
      <c r="D175" s="91"/>
      <c r="E175" s="553"/>
      <c r="F175" s="92"/>
      <c r="G175" s="92"/>
      <c r="H175" s="92"/>
      <c r="I175" s="93"/>
      <c r="J175" s="94"/>
      <c r="K175" s="94"/>
      <c r="L175" s="95"/>
      <c r="M175" s="66"/>
      <c r="N175" s="96"/>
      <c r="O175" s="97"/>
      <c r="P175" s="58"/>
      <c r="Q175" s="69"/>
      <c r="R175" s="70"/>
      <c r="S175" s="66"/>
      <c r="T175" s="55"/>
      <c r="U175" s="55"/>
      <c r="V175" s="277"/>
      <c r="W175" s="98"/>
      <c r="X175" s="98"/>
      <c r="Y175" s="98"/>
      <c r="Z175" s="98"/>
      <c r="AA175" s="98"/>
      <c r="AB175" s="98"/>
      <c r="AC175" s="98"/>
      <c r="AD175" s="98"/>
      <c r="AE175" s="98"/>
      <c r="AF175" s="277"/>
      <c r="AG175" s="277"/>
      <c r="AH175" s="277"/>
      <c r="AI175" s="277"/>
      <c r="AJ175" s="92"/>
    </row>
    <row r="176" spans="1:36" s="99" customFormat="1" ht="65.099999999999994" customHeight="1">
      <c r="A176" s="89"/>
      <c r="B176" s="89"/>
      <c r="C176" s="89"/>
      <c r="D176" s="91"/>
      <c r="E176" s="553"/>
      <c r="F176" s="92"/>
      <c r="G176" s="92"/>
      <c r="H176" s="92"/>
      <c r="I176" s="93"/>
      <c r="J176" s="94"/>
      <c r="K176" s="94"/>
      <c r="L176" s="95"/>
      <c r="M176" s="66"/>
      <c r="N176" s="96"/>
      <c r="O176" s="97"/>
      <c r="P176" s="58"/>
      <c r="Q176" s="69"/>
      <c r="R176" s="70"/>
      <c r="S176" s="66"/>
      <c r="T176" s="55"/>
      <c r="U176" s="55"/>
      <c r="V176" s="277"/>
      <c r="W176" s="98"/>
      <c r="X176" s="98"/>
      <c r="Y176" s="98"/>
      <c r="Z176" s="98"/>
      <c r="AA176" s="98"/>
      <c r="AB176" s="98"/>
      <c r="AC176" s="98"/>
      <c r="AD176" s="98"/>
      <c r="AE176" s="98"/>
      <c r="AF176" s="277"/>
      <c r="AG176" s="277"/>
      <c r="AH176" s="277"/>
      <c r="AI176" s="277"/>
      <c r="AJ176" s="92"/>
    </row>
    <row r="177" spans="1:36" s="99" customFormat="1" ht="65.099999999999994" customHeight="1">
      <c r="A177" s="89"/>
      <c r="B177" s="89"/>
      <c r="C177" s="89"/>
      <c r="D177" s="91"/>
      <c r="E177" s="553"/>
      <c r="F177" s="92"/>
      <c r="G177" s="92"/>
      <c r="H177" s="92"/>
      <c r="I177" s="93"/>
      <c r="J177" s="94"/>
      <c r="K177" s="94"/>
      <c r="L177" s="95"/>
      <c r="M177" s="66"/>
      <c r="N177" s="96"/>
      <c r="O177" s="97"/>
      <c r="P177" s="58"/>
      <c r="Q177" s="69"/>
      <c r="R177" s="70"/>
      <c r="S177" s="66"/>
      <c r="T177" s="55"/>
      <c r="U177" s="55"/>
      <c r="V177" s="277"/>
      <c r="W177" s="98"/>
      <c r="X177" s="98"/>
      <c r="Y177" s="98"/>
      <c r="Z177" s="98"/>
      <c r="AA177" s="98"/>
      <c r="AB177" s="98"/>
      <c r="AC177" s="98"/>
      <c r="AD177" s="98"/>
      <c r="AE177" s="98"/>
      <c r="AF177" s="277"/>
      <c r="AG177" s="277"/>
      <c r="AH177" s="277"/>
      <c r="AI177" s="277"/>
      <c r="AJ177" s="92"/>
    </row>
    <row r="178" spans="1:36" s="99" customFormat="1" ht="65.099999999999994" customHeight="1">
      <c r="A178" s="89"/>
      <c r="B178" s="89"/>
      <c r="C178" s="89"/>
      <c r="D178" s="91"/>
      <c r="E178" s="553"/>
      <c r="F178" s="92"/>
      <c r="G178" s="92"/>
      <c r="H178" s="92"/>
      <c r="I178" s="93"/>
      <c r="J178" s="94"/>
      <c r="K178" s="94"/>
      <c r="L178" s="95"/>
      <c r="M178" s="66"/>
      <c r="N178" s="96"/>
      <c r="O178" s="97"/>
      <c r="P178" s="58"/>
      <c r="Q178" s="69"/>
      <c r="R178" s="70"/>
      <c r="S178" s="66"/>
      <c r="T178" s="55"/>
      <c r="U178" s="55"/>
      <c r="V178" s="277"/>
      <c r="W178" s="98"/>
      <c r="X178" s="98"/>
      <c r="Y178" s="98"/>
      <c r="Z178" s="98"/>
      <c r="AA178" s="98"/>
      <c r="AB178" s="98"/>
      <c r="AC178" s="98"/>
      <c r="AD178" s="98"/>
      <c r="AE178" s="98"/>
      <c r="AF178" s="277"/>
      <c r="AG178" s="277"/>
      <c r="AH178" s="277"/>
      <c r="AI178" s="277"/>
      <c r="AJ178" s="92"/>
    </row>
    <row r="179" spans="1:36" s="99" customFormat="1" ht="65.099999999999994" customHeight="1">
      <c r="A179" s="89"/>
      <c r="B179" s="89"/>
      <c r="C179" s="89"/>
      <c r="D179" s="91"/>
      <c r="E179" s="553"/>
      <c r="F179" s="92"/>
      <c r="G179" s="92"/>
      <c r="H179" s="92"/>
      <c r="I179" s="93"/>
      <c r="J179" s="94"/>
      <c r="K179" s="94"/>
      <c r="L179" s="95"/>
      <c r="M179" s="66"/>
      <c r="N179" s="96"/>
      <c r="O179" s="97"/>
      <c r="P179" s="58"/>
      <c r="Q179" s="69"/>
      <c r="R179" s="70"/>
      <c r="S179" s="66"/>
      <c r="T179" s="55"/>
      <c r="U179" s="55"/>
      <c r="V179" s="277"/>
      <c r="W179" s="98"/>
      <c r="X179" s="98"/>
      <c r="Y179" s="98"/>
      <c r="Z179" s="98"/>
      <c r="AA179" s="98"/>
      <c r="AB179" s="98"/>
      <c r="AC179" s="98"/>
      <c r="AD179" s="98"/>
      <c r="AE179" s="98"/>
      <c r="AF179" s="277"/>
      <c r="AG179" s="277"/>
      <c r="AH179" s="277"/>
      <c r="AI179" s="277"/>
      <c r="AJ179" s="92"/>
    </row>
    <row r="180" spans="1:36" s="99" customFormat="1" ht="65.099999999999994" customHeight="1">
      <c r="A180" s="89"/>
      <c r="B180" s="89"/>
      <c r="C180" s="89"/>
      <c r="D180" s="91"/>
      <c r="E180" s="553"/>
      <c r="F180" s="92"/>
      <c r="G180" s="92"/>
      <c r="H180" s="92"/>
      <c r="I180" s="93"/>
      <c r="J180" s="94"/>
      <c r="K180" s="94"/>
      <c r="L180" s="95"/>
      <c r="M180" s="66"/>
      <c r="N180" s="96"/>
      <c r="O180" s="97"/>
      <c r="P180" s="58"/>
      <c r="Q180" s="69"/>
      <c r="R180" s="70"/>
      <c r="S180" s="66"/>
      <c r="T180" s="55"/>
      <c r="U180" s="55"/>
      <c r="V180" s="277"/>
      <c r="W180" s="98"/>
      <c r="X180" s="98"/>
      <c r="Y180" s="98"/>
      <c r="Z180" s="98"/>
      <c r="AA180" s="98"/>
      <c r="AB180" s="98"/>
      <c r="AC180" s="98"/>
      <c r="AD180" s="98"/>
      <c r="AE180" s="98"/>
      <c r="AF180" s="277"/>
      <c r="AG180" s="277"/>
      <c r="AH180" s="277"/>
      <c r="AI180" s="277"/>
      <c r="AJ180" s="92"/>
    </row>
    <row r="181" spans="1:36" s="99" customFormat="1" ht="65.099999999999994" customHeight="1">
      <c r="A181" s="89"/>
      <c r="B181" s="89"/>
      <c r="C181" s="89"/>
      <c r="D181" s="91"/>
      <c r="E181" s="553"/>
      <c r="F181" s="92"/>
      <c r="G181" s="92"/>
      <c r="H181" s="92"/>
      <c r="I181" s="93"/>
      <c r="J181" s="94"/>
      <c r="K181" s="94"/>
      <c r="L181" s="95"/>
      <c r="M181" s="66"/>
      <c r="N181" s="96"/>
      <c r="O181" s="97"/>
      <c r="P181" s="58"/>
      <c r="Q181" s="69"/>
      <c r="R181" s="70"/>
      <c r="S181" s="66"/>
      <c r="T181" s="55"/>
      <c r="U181" s="55"/>
      <c r="V181" s="277"/>
      <c r="W181" s="98"/>
      <c r="X181" s="98"/>
      <c r="Y181" s="98"/>
      <c r="Z181" s="98"/>
      <c r="AA181" s="98"/>
      <c r="AB181" s="98"/>
      <c r="AC181" s="98"/>
      <c r="AD181" s="98"/>
      <c r="AE181" s="98"/>
      <c r="AF181" s="277"/>
      <c r="AG181" s="277"/>
      <c r="AH181" s="277"/>
      <c r="AI181" s="277"/>
      <c r="AJ181" s="92"/>
    </row>
    <row r="182" spans="1:36" s="99" customFormat="1" ht="65.099999999999994" customHeight="1">
      <c r="A182" s="89"/>
      <c r="B182" s="89"/>
      <c r="C182" s="89"/>
      <c r="D182" s="91"/>
      <c r="E182" s="553"/>
      <c r="F182" s="92"/>
      <c r="G182" s="92"/>
      <c r="H182" s="92"/>
      <c r="I182" s="93"/>
      <c r="J182" s="94"/>
      <c r="K182" s="94"/>
      <c r="L182" s="95"/>
      <c r="M182" s="66"/>
      <c r="N182" s="96"/>
      <c r="O182" s="97"/>
      <c r="P182" s="58"/>
      <c r="Q182" s="69"/>
      <c r="R182" s="70"/>
      <c r="S182" s="66"/>
      <c r="T182" s="55"/>
      <c r="U182" s="55"/>
      <c r="V182" s="277"/>
      <c r="W182" s="98"/>
      <c r="X182" s="98"/>
      <c r="Y182" s="98"/>
      <c r="Z182" s="98"/>
      <c r="AA182" s="98"/>
      <c r="AB182" s="98"/>
      <c r="AC182" s="98"/>
      <c r="AD182" s="98"/>
      <c r="AE182" s="98"/>
      <c r="AF182" s="277"/>
      <c r="AG182" s="277"/>
      <c r="AH182" s="277"/>
      <c r="AI182" s="277"/>
      <c r="AJ182" s="92"/>
    </row>
    <row r="183" spans="1:36" s="99" customFormat="1" ht="65.099999999999994" customHeight="1">
      <c r="A183" s="89"/>
      <c r="B183" s="89"/>
      <c r="C183" s="89"/>
      <c r="D183" s="91"/>
      <c r="E183" s="553"/>
      <c r="F183" s="92"/>
      <c r="G183" s="92"/>
      <c r="H183" s="92"/>
      <c r="I183" s="93"/>
      <c r="J183" s="94"/>
      <c r="K183" s="94"/>
      <c r="L183" s="95"/>
      <c r="M183" s="66"/>
      <c r="N183" s="96"/>
      <c r="O183" s="97"/>
      <c r="P183" s="58"/>
      <c r="Q183" s="69"/>
      <c r="R183" s="70"/>
      <c r="S183" s="66"/>
      <c r="T183" s="55"/>
      <c r="U183" s="55"/>
      <c r="V183" s="277"/>
      <c r="W183" s="98"/>
      <c r="X183" s="98"/>
      <c r="Y183" s="98"/>
      <c r="Z183" s="98"/>
      <c r="AA183" s="98"/>
      <c r="AB183" s="98"/>
      <c r="AC183" s="98"/>
      <c r="AD183" s="98"/>
      <c r="AE183" s="98"/>
      <c r="AF183" s="277"/>
      <c r="AG183" s="277"/>
      <c r="AH183" s="277"/>
      <c r="AI183" s="277"/>
      <c r="AJ183" s="92"/>
    </row>
    <row r="184" spans="1:36" s="99" customFormat="1" ht="65.099999999999994" customHeight="1">
      <c r="A184" s="89"/>
      <c r="B184" s="89"/>
      <c r="C184" s="89"/>
      <c r="D184" s="91"/>
      <c r="E184" s="553"/>
      <c r="F184" s="92"/>
      <c r="G184" s="92"/>
      <c r="H184" s="92"/>
      <c r="I184" s="93"/>
      <c r="J184" s="94"/>
      <c r="K184" s="94"/>
      <c r="L184" s="95"/>
      <c r="M184" s="66"/>
      <c r="N184" s="96"/>
      <c r="O184" s="97"/>
      <c r="P184" s="58"/>
      <c r="Q184" s="69"/>
      <c r="R184" s="70"/>
      <c r="S184" s="66"/>
      <c r="T184" s="55"/>
      <c r="U184" s="55"/>
      <c r="V184" s="277"/>
      <c r="W184" s="98"/>
      <c r="X184" s="98"/>
      <c r="Y184" s="98"/>
      <c r="Z184" s="98"/>
      <c r="AA184" s="98"/>
      <c r="AB184" s="98"/>
      <c r="AC184" s="98"/>
      <c r="AD184" s="98"/>
      <c r="AE184" s="98"/>
      <c r="AF184" s="277"/>
      <c r="AG184" s="277"/>
      <c r="AH184" s="277"/>
      <c r="AI184" s="277"/>
      <c r="AJ184" s="92"/>
    </row>
    <row r="185" spans="1:36" s="99" customFormat="1" ht="65.099999999999994" customHeight="1">
      <c r="A185" s="89"/>
      <c r="B185" s="89"/>
      <c r="C185" s="89"/>
      <c r="D185" s="91"/>
      <c r="E185" s="553"/>
      <c r="F185" s="92"/>
      <c r="G185" s="92"/>
      <c r="H185" s="92"/>
      <c r="I185" s="93"/>
      <c r="J185" s="94"/>
      <c r="K185" s="94"/>
      <c r="L185" s="95"/>
      <c r="M185" s="66"/>
      <c r="N185" s="96"/>
      <c r="O185" s="97"/>
      <c r="P185" s="58"/>
      <c r="Q185" s="69"/>
      <c r="R185" s="70"/>
      <c r="S185" s="66"/>
      <c r="T185" s="55"/>
      <c r="U185" s="55"/>
      <c r="V185" s="277"/>
      <c r="W185" s="98"/>
      <c r="X185" s="98"/>
      <c r="Y185" s="98"/>
      <c r="Z185" s="98"/>
      <c r="AA185" s="98"/>
      <c r="AB185" s="98"/>
      <c r="AC185" s="98"/>
      <c r="AD185" s="98"/>
      <c r="AE185" s="98"/>
      <c r="AF185" s="277"/>
      <c r="AG185" s="277"/>
      <c r="AH185" s="277"/>
      <c r="AI185" s="277"/>
      <c r="AJ185" s="92"/>
    </row>
    <row r="186" spans="1:36" s="99" customFormat="1" ht="65.099999999999994" customHeight="1">
      <c r="A186" s="89"/>
      <c r="B186" s="89"/>
      <c r="C186" s="89"/>
      <c r="D186" s="91"/>
      <c r="E186" s="553"/>
      <c r="F186" s="92"/>
      <c r="G186" s="92"/>
      <c r="H186" s="92"/>
      <c r="I186" s="93"/>
      <c r="J186" s="94"/>
      <c r="K186" s="94"/>
      <c r="L186" s="95"/>
      <c r="M186" s="66"/>
      <c r="N186" s="96"/>
      <c r="O186" s="97"/>
      <c r="P186" s="58"/>
      <c r="Q186" s="69"/>
      <c r="R186" s="70"/>
      <c r="S186" s="66"/>
      <c r="T186" s="55"/>
      <c r="U186" s="55"/>
      <c r="V186" s="277"/>
      <c r="W186" s="98"/>
      <c r="X186" s="98"/>
      <c r="Y186" s="98"/>
      <c r="Z186" s="98"/>
      <c r="AA186" s="98"/>
      <c r="AB186" s="98"/>
      <c r="AC186" s="98"/>
      <c r="AD186" s="98"/>
      <c r="AE186" s="98"/>
      <c r="AF186" s="277"/>
      <c r="AG186" s="277"/>
      <c r="AH186" s="277"/>
      <c r="AI186" s="277"/>
      <c r="AJ186" s="92"/>
    </row>
    <row r="187" spans="1:36" s="99" customFormat="1" ht="65.099999999999994" customHeight="1">
      <c r="A187" s="89"/>
      <c r="B187" s="89"/>
      <c r="C187" s="89"/>
      <c r="D187" s="91"/>
      <c r="E187" s="553"/>
      <c r="F187" s="92"/>
      <c r="G187" s="92"/>
      <c r="H187" s="92"/>
      <c r="I187" s="93"/>
      <c r="J187" s="94"/>
      <c r="K187" s="94"/>
      <c r="L187" s="95"/>
      <c r="M187" s="66"/>
      <c r="N187" s="96"/>
      <c r="O187" s="97"/>
      <c r="P187" s="58"/>
      <c r="Q187" s="69"/>
      <c r="R187" s="70"/>
      <c r="S187" s="66"/>
      <c r="T187" s="55"/>
      <c r="U187" s="55"/>
      <c r="V187" s="277"/>
      <c r="W187" s="98"/>
      <c r="X187" s="98"/>
      <c r="Y187" s="98"/>
      <c r="Z187" s="98"/>
      <c r="AA187" s="98"/>
      <c r="AB187" s="98"/>
      <c r="AC187" s="98"/>
      <c r="AD187" s="98"/>
      <c r="AE187" s="98"/>
      <c r="AF187" s="277"/>
      <c r="AG187" s="277"/>
      <c r="AH187" s="277"/>
      <c r="AI187" s="277"/>
      <c r="AJ187" s="92"/>
    </row>
    <row r="188" spans="1:36" s="99" customFormat="1" ht="65.099999999999994" customHeight="1">
      <c r="A188" s="89"/>
      <c r="B188" s="89"/>
      <c r="C188" s="89"/>
      <c r="D188" s="91"/>
      <c r="E188" s="553"/>
      <c r="F188" s="92"/>
      <c r="G188" s="92"/>
      <c r="H188" s="92"/>
      <c r="I188" s="93"/>
      <c r="J188" s="94"/>
      <c r="K188" s="94"/>
      <c r="L188" s="95"/>
      <c r="M188" s="66"/>
      <c r="N188" s="96"/>
      <c r="O188" s="97"/>
      <c r="P188" s="58"/>
      <c r="Q188" s="69"/>
      <c r="R188" s="70"/>
      <c r="S188" s="66"/>
      <c r="T188" s="55"/>
      <c r="U188" s="55"/>
      <c r="V188" s="277"/>
      <c r="W188" s="98"/>
      <c r="X188" s="98"/>
      <c r="Y188" s="98"/>
      <c r="Z188" s="98"/>
      <c r="AA188" s="98"/>
      <c r="AB188" s="98"/>
      <c r="AC188" s="98"/>
      <c r="AD188" s="98"/>
      <c r="AE188" s="98"/>
      <c r="AF188" s="277"/>
      <c r="AG188" s="277"/>
      <c r="AH188" s="277"/>
      <c r="AI188" s="277"/>
      <c r="AJ188" s="92"/>
    </row>
    <row r="189" spans="1:36" s="99" customFormat="1" ht="65.099999999999994" customHeight="1">
      <c r="A189" s="89"/>
      <c r="B189" s="89"/>
      <c r="C189" s="89"/>
      <c r="D189" s="91"/>
      <c r="E189" s="553"/>
      <c r="F189" s="92"/>
      <c r="G189" s="92"/>
      <c r="H189" s="92"/>
      <c r="I189" s="93"/>
      <c r="J189" s="94"/>
      <c r="K189" s="94"/>
      <c r="L189" s="95"/>
      <c r="M189" s="66"/>
      <c r="N189" s="96"/>
      <c r="O189" s="97"/>
      <c r="P189" s="58"/>
      <c r="Q189" s="69"/>
      <c r="R189" s="70"/>
      <c r="S189" s="66"/>
      <c r="T189" s="55"/>
      <c r="U189" s="55"/>
      <c r="V189" s="277"/>
      <c r="W189" s="98"/>
      <c r="X189" s="98"/>
      <c r="Y189" s="98"/>
      <c r="Z189" s="98"/>
      <c r="AA189" s="98"/>
      <c r="AB189" s="98"/>
      <c r="AC189" s="98"/>
      <c r="AD189" s="98"/>
      <c r="AE189" s="98"/>
      <c r="AF189" s="277"/>
      <c r="AG189" s="277"/>
      <c r="AH189" s="277"/>
      <c r="AI189" s="277"/>
      <c r="AJ189" s="92"/>
    </row>
    <row r="190" spans="1:36" s="99" customFormat="1" ht="65.099999999999994" customHeight="1">
      <c r="A190" s="89"/>
      <c r="B190" s="89"/>
      <c r="C190" s="89"/>
      <c r="D190" s="91"/>
      <c r="E190" s="553"/>
      <c r="F190" s="92"/>
      <c r="G190" s="92"/>
      <c r="H190" s="92"/>
      <c r="I190" s="93"/>
      <c r="J190" s="94"/>
      <c r="K190" s="94"/>
      <c r="L190" s="95"/>
      <c r="M190" s="66"/>
      <c r="N190" s="96"/>
      <c r="O190" s="97"/>
      <c r="P190" s="58"/>
      <c r="Q190" s="69"/>
      <c r="R190" s="70"/>
      <c r="S190" s="66"/>
      <c r="T190" s="55"/>
      <c r="U190" s="55"/>
      <c r="V190" s="277"/>
      <c r="W190" s="98"/>
      <c r="X190" s="98"/>
      <c r="Y190" s="98"/>
      <c r="Z190" s="98"/>
      <c r="AA190" s="98"/>
      <c r="AB190" s="98"/>
      <c r="AC190" s="98"/>
      <c r="AD190" s="98"/>
      <c r="AE190" s="98"/>
      <c r="AF190" s="277"/>
      <c r="AG190" s="277"/>
      <c r="AH190" s="277"/>
      <c r="AI190" s="277"/>
      <c r="AJ190" s="92"/>
    </row>
    <row r="191" spans="1:36" s="99" customFormat="1" ht="65.099999999999994" customHeight="1">
      <c r="A191" s="89"/>
      <c r="B191" s="89"/>
      <c r="C191" s="89"/>
      <c r="D191" s="91"/>
      <c r="E191" s="553"/>
      <c r="F191" s="92"/>
      <c r="G191" s="92"/>
      <c r="H191" s="92"/>
      <c r="I191" s="93"/>
      <c r="J191" s="94"/>
      <c r="K191" s="94"/>
      <c r="L191" s="95"/>
      <c r="M191" s="66"/>
      <c r="N191" s="96"/>
      <c r="O191" s="97"/>
      <c r="P191" s="58"/>
      <c r="Q191" s="69"/>
      <c r="R191" s="70"/>
      <c r="S191" s="66"/>
      <c r="T191" s="55"/>
      <c r="U191" s="55"/>
      <c r="V191" s="277"/>
      <c r="W191" s="98"/>
      <c r="X191" s="98"/>
      <c r="Y191" s="98"/>
      <c r="Z191" s="98"/>
      <c r="AA191" s="98"/>
      <c r="AB191" s="98"/>
      <c r="AC191" s="98"/>
      <c r="AD191" s="98"/>
      <c r="AE191" s="98"/>
      <c r="AF191" s="277"/>
      <c r="AG191" s="277"/>
      <c r="AH191" s="277"/>
      <c r="AI191" s="277"/>
      <c r="AJ191" s="92"/>
    </row>
    <row r="192" spans="1:36" s="99" customFormat="1" ht="65.099999999999994" customHeight="1">
      <c r="A192" s="89"/>
      <c r="B192" s="89"/>
      <c r="C192" s="89"/>
      <c r="D192" s="91"/>
      <c r="E192" s="553"/>
      <c r="F192" s="92"/>
      <c r="G192" s="92"/>
      <c r="H192" s="92"/>
      <c r="I192" s="93"/>
      <c r="J192" s="94"/>
      <c r="K192" s="94"/>
      <c r="L192" s="95"/>
      <c r="M192" s="66"/>
      <c r="N192" s="96"/>
      <c r="O192" s="97"/>
      <c r="P192" s="58"/>
      <c r="Q192" s="69"/>
      <c r="R192" s="70"/>
      <c r="S192" s="66"/>
      <c r="T192" s="55"/>
      <c r="U192" s="55"/>
      <c r="V192" s="277"/>
      <c r="W192" s="98"/>
      <c r="X192" s="98"/>
      <c r="Y192" s="98"/>
      <c r="Z192" s="98"/>
      <c r="AA192" s="98"/>
      <c r="AB192" s="98"/>
      <c r="AC192" s="98"/>
      <c r="AD192" s="98"/>
      <c r="AE192" s="98"/>
      <c r="AF192" s="277"/>
      <c r="AG192" s="277"/>
      <c r="AH192" s="277"/>
      <c r="AI192" s="277"/>
      <c r="AJ192" s="92"/>
    </row>
    <row r="193" spans="1:36" s="99" customFormat="1" ht="65.099999999999994" customHeight="1">
      <c r="A193" s="89"/>
      <c r="B193" s="89"/>
      <c r="C193" s="89"/>
      <c r="D193" s="91"/>
      <c r="E193" s="553"/>
      <c r="F193" s="92"/>
      <c r="G193" s="92"/>
      <c r="H193" s="92"/>
      <c r="I193" s="93"/>
      <c r="J193" s="94"/>
      <c r="K193" s="94"/>
      <c r="L193" s="95"/>
      <c r="M193" s="66"/>
      <c r="N193" s="96"/>
      <c r="O193" s="97"/>
      <c r="P193" s="58"/>
      <c r="Q193" s="69"/>
      <c r="R193" s="70"/>
      <c r="S193" s="66"/>
      <c r="T193" s="55"/>
      <c r="U193" s="55"/>
      <c r="V193" s="277"/>
      <c r="W193" s="98"/>
      <c r="X193" s="98"/>
      <c r="Y193" s="98"/>
      <c r="Z193" s="98"/>
      <c r="AA193" s="98"/>
      <c r="AB193" s="98"/>
      <c r="AC193" s="98"/>
      <c r="AD193" s="98"/>
      <c r="AE193" s="98"/>
      <c r="AF193" s="277"/>
      <c r="AG193" s="277"/>
      <c r="AH193" s="277"/>
      <c r="AI193" s="277"/>
      <c r="AJ193" s="92"/>
    </row>
    <row r="194" spans="1:36" s="99" customFormat="1" ht="65.099999999999994" customHeight="1">
      <c r="A194" s="89"/>
      <c r="B194" s="89"/>
      <c r="C194" s="89"/>
      <c r="D194" s="91"/>
      <c r="E194" s="553"/>
      <c r="F194" s="92"/>
      <c r="G194" s="92"/>
      <c r="H194" s="92"/>
      <c r="I194" s="93"/>
      <c r="J194" s="94"/>
      <c r="K194" s="94"/>
      <c r="L194" s="95"/>
      <c r="M194" s="66"/>
      <c r="N194" s="96"/>
      <c r="O194" s="97"/>
      <c r="P194" s="58"/>
      <c r="Q194" s="69"/>
      <c r="R194" s="70"/>
      <c r="S194" s="66"/>
      <c r="T194" s="55"/>
      <c r="U194" s="55"/>
      <c r="V194" s="277"/>
      <c r="W194" s="98"/>
      <c r="X194" s="98"/>
      <c r="Y194" s="98"/>
      <c r="Z194" s="98"/>
      <c r="AA194" s="98"/>
      <c r="AB194" s="98"/>
      <c r="AC194" s="98"/>
      <c r="AD194" s="98"/>
      <c r="AE194" s="98"/>
      <c r="AF194" s="277"/>
      <c r="AG194" s="277"/>
      <c r="AH194" s="277"/>
      <c r="AI194" s="277"/>
      <c r="AJ194" s="92"/>
    </row>
    <row r="195" spans="1:36" s="99" customFormat="1" ht="65.099999999999994" customHeight="1">
      <c r="A195" s="89"/>
      <c r="B195" s="89"/>
      <c r="C195" s="89"/>
      <c r="D195" s="91"/>
      <c r="E195" s="553"/>
      <c r="F195" s="92"/>
      <c r="G195" s="92"/>
      <c r="H195" s="92"/>
      <c r="I195" s="93"/>
      <c r="J195" s="94"/>
      <c r="K195" s="94"/>
      <c r="L195" s="95"/>
      <c r="M195" s="66"/>
      <c r="N195" s="96"/>
      <c r="O195" s="97"/>
      <c r="P195" s="58"/>
      <c r="Q195" s="69"/>
      <c r="R195" s="70"/>
      <c r="S195" s="66"/>
      <c r="T195" s="55"/>
      <c r="U195" s="55"/>
      <c r="V195" s="277"/>
      <c r="W195" s="98"/>
      <c r="X195" s="98"/>
      <c r="Y195" s="98"/>
      <c r="Z195" s="98"/>
      <c r="AA195" s="98"/>
      <c r="AB195" s="98"/>
      <c r="AC195" s="98"/>
      <c r="AD195" s="98"/>
      <c r="AE195" s="98"/>
      <c r="AF195" s="277"/>
      <c r="AG195" s="277"/>
      <c r="AH195" s="277"/>
      <c r="AI195" s="277"/>
      <c r="AJ195" s="92"/>
    </row>
    <row r="196" spans="1:36" s="99" customFormat="1" ht="65.099999999999994" customHeight="1">
      <c r="A196" s="89"/>
      <c r="B196" s="89"/>
      <c r="C196" s="89"/>
      <c r="D196" s="91"/>
      <c r="E196" s="553"/>
      <c r="F196" s="92"/>
      <c r="G196" s="92"/>
      <c r="H196" s="92"/>
      <c r="I196" s="93"/>
      <c r="J196" s="94"/>
      <c r="K196" s="94"/>
      <c r="L196" s="95"/>
      <c r="M196" s="66"/>
      <c r="N196" s="96"/>
      <c r="O196" s="97"/>
      <c r="P196" s="58"/>
      <c r="Q196" s="69"/>
      <c r="R196" s="70"/>
      <c r="S196" s="66"/>
      <c r="T196" s="55"/>
      <c r="U196" s="55"/>
      <c r="V196" s="277"/>
      <c r="W196" s="98"/>
      <c r="X196" s="98"/>
      <c r="Y196" s="98"/>
      <c r="Z196" s="98"/>
      <c r="AA196" s="98"/>
      <c r="AB196" s="98"/>
      <c r="AC196" s="98"/>
      <c r="AD196" s="98"/>
      <c r="AE196" s="98"/>
      <c r="AF196" s="277"/>
      <c r="AG196" s="277"/>
      <c r="AH196" s="277"/>
      <c r="AI196" s="277"/>
      <c r="AJ196" s="92"/>
    </row>
    <row r="197" spans="1:36" s="99" customFormat="1" ht="65.099999999999994" customHeight="1">
      <c r="A197" s="89"/>
      <c r="B197" s="89"/>
      <c r="C197" s="89"/>
      <c r="D197" s="91"/>
      <c r="E197" s="553"/>
      <c r="F197" s="92"/>
      <c r="G197" s="92"/>
      <c r="H197" s="92"/>
      <c r="I197" s="93"/>
      <c r="J197" s="94"/>
      <c r="K197" s="94"/>
      <c r="L197" s="95"/>
      <c r="M197" s="66"/>
      <c r="N197" s="96"/>
      <c r="O197" s="97"/>
      <c r="P197" s="58"/>
      <c r="Q197" s="69"/>
      <c r="R197" s="70"/>
      <c r="S197" s="66"/>
      <c r="T197" s="55"/>
      <c r="U197" s="55"/>
      <c r="V197" s="277"/>
      <c r="W197" s="98"/>
      <c r="X197" s="98"/>
      <c r="Y197" s="98"/>
      <c r="Z197" s="98"/>
      <c r="AA197" s="98"/>
      <c r="AB197" s="98"/>
      <c r="AC197" s="98"/>
      <c r="AD197" s="98"/>
      <c r="AE197" s="98"/>
      <c r="AF197" s="277"/>
      <c r="AG197" s="277"/>
      <c r="AH197" s="277"/>
      <c r="AI197" s="277"/>
      <c r="AJ197" s="92"/>
    </row>
    <row r="198" spans="1:36" s="99" customFormat="1" ht="65.099999999999994" customHeight="1">
      <c r="A198" s="89"/>
      <c r="B198" s="89"/>
      <c r="C198" s="89"/>
      <c r="D198" s="91"/>
      <c r="E198" s="553"/>
      <c r="F198" s="92"/>
      <c r="G198" s="92"/>
      <c r="H198" s="92"/>
      <c r="I198" s="93"/>
      <c r="J198" s="94"/>
      <c r="K198" s="94"/>
      <c r="L198" s="95"/>
      <c r="M198" s="66"/>
      <c r="N198" s="96"/>
      <c r="O198" s="97"/>
      <c r="P198" s="58"/>
      <c r="Q198" s="69"/>
      <c r="R198" s="70"/>
      <c r="S198" s="66"/>
      <c r="T198" s="55"/>
      <c r="U198" s="55"/>
      <c r="V198" s="277"/>
      <c r="W198" s="98"/>
      <c r="X198" s="98"/>
      <c r="Y198" s="98"/>
      <c r="Z198" s="98"/>
      <c r="AA198" s="98"/>
      <c r="AB198" s="98"/>
      <c r="AC198" s="98"/>
      <c r="AD198" s="98"/>
      <c r="AE198" s="98"/>
      <c r="AF198" s="277"/>
      <c r="AG198" s="277"/>
      <c r="AH198" s="277"/>
      <c r="AI198" s="277"/>
      <c r="AJ198" s="92"/>
    </row>
    <row r="199" spans="1:36" s="99" customFormat="1" ht="65.099999999999994" customHeight="1">
      <c r="A199" s="89"/>
      <c r="B199" s="89"/>
      <c r="C199" s="89"/>
      <c r="D199" s="91"/>
      <c r="E199" s="553"/>
      <c r="F199" s="92"/>
      <c r="G199" s="92"/>
      <c r="H199" s="92"/>
      <c r="I199" s="93"/>
      <c r="J199" s="94"/>
      <c r="K199" s="94"/>
      <c r="L199" s="95"/>
      <c r="M199" s="66"/>
      <c r="N199" s="96"/>
      <c r="O199" s="97"/>
      <c r="P199" s="58"/>
      <c r="Q199" s="69"/>
      <c r="R199" s="70"/>
      <c r="S199" s="66"/>
      <c r="T199" s="55"/>
      <c r="U199" s="55"/>
      <c r="V199" s="277"/>
      <c r="W199" s="98"/>
      <c r="X199" s="98"/>
      <c r="Y199" s="98"/>
      <c r="Z199" s="98"/>
      <c r="AA199" s="98"/>
      <c r="AB199" s="98"/>
      <c r="AC199" s="98"/>
      <c r="AD199" s="98"/>
      <c r="AE199" s="98"/>
      <c r="AF199" s="277"/>
      <c r="AG199" s="277"/>
      <c r="AH199" s="277"/>
      <c r="AI199" s="277"/>
      <c r="AJ199" s="92"/>
    </row>
    <row r="200" spans="1:36" s="99" customFormat="1" ht="65.099999999999994" customHeight="1">
      <c r="A200" s="89"/>
      <c r="B200" s="89"/>
      <c r="C200" s="89"/>
      <c r="D200" s="91"/>
      <c r="E200" s="553"/>
      <c r="F200" s="92"/>
      <c r="G200" s="92"/>
      <c r="H200" s="92"/>
      <c r="I200" s="93"/>
      <c r="J200" s="94"/>
      <c r="K200" s="94"/>
      <c r="L200" s="95"/>
      <c r="M200" s="66"/>
      <c r="N200" s="96"/>
      <c r="O200" s="97"/>
      <c r="P200" s="58"/>
      <c r="Q200" s="69"/>
      <c r="R200" s="70"/>
      <c r="S200" s="66"/>
      <c r="T200" s="55"/>
      <c r="U200" s="55"/>
      <c r="V200" s="277"/>
      <c r="W200" s="98"/>
      <c r="X200" s="98"/>
      <c r="Y200" s="98"/>
      <c r="Z200" s="98"/>
      <c r="AA200" s="98"/>
      <c r="AB200" s="98"/>
      <c r="AC200" s="98"/>
      <c r="AD200" s="98"/>
      <c r="AE200" s="98"/>
      <c r="AF200" s="277"/>
      <c r="AG200" s="277"/>
      <c r="AH200" s="277"/>
      <c r="AI200" s="277"/>
      <c r="AJ200" s="92"/>
    </row>
    <row r="201" spans="1:36" s="99" customFormat="1" ht="65.099999999999994" customHeight="1">
      <c r="A201" s="89"/>
      <c r="B201" s="89"/>
      <c r="C201" s="89"/>
      <c r="D201" s="91"/>
      <c r="E201" s="553"/>
      <c r="F201" s="92"/>
      <c r="G201" s="92"/>
      <c r="H201" s="92"/>
      <c r="I201" s="93"/>
      <c r="J201" s="94"/>
      <c r="K201" s="94"/>
      <c r="L201" s="95"/>
      <c r="M201" s="66"/>
      <c r="N201" s="96"/>
      <c r="O201" s="97"/>
      <c r="P201" s="58"/>
      <c r="Q201" s="69"/>
      <c r="R201" s="70"/>
      <c r="S201" s="66"/>
      <c r="T201" s="55"/>
      <c r="U201" s="55"/>
      <c r="V201" s="277"/>
      <c r="W201" s="98"/>
      <c r="X201" s="98"/>
      <c r="Y201" s="98"/>
      <c r="Z201" s="98"/>
      <c r="AA201" s="98"/>
      <c r="AB201" s="98"/>
      <c r="AC201" s="98"/>
      <c r="AD201" s="98"/>
      <c r="AE201" s="98"/>
      <c r="AF201" s="277"/>
      <c r="AG201" s="277"/>
      <c r="AH201" s="277"/>
      <c r="AI201" s="277"/>
      <c r="AJ201" s="92"/>
    </row>
    <row r="202" spans="1:36" s="99" customFormat="1" ht="65.099999999999994" customHeight="1">
      <c r="A202" s="89"/>
      <c r="B202" s="89"/>
      <c r="C202" s="89"/>
      <c r="D202" s="91"/>
      <c r="E202" s="553"/>
      <c r="F202" s="92"/>
      <c r="G202" s="92"/>
      <c r="H202" s="92"/>
      <c r="I202" s="93"/>
      <c r="J202" s="94"/>
      <c r="K202" s="94"/>
      <c r="L202" s="95"/>
      <c r="M202" s="66"/>
      <c r="N202" s="96"/>
      <c r="O202" s="97"/>
      <c r="P202" s="58"/>
      <c r="Q202" s="69"/>
      <c r="R202" s="70"/>
      <c r="S202" s="66"/>
      <c r="T202" s="55"/>
      <c r="U202" s="55"/>
      <c r="V202" s="277"/>
      <c r="W202" s="98"/>
      <c r="X202" s="98"/>
      <c r="Y202" s="98"/>
      <c r="Z202" s="98"/>
      <c r="AA202" s="98"/>
      <c r="AB202" s="98"/>
      <c r="AC202" s="98"/>
      <c r="AD202" s="98"/>
      <c r="AE202" s="98"/>
      <c r="AF202" s="277"/>
      <c r="AG202" s="277"/>
      <c r="AH202" s="277"/>
      <c r="AI202" s="277"/>
      <c r="AJ202" s="92"/>
    </row>
    <row r="203" spans="1:36" s="99" customFormat="1" ht="65.099999999999994" customHeight="1">
      <c r="A203" s="89"/>
      <c r="B203" s="89"/>
      <c r="C203" s="89"/>
      <c r="D203" s="91"/>
      <c r="E203" s="553"/>
      <c r="F203" s="92"/>
      <c r="G203" s="92"/>
      <c r="H203" s="92"/>
      <c r="I203" s="93"/>
      <c r="J203" s="94"/>
      <c r="K203" s="94"/>
      <c r="L203" s="95"/>
      <c r="M203" s="66"/>
      <c r="N203" s="96"/>
      <c r="O203" s="97"/>
      <c r="P203" s="58"/>
      <c r="Q203" s="69"/>
      <c r="R203" s="70"/>
      <c r="S203" s="66"/>
      <c r="T203" s="55"/>
      <c r="U203" s="55"/>
      <c r="V203" s="277"/>
      <c r="W203" s="98"/>
      <c r="X203" s="98"/>
      <c r="Y203" s="98"/>
      <c r="Z203" s="98"/>
      <c r="AA203" s="98"/>
      <c r="AB203" s="98"/>
      <c r="AC203" s="98"/>
      <c r="AD203" s="98"/>
      <c r="AE203" s="98"/>
      <c r="AF203" s="277"/>
      <c r="AG203" s="277"/>
      <c r="AH203" s="277"/>
      <c r="AI203" s="277"/>
      <c r="AJ203" s="92"/>
    </row>
    <row r="204" spans="1:36" s="99" customFormat="1" ht="65.099999999999994" customHeight="1">
      <c r="A204" s="89"/>
      <c r="B204" s="89"/>
      <c r="C204" s="89"/>
      <c r="D204" s="91"/>
      <c r="E204" s="553"/>
      <c r="F204" s="92"/>
      <c r="G204" s="92"/>
      <c r="H204" s="92"/>
      <c r="I204" s="93"/>
      <c r="J204" s="94"/>
      <c r="K204" s="94"/>
      <c r="L204" s="95"/>
      <c r="M204" s="66"/>
      <c r="N204" s="96"/>
      <c r="O204" s="97"/>
      <c r="P204" s="58"/>
      <c r="Q204" s="69"/>
      <c r="R204" s="70"/>
      <c r="S204" s="66"/>
      <c r="T204" s="55"/>
      <c r="U204" s="55"/>
      <c r="V204" s="277"/>
      <c r="W204" s="98"/>
      <c r="X204" s="98"/>
      <c r="Y204" s="98"/>
      <c r="Z204" s="98"/>
      <c r="AA204" s="98"/>
      <c r="AB204" s="98"/>
      <c r="AC204" s="98"/>
      <c r="AD204" s="98"/>
      <c r="AE204" s="98"/>
      <c r="AF204" s="277"/>
      <c r="AG204" s="277"/>
      <c r="AH204" s="277"/>
      <c r="AI204" s="277"/>
      <c r="AJ204" s="92"/>
    </row>
    <row r="205" spans="1:36" s="99" customFormat="1" ht="65.099999999999994" customHeight="1">
      <c r="A205" s="89"/>
      <c r="B205" s="89"/>
      <c r="C205" s="89"/>
      <c r="D205" s="91"/>
      <c r="E205" s="553"/>
      <c r="F205" s="92"/>
      <c r="G205" s="92"/>
      <c r="H205" s="92"/>
      <c r="I205" s="93"/>
      <c r="J205" s="94"/>
      <c r="K205" s="94"/>
      <c r="L205" s="95"/>
      <c r="M205" s="66"/>
      <c r="N205" s="96"/>
      <c r="O205" s="97"/>
      <c r="P205" s="58"/>
      <c r="Q205" s="69"/>
      <c r="R205" s="70"/>
      <c r="S205" s="66"/>
      <c r="T205" s="55"/>
      <c r="U205" s="55"/>
      <c r="V205" s="277"/>
      <c r="W205" s="98"/>
      <c r="X205" s="98"/>
      <c r="Y205" s="98"/>
      <c r="Z205" s="98"/>
      <c r="AA205" s="98"/>
      <c r="AB205" s="98"/>
      <c r="AC205" s="98"/>
      <c r="AD205" s="98"/>
      <c r="AE205" s="98"/>
      <c r="AF205" s="277"/>
      <c r="AG205" s="277"/>
      <c r="AH205" s="277"/>
      <c r="AI205" s="277"/>
      <c r="AJ205" s="92"/>
    </row>
    <row r="206" spans="1:36" s="99" customFormat="1" ht="65.099999999999994" customHeight="1">
      <c r="A206" s="89"/>
      <c r="B206" s="89"/>
      <c r="C206" s="89"/>
      <c r="D206" s="91"/>
      <c r="E206" s="553"/>
      <c r="F206" s="92"/>
      <c r="G206" s="92"/>
      <c r="H206" s="92"/>
      <c r="I206" s="93"/>
      <c r="J206" s="94"/>
      <c r="K206" s="94"/>
      <c r="L206" s="95"/>
      <c r="M206" s="66"/>
      <c r="N206" s="96"/>
      <c r="O206" s="97"/>
      <c r="P206" s="58"/>
      <c r="Q206" s="69"/>
      <c r="R206" s="70"/>
      <c r="S206" s="66"/>
      <c r="T206" s="55"/>
      <c r="U206" s="55"/>
      <c r="V206" s="277"/>
      <c r="W206" s="98"/>
      <c r="X206" s="98"/>
      <c r="Y206" s="98"/>
      <c r="Z206" s="98"/>
      <c r="AA206" s="98"/>
      <c r="AB206" s="98"/>
      <c r="AC206" s="98"/>
      <c r="AD206" s="98"/>
      <c r="AE206" s="98"/>
      <c r="AF206" s="277"/>
      <c r="AG206" s="277"/>
      <c r="AH206" s="277"/>
      <c r="AI206" s="277"/>
      <c r="AJ206" s="92"/>
    </row>
    <row r="207" spans="1:36" s="99" customFormat="1" ht="65.099999999999994" customHeight="1">
      <c r="A207" s="89"/>
      <c r="B207" s="89"/>
      <c r="C207" s="89"/>
      <c r="D207" s="91"/>
      <c r="E207" s="553"/>
      <c r="F207" s="92"/>
      <c r="G207" s="92"/>
      <c r="H207" s="92"/>
      <c r="I207" s="93"/>
      <c r="J207" s="94"/>
      <c r="K207" s="94"/>
      <c r="L207" s="95"/>
      <c r="M207" s="66"/>
      <c r="N207" s="96"/>
      <c r="O207" s="97"/>
      <c r="P207" s="58"/>
      <c r="Q207" s="69"/>
      <c r="R207" s="70"/>
      <c r="S207" s="66"/>
      <c r="T207" s="55"/>
      <c r="U207" s="55"/>
      <c r="V207" s="277"/>
      <c r="W207" s="98"/>
      <c r="X207" s="98"/>
      <c r="Y207" s="98"/>
      <c r="Z207" s="98"/>
      <c r="AA207" s="98"/>
      <c r="AB207" s="98"/>
      <c r="AC207" s="98"/>
      <c r="AD207" s="98"/>
      <c r="AE207" s="98"/>
      <c r="AF207" s="277"/>
      <c r="AG207" s="277"/>
      <c r="AH207" s="277"/>
      <c r="AI207" s="277"/>
      <c r="AJ207" s="92"/>
    </row>
    <row r="208" spans="1:36" s="99" customFormat="1" ht="65.099999999999994" customHeight="1">
      <c r="A208" s="89"/>
      <c r="B208" s="89"/>
      <c r="C208" s="89"/>
      <c r="D208" s="91"/>
      <c r="E208" s="553"/>
      <c r="F208" s="92"/>
      <c r="G208" s="92"/>
      <c r="H208" s="92"/>
      <c r="I208" s="93"/>
      <c r="J208" s="94"/>
      <c r="K208" s="94"/>
      <c r="L208" s="95"/>
      <c r="M208" s="66"/>
      <c r="N208" s="96"/>
      <c r="O208" s="97"/>
      <c r="P208" s="58"/>
      <c r="Q208" s="69"/>
      <c r="R208" s="70"/>
      <c r="S208" s="66"/>
      <c r="T208" s="55"/>
      <c r="U208" s="55"/>
      <c r="V208" s="277"/>
      <c r="W208" s="98"/>
      <c r="X208" s="98"/>
      <c r="Y208" s="98"/>
      <c r="Z208" s="98"/>
      <c r="AA208" s="98"/>
      <c r="AB208" s="98"/>
      <c r="AC208" s="98"/>
      <c r="AD208" s="98"/>
      <c r="AE208" s="98"/>
      <c r="AF208" s="277"/>
      <c r="AG208" s="277"/>
      <c r="AH208" s="277"/>
      <c r="AI208" s="277"/>
      <c r="AJ208" s="92"/>
    </row>
    <row r="209" spans="1:36" s="99" customFormat="1" ht="65.099999999999994" customHeight="1">
      <c r="A209" s="89"/>
      <c r="B209" s="89"/>
      <c r="C209" s="89"/>
      <c r="D209" s="91"/>
      <c r="E209" s="553"/>
      <c r="F209" s="92"/>
      <c r="G209" s="92"/>
      <c r="H209" s="92"/>
      <c r="I209" s="93"/>
      <c r="J209" s="94"/>
      <c r="K209" s="94"/>
      <c r="L209" s="95"/>
      <c r="M209" s="66"/>
      <c r="N209" s="96"/>
      <c r="O209" s="97"/>
      <c r="P209" s="58"/>
      <c r="Q209" s="69"/>
      <c r="R209" s="70"/>
      <c r="S209" s="66"/>
      <c r="T209" s="55"/>
      <c r="U209" s="55"/>
      <c r="V209" s="277"/>
      <c r="W209" s="98"/>
      <c r="X209" s="98"/>
      <c r="Y209" s="98"/>
      <c r="Z209" s="98"/>
      <c r="AA209" s="98"/>
      <c r="AB209" s="98"/>
      <c r="AC209" s="98"/>
      <c r="AD209" s="98"/>
      <c r="AE209" s="98"/>
      <c r="AF209" s="277"/>
      <c r="AG209" s="277"/>
      <c r="AH209" s="277"/>
      <c r="AI209" s="277"/>
      <c r="AJ209" s="92"/>
    </row>
    <row r="210" spans="1:36" s="99" customFormat="1" ht="65.099999999999994" customHeight="1">
      <c r="A210" s="89"/>
      <c r="B210" s="89"/>
      <c r="C210" s="89"/>
      <c r="D210" s="91"/>
      <c r="E210" s="553"/>
      <c r="F210" s="92"/>
      <c r="G210" s="92"/>
      <c r="H210" s="92"/>
      <c r="I210" s="93"/>
      <c r="J210" s="94"/>
      <c r="K210" s="94"/>
      <c r="L210" s="95"/>
      <c r="M210" s="66"/>
      <c r="N210" s="96"/>
      <c r="O210" s="97"/>
      <c r="P210" s="58"/>
      <c r="Q210" s="69"/>
      <c r="R210" s="70"/>
      <c r="S210" s="66"/>
      <c r="T210" s="55"/>
      <c r="U210" s="55"/>
      <c r="V210" s="277"/>
      <c r="W210" s="98"/>
      <c r="X210" s="98"/>
      <c r="Y210" s="98"/>
      <c r="Z210" s="98"/>
      <c r="AA210" s="98"/>
      <c r="AB210" s="98"/>
      <c r="AC210" s="98"/>
      <c r="AD210" s="98"/>
      <c r="AE210" s="98"/>
      <c r="AF210" s="277"/>
      <c r="AG210" s="277"/>
      <c r="AH210" s="277"/>
      <c r="AI210" s="277"/>
      <c r="AJ210" s="92"/>
    </row>
    <row r="211" spans="1:36" s="99" customFormat="1" ht="65.099999999999994" customHeight="1">
      <c r="A211" s="89"/>
      <c r="B211" s="89"/>
      <c r="C211" s="89"/>
      <c r="D211" s="91"/>
      <c r="E211" s="553"/>
      <c r="F211" s="92"/>
      <c r="G211" s="92"/>
      <c r="H211" s="92"/>
      <c r="I211" s="93"/>
      <c r="J211" s="94"/>
      <c r="K211" s="94"/>
      <c r="L211" s="95"/>
      <c r="M211" s="66"/>
      <c r="N211" s="96"/>
      <c r="O211" s="97"/>
      <c r="P211" s="58"/>
      <c r="Q211" s="69"/>
      <c r="R211" s="70"/>
      <c r="S211" s="66"/>
      <c r="T211" s="55"/>
      <c r="U211" s="55"/>
      <c r="V211" s="277"/>
      <c r="W211" s="98"/>
      <c r="X211" s="98"/>
      <c r="Y211" s="98"/>
      <c r="Z211" s="98"/>
      <c r="AA211" s="98"/>
      <c r="AB211" s="98"/>
      <c r="AC211" s="98"/>
      <c r="AD211" s="98"/>
      <c r="AE211" s="98"/>
      <c r="AF211" s="277"/>
      <c r="AG211" s="277"/>
      <c r="AH211" s="277"/>
      <c r="AI211" s="277"/>
      <c r="AJ211" s="92"/>
    </row>
    <row r="212" spans="1:36" s="99" customFormat="1" ht="65.099999999999994" customHeight="1">
      <c r="A212" s="89"/>
      <c r="B212" s="89"/>
      <c r="C212" s="89"/>
      <c r="D212" s="91"/>
      <c r="E212" s="553"/>
      <c r="F212" s="92"/>
      <c r="G212" s="92"/>
      <c r="H212" s="92"/>
      <c r="I212" s="93"/>
      <c r="J212" s="94"/>
      <c r="K212" s="94"/>
      <c r="L212" s="95"/>
      <c r="M212" s="66"/>
      <c r="N212" s="96"/>
      <c r="O212" s="97"/>
      <c r="P212" s="58"/>
      <c r="Q212" s="69"/>
      <c r="R212" s="70"/>
      <c r="S212" s="66"/>
      <c r="T212" s="55"/>
      <c r="U212" s="55"/>
      <c r="V212" s="277"/>
      <c r="W212" s="98"/>
      <c r="X212" s="98"/>
      <c r="Y212" s="98"/>
      <c r="Z212" s="98"/>
      <c r="AA212" s="98"/>
      <c r="AB212" s="98"/>
      <c r="AC212" s="98"/>
      <c r="AD212" s="98"/>
      <c r="AE212" s="98"/>
      <c r="AF212" s="277"/>
      <c r="AG212" s="277"/>
      <c r="AH212" s="277"/>
      <c r="AI212" s="277"/>
      <c r="AJ212" s="92"/>
    </row>
    <row r="213" spans="1:36" s="99" customFormat="1" ht="65.099999999999994" customHeight="1">
      <c r="A213" s="89"/>
      <c r="B213" s="89"/>
      <c r="C213" s="89"/>
      <c r="D213" s="91"/>
      <c r="E213" s="553"/>
      <c r="F213" s="92"/>
      <c r="G213" s="92"/>
      <c r="H213" s="92"/>
      <c r="I213" s="93"/>
      <c r="J213" s="94"/>
      <c r="K213" s="94"/>
      <c r="L213" s="95"/>
      <c r="M213" s="66"/>
      <c r="N213" s="96"/>
      <c r="O213" s="97"/>
      <c r="P213" s="58"/>
      <c r="Q213" s="69"/>
      <c r="R213" s="70"/>
      <c r="S213" s="66"/>
      <c r="T213" s="55"/>
      <c r="U213" s="55"/>
      <c r="V213" s="277"/>
      <c r="W213" s="98"/>
      <c r="X213" s="98"/>
      <c r="Y213" s="98"/>
      <c r="Z213" s="98"/>
      <c r="AA213" s="98"/>
      <c r="AB213" s="98"/>
      <c r="AC213" s="98"/>
      <c r="AD213" s="98"/>
      <c r="AE213" s="98"/>
      <c r="AF213" s="277"/>
      <c r="AG213" s="277"/>
      <c r="AH213" s="277"/>
      <c r="AI213" s="277"/>
      <c r="AJ213" s="92"/>
    </row>
    <row r="214" spans="1:36" s="99" customFormat="1" ht="65.099999999999994" customHeight="1">
      <c r="A214" s="89"/>
      <c r="B214" s="89"/>
      <c r="C214" s="89"/>
      <c r="D214" s="91"/>
      <c r="E214" s="553"/>
      <c r="F214" s="92"/>
      <c r="G214" s="92"/>
      <c r="H214" s="92"/>
      <c r="I214" s="93"/>
      <c r="J214" s="94"/>
      <c r="K214" s="94"/>
      <c r="L214" s="95"/>
      <c r="M214" s="66"/>
      <c r="N214" s="96"/>
      <c r="O214" s="97"/>
      <c r="P214" s="58"/>
      <c r="Q214" s="69"/>
      <c r="R214" s="70"/>
      <c r="S214" s="66"/>
      <c r="T214" s="55"/>
      <c r="U214" s="55"/>
      <c r="V214" s="277"/>
      <c r="W214" s="98"/>
      <c r="X214" s="98"/>
      <c r="Y214" s="98"/>
      <c r="Z214" s="98"/>
      <c r="AA214" s="98"/>
      <c r="AB214" s="98"/>
      <c r="AC214" s="98"/>
      <c r="AD214" s="98"/>
      <c r="AE214" s="98"/>
      <c r="AF214" s="277"/>
      <c r="AG214" s="277"/>
      <c r="AH214" s="277"/>
      <c r="AI214" s="277"/>
      <c r="AJ214" s="92"/>
    </row>
    <row r="215" spans="1:36" s="99" customFormat="1" ht="65.099999999999994" customHeight="1">
      <c r="A215" s="89"/>
      <c r="B215" s="89"/>
      <c r="C215" s="89"/>
      <c r="D215" s="91"/>
      <c r="E215" s="553"/>
      <c r="F215" s="92"/>
      <c r="G215" s="92"/>
      <c r="H215" s="92"/>
      <c r="I215" s="93"/>
      <c r="J215" s="94"/>
      <c r="K215" s="94"/>
      <c r="L215" s="95"/>
      <c r="M215" s="66"/>
      <c r="N215" s="96"/>
      <c r="O215" s="97"/>
      <c r="P215" s="58"/>
      <c r="Q215" s="69"/>
      <c r="R215" s="70"/>
      <c r="S215" s="66"/>
      <c r="T215" s="55"/>
      <c r="U215" s="55"/>
      <c r="V215" s="277"/>
      <c r="W215" s="98"/>
      <c r="X215" s="98"/>
      <c r="Y215" s="98"/>
      <c r="Z215" s="98"/>
      <c r="AA215" s="98"/>
      <c r="AB215" s="98"/>
      <c r="AC215" s="98"/>
      <c r="AD215" s="98"/>
      <c r="AE215" s="98"/>
      <c r="AF215" s="277"/>
      <c r="AG215" s="277"/>
      <c r="AH215" s="277"/>
      <c r="AI215" s="277"/>
      <c r="AJ215" s="92"/>
    </row>
    <row r="216" spans="1:36" s="99" customFormat="1" ht="65.099999999999994" customHeight="1">
      <c r="A216" s="89"/>
      <c r="B216" s="89"/>
      <c r="C216" s="89"/>
      <c r="D216" s="91"/>
      <c r="E216" s="553"/>
      <c r="F216" s="92"/>
      <c r="G216" s="92"/>
      <c r="H216" s="92"/>
      <c r="I216" s="93"/>
      <c r="J216" s="94"/>
      <c r="K216" s="94"/>
      <c r="L216" s="95"/>
      <c r="M216" s="66"/>
      <c r="N216" s="96"/>
      <c r="O216" s="97"/>
      <c r="P216" s="58"/>
      <c r="Q216" s="69"/>
      <c r="R216" s="70"/>
      <c r="S216" s="66"/>
      <c r="T216" s="55"/>
      <c r="U216" s="55"/>
      <c r="V216" s="277"/>
      <c r="W216" s="98"/>
      <c r="X216" s="98"/>
      <c r="Y216" s="98"/>
      <c r="Z216" s="98"/>
      <c r="AA216" s="98"/>
      <c r="AB216" s="98"/>
      <c r="AC216" s="98"/>
      <c r="AD216" s="98"/>
      <c r="AE216" s="98"/>
      <c r="AF216" s="277"/>
      <c r="AG216" s="277"/>
      <c r="AH216" s="277"/>
      <c r="AI216" s="277"/>
      <c r="AJ216" s="92"/>
    </row>
    <row r="217" spans="1:36" s="99" customFormat="1" ht="65.099999999999994" customHeight="1">
      <c r="A217" s="89"/>
      <c r="B217" s="89"/>
      <c r="C217" s="89"/>
      <c r="D217" s="91"/>
      <c r="E217" s="553"/>
      <c r="F217" s="92"/>
      <c r="G217" s="92"/>
      <c r="H217" s="92"/>
      <c r="I217" s="93"/>
      <c r="J217" s="94"/>
      <c r="K217" s="94"/>
      <c r="L217" s="95"/>
      <c r="M217" s="66"/>
      <c r="N217" s="96"/>
      <c r="O217" s="97"/>
      <c r="P217" s="58"/>
      <c r="Q217" s="69"/>
      <c r="R217" s="70"/>
      <c r="S217" s="66"/>
      <c r="T217" s="55"/>
      <c r="U217" s="55"/>
      <c r="V217" s="277"/>
      <c r="W217" s="98"/>
      <c r="X217" s="98"/>
      <c r="Y217" s="98"/>
      <c r="Z217" s="98"/>
      <c r="AA217" s="98"/>
      <c r="AB217" s="98"/>
      <c r="AC217" s="98"/>
      <c r="AD217" s="98"/>
      <c r="AE217" s="98"/>
      <c r="AF217" s="277"/>
      <c r="AG217" s="277"/>
      <c r="AH217" s="277"/>
      <c r="AI217" s="277"/>
      <c r="AJ217" s="92"/>
    </row>
  </sheetData>
  <autoFilter ref="A1:AJ18">
    <filterColumn colId="22" showButton="0"/>
    <filterColumn colId="23" showButton="0"/>
    <filterColumn colId="25" showButton="0"/>
    <filterColumn colId="26" showButton="0"/>
  </autoFilter>
  <mergeCells count="282">
    <mergeCell ref="AG68:AG73"/>
    <mergeCell ref="AH68:AH73"/>
    <mergeCell ref="W69:Y69"/>
    <mergeCell ref="Z69:AB69"/>
    <mergeCell ref="AC69:AE69"/>
    <mergeCell ref="W70:Y70"/>
    <mergeCell ref="Z70:AB70"/>
    <mergeCell ref="AC70:AE70"/>
    <mergeCell ref="W71:Y71"/>
    <mergeCell ref="Z71:AB71"/>
    <mergeCell ref="A68:A73"/>
    <mergeCell ref="W68:Y68"/>
    <mergeCell ref="Z68:AB68"/>
    <mergeCell ref="AC68:AE68"/>
    <mergeCell ref="AC71:AE71"/>
    <mergeCell ref="W72:Y72"/>
    <mergeCell ref="Z72:AB72"/>
    <mergeCell ref="AC72:AE72"/>
    <mergeCell ref="W73:Y73"/>
    <mergeCell ref="Z73:AB73"/>
    <mergeCell ref="AC73:AE73"/>
    <mergeCell ref="A62:A67"/>
    <mergeCell ref="W62:Y62"/>
    <mergeCell ref="Z62:AB62"/>
    <mergeCell ref="AC62:AE62"/>
    <mergeCell ref="AC65:AE65"/>
    <mergeCell ref="W66:Y66"/>
    <mergeCell ref="AG62:AG67"/>
    <mergeCell ref="AH62:AH67"/>
    <mergeCell ref="W63:Y63"/>
    <mergeCell ref="Z63:AB63"/>
    <mergeCell ref="AC63:AE63"/>
    <mergeCell ref="W64:Y64"/>
    <mergeCell ref="Z64:AB64"/>
    <mergeCell ref="AC64:AE64"/>
    <mergeCell ref="W65:Y65"/>
    <mergeCell ref="Z65:AB65"/>
    <mergeCell ref="Z66:AB66"/>
    <mergeCell ref="AC66:AE66"/>
    <mergeCell ref="W67:Y67"/>
    <mergeCell ref="Z67:AB67"/>
    <mergeCell ref="AC67:AE67"/>
    <mergeCell ref="AG56:AG61"/>
    <mergeCell ref="AH56:AH61"/>
    <mergeCell ref="W57:Y57"/>
    <mergeCell ref="Z57:AB57"/>
    <mergeCell ref="AC57:AE57"/>
    <mergeCell ref="W58:Y58"/>
    <mergeCell ref="Z58:AB58"/>
    <mergeCell ref="AC58:AE58"/>
    <mergeCell ref="W59:Y59"/>
    <mergeCell ref="Z59:AB59"/>
    <mergeCell ref="AC60:AE60"/>
    <mergeCell ref="W61:Y61"/>
    <mergeCell ref="Z61:AB61"/>
    <mergeCell ref="AC61:AE61"/>
    <mergeCell ref="A50:A55"/>
    <mergeCell ref="W50:Y50"/>
    <mergeCell ref="Z50:AB50"/>
    <mergeCell ref="AC50:AE50"/>
    <mergeCell ref="W55:Y55"/>
    <mergeCell ref="Z55:AB55"/>
    <mergeCell ref="AC55:AE55"/>
    <mergeCell ref="A56:A61"/>
    <mergeCell ref="W56:Y56"/>
    <mergeCell ref="Z56:AB56"/>
    <mergeCell ref="AC56:AE56"/>
    <mergeCell ref="AC59:AE59"/>
    <mergeCell ref="W60:Y60"/>
    <mergeCell ref="Z60:AB60"/>
    <mergeCell ref="AC46:AE46"/>
    <mergeCell ref="W47:Y47"/>
    <mergeCell ref="Z47:AB47"/>
    <mergeCell ref="Z52:AB52"/>
    <mergeCell ref="AC52:AE52"/>
    <mergeCell ref="W53:Y53"/>
    <mergeCell ref="Z53:AB53"/>
    <mergeCell ref="AC53:AE53"/>
    <mergeCell ref="W54:Y54"/>
    <mergeCell ref="Z54:AB54"/>
    <mergeCell ref="AC54:AE54"/>
    <mergeCell ref="A44:A49"/>
    <mergeCell ref="W44:Y44"/>
    <mergeCell ref="Z44:AB44"/>
    <mergeCell ref="AC44:AE44"/>
    <mergeCell ref="AC47:AE47"/>
    <mergeCell ref="AG50:AG55"/>
    <mergeCell ref="AH50:AH55"/>
    <mergeCell ref="W51:Y51"/>
    <mergeCell ref="Z51:AB51"/>
    <mergeCell ref="AC51:AE51"/>
    <mergeCell ref="W52:Y52"/>
    <mergeCell ref="W48:Y48"/>
    <mergeCell ref="Z48:AB48"/>
    <mergeCell ref="AC48:AE48"/>
    <mergeCell ref="W49:Y49"/>
    <mergeCell ref="Z49:AB49"/>
    <mergeCell ref="AC49:AE49"/>
    <mergeCell ref="AG44:AG49"/>
    <mergeCell ref="AH44:AH49"/>
    <mergeCell ref="W45:Y45"/>
    <mergeCell ref="Z45:AB45"/>
    <mergeCell ref="AC45:AE45"/>
    <mergeCell ref="W46:Y46"/>
    <mergeCell ref="Z46:AB46"/>
    <mergeCell ref="A38:A43"/>
    <mergeCell ref="W38:Y38"/>
    <mergeCell ref="Z38:AB38"/>
    <mergeCell ref="AC38:AE38"/>
    <mergeCell ref="AC41:AE41"/>
    <mergeCell ref="W42:Y42"/>
    <mergeCell ref="AG38:AG43"/>
    <mergeCell ref="AH38:AH43"/>
    <mergeCell ref="W39:Y39"/>
    <mergeCell ref="Z39:AB39"/>
    <mergeCell ref="AC39:AE39"/>
    <mergeCell ref="W40:Y40"/>
    <mergeCell ref="Z40:AB40"/>
    <mergeCell ref="AC40:AE40"/>
    <mergeCell ref="W41:Y41"/>
    <mergeCell ref="Z41:AB41"/>
    <mergeCell ref="Z42:AB42"/>
    <mergeCell ref="AC42:AE42"/>
    <mergeCell ref="W43:Y43"/>
    <mergeCell ref="Z43:AB43"/>
    <mergeCell ref="AC43:AE43"/>
    <mergeCell ref="A32:A37"/>
    <mergeCell ref="W32:Y32"/>
    <mergeCell ref="Z32:AB32"/>
    <mergeCell ref="AC32:AE32"/>
    <mergeCell ref="AC35:AE35"/>
    <mergeCell ref="W36:Y36"/>
    <mergeCell ref="Z36:AB36"/>
    <mergeCell ref="AG32:AG37"/>
    <mergeCell ref="AH32:AH37"/>
    <mergeCell ref="W33:Y33"/>
    <mergeCell ref="Z33:AB33"/>
    <mergeCell ref="AC33:AE33"/>
    <mergeCell ref="W34:Y34"/>
    <mergeCell ref="Z34:AB34"/>
    <mergeCell ref="AC34:AE34"/>
    <mergeCell ref="W35:Y35"/>
    <mergeCell ref="Z35:AB35"/>
    <mergeCell ref="AC36:AE36"/>
    <mergeCell ref="W37:Y37"/>
    <mergeCell ref="Z37:AB37"/>
    <mergeCell ref="AC37:AE37"/>
    <mergeCell ref="W30:Y30"/>
    <mergeCell ref="Z30:AB30"/>
    <mergeCell ref="AC30:AE30"/>
    <mergeCell ref="A26:A31"/>
    <mergeCell ref="W26:Y26"/>
    <mergeCell ref="Z26:AB26"/>
    <mergeCell ref="AC26:AE26"/>
    <mergeCell ref="W31:Y31"/>
    <mergeCell ref="Z31:AB31"/>
    <mergeCell ref="AC31:AE31"/>
    <mergeCell ref="AH21:AH25"/>
    <mergeCell ref="W22:Y22"/>
    <mergeCell ref="Z22:AB22"/>
    <mergeCell ref="AC22:AE22"/>
    <mergeCell ref="W23:Y23"/>
    <mergeCell ref="AG26:AG31"/>
    <mergeCell ref="AH26:AH31"/>
    <mergeCell ref="W27:Y27"/>
    <mergeCell ref="Z27:AB27"/>
    <mergeCell ref="AC27:AE27"/>
    <mergeCell ref="W28:Y28"/>
    <mergeCell ref="Z23:AB23"/>
    <mergeCell ref="AC23:AE23"/>
    <mergeCell ref="W24:Y24"/>
    <mergeCell ref="Z24:AB24"/>
    <mergeCell ref="AC24:AE24"/>
    <mergeCell ref="W25:Y25"/>
    <mergeCell ref="Z25:AB25"/>
    <mergeCell ref="AC25:AE25"/>
    <mergeCell ref="Z28:AB28"/>
    <mergeCell ref="AC28:AE28"/>
    <mergeCell ref="W29:Y29"/>
    <mergeCell ref="Z29:AB29"/>
    <mergeCell ref="AC29:AE29"/>
    <mergeCell ref="A16:A20"/>
    <mergeCell ref="W16:Y16"/>
    <mergeCell ref="Z16:AB16"/>
    <mergeCell ref="AC16:AE16"/>
    <mergeCell ref="A21:A25"/>
    <mergeCell ref="W21:Y21"/>
    <mergeCell ref="Z21:AB21"/>
    <mergeCell ref="AC21:AE21"/>
    <mergeCell ref="AG21:AG25"/>
    <mergeCell ref="AG16:AG20"/>
    <mergeCell ref="AH16:AH20"/>
    <mergeCell ref="W17:Y17"/>
    <mergeCell ref="Z17:AB17"/>
    <mergeCell ref="AC17:AE17"/>
    <mergeCell ref="W18:Y18"/>
    <mergeCell ref="AG12:AG15"/>
    <mergeCell ref="AH12:AH15"/>
    <mergeCell ref="W13:Y13"/>
    <mergeCell ref="Z13:AB13"/>
    <mergeCell ref="AC13:AE13"/>
    <mergeCell ref="W14:Y14"/>
    <mergeCell ref="Z14:AB14"/>
    <mergeCell ref="AC14:AE14"/>
    <mergeCell ref="W15:Y15"/>
    <mergeCell ref="Z15:AB15"/>
    <mergeCell ref="Z18:AB18"/>
    <mergeCell ref="AC18:AE18"/>
    <mergeCell ref="W19:Y19"/>
    <mergeCell ref="Z19:AB19"/>
    <mergeCell ref="AC19:AE19"/>
    <mergeCell ref="W20:Y20"/>
    <mergeCell ref="Z20:AB20"/>
    <mergeCell ref="AC20:AE20"/>
    <mergeCell ref="A12:A15"/>
    <mergeCell ref="W12:Y12"/>
    <mergeCell ref="Z12:AB12"/>
    <mergeCell ref="AC12:AE12"/>
    <mergeCell ref="AC15:AE15"/>
    <mergeCell ref="A8:A11"/>
    <mergeCell ref="W8:Y8"/>
    <mergeCell ref="Z8:AB8"/>
    <mergeCell ref="AC8:AE8"/>
    <mergeCell ref="AG8:AG11"/>
    <mergeCell ref="AH8:AH11"/>
    <mergeCell ref="W9:Y9"/>
    <mergeCell ref="Z9:AB9"/>
    <mergeCell ref="AC9:AE9"/>
    <mergeCell ref="W10:Y10"/>
    <mergeCell ref="Z5:AB5"/>
    <mergeCell ref="AC5:AE5"/>
    <mergeCell ref="W6:Y6"/>
    <mergeCell ref="Z6:AB6"/>
    <mergeCell ref="AC6:AE6"/>
    <mergeCell ref="W7:Y7"/>
    <mergeCell ref="Z7:AB7"/>
    <mergeCell ref="AC7:AE7"/>
    <mergeCell ref="Z10:AB10"/>
    <mergeCell ref="AC10:AE10"/>
    <mergeCell ref="W11:Y11"/>
    <mergeCell ref="Z11:AB11"/>
    <mergeCell ref="AC11:AE11"/>
    <mergeCell ref="A3:A7"/>
    <mergeCell ref="W3:Y3"/>
    <mergeCell ref="Z3:AB3"/>
    <mergeCell ref="AC3:AE3"/>
    <mergeCell ref="AG3:AG7"/>
    <mergeCell ref="AH3:AH7"/>
    <mergeCell ref="W4:Y4"/>
    <mergeCell ref="Z4:AB4"/>
    <mergeCell ref="AC4:AE4"/>
    <mergeCell ref="W5:Y5"/>
    <mergeCell ref="AC1:AE1"/>
    <mergeCell ref="AF1:AF2"/>
    <mergeCell ref="AG1:AG2"/>
    <mergeCell ref="AH1:AH2"/>
    <mergeCell ref="AI1:AI2"/>
    <mergeCell ref="AJ1:AJ2"/>
    <mergeCell ref="S1:S2"/>
    <mergeCell ref="T1:T2"/>
    <mergeCell ref="U1:U2"/>
    <mergeCell ref="V1:V2"/>
    <mergeCell ref="W1:Y1"/>
    <mergeCell ref="Z1:AB1"/>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 ref="M1:M2"/>
    <mergeCell ref="N1:N2"/>
    <mergeCell ref="O1:O2"/>
  </mergeCells>
  <conditionalFormatting sqref="G3:H73 AF4:AF73 AF3:AH3 AG12:AH12 AG16:AH16 AG21:AH21 AG8:AH8">
    <cfRule type="containsText" dxfId="135" priority="2" operator="containsText" text="NO">
      <formula>NOT(ISERROR(SEARCH("NO",G3)))</formula>
    </cfRule>
  </conditionalFormatting>
  <conditionalFormatting sqref="AG26:AH26 AG32:AH32 AG38:AH38 AG44:AH44 AG50:AH50 AG56:AH56 AG62:AH62 AG68:AH68">
    <cfRule type="containsText" dxfId="134" priority="1" operator="containsText" text="NO">
      <formula>NOT(ISERROR(SEARCH("NO",AG26)))</formula>
    </cfRule>
  </conditionalFormatting>
  <dataValidations count="1">
    <dataValidation type="list" allowBlank="1" showInputMessage="1" showErrorMessage="1" sqref="W3:Y7 G3:H73 Z3:AF73">
      <formula1>$AL$1:$AM$1</formula1>
    </dataValidation>
  </dataValidations>
  <pageMargins left="0.75" right="0.75" top="1" bottom="1" header="0.5" footer="0.5"/>
  <pageSetup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B198"/>
  <sheetViews>
    <sheetView zoomScale="40" zoomScaleNormal="40" zoomScalePageLayoutView="75" workbookViewId="0">
      <pane xSplit="1" ySplit="2" topLeftCell="F6" activePane="bottomRight" state="frozen"/>
      <selection activeCell="F8" sqref="F8"/>
      <selection pane="topRight" activeCell="F8" sqref="F8"/>
      <selection pane="bottomLeft" activeCell="F8" sqref="F8"/>
      <selection pane="bottomRight" activeCell="I1" sqref="I1:I2"/>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12.125" style="101" customWidth="1"/>
    <col min="9" max="9" width="14.125" style="101" customWidth="1"/>
    <col min="10" max="10" width="10" style="101" customWidth="1"/>
    <col min="11" max="11" width="13.625" style="102" customWidth="1"/>
    <col min="12" max="12" width="10.625"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customWidth="1"/>
    <col min="19" max="19" width="12.5" style="68" customWidth="1"/>
    <col min="20" max="20" width="9.625" style="68" customWidth="1"/>
    <col min="21" max="22" width="15.5" style="68" customWidth="1"/>
    <col min="23" max="23" width="18.375" style="81" customWidth="1"/>
    <col min="24" max="24" width="19.5" style="58" customWidth="1"/>
    <col min="25" max="25" width="59.125" style="92" customWidth="1"/>
    <col min="26" max="28" width="10.875" style="108"/>
    <col min="29" max="30" width="15.125" style="108" bestFit="1" customWidth="1"/>
    <col min="31" max="16384" width="10.875" style="108"/>
  </cols>
  <sheetData>
    <row r="1" spans="1:28" s="56" customFormat="1" ht="15" customHeight="1">
      <c r="A1" s="776" t="s">
        <v>6</v>
      </c>
      <c r="B1" s="776" t="s">
        <v>5</v>
      </c>
      <c r="C1" s="776" t="s">
        <v>174</v>
      </c>
      <c r="D1" s="810" t="s">
        <v>12</v>
      </c>
      <c r="E1" s="776" t="s">
        <v>13</v>
      </c>
      <c r="F1" s="776" t="s">
        <v>14</v>
      </c>
      <c r="G1" s="780" t="s">
        <v>186</v>
      </c>
      <c r="H1" s="780" t="s">
        <v>483</v>
      </c>
      <c r="I1" s="781" t="s">
        <v>187</v>
      </c>
      <c r="J1" s="781" t="s">
        <v>24</v>
      </c>
      <c r="K1" s="782" t="s">
        <v>63</v>
      </c>
      <c r="L1" s="784" t="s">
        <v>15</v>
      </c>
      <c r="M1" s="784" t="s">
        <v>16</v>
      </c>
      <c r="N1" s="812" t="s">
        <v>69</v>
      </c>
      <c r="O1" s="810" t="s">
        <v>68</v>
      </c>
      <c r="P1" s="776" t="s">
        <v>17</v>
      </c>
      <c r="Q1" s="776" t="s">
        <v>18</v>
      </c>
      <c r="R1" s="780" t="s">
        <v>19</v>
      </c>
      <c r="S1" s="780" t="s">
        <v>20</v>
      </c>
      <c r="T1" s="780" t="s">
        <v>21</v>
      </c>
      <c r="U1" s="810" t="s">
        <v>22</v>
      </c>
      <c r="V1" s="776" t="s">
        <v>23</v>
      </c>
      <c r="W1" s="810" t="s">
        <v>485</v>
      </c>
      <c r="X1" s="815" t="s">
        <v>486</v>
      </c>
      <c r="Y1" s="791" t="s">
        <v>3</v>
      </c>
      <c r="AA1" s="57" t="s">
        <v>10</v>
      </c>
      <c r="AB1" s="57" t="s">
        <v>11</v>
      </c>
    </row>
    <row r="2" spans="1:28" s="56" customFormat="1" ht="87.75" customHeight="1" thickBot="1">
      <c r="A2" s="777"/>
      <c r="B2" s="777"/>
      <c r="C2" s="777"/>
      <c r="D2" s="811"/>
      <c r="E2" s="777"/>
      <c r="F2" s="777"/>
      <c r="G2" s="781"/>
      <c r="H2" s="781"/>
      <c r="I2" s="814"/>
      <c r="J2" s="814"/>
      <c r="K2" s="783"/>
      <c r="L2" s="785"/>
      <c r="M2" s="785"/>
      <c r="N2" s="813"/>
      <c r="O2" s="811"/>
      <c r="P2" s="777"/>
      <c r="Q2" s="777"/>
      <c r="R2" s="781"/>
      <c r="S2" s="781"/>
      <c r="T2" s="781"/>
      <c r="U2" s="811"/>
      <c r="V2" s="777"/>
      <c r="W2" s="811"/>
      <c r="X2" s="816"/>
      <c r="Y2" s="792"/>
    </row>
    <row r="3" spans="1:28" s="72" customFormat="1" ht="87.75" customHeight="1">
      <c r="A3" s="795" t="s">
        <v>192</v>
      </c>
      <c r="B3" s="123" t="s">
        <v>97</v>
      </c>
      <c r="C3" s="124">
        <v>6</v>
      </c>
      <c r="D3" s="125" t="str">
        <f>+IFERROR(INDEX([1]CONSOLIDADO!$D$4:$D$91,MATCH('EXP ESPEC. 1-5 '!B3,[1]CONSOLIDADO!$C$4:$C$91,0)),"")</f>
        <v xml:space="preserve">WSP SERVICIOS S.A.S  </v>
      </c>
      <c r="E3" s="126" t="s">
        <v>688</v>
      </c>
      <c r="F3" s="61" t="s">
        <v>689</v>
      </c>
      <c r="G3" s="279" t="s">
        <v>10</v>
      </c>
      <c r="H3" s="279" t="s">
        <v>10</v>
      </c>
      <c r="I3" s="279" t="s">
        <v>10</v>
      </c>
      <c r="J3" s="279" t="s">
        <v>11</v>
      </c>
      <c r="K3" s="128">
        <v>1</v>
      </c>
      <c r="L3" s="129">
        <v>38279</v>
      </c>
      <c r="M3" s="129">
        <v>39813</v>
      </c>
      <c r="N3" s="130">
        <f>IF(M3="","",YEAR(M3))</f>
        <v>2008</v>
      </c>
      <c r="O3" s="131">
        <f>+IFERROR(INDEX([1]PARÁMETROS!$B$11:$B$37,MATCH(N3,[1]PARÁMETROS!$A$11:$A$37,0)),"")</f>
        <v>461500</v>
      </c>
      <c r="P3" s="132">
        <v>3975262277</v>
      </c>
      <c r="Q3" s="133" t="s">
        <v>25</v>
      </c>
      <c r="R3" s="123" t="s">
        <v>61</v>
      </c>
      <c r="S3" s="134" t="s">
        <v>61</v>
      </c>
      <c r="T3" s="135">
        <v>1</v>
      </c>
      <c r="U3" s="131">
        <f>IF(T3&lt;&gt;"",P3*T3,"")</f>
        <v>3975262277</v>
      </c>
      <c r="V3" s="136">
        <f>+IFERROR(U3/O3,"")</f>
        <v>8613.7860823401952</v>
      </c>
      <c r="W3" s="136">
        <f>IFERROR(V3*K3,"")</f>
        <v>8613.7860823401952</v>
      </c>
      <c r="X3" s="168" t="str">
        <f>+IF(W3="","",IF(W3&gt;=[1]PARÁMETROS!$J$5,"CUMPLE","NO CUMPLE"))</f>
        <v>CUMPLE</v>
      </c>
      <c r="Y3" s="138"/>
      <c r="Z3" s="109"/>
    </row>
    <row r="4" spans="1:28" s="72" customFormat="1" ht="87.75" customHeight="1">
      <c r="A4" s="796"/>
      <c r="B4" s="58" t="s">
        <v>97</v>
      </c>
      <c r="C4" s="59">
        <v>10</v>
      </c>
      <c r="D4" s="60" t="str">
        <f>+IFERROR(INDEX([1]CONSOLIDADO!$D$4:$D$91,MATCH('EXP ESPEC. 1-5 '!B4,[1]CONSOLIDADO!$C$4:$C$91,0)),"")</f>
        <v xml:space="preserve">WSP SERVICIOS S.A.S  </v>
      </c>
      <c r="E4" s="61" t="s">
        <v>723</v>
      </c>
      <c r="F4" s="62" t="s">
        <v>691</v>
      </c>
      <c r="G4" s="277" t="s">
        <v>10</v>
      </c>
      <c r="H4" s="277" t="s">
        <v>11</v>
      </c>
      <c r="I4" s="277" t="s">
        <v>10</v>
      </c>
      <c r="J4" s="277" t="s">
        <v>11</v>
      </c>
      <c r="K4" s="73">
        <v>1</v>
      </c>
      <c r="L4" s="64">
        <v>40498</v>
      </c>
      <c r="M4" s="64">
        <v>40973</v>
      </c>
      <c r="N4" s="65">
        <f t="shared" ref="N4:N54" si="0">IF(M4="","",YEAR(M4))</f>
        <v>2012</v>
      </c>
      <c r="O4" s="66">
        <f>+IFERROR(INDEX([1]PARÁMETROS!$B$11:$B$37,MATCH(N4,[1]PARÁMETROS!$A$11:$A$37,0)),"")</f>
        <v>566700</v>
      </c>
      <c r="P4" s="74">
        <v>2159474666</v>
      </c>
      <c r="Q4" s="66" t="s">
        <v>25</v>
      </c>
      <c r="R4" s="58" t="s">
        <v>61</v>
      </c>
      <c r="S4" s="69" t="s">
        <v>61</v>
      </c>
      <c r="T4" s="70">
        <v>1</v>
      </c>
      <c r="U4" s="66">
        <f t="shared" ref="U4:U54" si="1">IF(T4&lt;&gt;"",P4*T4,"")</f>
        <v>2159474666</v>
      </c>
      <c r="V4" s="55">
        <f t="shared" ref="V4:V54" si="2">+IFERROR(U4/O4,"")</f>
        <v>3810.6134921475209</v>
      </c>
      <c r="W4" s="55">
        <f t="shared" ref="W4:W54" si="3">IFERROR(V4*K4,"")</f>
        <v>3810.6134921475209</v>
      </c>
      <c r="X4" s="277" t="str">
        <f>+IF(W4="","",IF(W4&gt;=[1]PARÁMETROS!$J$5,"CUMPLE","NO CUMPLE"))</f>
        <v>CUMPLE</v>
      </c>
      <c r="Y4" s="139"/>
      <c r="Z4" s="109"/>
    </row>
    <row r="5" spans="1:28" s="72" customFormat="1" ht="87.75" customHeight="1">
      <c r="A5" s="796"/>
      <c r="B5" s="58" t="s">
        <v>97</v>
      </c>
      <c r="C5" s="59">
        <v>27</v>
      </c>
      <c r="D5" s="60" t="str">
        <f>+IFERROR(INDEX([1]CONSOLIDADO!$D$4:$D$91,MATCH('EXP ESPEC. 1-5 '!B5,[1]CONSOLIDADO!$C$4:$C$91,0)),"")</f>
        <v xml:space="preserve">WSP SERVICIOS S.A.S  </v>
      </c>
      <c r="E5" s="61" t="s">
        <v>692</v>
      </c>
      <c r="F5" s="62" t="s">
        <v>694</v>
      </c>
      <c r="G5" s="277" t="s">
        <v>10</v>
      </c>
      <c r="H5" s="277" t="s">
        <v>11</v>
      </c>
      <c r="I5" s="277" t="s">
        <v>10</v>
      </c>
      <c r="J5" s="277" t="s">
        <v>11</v>
      </c>
      <c r="K5" s="63">
        <v>0.5</v>
      </c>
      <c r="L5" s="64">
        <v>40137</v>
      </c>
      <c r="M5" s="64">
        <v>41232</v>
      </c>
      <c r="N5" s="65">
        <f t="shared" si="0"/>
        <v>2012</v>
      </c>
      <c r="O5" s="66">
        <f>+IFERROR(INDEX([1]PARÁMETROS!$B$11:$B$37,MATCH(N5,[1]PARÁMETROS!$A$11:$A$37,0)),"")</f>
        <v>566700</v>
      </c>
      <c r="P5" s="67">
        <v>4761160509</v>
      </c>
      <c r="Q5" s="68" t="s">
        <v>25</v>
      </c>
      <c r="R5" s="58" t="s">
        <v>61</v>
      </c>
      <c r="S5" s="69" t="s">
        <v>61</v>
      </c>
      <c r="T5" s="70">
        <v>1</v>
      </c>
      <c r="U5" s="66">
        <f t="shared" si="1"/>
        <v>4761160509</v>
      </c>
      <c r="V5" s="55">
        <f t="shared" si="2"/>
        <v>8401.5537480148232</v>
      </c>
      <c r="W5" s="55">
        <f t="shared" si="3"/>
        <v>4200.7768740074116</v>
      </c>
      <c r="X5" s="277" t="str">
        <f>+IF(W5="","",IF(W5&gt;=[1]PARÁMETROS!$J$5,"CUMPLE","NO CUMPLE"))</f>
        <v>CUMPLE</v>
      </c>
      <c r="Y5" s="140"/>
      <c r="Z5" s="109"/>
    </row>
    <row r="6" spans="1:28" s="72" customFormat="1" ht="87.75" customHeight="1" thickBot="1">
      <c r="A6" s="806"/>
      <c r="B6" s="141" t="s">
        <v>98</v>
      </c>
      <c r="C6" s="169">
        <v>59</v>
      </c>
      <c r="D6" s="555" t="str">
        <f>+IFERROR(INDEX([1]CONSOLIDADO!$D$4:$D$91,MATCH('EXP ESPEC. 1-5 '!B6,[1]CONSOLIDADO!$C$4:$C$91,0)),"")</f>
        <v xml:space="preserve">SMA S.A.  </v>
      </c>
      <c r="E6" s="144" t="s">
        <v>724</v>
      </c>
      <c r="F6" s="589" t="s">
        <v>725</v>
      </c>
      <c r="G6" s="278" t="s">
        <v>10</v>
      </c>
      <c r="H6" s="278" t="s">
        <v>11</v>
      </c>
      <c r="I6" s="278" t="s">
        <v>10</v>
      </c>
      <c r="J6" s="278" t="s">
        <v>11</v>
      </c>
      <c r="K6" s="587">
        <v>0.45</v>
      </c>
      <c r="L6" s="381">
        <v>39125</v>
      </c>
      <c r="M6" s="381">
        <v>42012</v>
      </c>
      <c r="N6" s="382">
        <f t="shared" si="0"/>
        <v>2015</v>
      </c>
      <c r="O6" s="383">
        <f>+IFERROR(INDEX([1]PARÁMETROS!$B$11:$B$37,MATCH(N6,[1]PARÁMETROS!$A$11:$A$37,0)),"")</f>
        <v>644350</v>
      </c>
      <c r="P6" s="588">
        <v>15319357761</v>
      </c>
      <c r="Q6" s="385" t="s">
        <v>25</v>
      </c>
      <c r="R6" s="386" t="s">
        <v>61</v>
      </c>
      <c r="S6" s="387" t="s">
        <v>61</v>
      </c>
      <c r="T6" s="388">
        <v>1</v>
      </c>
      <c r="U6" s="149">
        <f t="shared" si="1"/>
        <v>15319357761</v>
      </c>
      <c r="V6" s="154">
        <f t="shared" si="2"/>
        <v>23774.901468146192</v>
      </c>
      <c r="W6" s="154">
        <f t="shared" si="3"/>
        <v>10698.705660665786</v>
      </c>
      <c r="X6" s="277" t="str">
        <f>+IF(W6="","",IF(W6&gt;=[1]PARÁMETROS!$J$5,"CUMPLE","NO CUMPLE"))</f>
        <v>CUMPLE</v>
      </c>
      <c r="Y6" s="170"/>
      <c r="Z6" s="109"/>
    </row>
    <row r="7" spans="1:28" s="72" customFormat="1" ht="140.25">
      <c r="A7" s="808" t="s">
        <v>196</v>
      </c>
      <c r="B7" s="110" t="s">
        <v>99</v>
      </c>
      <c r="C7" s="111">
        <v>6</v>
      </c>
      <c r="D7" s="112" t="str">
        <f>+IFERROR(INDEX([1]CONSOLIDADO!$D$4:$D$91,MATCH('EXP ESPEC. 1-5 '!B7,[1]CONSOLIDADO!$C$4:$C$91,0)),"")</f>
        <v xml:space="preserve">GRUSAMAR INGENIERIA Y CONSULTING SL SUCURSAL </v>
      </c>
      <c r="E7" s="511" t="s">
        <v>386</v>
      </c>
      <c r="F7" s="512" t="s">
        <v>695</v>
      </c>
      <c r="G7" s="280" t="s">
        <v>10</v>
      </c>
      <c r="H7" s="280" t="s">
        <v>10</v>
      </c>
      <c r="I7" s="280" t="s">
        <v>10</v>
      </c>
      <c r="J7" s="280" t="s">
        <v>11</v>
      </c>
      <c r="K7" s="115">
        <v>0.35</v>
      </c>
      <c r="L7" s="116">
        <v>41075</v>
      </c>
      <c r="M7" s="116">
        <v>42368</v>
      </c>
      <c r="N7" s="160">
        <f t="shared" si="0"/>
        <v>2015</v>
      </c>
      <c r="O7" s="117">
        <f>+IFERROR(INDEX([1]PARÁMETROS!$B$11:$B$37,MATCH(N7,[1]PARÁMETROS!$A$11:$A$37,0)),"")</f>
        <v>644350</v>
      </c>
      <c r="P7" s="118">
        <v>7418064916</v>
      </c>
      <c r="Q7" s="119" t="s">
        <v>25</v>
      </c>
      <c r="R7" s="510" t="s">
        <v>61</v>
      </c>
      <c r="S7" s="514" t="s">
        <v>61</v>
      </c>
      <c r="T7" s="515">
        <v>1</v>
      </c>
      <c r="U7" s="117">
        <f t="shared" si="1"/>
        <v>7418064916</v>
      </c>
      <c r="V7" s="122">
        <f t="shared" si="2"/>
        <v>11512.477560332118</v>
      </c>
      <c r="W7" s="122">
        <f t="shared" si="3"/>
        <v>4029.3671461162407</v>
      </c>
      <c r="X7" s="277" t="str">
        <f>+IF(W7="","",IF(W7&gt;=[1]PARÁMETROS!$J$5,"CUMPLE","NO CUMPLE"))</f>
        <v>CUMPLE</v>
      </c>
      <c r="Y7" s="167"/>
      <c r="Z7" s="109"/>
    </row>
    <row r="8" spans="1:28" s="72" customFormat="1" ht="87.75" customHeight="1">
      <c r="A8" s="796"/>
      <c r="B8" s="58" t="s">
        <v>99</v>
      </c>
      <c r="C8" s="75">
        <v>55</v>
      </c>
      <c r="D8" s="60" t="str">
        <f>+IFERROR(INDEX([1]CONSOLIDADO!$D$4:$D$91,MATCH('EXP ESPEC. 1-5 '!B8,[1]CONSOLIDADO!$C$4:$C$91,0)),"")</f>
        <v xml:space="preserve">GRUSAMAR INGENIERIA Y CONSULTING SL SUCURSAL </v>
      </c>
      <c r="E8" s="456" t="s">
        <v>505</v>
      </c>
      <c r="F8" s="521" t="s">
        <v>696</v>
      </c>
      <c r="G8" s="277" t="s">
        <v>10</v>
      </c>
      <c r="H8" s="277" t="s">
        <v>11</v>
      </c>
      <c r="I8" s="277" t="s">
        <v>10</v>
      </c>
      <c r="J8" s="277" t="s">
        <v>11</v>
      </c>
      <c r="K8" s="63">
        <v>1</v>
      </c>
      <c r="L8" s="524">
        <v>40391</v>
      </c>
      <c r="M8" s="524">
        <v>40209</v>
      </c>
      <c r="N8" s="65">
        <f t="shared" si="0"/>
        <v>2010</v>
      </c>
      <c r="O8" s="66">
        <f>+IFERROR(INDEX([1]PARÁMETROS!$B$11:$B$37,MATCH(N8,[1]PARÁMETROS!$A$11:$A$37,0)),"")</f>
        <v>515000</v>
      </c>
      <c r="P8" s="527">
        <v>1403754.99</v>
      </c>
      <c r="Q8" s="528" t="s">
        <v>419</v>
      </c>
      <c r="R8" s="520">
        <v>1.38575</v>
      </c>
      <c r="S8" s="514">
        <v>1945253.4773925</v>
      </c>
      <c r="T8" s="529">
        <v>1982.29</v>
      </c>
      <c r="U8" s="66">
        <f>IF(T8&lt;&gt;"",S8*T8,"")</f>
        <v>3856056515.7003789</v>
      </c>
      <c r="V8" s="55">
        <f t="shared" si="2"/>
        <v>7487.4883800007356</v>
      </c>
      <c r="W8" s="55">
        <f t="shared" si="3"/>
        <v>7487.4883800007356</v>
      </c>
      <c r="X8" s="277" t="str">
        <f>+IF(W8="","",IF(W8&gt;=[1]PARÁMETROS!$J$5,"CUMPLE","NO CUMPLE"))</f>
        <v>CUMPLE</v>
      </c>
      <c r="Y8" s="139"/>
      <c r="Z8" s="109"/>
    </row>
    <row r="9" spans="1:28" s="72" customFormat="1" ht="87.75" customHeight="1">
      <c r="A9" s="796"/>
      <c r="B9" s="58" t="s">
        <v>99</v>
      </c>
      <c r="C9" s="75">
        <v>59</v>
      </c>
      <c r="D9" s="60" t="str">
        <f>+IFERROR(INDEX([1]CONSOLIDADO!$D$4:$D$91,MATCH('EXP ESPEC. 1-5 '!B9,[1]CONSOLIDADO!$C$4:$C$91,0)),"")</f>
        <v xml:space="preserve">GRUSAMAR INGENIERIA Y CONSULTING SL SUCURSAL </v>
      </c>
      <c r="E9" s="456" t="s">
        <v>505</v>
      </c>
      <c r="F9" s="521" t="s">
        <v>697</v>
      </c>
      <c r="G9" s="277" t="s">
        <v>10</v>
      </c>
      <c r="H9" s="277" t="s">
        <v>11</v>
      </c>
      <c r="I9" s="277" t="s">
        <v>10</v>
      </c>
      <c r="J9" s="277" t="s">
        <v>11</v>
      </c>
      <c r="K9" s="523">
        <v>1</v>
      </c>
      <c r="L9" s="524">
        <v>39385</v>
      </c>
      <c r="M9" s="524">
        <v>41182</v>
      </c>
      <c r="N9" s="65">
        <f t="shared" si="0"/>
        <v>2012</v>
      </c>
      <c r="O9" s="66">
        <f>+IFERROR(INDEX([1]PARÁMETROS!$B$11:$B$37,MATCH(N9,[1]PARÁMETROS!$A$11:$A$37,0)),"")</f>
        <v>566700</v>
      </c>
      <c r="P9" s="533">
        <v>1943712.48</v>
      </c>
      <c r="Q9" s="528" t="s">
        <v>419</v>
      </c>
      <c r="R9" s="520">
        <v>1.2855399999999999</v>
      </c>
      <c r="S9" s="514">
        <f>+P9*R9</f>
        <v>2498720.1415391997</v>
      </c>
      <c r="T9" s="529">
        <v>1800.52</v>
      </c>
      <c r="U9" s="66">
        <f>IF(T9&lt;&gt;"",S9*T9,"")</f>
        <v>4498995589.2441597</v>
      </c>
      <c r="V9" s="55">
        <f t="shared" si="2"/>
        <v>7938.9369847258858</v>
      </c>
      <c r="W9" s="55">
        <f t="shared" si="3"/>
        <v>7938.9369847258858</v>
      </c>
      <c r="X9" s="277" t="str">
        <f>+IF(W9="","",IF(W9&gt;=[1]PARÁMETROS!$J$5,"CUMPLE","NO CUMPLE"))</f>
        <v>CUMPLE</v>
      </c>
      <c r="Y9" s="139"/>
      <c r="Z9" s="109"/>
    </row>
    <row r="10" spans="1:28" s="72" customFormat="1" ht="87.75" customHeight="1" thickBot="1">
      <c r="A10" s="796"/>
      <c r="B10" s="58" t="s">
        <v>104</v>
      </c>
      <c r="C10" s="75">
        <v>65</v>
      </c>
      <c r="D10" s="60" t="str">
        <f>+IFERROR(INDEX([1]CONSOLIDADO!$D$4:$D$91,MATCH('EXP ESPEC. 1-5 '!B10,[1]CONSOLIDADO!$C$4:$C$91,0)),"")</f>
        <v xml:space="preserve">JUAN AMADO LIZARAZO </v>
      </c>
      <c r="E10" s="71" t="s">
        <v>371</v>
      </c>
      <c r="F10" s="62" t="s">
        <v>698</v>
      </c>
      <c r="G10" s="277" t="s">
        <v>10</v>
      </c>
      <c r="H10" s="277" t="s">
        <v>11</v>
      </c>
      <c r="I10" s="277" t="s">
        <v>10</v>
      </c>
      <c r="J10" s="277" t="s">
        <v>11</v>
      </c>
      <c r="K10" s="249">
        <v>0.75</v>
      </c>
      <c r="L10" s="250">
        <v>38327</v>
      </c>
      <c r="M10" s="250">
        <v>40668</v>
      </c>
      <c r="N10" s="65">
        <f t="shared" si="0"/>
        <v>2011</v>
      </c>
      <c r="O10" s="66">
        <f>+IFERROR(INDEX([1]PARÁMETROS!$B$11:$B$37,MATCH(N10,[1]PARÁMETROS!$A$11:$A$37,0)),"")</f>
        <v>535600</v>
      </c>
      <c r="P10" s="253">
        <v>6564670351</v>
      </c>
      <c r="Q10" s="254" t="s">
        <v>25</v>
      </c>
      <c r="R10" s="243" t="s">
        <v>61</v>
      </c>
      <c r="S10" s="255" t="s">
        <v>61</v>
      </c>
      <c r="T10" s="256">
        <v>1</v>
      </c>
      <c r="U10" s="66">
        <f t="shared" si="1"/>
        <v>6564670351</v>
      </c>
      <c r="V10" s="55">
        <f t="shared" si="2"/>
        <v>12256.66607729649</v>
      </c>
      <c r="W10" s="55">
        <f t="shared" si="3"/>
        <v>9192.4995579723673</v>
      </c>
      <c r="X10" s="277" t="str">
        <f>+IF(W10="","",IF(W10&gt;=[1]PARÁMETROS!$J$5,"CUMPLE","NO CUMPLE"))</f>
        <v>CUMPLE</v>
      </c>
      <c r="Y10" s="364"/>
      <c r="Z10" s="109"/>
    </row>
    <row r="11" spans="1:28" s="72" customFormat="1" ht="87.75" customHeight="1">
      <c r="A11" s="795" t="s">
        <v>200</v>
      </c>
      <c r="B11" s="123" t="s">
        <v>202</v>
      </c>
      <c r="C11" s="157">
        <v>286</v>
      </c>
      <c r="D11" s="125" t="str">
        <f>+IFERROR(INDEX([1]CONSOLIDADO!$D$4:$D$91,MATCH('EXP ESPEC. 1-5 '!B11,[1]CONSOLIDADO!$C$4:$C$91,0)),"")</f>
        <v>GESTIÓN INTEGRAL DEL SUELO SUCURSAL COLOMBIA</v>
      </c>
      <c r="E11" s="137" t="s">
        <v>726</v>
      </c>
      <c r="F11" s="127" t="s">
        <v>700</v>
      </c>
      <c r="G11" s="279" t="s">
        <v>10</v>
      </c>
      <c r="H11" s="279" t="s">
        <v>11</v>
      </c>
      <c r="I11" s="279" t="s">
        <v>10</v>
      </c>
      <c r="J11" s="279" t="s">
        <v>11</v>
      </c>
      <c r="K11" s="128">
        <v>1</v>
      </c>
      <c r="L11" s="129">
        <v>37573</v>
      </c>
      <c r="M11" s="129">
        <v>39407</v>
      </c>
      <c r="N11" s="130">
        <f t="shared" si="0"/>
        <v>2007</v>
      </c>
      <c r="O11" s="131">
        <f>+IFERROR(INDEX([1]PARÁMETROS!$B$11:$B$37,MATCH(N11,[1]PARÁMETROS!$A$11:$A$37,0)),"")</f>
        <v>433700</v>
      </c>
      <c r="P11" s="536">
        <v>938246.05</v>
      </c>
      <c r="Q11" s="537" t="s">
        <v>419</v>
      </c>
      <c r="R11" s="538">
        <v>1.4722900000000001</v>
      </c>
      <c r="S11" s="539">
        <f>+P11*R11</f>
        <v>1381370.2769545002</v>
      </c>
      <c r="T11" s="539">
        <v>2056.2800000000002</v>
      </c>
      <c r="U11" s="131">
        <f t="shared" si="1"/>
        <v>1929296587.6940002</v>
      </c>
      <c r="V11" s="136">
        <f t="shared" si="2"/>
        <v>4448.4588141434178</v>
      </c>
      <c r="W11" s="136">
        <f t="shared" si="3"/>
        <v>4448.4588141434178</v>
      </c>
      <c r="X11" s="277" t="str">
        <f>+IF(W11="","",IF(W11&gt;=[1]PARÁMETROS!$J$5,"CUMPLE","NO CUMPLE"))</f>
        <v>CUMPLE</v>
      </c>
      <c r="Y11" s="138"/>
      <c r="Z11" s="109"/>
    </row>
    <row r="12" spans="1:28" s="72" customFormat="1" ht="87.75" customHeight="1">
      <c r="A12" s="796"/>
      <c r="B12" s="58" t="s">
        <v>202</v>
      </c>
      <c r="C12" s="75">
        <v>293</v>
      </c>
      <c r="D12" s="60" t="str">
        <f>+IFERROR(INDEX([1]CONSOLIDADO!$D$4:$D$91,MATCH('EXP ESPEC. 1-5 '!B12,[1]CONSOLIDADO!$C$4:$C$91,0)),"")</f>
        <v>GESTIÓN INTEGRAL DEL SUELO SUCURSAL COLOMBIA</v>
      </c>
      <c r="E12" s="71" t="s">
        <v>726</v>
      </c>
      <c r="F12" s="62" t="s">
        <v>701</v>
      </c>
      <c r="G12" s="277" t="s">
        <v>10</v>
      </c>
      <c r="H12" s="277" t="s">
        <v>11</v>
      </c>
      <c r="I12" s="277" t="s">
        <v>10</v>
      </c>
      <c r="J12" s="277" t="s">
        <v>11</v>
      </c>
      <c r="K12" s="73">
        <v>1</v>
      </c>
      <c r="L12" s="64">
        <v>38260</v>
      </c>
      <c r="M12" s="64">
        <v>39043</v>
      </c>
      <c r="N12" s="65">
        <f t="shared" si="0"/>
        <v>2006</v>
      </c>
      <c r="O12" s="66">
        <f>+IFERROR(INDEX([1]PARÁMETROS!$B$11:$B$37,MATCH(N12,[1]PARÁMETROS!$A$11:$A$37,0)),"")</f>
        <v>408000</v>
      </c>
      <c r="P12" s="74">
        <v>1703434.48</v>
      </c>
      <c r="Q12" s="66" t="s">
        <v>419</v>
      </c>
      <c r="R12" s="58">
        <v>1.28182</v>
      </c>
      <c r="S12" s="514">
        <f>+P12*R12</f>
        <v>2183496.3851536</v>
      </c>
      <c r="T12" s="70">
        <v>2282.67</v>
      </c>
      <c r="U12" s="66">
        <f t="shared" si="1"/>
        <v>3888378784.4616003</v>
      </c>
      <c r="V12" s="55">
        <f t="shared" si="2"/>
        <v>9530.3401579941183</v>
      </c>
      <c r="W12" s="55">
        <f t="shared" si="3"/>
        <v>9530.3401579941183</v>
      </c>
      <c r="X12" s="277" t="str">
        <f>+IF(W12="","",IF(W12&gt;=[1]PARÁMETROS!$J$5,"CUMPLE","NO CUMPLE"))</f>
        <v>CUMPLE</v>
      </c>
      <c r="Y12" s="139"/>
      <c r="Z12" s="109"/>
    </row>
    <row r="13" spans="1:28" s="72" customFormat="1" ht="42.75">
      <c r="A13" s="796"/>
      <c r="B13" s="58" t="s">
        <v>105</v>
      </c>
      <c r="C13" s="75">
        <v>296</v>
      </c>
      <c r="D13" s="60" t="str">
        <f>+IFERROR(INDEX([1]CONSOLIDADO!$D$4:$D$91,MATCH('EXP ESPEC. 1-5 '!B13,[1]CONSOLIDADO!$C$4:$C$91,0)),"")</f>
        <v>OMC</v>
      </c>
      <c r="E13" s="71" t="s">
        <v>505</v>
      </c>
      <c r="F13" s="62" t="s">
        <v>727</v>
      </c>
      <c r="G13" s="277" t="s">
        <v>10</v>
      </c>
      <c r="H13" s="277" t="s">
        <v>11</v>
      </c>
      <c r="I13" s="277" t="s">
        <v>10</v>
      </c>
      <c r="J13" s="277" t="s">
        <v>11</v>
      </c>
      <c r="K13" s="63">
        <v>1</v>
      </c>
      <c r="L13" s="64">
        <v>38056</v>
      </c>
      <c r="M13" s="64">
        <v>39436</v>
      </c>
      <c r="N13" s="65">
        <f t="shared" si="0"/>
        <v>2007</v>
      </c>
      <c r="O13" s="66">
        <f>+IFERROR(INDEX([1]PARÁMETROS!$B$11:$B$37,MATCH(N13,[1]PARÁMETROS!$A$11:$A$37,0)),"")</f>
        <v>433700</v>
      </c>
      <c r="P13" s="67">
        <v>947072.72</v>
      </c>
      <c r="Q13" s="68" t="s">
        <v>419</v>
      </c>
      <c r="R13" s="58">
        <v>1.4396800000000001</v>
      </c>
      <c r="S13" s="69">
        <f>+P13*R13</f>
        <v>1363481.6535296</v>
      </c>
      <c r="T13" s="70">
        <v>2005.92</v>
      </c>
      <c r="U13" s="66">
        <f t="shared" si="1"/>
        <v>1899752110.5023999</v>
      </c>
      <c r="V13" s="55">
        <f t="shared" si="2"/>
        <v>4380.3368930191373</v>
      </c>
      <c r="W13" s="55">
        <f t="shared" si="3"/>
        <v>4380.3368930191373</v>
      </c>
      <c r="X13" s="277" t="str">
        <f>+IF(W13="","",IF(W13&gt;=[1]PARÁMETROS!$J$5,"CUMPLE","NO CUMPLE"))</f>
        <v>CUMPLE</v>
      </c>
      <c r="Y13" s="139"/>
      <c r="Z13" s="109"/>
    </row>
    <row r="14" spans="1:28" s="72" customFormat="1" ht="87.75" customHeight="1" thickBot="1">
      <c r="A14" s="797"/>
      <c r="B14" s="243" t="s">
        <v>100</v>
      </c>
      <c r="C14" s="244">
        <v>300</v>
      </c>
      <c r="D14" s="245" t="str">
        <f>+IFERROR(INDEX([1]CONSOLIDADO!$D$4:$D$91,MATCH('EXP ESPEC. 1-5 '!B14,[1]CONSOLIDADO!$C$4:$C$91,0)),"")</f>
        <v>C&amp;M CONSULTORES S.A.</v>
      </c>
      <c r="E14" s="264" t="s">
        <v>386</v>
      </c>
      <c r="F14" s="590" t="s">
        <v>703</v>
      </c>
      <c r="G14" s="293" t="s">
        <v>11</v>
      </c>
      <c r="H14" s="293" t="s">
        <v>10</v>
      </c>
      <c r="I14" s="293" t="s">
        <v>10</v>
      </c>
      <c r="J14" s="293" t="s">
        <v>11</v>
      </c>
      <c r="K14" s="591">
        <v>0.51</v>
      </c>
      <c r="L14" s="250">
        <v>41878</v>
      </c>
      <c r="M14" s="250">
        <v>42312</v>
      </c>
      <c r="N14" s="251">
        <f t="shared" si="0"/>
        <v>2015</v>
      </c>
      <c r="O14" s="252">
        <f>+IFERROR(INDEX([1]PARÁMETROS!$B$11:$B$37,MATCH(N14,[1]PARÁMETROS!$A$11:$A$37,0)),"")</f>
        <v>644350</v>
      </c>
      <c r="P14" s="592">
        <v>4983941778</v>
      </c>
      <c r="Q14" s="593" t="s">
        <v>25</v>
      </c>
      <c r="R14" s="594" t="s">
        <v>61</v>
      </c>
      <c r="S14" s="595" t="s">
        <v>61</v>
      </c>
      <c r="T14" s="596">
        <v>1</v>
      </c>
      <c r="U14" s="252">
        <f t="shared" si="1"/>
        <v>4983941778</v>
      </c>
      <c r="V14" s="257">
        <f t="shared" si="2"/>
        <v>7734.8363125630476</v>
      </c>
      <c r="W14" s="257">
        <f t="shared" si="3"/>
        <v>3944.7665194071542</v>
      </c>
      <c r="X14" s="293" t="str">
        <f>+IF(W14="","",IF(W14&gt;=[1]PARÁMETROS!$J$5,"CUMPLE","NO CUMPLE"))</f>
        <v>CUMPLE</v>
      </c>
      <c r="Y14" s="259"/>
      <c r="Z14" s="109"/>
    </row>
    <row r="15" spans="1:28" s="72" customFormat="1" ht="63">
      <c r="A15" s="795" t="s">
        <v>204</v>
      </c>
      <c r="B15" s="123" t="s">
        <v>101</v>
      </c>
      <c r="C15" s="157">
        <v>6</v>
      </c>
      <c r="D15" s="125" t="str">
        <f>+IFERROR(INDEX([1]CONSOLIDADO!$D$4:$D$91,MATCH('EXP ESPEC. 1-5 '!B15,[1]CONSOLIDADO!$C$4:$C$91,0)),"")</f>
        <v xml:space="preserve">GEOTECNIA Y CIMIENTOS INGEOCIM S.A.S. </v>
      </c>
      <c r="E15" s="583" t="s">
        <v>704</v>
      </c>
      <c r="F15" s="584" t="s">
        <v>705</v>
      </c>
      <c r="G15" s="291" t="s">
        <v>10</v>
      </c>
      <c r="H15" s="291" t="s">
        <v>11</v>
      </c>
      <c r="I15" s="291" t="s">
        <v>10</v>
      </c>
      <c r="J15" s="291" t="s">
        <v>11</v>
      </c>
      <c r="K15" s="128">
        <v>0.9</v>
      </c>
      <c r="L15" s="129">
        <v>35730</v>
      </c>
      <c r="M15" s="129">
        <v>36459</v>
      </c>
      <c r="N15" s="130">
        <f t="shared" si="0"/>
        <v>1999</v>
      </c>
      <c r="O15" s="131">
        <f>+IFERROR(INDEX([1]PARÁMETROS!$B$11:$B$37,MATCH(N15,[1]PARÁMETROS!$A$11:$A$37,0)),"")</f>
        <v>236460</v>
      </c>
      <c r="P15" s="132">
        <v>1343799332.5</v>
      </c>
      <c r="Q15" s="133" t="s">
        <v>25</v>
      </c>
      <c r="R15" s="123" t="s">
        <v>61</v>
      </c>
      <c r="S15" s="134" t="s">
        <v>61</v>
      </c>
      <c r="T15" s="135">
        <v>1</v>
      </c>
      <c r="U15" s="131">
        <f t="shared" si="1"/>
        <v>1343799332.5</v>
      </c>
      <c r="V15" s="136">
        <f t="shared" si="2"/>
        <v>5682.9879577941301</v>
      </c>
      <c r="W15" s="136">
        <f t="shared" si="3"/>
        <v>5114.6891620147171</v>
      </c>
      <c r="X15" s="291" t="str">
        <f>+IF(W15="","",IF(W15&gt;=[1]PARÁMETROS!$J$5,"CUMPLE","NO CUMPLE"))</f>
        <v>CUMPLE</v>
      </c>
      <c r="Y15" s="581"/>
      <c r="Z15" s="109"/>
    </row>
    <row r="16" spans="1:28" s="72" customFormat="1" ht="127.5">
      <c r="A16" s="796"/>
      <c r="B16" s="58" t="s">
        <v>101</v>
      </c>
      <c r="C16" s="75">
        <v>22</v>
      </c>
      <c r="D16" s="60" t="str">
        <f>+IFERROR(INDEX([1]CONSOLIDADO!$D$4:$D$91,MATCH('EXP ESPEC. 1-5 '!B16,[1]CONSOLIDADO!$C$4:$C$91,0)),"")</f>
        <v xml:space="preserve">GEOTECNIA Y CIMIENTOS INGEOCIM S.A.S. </v>
      </c>
      <c r="E16" s="547" t="s">
        <v>397</v>
      </c>
      <c r="F16" s="546" t="s">
        <v>706</v>
      </c>
      <c r="G16" s="290" t="s">
        <v>10</v>
      </c>
      <c r="H16" s="290" t="s">
        <v>10</v>
      </c>
      <c r="I16" s="290" t="s">
        <v>10</v>
      </c>
      <c r="J16" s="290" t="s">
        <v>11</v>
      </c>
      <c r="K16" s="63">
        <v>0.5</v>
      </c>
      <c r="L16" s="64">
        <v>38772</v>
      </c>
      <c r="M16" s="64">
        <v>40656</v>
      </c>
      <c r="N16" s="65">
        <f t="shared" si="0"/>
        <v>2011</v>
      </c>
      <c r="O16" s="66">
        <f>+IFERROR(INDEX([1]PARÁMETROS!$B$11:$B$37,MATCH(N16,[1]PARÁMETROS!$A$11:$A$37,0)),"")</f>
        <v>535600</v>
      </c>
      <c r="P16" s="67">
        <v>4960831409</v>
      </c>
      <c r="Q16" s="68" t="s">
        <v>25</v>
      </c>
      <c r="R16" s="58" t="s">
        <v>61</v>
      </c>
      <c r="S16" s="69" t="s">
        <v>61</v>
      </c>
      <c r="T16" s="70">
        <v>1</v>
      </c>
      <c r="U16" s="66">
        <f t="shared" si="1"/>
        <v>4960831409</v>
      </c>
      <c r="V16" s="55">
        <f t="shared" si="2"/>
        <v>9262.1945649738609</v>
      </c>
      <c r="W16" s="55">
        <f t="shared" si="3"/>
        <v>4631.0972824869305</v>
      </c>
      <c r="X16" s="290" t="str">
        <f>+IF(W16="","",IF(W16&gt;=[1]PARÁMETROS!$J$5,"CUMPLE","NO CUMPLE"))</f>
        <v>CUMPLE</v>
      </c>
      <c r="Y16" s="139"/>
      <c r="Z16" s="109"/>
    </row>
    <row r="17" spans="1:26" s="72" customFormat="1" ht="38.25">
      <c r="A17" s="796"/>
      <c r="B17" s="58" t="s">
        <v>106</v>
      </c>
      <c r="C17" s="75">
        <v>27</v>
      </c>
      <c r="D17" s="60" t="str">
        <f>+IFERROR(INDEX([1]CONSOLIDADO!$D$4:$D$91,MATCH('EXP ESPEC. 1-5 '!B17,[1]CONSOLIDADO!$C$4:$C$91,0)),"")</f>
        <v>TYPSA</v>
      </c>
      <c r="E17" s="548" t="s">
        <v>434</v>
      </c>
      <c r="F17" s="546" t="s">
        <v>709</v>
      </c>
      <c r="G17" s="290" t="s">
        <v>10</v>
      </c>
      <c r="H17" s="290" t="s">
        <v>11</v>
      </c>
      <c r="I17" s="290" t="s">
        <v>10</v>
      </c>
      <c r="J17" s="290" t="s">
        <v>11</v>
      </c>
      <c r="K17" s="544">
        <v>1</v>
      </c>
      <c r="L17" s="64">
        <v>37776</v>
      </c>
      <c r="M17" s="64">
        <v>38504</v>
      </c>
      <c r="N17" s="65">
        <f t="shared" si="0"/>
        <v>2005</v>
      </c>
      <c r="O17" s="66">
        <f>+IFERROR(INDEX([1]PARÁMETROS!$B$11:$B$37,MATCH(N17,[1]PARÁMETROS!$A$11:$A$37,0)),"")</f>
        <v>381500</v>
      </c>
      <c r="P17" s="545">
        <v>824026.3</v>
      </c>
      <c r="Q17" s="68" t="s">
        <v>419</v>
      </c>
      <c r="R17" s="58">
        <v>1.2303999999999999</v>
      </c>
      <c r="S17" s="69">
        <f>+P17*R17</f>
        <v>1013881.95952</v>
      </c>
      <c r="T17" s="70">
        <v>2338.89</v>
      </c>
      <c r="U17" s="66">
        <f t="shared" si="1"/>
        <v>1927306872.8069999</v>
      </c>
      <c r="V17" s="55">
        <f t="shared" si="2"/>
        <v>5051.9184084062908</v>
      </c>
      <c r="W17" s="55">
        <f t="shared" si="3"/>
        <v>5051.9184084062908</v>
      </c>
      <c r="X17" s="290" t="str">
        <f>+IF(W17="","",IF(W17&gt;=[1]PARÁMETROS!$J$5,"CUMPLE","NO CUMPLE"))</f>
        <v>CUMPLE</v>
      </c>
      <c r="Y17" s="139"/>
      <c r="Z17" s="109"/>
    </row>
    <row r="18" spans="1:26" s="72" customFormat="1" ht="51.75" thickBot="1">
      <c r="A18" s="806"/>
      <c r="B18" s="141" t="s">
        <v>106</v>
      </c>
      <c r="C18" s="142">
        <v>31</v>
      </c>
      <c r="D18" s="143" t="str">
        <f>+IFERROR(INDEX([1]CONSOLIDADO!$D$4:$D$91,MATCH('EXP ESPEC. 1-5 '!B18,[1]CONSOLIDADO!$C$4:$C$91,0)),"")</f>
        <v>TYPSA</v>
      </c>
      <c r="E18" s="585" t="s">
        <v>728</v>
      </c>
      <c r="F18" s="586" t="s">
        <v>711</v>
      </c>
      <c r="G18" s="289" t="s">
        <v>10</v>
      </c>
      <c r="H18" s="289" t="s">
        <v>11</v>
      </c>
      <c r="I18" s="289" t="s">
        <v>10</v>
      </c>
      <c r="J18" s="289" t="s">
        <v>11</v>
      </c>
      <c r="K18" s="146">
        <v>1</v>
      </c>
      <c r="L18" s="147">
        <v>36281</v>
      </c>
      <c r="M18" s="147">
        <v>37468</v>
      </c>
      <c r="N18" s="148">
        <f t="shared" si="0"/>
        <v>2002</v>
      </c>
      <c r="O18" s="149">
        <f>+IFERROR(INDEX([1]PARÁMETROS!$B$11:$B$37,MATCH(N18,[1]PARÁMETROS!$A$11:$A$37,0)),"")</f>
        <v>309000</v>
      </c>
      <c r="P18" s="150">
        <v>1720437.64</v>
      </c>
      <c r="Q18" s="151" t="s">
        <v>419</v>
      </c>
      <c r="R18" s="141">
        <v>0.98329999999999995</v>
      </c>
      <c r="S18" s="152">
        <f>+P18*R18</f>
        <v>1691706.3314119999</v>
      </c>
      <c r="T18" s="153">
        <v>2625.06</v>
      </c>
      <c r="U18" s="149">
        <f t="shared" si="1"/>
        <v>4516252031.2584</v>
      </c>
      <c r="V18" s="154">
        <f t="shared" si="2"/>
        <v>14615.702366532039</v>
      </c>
      <c r="W18" s="154">
        <f t="shared" si="3"/>
        <v>14615.702366532039</v>
      </c>
      <c r="X18" s="289" t="str">
        <f>+IF(W18="","",IF(W18&gt;=[1]PARÁMETROS!$J$5,"CUMPLE","NO CUMPLE"))</f>
        <v>CUMPLE</v>
      </c>
      <c r="Y18" s="155"/>
      <c r="Z18" s="109"/>
    </row>
    <row r="19" spans="1:26" s="72" customFormat="1" ht="78.75">
      <c r="A19" s="808" t="s">
        <v>208</v>
      </c>
      <c r="B19" s="110" t="s">
        <v>102</v>
      </c>
      <c r="C19" s="111">
        <v>7</v>
      </c>
      <c r="D19" s="112" t="str">
        <f>+IFERROR(INDEX([1]CONSOLIDADO!$D$4:$D$91,MATCH('EXP ESPEC. 1-5 '!B19,[1]CONSOLIDADO!$C$4:$C$91,0)),"")</f>
        <v xml:space="preserve">AFA CONSULTORES Y CONSTRUCTORES S.A </v>
      </c>
      <c r="E19" s="562" t="s">
        <v>712</v>
      </c>
      <c r="F19" s="114" t="s">
        <v>713</v>
      </c>
      <c r="G19" s="292" t="s">
        <v>10</v>
      </c>
      <c r="H19" s="292" t="s">
        <v>11</v>
      </c>
      <c r="I19" s="292" t="s">
        <v>10</v>
      </c>
      <c r="J19" s="292" t="s">
        <v>11</v>
      </c>
      <c r="K19" s="115">
        <v>0.45</v>
      </c>
      <c r="L19" s="116">
        <v>34338</v>
      </c>
      <c r="M19" s="116">
        <v>36305</v>
      </c>
      <c r="N19" s="160">
        <f t="shared" si="0"/>
        <v>1999</v>
      </c>
      <c r="O19" s="117">
        <f>+IFERROR(INDEX([1]PARÁMETROS!$B$11:$B$37,MATCH(N19,[1]PARÁMETROS!$A$11:$A$37,0)),"")</f>
        <v>236460</v>
      </c>
      <c r="P19" s="118">
        <v>4491569047</v>
      </c>
      <c r="Q19" s="119" t="s">
        <v>25</v>
      </c>
      <c r="R19" s="110" t="s">
        <v>61</v>
      </c>
      <c r="S19" s="120" t="s">
        <v>61</v>
      </c>
      <c r="T19" s="121">
        <v>1</v>
      </c>
      <c r="U19" s="117">
        <f t="shared" si="1"/>
        <v>4491569047</v>
      </c>
      <c r="V19" s="122">
        <f t="shared" si="2"/>
        <v>18995.04798697454</v>
      </c>
      <c r="W19" s="122">
        <f t="shared" si="3"/>
        <v>8547.7715941385432</v>
      </c>
      <c r="X19" s="292" t="str">
        <f>+IF(W19="","",IF(W19&gt;=[1]PARÁMETROS!$J$5,"CUMPLE","NO CUMPLE"))</f>
        <v>CUMPLE</v>
      </c>
      <c r="Y19" s="167"/>
      <c r="Z19" s="109"/>
    </row>
    <row r="20" spans="1:26" s="72" customFormat="1" ht="30" customHeight="1">
      <c r="A20" s="796"/>
      <c r="B20" s="58" t="s">
        <v>102</v>
      </c>
      <c r="C20" s="75">
        <v>10</v>
      </c>
      <c r="D20" s="60" t="str">
        <f>+IFERROR(INDEX([1]CONSOLIDADO!$D$4:$D$91,MATCH('EXP ESPEC. 1-5 '!B20,[1]CONSOLIDADO!$C$4:$C$91,0)),"")</f>
        <v xml:space="preserve">AFA CONSULTORES Y CONSTRUCTORES S.A </v>
      </c>
      <c r="E20" s="71" t="s">
        <v>714</v>
      </c>
      <c r="F20" s="62" t="s">
        <v>715</v>
      </c>
      <c r="G20" s="277" t="s">
        <v>10</v>
      </c>
      <c r="H20" s="290" t="s">
        <v>10</v>
      </c>
      <c r="I20" s="277" t="s">
        <v>10</v>
      </c>
      <c r="J20" s="277" t="s">
        <v>11</v>
      </c>
      <c r="K20" s="63">
        <v>1</v>
      </c>
      <c r="L20" s="64">
        <v>39142</v>
      </c>
      <c r="M20" s="64">
        <v>40920</v>
      </c>
      <c r="N20" s="65">
        <f t="shared" si="0"/>
        <v>2012</v>
      </c>
      <c r="O20" s="66">
        <f>+IFERROR(INDEX([1]PARÁMETROS!$B$11:$B$37,MATCH(N20,[1]PARÁMETROS!$A$11:$A$37,0)),"")</f>
        <v>566700</v>
      </c>
      <c r="P20" s="67">
        <v>3161732843</v>
      </c>
      <c r="Q20" s="68" t="s">
        <v>25</v>
      </c>
      <c r="R20" s="58" t="s">
        <v>61</v>
      </c>
      <c r="S20" s="69" t="s">
        <v>61</v>
      </c>
      <c r="T20" s="70">
        <v>1</v>
      </c>
      <c r="U20" s="66">
        <f t="shared" si="1"/>
        <v>3161732843</v>
      </c>
      <c r="V20" s="55">
        <f t="shared" si="2"/>
        <v>5579.2003582142224</v>
      </c>
      <c r="W20" s="55">
        <f t="shared" si="3"/>
        <v>5579.2003582142224</v>
      </c>
      <c r="X20" s="277" t="str">
        <f>+IF(W20="","",IF(W20&gt;=[1]PARÁMETROS!$J$5,"CUMPLE","NO CUMPLE"))</f>
        <v>CUMPLE</v>
      </c>
      <c r="Y20" s="139"/>
      <c r="Z20" s="109"/>
    </row>
    <row r="21" spans="1:26" s="72" customFormat="1" ht="30" customHeight="1">
      <c r="A21" s="796"/>
      <c r="B21" s="58" t="s">
        <v>102</v>
      </c>
      <c r="C21" s="75">
        <v>23</v>
      </c>
      <c r="D21" s="60" t="str">
        <f>+IFERROR(INDEX([1]CONSOLIDADO!$D$4:$D$91,MATCH('EXP ESPEC. 1-5 '!B21,[1]CONSOLIDADO!$C$4:$C$91,0)),"")</f>
        <v xml:space="preserve">AFA CONSULTORES Y CONSTRUCTORES S.A </v>
      </c>
      <c r="E21" s="550" t="s">
        <v>716</v>
      </c>
      <c r="F21" s="551" t="s">
        <v>717</v>
      </c>
      <c r="G21" s="277" t="s">
        <v>10</v>
      </c>
      <c r="H21" s="277" t="s">
        <v>11</v>
      </c>
      <c r="I21" s="277" t="s">
        <v>10</v>
      </c>
      <c r="J21" s="277" t="s">
        <v>11</v>
      </c>
      <c r="K21" s="77">
        <v>0.5</v>
      </c>
      <c r="L21" s="64">
        <v>39125</v>
      </c>
      <c r="M21" s="64">
        <v>42368</v>
      </c>
      <c r="N21" s="65">
        <f t="shared" si="0"/>
        <v>2015</v>
      </c>
      <c r="O21" s="66">
        <f>+IFERROR(INDEX([1]PARÁMETROS!$B$11:$B$37,MATCH(N21,[1]PARÁMETROS!$A$11:$A$37,0)),"")</f>
        <v>644350</v>
      </c>
      <c r="P21" s="67">
        <v>22786421753.5</v>
      </c>
      <c r="Q21" s="68" t="s">
        <v>25</v>
      </c>
      <c r="R21" s="58" t="s">
        <v>61</v>
      </c>
      <c r="S21" s="69" t="s">
        <v>61</v>
      </c>
      <c r="T21" s="70">
        <v>1</v>
      </c>
      <c r="U21" s="66">
        <f t="shared" si="1"/>
        <v>22786421753.5</v>
      </c>
      <c r="V21" s="55">
        <f t="shared" si="2"/>
        <v>35363.423222627454</v>
      </c>
      <c r="W21" s="55">
        <f t="shared" si="3"/>
        <v>17681.711611313727</v>
      </c>
      <c r="X21" s="277" t="str">
        <f>+IF(W21="","",IF(W21&gt;=[1]PARÁMETROS!$J$5,"CUMPLE","NO CUMPLE"))</f>
        <v>CUMPLE</v>
      </c>
      <c r="Y21" s="166"/>
      <c r="Z21" s="109"/>
    </row>
    <row r="22" spans="1:26" s="82" customFormat="1" ht="72" thickBot="1">
      <c r="A22" s="796"/>
      <c r="B22" s="58" t="s">
        <v>107</v>
      </c>
      <c r="C22" s="72">
        <v>68</v>
      </c>
      <c r="D22" s="60" t="str">
        <f>+IFERROR(INDEX([1]CONSOLIDADO!$D$4:$D$91,MATCH('EXP ESPEC. 1-5 '!B22,[1]CONSOLIDADO!$C$4:$C$91,0)),"")</f>
        <v>INC GROUP S.A.S.</v>
      </c>
      <c r="E22" s="71" t="s">
        <v>380</v>
      </c>
      <c r="F22" s="62" t="s">
        <v>719</v>
      </c>
      <c r="G22" s="277" t="s">
        <v>10</v>
      </c>
      <c r="H22" s="277" t="s">
        <v>11</v>
      </c>
      <c r="I22" s="277" t="s">
        <v>10</v>
      </c>
      <c r="J22" s="277" t="s">
        <v>11</v>
      </c>
      <c r="K22" s="552">
        <v>0.65</v>
      </c>
      <c r="L22" s="79">
        <v>39615</v>
      </c>
      <c r="M22" s="80">
        <v>41152</v>
      </c>
      <c r="N22" s="65">
        <f t="shared" si="0"/>
        <v>2012</v>
      </c>
      <c r="O22" s="66">
        <f>+IFERROR(INDEX([1]PARÁMETROS!$B$11:$B$37,MATCH(N22,[1]PARÁMETROS!$A$11:$A$37,0)),"")</f>
        <v>566700</v>
      </c>
      <c r="P22" s="68">
        <v>19146251489</v>
      </c>
      <c r="Q22" s="68" t="s">
        <v>25</v>
      </c>
      <c r="R22" s="68" t="s">
        <v>61</v>
      </c>
      <c r="S22" s="68" t="s">
        <v>61</v>
      </c>
      <c r="T22" s="70">
        <v>1</v>
      </c>
      <c r="U22" s="66">
        <f t="shared" si="1"/>
        <v>19146251489</v>
      </c>
      <c r="V22" s="55">
        <f t="shared" si="2"/>
        <v>33785.515244397386</v>
      </c>
      <c r="W22" s="55">
        <f t="shared" si="3"/>
        <v>21960.584908858302</v>
      </c>
      <c r="X22" s="277" t="str">
        <f>+IF(W22="","",IF(W22&gt;=[1]PARÁMETROS!$J$5,"CUMPLE","NO CUMPLE"))</f>
        <v>CUMPLE</v>
      </c>
      <c r="Y22" s="139"/>
      <c r="Z22" s="158"/>
    </row>
    <row r="23" spans="1:26" s="72" customFormat="1" ht="30" customHeight="1">
      <c r="A23" s="795"/>
      <c r="B23" s="123"/>
      <c r="C23" s="157"/>
      <c r="D23" s="125" t="str">
        <f>+IFERROR(INDEX([1]CONSOLIDADO!$D$4:$D$91,MATCH('EXP ESPEC. 1-5 '!B23,[1]CONSOLIDADO!$C$4:$C$91,0)),"")</f>
        <v/>
      </c>
      <c r="E23" s="126"/>
      <c r="F23" s="127"/>
      <c r="G23" s="279"/>
      <c r="H23" s="279"/>
      <c r="I23" s="279"/>
      <c r="J23" s="279"/>
      <c r="K23" s="128"/>
      <c r="L23" s="129"/>
      <c r="M23" s="129"/>
      <c r="N23" s="130" t="str">
        <f t="shared" si="0"/>
        <v/>
      </c>
      <c r="O23" s="131" t="str">
        <f>+IFERROR(INDEX([1]PARÁMETROS!$B$11:$B$37,MATCH(N23,[1]PARÁMETROS!$A$11:$A$37,0)),"")</f>
        <v/>
      </c>
      <c r="P23" s="132"/>
      <c r="Q23" s="133"/>
      <c r="R23" s="123"/>
      <c r="S23" s="134"/>
      <c r="T23" s="135"/>
      <c r="U23" s="131" t="str">
        <f t="shared" si="1"/>
        <v/>
      </c>
      <c r="V23" s="136" t="str">
        <f t="shared" si="2"/>
        <v/>
      </c>
      <c r="W23" s="136" t="str">
        <f t="shared" si="3"/>
        <v/>
      </c>
      <c r="X23" s="168" t="str">
        <f>+IF(W23="","",IF(W23&gt;=[1]PARÁMETROS!$D$5,"CUMPLE","NO CUMPLE"))</f>
        <v/>
      </c>
      <c r="Y23" s="138"/>
      <c r="Z23" s="109"/>
    </row>
    <row r="24" spans="1:26" s="72" customFormat="1" ht="30" customHeight="1">
      <c r="A24" s="796"/>
      <c r="B24" s="58"/>
      <c r="C24" s="75"/>
      <c r="D24" s="60" t="str">
        <f>+IFERROR(INDEX([1]CONSOLIDADO!$D$4:$D$91,MATCH('EXP ESPEC. 1-5 '!B24,[1]CONSOLIDADO!$C$4:$C$91,0)),"")</f>
        <v/>
      </c>
      <c r="E24" s="61"/>
      <c r="F24" s="62"/>
      <c r="G24" s="277"/>
      <c r="H24" s="277"/>
      <c r="I24" s="277"/>
      <c r="J24" s="277"/>
      <c r="K24" s="63"/>
      <c r="L24" s="64"/>
      <c r="M24" s="64"/>
      <c r="N24" s="65" t="str">
        <f t="shared" si="0"/>
        <v/>
      </c>
      <c r="O24" s="66" t="str">
        <f>+IFERROR(INDEX([1]PARÁMETROS!$B$11:$B$37,MATCH(N24,[1]PARÁMETROS!$A$11:$A$37,0)),"")</f>
        <v/>
      </c>
      <c r="P24" s="67"/>
      <c r="Q24" s="68"/>
      <c r="R24" s="58"/>
      <c r="S24" s="69"/>
      <c r="T24" s="70"/>
      <c r="U24" s="66" t="str">
        <f t="shared" si="1"/>
        <v/>
      </c>
      <c r="V24" s="55" t="str">
        <f t="shared" si="2"/>
        <v/>
      </c>
      <c r="W24" s="55" t="str">
        <f t="shared" si="3"/>
        <v/>
      </c>
      <c r="X24" s="277" t="str">
        <f>+IF(W24="","",IF(W24&gt;=[1]PARÁMETROS!$D$5,"CUMPLE","NO CUMPLE"))</f>
        <v/>
      </c>
      <c r="Y24" s="139"/>
      <c r="Z24" s="109"/>
    </row>
    <row r="25" spans="1:26" s="72" customFormat="1" ht="30" customHeight="1">
      <c r="A25" s="796"/>
      <c r="B25" s="58"/>
      <c r="C25" s="75"/>
      <c r="D25" s="60" t="str">
        <f>+IFERROR(INDEX([1]CONSOLIDADO!$D$4:$D$91,MATCH('EXP ESPEC. 1-5 '!B25,[1]CONSOLIDADO!$C$4:$C$91,0)),"")</f>
        <v/>
      </c>
      <c r="E25" s="61"/>
      <c r="F25" s="62"/>
      <c r="G25" s="277"/>
      <c r="H25" s="277"/>
      <c r="I25" s="277"/>
      <c r="J25" s="277"/>
      <c r="K25" s="63"/>
      <c r="L25" s="64"/>
      <c r="M25" s="64"/>
      <c r="N25" s="65" t="str">
        <f t="shared" si="0"/>
        <v/>
      </c>
      <c r="O25" s="66" t="str">
        <f>+IFERROR(INDEX([1]PARÁMETROS!$B$11:$B$37,MATCH(N25,[1]PARÁMETROS!$A$11:$A$37,0)),"")</f>
        <v/>
      </c>
      <c r="P25" s="67"/>
      <c r="Q25" s="68"/>
      <c r="R25" s="58"/>
      <c r="S25" s="69"/>
      <c r="T25" s="70"/>
      <c r="U25" s="66" t="str">
        <f t="shared" si="1"/>
        <v/>
      </c>
      <c r="V25" s="55" t="str">
        <f t="shared" si="2"/>
        <v/>
      </c>
      <c r="W25" s="55" t="str">
        <f t="shared" si="3"/>
        <v/>
      </c>
      <c r="X25" s="277" t="str">
        <f>+IF(W25="","",IF(W25&gt;=[1]PARÁMETROS!$D$5,"CUMPLE","NO CUMPLE"))</f>
        <v/>
      </c>
      <c r="Y25" s="139"/>
      <c r="Z25" s="109"/>
    </row>
    <row r="26" spans="1:26" s="72" customFormat="1" ht="30" customHeight="1" thickBot="1">
      <c r="A26" s="796"/>
      <c r="B26" s="58"/>
      <c r="C26" s="75"/>
      <c r="D26" s="60" t="str">
        <f>+IFERROR(INDEX([1]CONSOLIDADO!$D$4:$D$91,MATCH('EXP ESPEC. 1-5 '!B26,[1]CONSOLIDADO!$C$4:$C$91,0)),"")</f>
        <v/>
      </c>
      <c r="E26" s="61"/>
      <c r="F26" s="62"/>
      <c r="G26" s="277"/>
      <c r="H26" s="277"/>
      <c r="I26" s="277"/>
      <c r="J26" s="277"/>
      <c r="K26" s="63"/>
      <c r="L26" s="64"/>
      <c r="M26" s="64"/>
      <c r="N26" s="65" t="str">
        <f t="shared" si="0"/>
        <v/>
      </c>
      <c r="O26" s="66" t="str">
        <f>+IFERROR(INDEX([1]PARÁMETROS!$B$11:$B$37,MATCH(N26,[1]PARÁMETROS!$A$11:$A$37,0)),"")</f>
        <v/>
      </c>
      <c r="P26" s="67"/>
      <c r="Q26" s="68"/>
      <c r="R26" s="58"/>
      <c r="S26" s="69"/>
      <c r="T26" s="70"/>
      <c r="U26" s="66" t="str">
        <f t="shared" si="1"/>
        <v/>
      </c>
      <c r="V26" s="55" t="str">
        <f t="shared" si="2"/>
        <v/>
      </c>
      <c r="W26" s="55" t="str">
        <f t="shared" si="3"/>
        <v/>
      </c>
      <c r="X26" s="278" t="str">
        <f>+IF(W26="","",IF(W26&gt;=[1]PARÁMETROS!$D$5,"CUMPLE","NO CUMPLE"))</f>
        <v/>
      </c>
      <c r="Y26" s="139"/>
      <c r="Z26" s="109"/>
    </row>
    <row r="27" spans="1:26" s="72" customFormat="1" ht="30" customHeight="1">
      <c r="A27" s="795"/>
      <c r="B27" s="123"/>
      <c r="C27" s="157"/>
      <c r="D27" s="125" t="str">
        <f>+IFERROR(INDEX([1]CONSOLIDADO!$D$4:$D$91,MATCH('EXP ESPEC. 1-5 '!B27,[1]CONSOLIDADO!$C$4:$C$91,0)),"")</f>
        <v/>
      </c>
      <c r="E27" s="126"/>
      <c r="F27" s="127"/>
      <c r="G27" s="279"/>
      <c r="H27" s="279"/>
      <c r="I27" s="279"/>
      <c r="J27" s="279"/>
      <c r="K27" s="128"/>
      <c r="L27" s="129"/>
      <c r="M27" s="129"/>
      <c r="N27" s="130" t="str">
        <f t="shared" si="0"/>
        <v/>
      </c>
      <c r="O27" s="131" t="str">
        <f>+IFERROR(INDEX([1]PARÁMETROS!$B$11:$B$37,MATCH(N27,[1]PARÁMETROS!$A$11:$A$37,0)),"")</f>
        <v/>
      </c>
      <c r="P27" s="132"/>
      <c r="Q27" s="133"/>
      <c r="R27" s="123"/>
      <c r="S27" s="134"/>
      <c r="T27" s="135"/>
      <c r="U27" s="131" t="str">
        <f t="shared" si="1"/>
        <v/>
      </c>
      <c r="V27" s="136" t="str">
        <f t="shared" si="2"/>
        <v/>
      </c>
      <c r="W27" s="136" t="str">
        <f t="shared" si="3"/>
        <v/>
      </c>
      <c r="X27" s="168" t="str">
        <f>+IF(W27="","",IF(W27&gt;=[1]PARÁMETROS!$D$5,"CUMPLE","NO CUMPLE"))</f>
        <v/>
      </c>
      <c r="Y27" s="138"/>
      <c r="Z27" s="109"/>
    </row>
    <row r="28" spans="1:26" s="72" customFormat="1" ht="30" customHeight="1">
      <c r="A28" s="796"/>
      <c r="B28" s="58"/>
      <c r="C28" s="75"/>
      <c r="D28" s="60" t="str">
        <f>+IFERROR(INDEX([1]CONSOLIDADO!$D$4:$D$91,MATCH('EXP ESPEC. 1-5 '!B28,[1]CONSOLIDADO!$C$4:$C$91,0)),"")</f>
        <v/>
      </c>
      <c r="E28" s="61"/>
      <c r="F28" s="62"/>
      <c r="G28" s="277"/>
      <c r="H28" s="277"/>
      <c r="I28" s="277"/>
      <c r="J28" s="277"/>
      <c r="K28" s="63"/>
      <c r="L28" s="64"/>
      <c r="M28" s="64"/>
      <c r="N28" s="65" t="str">
        <f t="shared" si="0"/>
        <v/>
      </c>
      <c r="O28" s="66" t="str">
        <f>+IFERROR(INDEX([1]PARÁMETROS!$B$11:$B$37,MATCH(N28,[1]PARÁMETROS!$A$11:$A$37,0)),"")</f>
        <v/>
      </c>
      <c r="P28" s="67"/>
      <c r="Q28" s="68"/>
      <c r="R28" s="58"/>
      <c r="S28" s="69"/>
      <c r="T28" s="70"/>
      <c r="U28" s="66" t="str">
        <f t="shared" si="1"/>
        <v/>
      </c>
      <c r="V28" s="55" t="str">
        <f t="shared" si="2"/>
        <v/>
      </c>
      <c r="W28" s="55" t="str">
        <f t="shared" si="3"/>
        <v/>
      </c>
      <c r="X28" s="277" t="str">
        <f>+IF(W28="","",IF(W28&gt;=[1]PARÁMETROS!$D$5,"CUMPLE","NO CUMPLE"))</f>
        <v/>
      </c>
      <c r="Y28" s="139"/>
      <c r="Z28" s="109"/>
    </row>
    <row r="29" spans="1:26" s="72" customFormat="1" ht="30" customHeight="1">
      <c r="A29" s="796"/>
      <c r="B29" s="58"/>
      <c r="C29" s="75"/>
      <c r="D29" s="60" t="str">
        <f>+IFERROR(INDEX([1]CONSOLIDADO!$D$4:$D$91,MATCH('EXP ESPEC. 1-5 '!B29,[1]CONSOLIDADO!$C$4:$C$91,0)),"")</f>
        <v/>
      </c>
      <c r="E29" s="61"/>
      <c r="F29" s="62"/>
      <c r="G29" s="277"/>
      <c r="H29" s="277"/>
      <c r="I29" s="277"/>
      <c r="J29" s="277"/>
      <c r="K29" s="63"/>
      <c r="L29" s="64"/>
      <c r="M29" s="64"/>
      <c r="N29" s="65" t="str">
        <f t="shared" si="0"/>
        <v/>
      </c>
      <c r="O29" s="66" t="str">
        <f>+IFERROR(INDEX([1]PARÁMETROS!$B$11:$B$37,MATCH(N29,[1]PARÁMETROS!$A$11:$A$37,0)),"")</f>
        <v/>
      </c>
      <c r="P29" s="67"/>
      <c r="Q29" s="68"/>
      <c r="R29" s="58"/>
      <c r="S29" s="69"/>
      <c r="T29" s="70"/>
      <c r="U29" s="66" t="str">
        <f t="shared" si="1"/>
        <v/>
      </c>
      <c r="V29" s="55" t="str">
        <f t="shared" si="2"/>
        <v/>
      </c>
      <c r="W29" s="55" t="str">
        <f t="shared" si="3"/>
        <v/>
      </c>
      <c r="X29" s="277" t="str">
        <f>+IF(W29="","",IF(W29&gt;=[1]PARÁMETROS!$D$5,"CUMPLE","NO CUMPLE"))</f>
        <v/>
      </c>
      <c r="Y29" s="139"/>
      <c r="Z29" s="109"/>
    </row>
    <row r="30" spans="1:26" s="72" customFormat="1" ht="30" customHeight="1" thickBot="1">
      <c r="A30" s="796"/>
      <c r="B30" s="58"/>
      <c r="C30" s="75"/>
      <c r="D30" s="60" t="str">
        <f>+IFERROR(INDEX([1]CONSOLIDADO!$D$4:$D$91,MATCH('EXP ESPEC. 1-5 '!B30,[1]CONSOLIDADO!$C$4:$C$91,0)),"")</f>
        <v/>
      </c>
      <c r="E30" s="83"/>
      <c r="F30" s="84"/>
      <c r="G30" s="277"/>
      <c r="H30" s="277"/>
      <c r="I30" s="277"/>
      <c r="J30" s="277"/>
      <c r="K30" s="85"/>
      <c r="L30" s="86"/>
      <c r="M30" s="86"/>
      <c r="N30" s="65" t="str">
        <f t="shared" si="0"/>
        <v/>
      </c>
      <c r="O30" s="66" t="str">
        <f>+IFERROR(INDEX([1]PARÁMETROS!$B$11:$B$37,MATCH(N30,[1]PARÁMETROS!$A$11:$A$37,0)),"")</f>
        <v/>
      </c>
      <c r="P30" s="87"/>
      <c r="Q30" s="88"/>
      <c r="R30" s="58"/>
      <c r="S30" s="69"/>
      <c r="T30" s="70"/>
      <c r="U30" s="66" t="str">
        <f t="shared" si="1"/>
        <v/>
      </c>
      <c r="V30" s="55" t="str">
        <f t="shared" si="2"/>
        <v/>
      </c>
      <c r="W30" s="55" t="str">
        <f t="shared" si="3"/>
        <v/>
      </c>
      <c r="X30" s="278" t="str">
        <f>+IF(W30="","",IF(W30&gt;=[1]PARÁMETROS!$D$5,"CUMPLE","NO CUMPLE"))</f>
        <v/>
      </c>
      <c r="Y30" s="140"/>
      <c r="Z30" s="109"/>
    </row>
    <row r="31" spans="1:26" s="72" customFormat="1" ht="30" customHeight="1">
      <c r="A31" s="795"/>
      <c r="B31" s="123"/>
      <c r="C31" s="157"/>
      <c r="D31" s="125" t="str">
        <f>+IFERROR(INDEX([1]CONSOLIDADO!$D$4:$D$91,MATCH('EXP ESPEC. 1-5 '!B31,[1]CONSOLIDADO!$C$4:$C$91,0)),"")</f>
        <v/>
      </c>
      <c r="E31" s="126"/>
      <c r="F31" s="127"/>
      <c r="G31" s="279"/>
      <c r="H31" s="279"/>
      <c r="I31" s="279"/>
      <c r="J31" s="279"/>
      <c r="K31" s="128"/>
      <c r="L31" s="129"/>
      <c r="M31" s="129"/>
      <c r="N31" s="130" t="str">
        <f t="shared" si="0"/>
        <v/>
      </c>
      <c r="O31" s="131" t="str">
        <f>+IFERROR(INDEX([1]PARÁMETROS!$B$11:$B$37,MATCH(N31,[1]PARÁMETROS!$A$11:$A$37,0)),"")</f>
        <v/>
      </c>
      <c r="P31" s="132"/>
      <c r="Q31" s="133"/>
      <c r="R31" s="123"/>
      <c r="S31" s="134"/>
      <c r="T31" s="135"/>
      <c r="U31" s="131" t="str">
        <f t="shared" si="1"/>
        <v/>
      </c>
      <c r="V31" s="136" t="str">
        <f t="shared" si="2"/>
        <v/>
      </c>
      <c r="W31" s="136" t="str">
        <f t="shared" si="3"/>
        <v/>
      </c>
      <c r="X31" s="168" t="str">
        <f>+IF(W31="","",IF(W31&gt;=[1]PARÁMETROS!$D$5,"CUMPLE","NO CUMPLE"))</f>
        <v/>
      </c>
      <c r="Y31" s="138"/>
      <c r="Z31" s="109"/>
    </row>
    <row r="32" spans="1:26" s="72" customFormat="1" ht="30" customHeight="1">
      <c r="A32" s="796"/>
      <c r="B32" s="58"/>
      <c r="C32" s="75"/>
      <c r="D32" s="60" t="str">
        <f>+IFERROR(INDEX([1]CONSOLIDADO!$D$4:$D$91,MATCH('EXP ESPEC. 1-5 '!B32,[1]CONSOLIDADO!$C$4:$C$91,0)),"")</f>
        <v/>
      </c>
      <c r="E32" s="61"/>
      <c r="F32" s="62"/>
      <c r="G32" s="277"/>
      <c r="H32" s="277"/>
      <c r="I32" s="277"/>
      <c r="J32" s="277"/>
      <c r="K32" s="63"/>
      <c r="L32" s="64"/>
      <c r="M32" s="64"/>
      <c r="N32" s="65" t="str">
        <f t="shared" si="0"/>
        <v/>
      </c>
      <c r="O32" s="66" t="str">
        <f>+IFERROR(INDEX([1]PARÁMETROS!$B$11:$B$37,MATCH(N32,[1]PARÁMETROS!$A$11:$A$37,0)),"")</f>
        <v/>
      </c>
      <c r="P32" s="67"/>
      <c r="Q32" s="68"/>
      <c r="R32" s="58"/>
      <c r="S32" s="69"/>
      <c r="T32" s="70"/>
      <c r="U32" s="66" t="str">
        <f t="shared" si="1"/>
        <v/>
      </c>
      <c r="V32" s="55" t="str">
        <f t="shared" si="2"/>
        <v/>
      </c>
      <c r="W32" s="55" t="str">
        <f t="shared" si="3"/>
        <v/>
      </c>
      <c r="X32" s="277" t="str">
        <f>+IF(W32="","",IF(W32&gt;=[1]PARÁMETROS!$D$5,"CUMPLE","NO CUMPLE"))</f>
        <v/>
      </c>
      <c r="Y32" s="139"/>
      <c r="Z32" s="109"/>
    </row>
    <row r="33" spans="1:26" s="72" customFormat="1" ht="30" customHeight="1">
      <c r="A33" s="796"/>
      <c r="B33" s="58"/>
      <c r="C33" s="75"/>
      <c r="D33" s="60" t="str">
        <f>+IFERROR(INDEX([1]CONSOLIDADO!$D$4:$D$91,MATCH('EXP ESPEC. 1-5 '!B33,[1]CONSOLIDADO!$C$4:$C$91,0)),"")</f>
        <v/>
      </c>
      <c r="E33" s="61"/>
      <c r="F33" s="62"/>
      <c r="G33" s="277"/>
      <c r="H33" s="277"/>
      <c r="I33" s="277"/>
      <c r="J33" s="277"/>
      <c r="K33" s="63"/>
      <c r="L33" s="64"/>
      <c r="M33" s="64"/>
      <c r="N33" s="65" t="str">
        <f t="shared" si="0"/>
        <v/>
      </c>
      <c r="O33" s="66" t="str">
        <f>+IFERROR(INDEX([1]PARÁMETROS!$B$11:$B$37,MATCH(N33,[1]PARÁMETROS!$A$11:$A$37,0)),"")</f>
        <v/>
      </c>
      <c r="P33" s="67"/>
      <c r="Q33" s="68"/>
      <c r="R33" s="58"/>
      <c r="S33" s="69"/>
      <c r="T33" s="70"/>
      <c r="U33" s="66" t="str">
        <f t="shared" si="1"/>
        <v/>
      </c>
      <c r="V33" s="55" t="str">
        <f t="shared" si="2"/>
        <v/>
      </c>
      <c r="W33" s="55" t="str">
        <f t="shared" si="3"/>
        <v/>
      </c>
      <c r="X33" s="277" t="str">
        <f>+IF(W33="","",IF(W33&gt;=[1]PARÁMETROS!$D$5,"CUMPLE","NO CUMPLE"))</f>
        <v/>
      </c>
      <c r="Y33" s="139"/>
      <c r="Z33" s="109"/>
    </row>
    <row r="34" spans="1:26" s="72" customFormat="1" ht="30" customHeight="1" thickBot="1">
      <c r="A34" s="796"/>
      <c r="B34" s="58"/>
      <c r="C34" s="75"/>
      <c r="D34" s="60" t="str">
        <f>+IFERROR(INDEX([1]CONSOLIDADO!$D$4:$D$91,MATCH('EXP ESPEC. 1-5 '!B34,[1]CONSOLIDADO!$C$4:$C$91,0)),"")</f>
        <v/>
      </c>
      <c r="E34" s="61"/>
      <c r="F34" s="62"/>
      <c r="G34" s="277"/>
      <c r="H34" s="277"/>
      <c r="I34" s="277"/>
      <c r="J34" s="277"/>
      <c r="K34" s="63"/>
      <c r="L34" s="64"/>
      <c r="M34" s="64"/>
      <c r="N34" s="65" t="str">
        <f t="shared" si="0"/>
        <v/>
      </c>
      <c r="O34" s="66" t="str">
        <f>+IFERROR(INDEX([1]PARÁMETROS!$B$11:$B$37,MATCH(N34,[1]PARÁMETROS!$A$11:$A$37,0)),"")</f>
        <v/>
      </c>
      <c r="P34" s="67"/>
      <c r="Q34" s="68"/>
      <c r="R34" s="58"/>
      <c r="S34" s="69"/>
      <c r="T34" s="70"/>
      <c r="U34" s="66" t="str">
        <f t="shared" si="1"/>
        <v/>
      </c>
      <c r="V34" s="55" t="str">
        <f t="shared" si="2"/>
        <v/>
      </c>
      <c r="W34" s="55" t="str">
        <f t="shared" si="3"/>
        <v/>
      </c>
      <c r="X34" s="278" t="str">
        <f>+IF(W34="","",IF(W34&gt;=[1]PARÁMETROS!$D$5,"CUMPLE","NO CUMPLE"))</f>
        <v/>
      </c>
      <c r="Y34" s="139"/>
      <c r="Z34" s="109"/>
    </row>
    <row r="35" spans="1:26" s="72" customFormat="1" ht="30" customHeight="1">
      <c r="A35" s="795"/>
      <c r="B35" s="123"/>
      <c r="C35" s="157"/>
      <c r="D35" s="125" t="str">
        <f>+IFERROR(INDEX([1]CONSOLIDADO!$D$4:$D$91,MATCH('EXP ESPEC. 1-5 '!B35,[1]CONSOLIDADO!$C$4:$C$91,0)),"")</f>
        <v/>
      </c>
      <c r="E35" s="126"/>
      <c r="F35" s="126"/>
      <c r="G35" s="279"/>
      <c r="H35" s="279"/>
      <c r="I35" s="279"/>
      <c r="J35" s="279"/>
      <c r="K35" s="162"/>
      <c r="L35" s="129"/>
      <c r="M35" s="129"/>
      <c r="N35" s="130" t="str">
        <f t="shared" si="0"/>
        <v/>
      </c>
      <c r="O35" s="131" t="str">
        <f>+IFERROR(INDEX([1]PARÁMETROS!$B$11:$B$37,MATCH(N35,[1]PARÁMETROS!$A$11:$A$37,0)),"")</f>
        <v/>
      </c>
      <c r="P35" s="163"/>
      <c r="Q35" s="131"/>
      <c r="R35" s="123"/>
      <c r="S35" s="134"/>
      <c r="T35" s="135"/>
      <c r="U35" s="131" t="str">
        <f t="shared" si="1"/>
        <v/>
      </c>
      <c r="V35" s="136" t="str">
        <f t="shared" si="2"/>
        <v/>
      </c>
      <c r="W35" s="136" t="str">
        <f t="shared" si="3"/>
        <v/>
      </c>
      <c r="X35" s="168" t="str">
        <f>+IF(W35="","",IF(W35&gt;=[1]PARÁMETROS!$D$5,"CUMPLE","NO CUMPLE"))</f>
        <v/>
      </c>
      <c r="Y35" s="138"/>
      <c r="Z35" s="109"/>
    </row>
    <row r="36" spans="1:26" s="72" customFormat="1" ht="30" customHeight="1">
      <c r="A36" s="796"/>
      <c r="B36" s="58"/>
      <c r="C36" s="75"/>
      <c r="D36" s="60" t="str">
        <f>+IFERROR(INDEX([1]CONSOLIDADO!$D$4:$D$91,MATCH('EXP ESPEC. 1-5 '!B36,[1]CONSOLIDADO!$C$4:$C$91,0)),"")</f>
        <v/>
      </c>
      <c r="E36" s="61"/>
      <c r="F36" s="61"/>
      <c r="G36" s="277"/>
      <c r="H36" s="277"/>
      <c r="I36" s="277"/>
      <c r="J36" s="277"/>
      <c r="K36" s="73"/>
      <c r="L36" s="64"/>
      <c r="M36" s="64"/>
      <c r="N36" s="65" t="str">
        <f t="shared" si="0"/>
        <v/>
      </c>
      <c r="O36" s="66" t="str">
        <f>+IFERROR(INDEX([1]PARÁMETROS!$B$11:$B$37,MATCH(N36,[1]PARÁMETROS!$A$11:$A$37,0)),"")</f>
        <v/>
      </c>
      <c r="P36" s="74"/>
      <c r="Q36" s="66"/>
      <c r="R36" s="58"/>
      <c r="S36" s="69"/>
      <c r="T36" s="70"/>
      <c r="U36" s="66" t="str">
        <f t="shared" si="1"/>
        <v/>
      </c>
      <c r="V36" s="55" t="str">
        <f t="shared" si="2"/>
        <v/>
      </c>
      <c r="W36" s="55" t="str">
        <f t="shared" si="3"/>
        <v/>
      </c>
      <c r="X36" s="277" t="str">
        <f>+IF(W36="","",IF(W36&gt;=[1]PARÁMETROS!$D$5,"CUMPLE","NO CUMPLE"))</f>
        <v/>
      </c>
      <c r="Y36" s="139"/>
      <c r="Z36" s="109"/>
    </row>
    <row r="37" spans="1:26" s="72" customFormat="1" ht="30" customHeight="1">
      <c r="A37" s="796"/>
      <c r="B37" s="58"/>
      <c r="C37" s="75"/>
      <c r="D37" s="60" t="str">
        <f>+IFERROR(INDEX([1]CONSOLIDADO!$D$4:$D$91,MATCH('EXP ESPEC. 1-5 '!B37,[1]CONSOLIDADO!$C$4:$C$91,0)),"")</f>
        <v/>
      </c>
      <c r="E37" s="61"/>
      <c r="F37" s="61"/>
      <c r="G37" s="277"/>
      <c r="H37" s="277"/>
      <c r="I37" s="277"/>
      <c r="J37" s="277"/>
      <c r="K37" s="73"/>
      <c r="L37" s="64"/>
      <c r="M37" s="64"/>
      <c r="N37" s="65" t="str">
        <f t="shared" si="0"/>
        <v/>
      </c>
      <c r="O37" s="66" t="str">
        <f>+IFERROR(INDEX([1]PARÁMETROS!$B$11:$B$37,MATCH(N37,[1]PARÁMETROS!$A$11:$A$37,0)),"")</f>
        <v/>
      </c>
      <c r="P37" s="74"/>
      <c r="Q37" s="66"/>
      <c r="R37" s="58"/>
      <c r="S37" s="69"/>
      <c r="T37" s="70"/>
      <c r="U37" s="66" t="str">
        <f t="shared" si="1"/>
        <v/>
      </c>
      <c r="V37" s="55" t="str">
        <f t="shared" si="2"/>
        <v/>
      </c>
      <c r="W37" s="55" t="str">
        <f t="shared" si="3"/>
        <v/>
      </c>
      <c r="X37" s="277" t="str">
        <f>+IF(W37="","",IF(W37&gt;=[1]PARÁMETROS!$D$5,"CUMPLE","NO CUMPLE"))</f>
        <v/>
      </c>
      <c r="Y37" s="139"/>
      <c r="Z37" s="109"/>
    </row>
    <row r="38" spans="1:26" s="72" customFormat="1" ht="30" customHeight="1" thickBot="1">
      <c r="A38" s="796"/>
      <c r="B38" s="58"/>
      <c r="C38" s="75"/>
      <c r="D38" s="60" t="str">
        <f>+IFERROR(INDEX([1]CONSOLIDADO!$D$4:$D$91,MATCH('EXP ESPEC. 1-5 '!B38,[1]CONSOLIDADO!$C$4:$C$91,0)),"")</f>
        <v/>
      </c>
      <c r="E38" s="61"/>
      <c r="F38" s="61"/>
      <c r="G38" s="277"/>
      <c r="H38" s="277"/>
      <c r="I38" s="277"/>
      <c r="J38" s="277"/>
      <c r="K38" s="73"/>
      <c r="L38" s="64"/>
      <c r="M38" s="64"/>
      <c r="N38" s="65" t="str">
        <f t="shared" si="0"/>
        <v/>
      </c>
      <c r="O38" s="66" t="str">
        <f>+IFERROR(INDEX([1]PARÁMETROS!$B$11:$B$37,MATCH(N38,[1]PARÁMETROS!$A$11:$A$37,0)),"")</f>
        <v/>
      </c>
      <c r="P38" s="74"/>
      <c r="Q38" s="66"/>
      <c r="R38" s="58"/>
      <c r="S38" s="69"/>
      <c r="T38" s="70"/>
      <c r="U38" s="66" t="str">
        <f t="shared" si="1"/>
        <v/>
      </c>
      <c r="V38" s="55" t="str">
        <f t="shared" si="2"/>
        <v/>
      </c>
      <c r="W38" s="55" t="str">
        <f t="shared" si="3"/>
        <v/>
      </c>
      <c r="X38" s="278" t="str">
        <f>+IF(W38="","",IF(W38&gt;=[1]PARÁMETROS!$D$5,"CUMPLE","NO CUMPLE"))</f>
        <v/>
      </c>
      <c r="Y38" s="139"/>
      <c r="Z38" s="109"/>
    </row>
    <row r="39" spans="1:26" s="72" customFormat="1" ht="30" customHeight="1">
      <c r="A39" s="795"/>
      <c r="B39" s="123"/>
      <c r="C39" s="157"/>
      <c r="D39" s="125" t="str">
        <f>+IFERROR(INDEX([1]CONSOLIDADO!$D$4:$D$91,MATCH('EXP ESPEC. 1-5 '!B39,[1]CONSOLIDADO!$C$4:$C$91,0)),"")</f>
        <v/>
      </c>
      <c r="E39" s="126"/>
      <c r="F39" s="126"/>
      <c r="G39" s="279"/>
      <c r="H39" s="279"/>
      <c r="I39" s="279"/>
      <c r="J39" s="279"/>
      <c r="K39" s="162"/>
      <c r="L39" s="129"/>
      <c r="M39" s="129"/>
      <c r="N39" s="130" t="str">
        <f t="shared" si="0"/>
        <v/>
      </c>
      <c r="O39" s="131" t="str">
        <f>+IFERROR(INDEX([1]PARÁMETROS!$B$11:$B$37,MATCH(N39,[1]PARÁMETROS!$A$11:$A$37,0)),"")</f>
        <v/>
      </c>
      <c r="P39" s="163"/>
      <c r="Q39" s="131"/>
      <c r="R39" s="123"/>
      <c r="S39" s="134"/>
      <c r="T39" s="135"/>
      <c r="U39" s="131" t="str">
        <f t="shared" si="1"/>
        <v/>
      </c>
      <c r="V39" s="136" t="str">
        <f t="shared" si="2"/>
        <v/>
      </c>
      <c r="W39" s="136" t="str">
        <f t="shared" si="3"/>
        <v/>
      </c>
      <c r="X39" s="168" t="str">
        <f>+IF(W39="","",IF(W39&gt;=[1]PARÁMETROS!$D$5,"CUMPLE","NO CUMPLE"))</f>
        <v/>
      </c>
      <c r="Y39" s="138"/>
      <c r="Z39" s="109"/>
    </row>
    <row r="40" spans="1:26" s="72" customFormat="1" ht="30" customHeight="1">
      <c r="A40" s="796"/>
      <c r="B40" s="58"/>
      <c r="C40" s="75"/>
      <c r="D40" s="60" t="str">
        <f>+IFERROR(INDEX([1]CONSOLIDADO!$D$4:$D$91,MATCH('EXP ESPEC. 1-5 '!B40,[1]CONSOLIDADO!$C$4:$C$91,0)),"")</f>
        <v/>
      </c>
      <c r="E40" s="61"/>
      <c r="F40" s="61"/>
      <c r="G40" s="277"/>
      <c r="H40" s="277"/>
      <c r="I40" s="277"/>
      <c r="J40" s="277"/>
      <c r="K40" s="73"/>
      <c r="L40" s="64"/>
      <c r="M40" s="64"/>
      <c r="N40" s="65" t="str">
        <f t="shared" si="0"/>
        <v/>
      </c>
      <c r="O40" s="66" t="str">
        <f>+IFERROR(INDEX([1]PARÁMETROS!$B$11:$B$37,MATCH(N40,[1]PARÁMETROS!$A$11:$A$37,0)),"")</f>
        <v/>
      </c>
      <c r="P40" s="74"/>
      <c r="Q40" s="66"/>
      <c r="R40" s="58"/>
      <c r="S40" s="69"/>
      <c r="T40" s="70"/>
      <c r="U40" s="66" t="str">
        <f t="shared" si="1"/>
        <v/>
      </c>
      <c r="V40" s="55" t="str">
        <f t="shared" si="2"/>
        <v/>
      </c>
      <c r="W40" s="55" t="str">
        <f t="shared" si="3"/>
        <v/>
      </c>
      <c r="X40" s="277" t="str">
        <f>+IF(W40="","",IF(W40&gt;=[1]PARÁMETROS!$D$5,"CUMPLE","NO CUMPLE"))</f>
        <v/>
      </c>
      <c r="Y40" s="139"/>
      <c r="Z40" s="109"/>
    </row>
    <row r="41" spans="1:26" s="72" customFormat="1" ht="30" customHeight="1">
      <c r="A41" s="796"/>
      <c r="B41" s="58"/>
      <c r="C41" s="75"/>
      <c r="D41" s="60" t="str">
        <f>+IFERROR(INDEX([1]CONSOLIDADO!$D$4:$D$91,MATCH('EXP ESPEC. 1-5 '!B41,[1]CONSOLIDADO!$C$4:$C$91,0)),"")</f>
        <v/>
      </c>
      <c r="E41" s="61"/>
      <c r="F41" s="61"/>
      <c r="G41" s="277"/>
      <c r="H41" s="277"/>
      <c r="I41" s="277"/>
      <c r="J41" s="277"/>
      <c r="K41" s="73"/>
      <c r="L41" s="64"/>
      <c r="M41" s="64"/>
      <c r="N41" s="65" t="str">
        <f t="shared" si="0"/>
        <v/>
      </c>
      <c r="O41" s="66" t="str">
        <f>+IFERROR(INDEX([1]PARÁMETROS!$B$11:$B$37,MATCH(N41,[1]PARÁMETROS!$A$11:$A$37,0)),"")</f>
        <v/>
      </c>
      <c r="P41" s="74"/>
      <c r="Q41" s="66"/>
      <c r="R41" s="58"/>
      <c r="S41" s="69"/>
      <c r="T41" s="70"/>
      <c r="U41" s="66" t="str">
        <f t="shared" si="1"/>
        <v/>
      </c>
      <c r="V41" s="55" t="str">
        <f t="shared" si="2"/>
        <v/>
      </c>
      <c r="W41" s="55" t="str">
        <f t="shared" si="3"/>
        <v/>
      </c>
      <c r="X41" s="277" t="str">
        <f>+IF(W41="","",IF(W41&gt;=[1]PARÁMETROS!$D$5,"CUMPLE","NO CUMPLE"))</f>
        <v/>
      </c>
      <c r="Y41" s="139"/>
      <c r="Z41" s="109"/>
    </row>
    <row r="42" spans="1:26" s="72" customFormat="1" ht="30" customHeight="1" thickBot="1">
      <c r="A42" s="796"/>
      <c r="B42" s="58"/>
      <c r="C42" s="75"/>
      <c r="D42" s="60" t="str">
        <f>+IFERROR(INDEX([1]CONSOLIDADO!$D$4:$D$91,MATCH('EXP ESPEC. 1-5 '!B42,[1]CONSOLIDADO!$C$4:$C$91,0)),"")</f>
        <v/>
      </c>
      <c r="E42" s="61"/>
      <c r="F42" s="61"/>
      <c r="G42" s="277"/>
      <c r="H42" s="277"/>
      <c r="I42" s="277"/>
      <c r="J42" s="277"/>
      <c r="K42" s="73"/>
      <c r="L42" s="64"/>
      <c r="M42" s="64"/>
      <c r="N42" s="65" t="str">
        <f t="shared" si="0"/>
        <v/>
      </c>
      <c r="O42" s="66" t="str">
        <f>+IFERROR(INDEX([1]PARÁMETROS!$B$11:$B$37,MATCH(N42,[1]PARÁMETROS!$A$11:$A$37,0)),"")</f>
        <v/>
      </c>
      <c r="P42" s="74"/>
      <c r="Q42" s="66"/>
      <c r="R42" s="58"/>
      <c r="S42" s="69"/>
      <c r="T42" s="70"/>
      <c r="U42" s="66" t="str">
        <f t="shared" si="1"/>
        <v/>
      </c>
      <c r="V42" s="55" t="str">
        <f t="shared" si="2"/>
        <v/>
      </c>
      <c r="W42" s="55" t="str">
        <f t="shared" si="3"/>
        <v/>
      </c>
      <c r="X42" s="278" t="str">
        <f>+IF(W42="","",IF(W42&gt;=[1]PARÁMETROS!$D$5,"CUMPLE","NO CUMPLE"))</f>
        <v/>
      </c>
      <c r="Y42" s="139"/>
      <c r="Z42" s="109"/>
    </row>
    <row r="43" spans="1:26" s="72" customFormat="1" ht="30" customHeight="1">
      <c r="A43" s="795"/>
      <c r="B43" s="123"/>
      <c r="C43" s="157"/>
      <c r="D43" s="125" t="str">
        <f>+IFERROR(INDEX([1]CONSOLIDADO!$D$4:$D$91,MATCH('EXP ESPEC. 1-5 '!B43,[1]CONSOLIDADO!$C$4:$C$91,0)),"")</f>
        <v/>
      </c>
      <c r="E43" s="126"/>
      <c r="F43" s="126"/>
      <c r="G43" s="279"/>
      <c r="H43" s="279"/>
      <c r="I43" s="279"/>
      <c r="J43" s="279"/>
      <c r="K43" s="162"/>
      <c r="L43" s="129"/>
      <c r="M43" s="129"/>
      <c r="N43" s="130" t="str">
        <f t="shared" si="0"/>
        <v/>
      </c>
      <c r="O43" s="131" t="str">
        <f>+IFERROR(INDEX([1]PARÁMETROS!$B$11:$B$37,MATCH(N43,[1]PARÁMETROS!$A$11:$A$37,0)),"")</f>
        <v/>
      </c>
      <c r="P43" s="163"/>
      <c r="Q43" s="131"/>
      <c r="R43" s="123"/>
      <c r="S43" s="134"/>
      <c r="T43" s="135"/>
      <c r="U43" s="131" t="str">
        <f t="shared" si="1"/>
        <v/>
      </c>
      <c r="V43" s="136" t="str">
        <f t="shared" si="2"/>
        <v/>
      </c>
      <c r="W43" s="136" t="str">
        <f t="shared" si="3"/>
        <v/>
      </c>
      <c r="X43" s="168" t="str">
        <f>+IF(W43="","",IF(W43&gt;=[1]PARÁMETROS!$D$5,"CUMPLE","NO CUMPLE"))</f>
        <v/>
      </c>
      <c r="Y43" s="138"/>
      <c r="Z43" s="109"/>
    </row>
    <row r="44" spans="1:26" s="72" customFormat="1" ht="30" customHeight="1">
      <c r="A44" s="796"/>
      <c r="B44" s="58"/>
      <c r="C44" s="75"/>
      <c r="D44" s="60" t="str">
        <f>+IFERROR(INDEX([1]CONSOLIDADO!$D$4:$D$91,MATCH('EXP ESPEC. 1-5 '!B44,[1]CONSOLIDADO!$C$4:$C$91,0)),"")</f>
        <v/>
      </c>
      <c r="E44" s="61"/>
      <c r="F44" s="61"/>
      <c r="G44" s="277"/>
      <c r="H44" s="277"/>
      <c r="I44" s="277"/>
      <c r="J44" s="277"/>
      <c r="K44" s="73"/>
      <c r="L44" s="64"/>
      <c r="M44" s="64"/>
      <c r="N44" s="65" t="str">
        <f t="shared" si="0"/>
        <v/>
      </c>
      <c r="O44" s="66" t="str">
        <f>+IFERROR(INDEX([1]PARÁMETROS!$B$11:$B$37,MATCH(N44,[1]PARÁMETROS!$A$11:$A$37,0)),"")</f>
        <v/>
      </c>
      <c r="P44" s="74"/>
      <c r="Q44" s="66"/>
      <c r="R44" s="58"/>
      <c r="S44" s="69"/>
      <c r="T44" s="70"/>
      <c r="U44" s="66" t="str">
        <f t="shared" si="1"/>
        <v/>
      </c>
      <c r="V44" s="55" t="str">
        <f t="shared" si="2"/>
        <v/>
      </c>
      <c r="W44" s="55" t="str">
        <f t="shared" si="3"/>
        <v/>
      </c>
      <c r="X44" s="277" t="str">
        <f>+IF(W44="","",IF(W44&gt;=[1]PARÁMETROS!$D$5,"CUMPLE","NO CUMPLE"))</f>
        <v/>
      </c>
      <c r="Y44" s="139"/>
      <c r="Z44" s="109"/>
    </row>
    <row r="45" spans="1:26" s="72" customFormat="1" ht="30" customHeight="1">
      <c r="A45" s="796"/>
      <c r="B45" s="58"/>
      <c r="C45" s="75"/>
      <c r="D45" s="60" t="str">
        <f>+IFERROR(INDEX([1]CONSOLIDADO!$D$4:$D$91,MATCH('EXP ESPEC. 1-5 '!B45,[1]CONSOLIDADO!$C$4:$C$91,0)),"")</f>
        <v/>
      </c>
      <c r="E45" s="61"/>
      <c r="F45" s="61"/>
      <c r="G45" s="277"/>
      <c r="H45" s="277"/>
      <c r="I45" s="277"/>
      <c r="J45" s="277"/>
      <c r="K45" s="73"/>
      <c r="L45" s="64"/>
      <c r="M45" s="64"/>
      <c r="N45" s="65" t="str">
        <f t="shared" si="0"/>
        <v/>
      </c>
      <c r="O45" s="66" t="str">
        <f>+IFERROR(INDEX([1]PARÁMETROS!$B$11:$B$37,MATCH(N45,[1]PARÁMETROS!$A$11:$A$37,0)),"")</f>
        <v/>
      </c>
      <c r="P45" s="74"/>
      <c r="Q45" s="66"/>
      <c r="R45" s="58"/>
      <c r="S45" s="69"/>
      <c r="T45" s="70"/>
      <c r="U45" s="66" t="str">
        <f t="shared" si="1"/>
        <v/>
      </c>
      <c r="V45" s="55" t="str">
        <f t="shared" si="2"/>
        <v/>
      </c>
      <c r="W45" s="55" t="str">
        <f t="shared" si="3"/>
        <v/>
      </c>
      <c r="X45" s="277" t="str">
        <f>+IF(W45="","",IF(W45&gt;=[1]PARÁMETROS!$D$5,"CUMPLE","NO CUMPLE"))</f>
        <v/>
      </c>
      <c r="Y45" s="139"/>
      <c r="Z45" s="109"/>
    </row>
    <row r="46" spans="1:26" s="72" customFormat="1" ht="30" customHeight="1" thickBot="1">
      <c r="A46" s="796"/>
      <c r="B46" s="58"/>
      <c r="C46" s="75"/>
      <c r="D46" s="60" t="str">
        <f>+IFERROR(INDEX([1]CONSOLIDADO!$D$4:$D$91,MATCH('EXP ESPEC. 1-5 '!B46,[1]CONSOLIDADO!$C$4:$C$91,0)),"")</f>
        <v/>
      </c>
      <c r="E46" s="61"/>
      <c r="F46" s="61"/>
      <c r="G46" s="277"/>
      <c r="H46" s="277"/>
      <c r="I46" s="277"/>
      <c r="J46" s="277"/>
      <c r="K46" s="73"/>
      <c r="L46" s="64"/>
      <c r="M46" s="64"/>
      <c r="N46" s="65" t="str">
        <f t="shared" si="0"/>
        <v/>
      </c>
      <c r="O46" s="66" t="str">
        <f>+IFERROR(INDEX([1]PARÁMETROS!$B$11:$B$37,MATCH(N46,[1]PARÁMETROS!$A$11:$A$37,0)),"")</f>
        <v/>
      </c>
      <c r="P46" s="74"/>
      <c r="Q46" s="66"/>
      <c r="R46" s="58"/>
      <c r="S46" s="69"/>
      <c r="T46" s="70"/>
      <c r="U46" s="66" t="str">
        <f t="shared" si="1"/>
        <v/>
      </c>
      <c r="V46" s="55" t="str">
        <f t="shared" si="2"/>
        <v/>
      </c>
      <c r="W46" s="55" t="str">
        <f t="shared" si="3"/>
        <v/>
      </c>
      <c r="X46" s="278" t="str">
        <f>+IF(W46="","",IF(W46&gt;=[1]PARÁMETROS!$D$5,"CUMPLE","NO CUMPLE"))</f>
        <v/>
      </c>
      <c r="Y46" s="139"/>
      <c r="Z46" s="109"/>
    </row>
    <row r="47" spans="1:26" s="72" customFormat="1" ht="30" customHeight="1">
      <c r="A47" s="795"/>
      <c r="B47" s="123"/>
      <c r="C47" s="157"/>
      <c r="D47" s="125" t="str">
        <f>+IFERROR(INDEX([1]CONSOLIDADO!$D$4:$D$91,MATCH('EXP ESPEC. 1-5 '!B47,[1]CONSOLIDADO!$C$4:$C$91,0)),"")</f>
        <v/>
      </c>
      <c r="E47" s="126"/>
      <c r="F47" s="126"/>
      <c r="G47" s="279"/>
      <c r="H47" s="279"/>
      <c r="I47" s="279"/>
      <c r="J47" s="279"/>
      <c r="K47" s="162"/>
      <c r="L47" s="129"/>
      <c r="M47" s="129"/>
      <c r="N47" s="130" t="str">
        <f t="shared" si="0"/>
        <v/>
      </c>
      <c r="O47" s="131" t="str">
        <f>+IFERROR(INDEX([1]PARÁMETROS!$B$11:$B$37,MATCH(N47,[1]PARÁMETROS!$A$11:$A$37,0)),"")</f>
        <v/>
      </c>
      <c r="P47" s="163"/>
      <c r="Q47" s="131"/>
      <c r="R47" s="123"/>
      <c r="S47" s="134"/>
      <c r="T47" s="135"/>
      <c r="U47" s="131" t="str">
        <f t="shared" si="1"/>
        <v/>
      </c>
      <c r="V47" s="136" t="str">
        <f t="shared" si="2"/>
        <v/>
      </c>
      <c r="W47" s="136" t="str">
        <f t="shared" si="3"/>
        <v/>
      </c>
      <c r="X47" s="168" t="str">
        <f>+IF(W47="","",IF(W47&gt;=[1]PARÁMETROS!$D$5,"CUMPLE","NO CUMPLE"))</f>
        <v/>
      </c>
      <c r="Y47" s="138"/>
      <c r="Z47" s="109"/>
    </row>
    <row r="48" spans="1:26" s="72" customFormat="1" ht="30" customHeight="1">
      <c r="A48" s="796"/>
      <c r="B48" s="58"/>
      <c r="C48" s="75"/>
      <c r="D48" s="60" t="str">
        <f>+IFERROR(INDEX([1]CONSOLIDADO!$D$4:$D$91,MATCH('EXP ESPEC. 1-5 '!B48,[1]CONSOLIDADO!$C$4:$C$91,0)),"")</f>
        <v/>
      </c>
      <c r="E48" s="61"/>
      <c r="F48" s="61"/>
      <c r="G48" s="277"/>
      <c r="H48" s="277"/>
      <c r="I48" s="277"/>
      <c r="J48" s="277"/>
      <c r="K48" s="73"/>
      <c r="L48" s="64"/>
      <c r="M48" s="64"/>
      <c r="N48" s="65" t="str">
        <f t="shared" si="0"/>
        <v/>
      </c>
      <c r="O48" s="66" t="str">
        <f>+IFERROR(INDEX([1]PARÁMETROS!$B$11:$B$37,MATCH(N48,[1]PARÁMETROS!$A$11:$A$37,0)),"")</f>
        <v/>
      </c>
      <c r="P48" s="74"/>
      <c r="Q48" s="66"/>
      <c r="R48" s="58"/>
      <c r="S48" s="69"/>
      <c r="T48" s="70"/>
      <c r="U48" s="66" t="str">
        <f t="shared" si="1"/>
        <v/>
      </c>
      <c r="V48" s="55" t="str">
        <f t="shared" si="2"/>
        <v/>
      </c>
      <c r="W48" s="55" t="str">
        <f t="shared" si="3"/>
        <v/>
      </c>
      <c r="X48" s="277" t="str">
        <f>+IF(W48="","",IF(W48&gt;=[1]PARÁMETROS!$D$5,"CUMPLE","NO CUMPLE"))</f>
        <v/>
      </c>
      <c r="Y48" s="139"/>
      <c r="Z48" s="109"/>
    </row>
    <row r="49" spans="1:26" s="72" customFormat="1" ht="30" customHeight="1">
      <c r="A49" s="796"/>
      <c r="B49" s="58"/>
      <c r="C49" s="75"/>
      <c r="D49" s="60" t="str">
        <f>+IFERROR(INDEX([1]CONSOLIDADO!$D$4:$D$91,MATCH('EXP ESPEC. 1-5 '!B49,[1]CONSOLIDADO!$C$4:$C$91,0)),"")</f>
        <v/>
      </c>
      <c r="E49" s="61"/>
      <c r="F49" s="61"/>
      <c r="G49" s="277"/>
      <c r="H49" s="277"/>
      <c r="I49" s="277"/>
      <c r="J49" s="277"/>
      <c r="K49" s="73"/>
      <c r="L49" s="64"/>
      <c r="M49" s="64"/>
      <c r="N49" s="65" t="str">
        <f t="shared" si="0"/>
        <v/>
      </c>
      <c r="O49" s="66" t="str">
        <f>+IFERROR(INDEX([1]PARÁMETROS!$B$11:$B$37,MATCH(N49,[1]PARÁMETROS!$A$11:$A$37,0)),"")</f>
        <v/>
      </c>
      <c r="P49" s="74"/>
      <c r="Q49" s="66"/>
      <c r="R49" s="58"/>
      <c r="S49" s="69"/>
      <c r="T49" s="70"/>
      <c r="U49" s="66" t="str">
        <f t="shared" si="1"/>
        <v/>
      </c>
      <c r="V49" s="55" t="str">
        <f t="shared" si="2"/>
        <v/>
      </c>
      <c r="W49" s="55" t="str">
        <f t="shared" si="3"/>
        <v/>
      </c>
      <c r="X49" s="277" t="str">
        <f>+IF(W49="","",IF(W49&gt;=[1]PARÁMETROS!$D$5,"CUMPLE","NO CUMPLE"))</f>
        <v/>
      </c>
      <c r="Y49" s="139"/>
      <c r="Z49" s="109"/>
    </row>
    <row r="50" spans="1:26" s="72" customFormat="1" ht="30" customHeight="1" thickBot="1">
      <c r="A50" s="796"/>
      <c r="B50" s="58"/>
      <c r="C50" s="75"/>
      <c r="D50" s="60" t="str">
        <f>+IFERROR(INDEX([1]CONSOLIDADO!$D$4:$D$91,MATCH('EXP ESPEC. 1-5 '!B50,[1]CONSOLIDADO!$C$4:$C$91,0)),"")</f>
        <v/>
      </c>
      <c r="E50" s="61"/>
      <c r="F50" s="61"/>
      <c r="G50" s="277"/>
      <c r="H50" s="277"/>
      <c r="I50" s="277"/>
      <c r="J50" s="277"/>
      <c r="K50" s="73"/>
      <c r="L50" s="64"/>
      <c r="M50" s="64"/>
      <c r="N50" s="65" t="str">
        <f t="shared" si="0"/>
        <v/>
      </c>
      <c r="O50" s="66" t="str">
        <f>+IFERROR(INDEX([1]PARÁMETROS!$B$11:$B$37,MATCH(N50,[1]PARÁMETROS!$A$11:$A$37,0)),"")</f>
        <v/>
      </c>
      <c r="P50" s="74"/>
      <c r="Q50" s="66"/>
      <c r="R50" s="58"/>
      <c r="S50" s="69"/>
      <c r="T50" s="70"/>
      <c r="U50" s="66" t="str">
        <f t="shared" si="1"/>
        <v/>
      </c>
      <c r="V50" s="55" t="str">
        <f t="shared" si="2"/>
        <v/>
      </c>
      <c r="W50" s="55" t="str">
        <f t="shared" si="3"/>
        <v/>
      </c>
      <c r="X50" s="278" t="str">
        <f>+IF(W50="","",IF(W50&gt;=[1]PARÁMETROS!$D$5,"CUMPLE","NO CUMPLE"))</f>
        <v/>
      </c>
      <c r="Y50" s="139"/>
      <c r="Z50" s="109"/>
    </row>
    <row r="51" spans="1:26" s="72" customFormat="1" ht="30" customHeight="1">
      <c r="A51" s="795"/>
      <c r="B51" s="123"/>
      <c r="C51" s="157"/>
      <c r="D51" s="125" t="str">
        <f>+IFERROR(INDEX([1]CONSOLIDADO!$D$4:$D$91,MATCH('EXP ESPEC. 1-5 '!B51,[1]CONSOLIDADO!$C$4:$C$91,0)),"")</f>
        <v/>
      </c>
      <c r="E51" s="126"/>
      <c r="F51" s="126"/>
      <c r="G51" s="279"/>
      <c r="H51" s="279"/>
      <c r="I51" s="279"/>
      <c r="J51" s="279"/>
      <c r="K51" s="162"/>
      <c r="L51" s="129"/>
      <c r="M51" s="129"/>
      <c r="N51" s="130" t="str">
        <f t="shared" si="0"/>
        <v/>
      </c>
      <c r="O51" s="131" t="str">
        <f>+IFERROR(INDEX([1]PARÁMETROS!$B$11:$B$37,MATCH(N51,[1]PARÁMETROS!$A$11:$A$37,0)),"")</f>
        <v/>
      </c>
      <c r="P51" s="163"/>
      <c r="Q51" s="131"/>
      <c r="R51" s="123"/>
      <c r="S51" s="134"/>
      <c r="T51" s="135"/>
      <c r="U51" s="131" t="str">
        <f t="shared" si="1"/>
        <v/>
      </c>
      <c r="V51" s="136" t="str">
        <f t="shared" si="2"/>
        <v/>
      </c>
      <c r="W51" s="136" t="str">
        <f t="shared" si="3"/>
        <v/>
      </c>
      <c r="X51" s="168" t="str">
        <f>+IF(W51="","",IF(W51&gt;=[1]PARÁMETROS!$D$5,"CUMPLE","NO CUMPLE"))</f>
        <v/>
      </c>
      <c r="Y51" s="138"/>
      <c r="Z51" s="109"/>
    </row>
    <row r="52" spans="1:26" s="72" customFormat="1" ht="30" customHeight="1">
      <c r="A52" s="796"/>
      <c r="B52" s="58"/>
      <c r="C52" s="75"/>
      <c r="D52" s="60" t="str">
        <f>+IFERROR(INDEX([1]CONSOLIDADO!$D$4:$D$91,MATCH('EXP ESPEC. 1-5 '!B52,[1]CONSOLIDADO!$C$4:$C$91,0)),"")</f>
        <v/>
      </c>
      <c r="E52" s="61"/>
      <c r="F52" s="61"/>
      <c r="G52" s="277"/>
      <c r="H52" s="277"/>
      <c r="I52" s="277"/>
      <c r="J52" s="277"/>
      <c r="K52" s="73"/>
      <c r="L52" s="64"/>
      <c r="M52" s="64"/>
      <c r="N52" s="65" t="str">
        <f t="shared" si="0"/>
        <v/>
      </c>
      <c r="O52" s="66" t="str">
        <f>+IFERROR(INDEX([1]PARÁMETROS!$B$11:$B$37,MATCH(N52,[1]PARÁMETROS!$A$11:$A$37,0)),"")</f>
        <v/>
      </c>
      <c r="P52" s="74"/>
      <c r="Q52" s="66"/>
      <c r="R52" s="58"/>
      <c r="S52" s="69"/>
      <c r="T52" s="70"/>
      <c r="U52" s="66" t="str">
        <f t="shared" si="1"/>
        <v/>
      </c>
      <c r="V52" s="55" t="str">
        <f t="shared" si="2"/>
        <v/>
      </c>
      <c r="W52" s="55" t="str">
        <f t="shared" si="3"/>
        <v/>
      </c>
      <c r="X52" s="277" t="str">
        <f>+IF(W52="","",IF(W52&gt;=[1]PARÁMETROS!$D$5,"CUMPLE","NO CUMPLE"))</f>
        <v/>
      </c>
      <c r="Y52" s="139"/>
      <c r="Z52" s="109"/>
    </row>
    <row r="53" spans="1:26" s="72" customFormat="1" ht="30" customHeight="1">
      <c r="A53" s="796"/>
      <c r="B53" s="58"/>
      <c r="C53" s="75"/>
      <c r="D53" s="60" t="str">
        <f>+IFERROR(INDEX([1]CONSOLIDADO!$D$4:$D$91,MATCH('EXP ESPEC. 1-5 '!B53,[1]CONSOLIDADO!$C$4:$C$91,0)),"")</f>
        <v/>
      </c>
      <c r="E53" s="61"/>
      <c r="F53" s="61"/>
      <c r="G53" s="277"/>
      <c r="H53" s="277"/>
      <c r="I53" s="277"/>
      <c r="J53" s="277"/>
      <c r="K53" s="73"/>
      <c r="L53" s="64"/>
      <c r="M53" s="64"/>
      <c r="N53" s="65" t="str">
        <f t="shared" si="0"/>
        <v/>
      </c>
      <c r="O53" s="66" t="str">
        <f>+IFERROR(INDEX([1]PARÁMETROS!$B$11:$B$37,MATCH(N53,[1]PARÁMETROS!$A$11:$A$37,0)),"")</f>
        <v/>
      </c>
      <c r="P53" s="74"/>
      <c r="Q53" s="66"/>
      <c r="R53" s="58"/>
      <c r="S53" s="69"/>
      <c r="T53" s="70"/>
      <c r="U53" s="66" t="str">
        <f t="shared" si="1"/>
        <v/>
      </c>
      <c r="V53" s="55" t="str">
        <f t="shared" si="2"/>
        <v/>
      </c>
      <c r="W53" s="55" t="str">
        <f t="shared" si="3"/>
        <v/>
      </c>
      <c r="X53" s="277" t="str">
        <f>+IF(W53="","",IF(W53&gt;=[1]PARÁMETROS!$D$5,"CUMPLE","NO CUMPLE"))</f>
        <v/>
      </c>
      <c r="Y53" s="139"/>
      <c r="Z53" s="109"/>
    </row>
    <row r="54" spans="1:26" s="72" customFormat="1" ht="30" customHeight="1" thickBot="1">
      <c r="A54" s="806"/>
      <c r="B54" s="141"/>
      <c r="C54" s="142"/>
      <c r="D54" s="143" t="str">
        <f>+IFERROR(INDEX([1]CONSOLIDADO!$D$4:$D$91,MATCH('EXP ESPEC. 1-5 '!B54,[1]CONSOLIDADO!$C$4:$C$91,0)),"")</f>
        <v/>
      </c>
      <c r="E54" s="144"/>
      <c r="F54" s="144"/>
      <c r="G54" s="278"/>
      <c r="H54" s="278"/>
      <c r="I54" s="278"/>
      <c r="J54" s="278"/>
      <c r="K54" s="164"/>
      <c r="L54" s="147"/>
      <c r="M54" s="147"/>
      <c r="N54" s="148" t="str">
        <f t="shared" si="0"/>
        <v/>
      </c>
      <c r="O54" s="149" t="str">
        <f>+IFERROR(INDEX([1]PARÁMETROS!$B$11:$B$37,MATCH(N54,[1]PARÁMETROS!$A$11:$A$37,0)),"")</f>
        <v/>
      </c>
      <c r="P54" s="165"/>
      <c r="Q54" s="149"/>
      <c r="R54" s="141"/>
      <c r="S54" s="152"/>
      <c r="T54" s="153"/>
      <c r="U54" s="149" t="str">
        <f t="shared" si="1"/>
        <v/>
      </c>
      <c r="V54" s="154" t="str">
        <f t="shared" si="2"/>
        <v/>
      </c>
      <c r="W54" s="154" t="str">
        <f t="shared" si="3"/>
        <v/>
      </c>
      <c r="X54" s="278" t="str">
        <f>+IF(W54="","",IF(W54&gt;=[1]PARÁMETROS!$D$5,"CUMPLE","NO CUMPLE"))</f>
        <v/>
      </c>
      <c r="Y54" s="155"/>
      <c r="Z54" s="109"/>
    </row>
    <row r="55" spans="1:26" s="72" customFormat="1" ht="30" customHeight="1">
      <c r="A55" s="110"/>
      <c r="B55" s="110"/>
      <c r="C55" s="111"/>
      <c r="D55" s="112"/>
      <c r="E55" s="113"/>
      <c r="F55" s="113"/>
      <c r="G55" s="113"/>
      <c r="H55" s="113"/>
      <c r="I55" s="113"/>
      <c r="J55" s="113"/>
      <c r="K55" s="159"/>
      <c r="L55" s="116"/>
      <c r="M55" s="116"/>
      <c r="N55" s="160"/>
      <c r="O55" s="117"/>
      <c r="P55" s="161"/>
      <c r="Q55" s="117"/>
      <c r="R55" s="110"/>
      <c r="S55" s="120"/>
      <c r="T55" s="121"/>
      <c r="U55" s="117"/>
      <c r="V55" s="122"/>
      <c r="W55" s="122"/>
      <c r="X55" s="280"/>
      <c r="Y55" s="113"/>
    </row>
    <row r="56" spans="1:26" s="72" customFormat="1" ht="30" customHeight="1">
      <c r="A56" s="58"/>
      <c r="B56" s="58"/>
      <c r="C56" s="75"/>
      <c r="D56" s="60"/>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75"/>
      <c r="D57" s="60"/>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75"/>
      <c r="D58" s="60"/>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75"/>
      <c r="D59" s="60"/>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75"/>
      <c r="D60" s="60"/>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75"/>
      <c r="D61" s="60"/>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75"/>
      <c r="D62" s="60"/>
      <c r="E62" s="61"/>
      <c r="F62" s="61"/>
      <c r="G62" s="61"/>
      <c r="H62" s="61"/>
      <c r="I62" s="61"/>
      <c r="J62" s="61"/>
      <c r="K62" s="73"/>
      <c r="L62" s="64"/>
      <c r="M62" s="64"/>
      <c r="N62" s="65"/>
      <c r="O62" s="66"/>
      <c r="P62" s="74"/>
      <c r="Q62" s="66"/>
      <c r="R62" s="58"/>
      <c r="S62" s="69"/>
      <c r="T62" s="70"/>
      <c r="U62" s="66"/>
      <c r="V62" s="55"/>
      <c r="W62" s="55"/>
      <c r="X62" s="277"/>
      <c r="Y62" s="61"/>
    </row>
    <row r="63" spans="1:26" s="72" customFormat="1" ht="30" customHeight="1">
      <c r="A63" s="58"/>
      <c r="B63" s="58"/>
      <c r="C63" s="75"/>
      <c r="D63" s="60"/>
      <c r="E63" s="61"/>
      <c r="F63" s="61"/>
      <c r="G63" s="61"/>
      <c r="H63" s="61"/>
      <c r="I63" s="61"/>
      <c r="J63" s="61"/>
      <c r="K63" s="73"/>
      <c r="L63" s="64"/>
      <c r="M63" s="64"/>
      <c r="N63" s="65"/>
      <c r="O63" s="66"/>
      <c r="P63" s="74"/>
      <c r="Q63" s="66"/>
      <c r="R63" s="58"/>
      <c r="S63" s="69"/>
      <c r="T63" s="70"/>
      <c r="U63" s="66"/>
      <c r="V63" s="55"/>
      <c r="W63" s="55"/>
      <c r="X63" s="277"/>
      <c r="Y63" s="61"/>
    </row>
    <row r="64" spans="1:26" s="72" customFormat="1" ht="30" customHeight="1">
      <c r="A64" s="58"/>
      <c r="B64" s="58"/>
      <c r="C64" s="75"/>
      <c r="D64" s="60"/>
      <c r="E64" s="61"/>
      <c r="F64" s="61"/>
      <c r="G64" s="61"/>
      <c r="H64" s="61"/>
      <c r="I64" s="61"/>
      <c r="J64" s="61"/>
      <c r="K64" s="73"/>
      <c r="L64" s="64"/>
      <c r="M64" s="64"/>
      <c r="N64" s="65"/>
      <c r="O64" s="66"/>
      <c r="P64" s="74"/>
      <c r="Q64" s="66"/>
      <c r="R64" s="58"/>
      <c r="S64" s="69"/>
      <c r="T64" s="70"/>
      <c r="U64" s="66"/>
      <c r="V64" s="55"/>
      <c r="W64" s="55"/>
      <c r="X64" s="277"/>
      <c r="Y64" s="61"/>
    </row>
    <row r="65" spans="1:25" s="72" customFormat="1" ht="30" customHeight="1">
      <c r="A65" s="58"/>
      <c r="B65" s="58"/>
      <c r="C65" s="75"/>
      <c r="D65" s="60"/>
      <c r="E65" s="61"/>
      <c r="F65" s="61"/>
      <c r="G65" s="61"/>
      <c r="H65" s="61"/>
      <c r="I65" s="61"/>
      <c r="J65" s="61"/>
      <c r="K65" s="73"/>
      <c r="L65" s="64"/>
      <c r="M65" s="64"/>
      <c r="N65" s="65"/>
      <c r="O65" s="66"/>
      <c r="P65" s="74"/>
      <c r="Q65" s="66"/>
      <c r="R65" s="58"/>
      <c r="S65" s="69"/>
      <c r="T65" s="70"/>
      <c r="U65" s="66"/>
      <c r="V65" s="55"/>
      <c r="W65" s="55"/>
      <c r="X65" s="277"/>
      <c r="Y65" s="61"/>
    </row>
    <row r="66" spans="1:25" s="72" customFormat="1" ht="30" customHeight="1">
      <c r="A66" s="58"/>
      <c r="B66" s="58"/>
      <c r="C66" s="75"/>
      <c r="D66" s="60"/>
      <c r="E66" s="61"/>
      <c r="F66" s="61"/>
      <c r="G66" s="61"/>
      <c r="H66" s="61"/>
      <c r="I66" s="61"/>
      <c r="J66" s="61"/>
      <c r="K66" s="73"/>
      <c r="L66" s="64"/>
      <c r="M66" s="64"/>
      <c r="N66" s="65"/>
      <c r="O66" s="66"/>
      <c r="P66" s="74"/>
      <c r="Q66" s="66"/>
      <c r="R66" s="58"/>
      <c r="S66" s="69"/>
      <c r="T66" s="70"/>
      <c r="U66" s="66"/>
      <c r="V66" s="55"/>
      <c r="W66" s="55"/>
      <c r="X66" s="277"/>
      <c r="Y66" s="61"/>
    </row>
    <row r="67" spans="1:25" s="99" customFormat="1" ht="30" customHeight="1">
      <c r="A67" s="89"/>
      <c r="B67" s="89"/>
      <c r="C67" s="90"/>
      <c r="D67" s="91"/>
      <c r="E67" s="92"/>
      <c r="F67" s="92"/>
      <c r="G67" s="92"/>
      <c r="H67" s="92"/>
      <c r="I67" s="92"/>
      <c r="J67" s="92"/>
      <c r="K67" s="93"/>
      <c r="L67" s="94"/>
      <c r="M67" s="94"/>
      <c r="N67" s="95"/>
      <c r="O67" s="66"/>
      <c r="P67" s="96"/>
      <c r="Q67" s="97"/>
      <c r="R67" s="58"/>
      <c r="S67" s="69"/>
      <c r="T67" s="70"/>
      <c r="U67" s="66"/>
      <c r="V67" s="55"/>
      <c r="W67" s="55"/>
      <c r="X67" s="277"/>
      <c r="Y67" s="92"/>
    </row>
    <row r="68" spans="1:25" s="99" customFormat="1" ht="30" customHeight="1">
      <c r="A68" s="89"/>
      <c r="B68" s="89"/>
      <c r="C68" s="90"/>
      <c r="D68" s="91"/>
      <c r="E68" s="92"/>
      <c r="F68" s="92"/>
      <c r="G68" s="92"/>
      <c r="H68" s="92"/>
      <c r="I68" s="92"/>
      <c r="J68" s="92"/>
      <c r="K68" s="93"/>
      <c r="L68" s="94"/>
      <c r="M68" s="94"/>
      <c r="N68" s="95"/>
      <c r="O68" s="66"/>
      <c r="P68" s="96"/>
      <c r="Q68" s="97"/>
      <c r="R68" s="58"/>
      <c r="S68" s="69"/>
      <c r="T68" s="70"/>
      <c r="U68" s="66"/>
      <c r="V68" s="55"/>
      <c r="W68" s="55"/>
      <c r="X68" s="277"/>
      <c r="Y68" s="92"/>
    </row>
    <row r="69" spans="1:25" s="99" customFormat="1" ht="30" customHeight="1">
      <c r="A69" s="89"/>
      <c r="B69" s="89"/>
      <c r="C69" s="90"/>
      <c r="D69" s="91"/>
      <c r="E69" s="92"/>
      <c r="F69" s="92"/>
      <c r="G69" s="92"/>
      <c r="H69" s="92"/>
      <c r="I69" s="92"/>
      <c r="J69" s="92"/>
      <c r="K69" s="93"/>
      <c r="L69" s="94"/>
      <c r="M69" s="94"/>
      <c r="N69" s="95"/>
      <c r="O69" s="66"/>
      <c r="P69" s="96"/>
      <c r="Q69" s="97"/>
      <c r="R69" s="58"/>
      <c r="S69" s="69"/>
      <c r="T69" s="70"/>
      <c r="U69" s="66"/>
      <c r="V69" s="55"/>
      <c r="W69" s="55"/>
      <c r="X69" s="277"/>
      <c r="Y69" s="92"/>
    </row>
    <row r="70" spans="1:25" s="99" customFormat="1" ht="30" customHeight="1">
      <c r="A70" s="89"/>
      <c r="B70" s="89"/>
      <c r="C70" s="90"/>
      <c r="D70" s="91"/>
      <c r="E70" s="92"/>
      <c r="F70" s="92"/>
      <c r="G70" s="92"/>
      <c r="H70" s="92"/>
      <c r="I70" s="92"/>
      <c r="J70" s="92"/>
      <c r="K70" s="93"/>
      <c r="L70" s="94"/>
      <c r="M70" s="94"/>
      <c r="N70" s="95"/>
      <c r="O70" s="66"/>
      <c r="P70" s="96"/>
      <c r="Q70" s="97"/>
      <c r="R70" s="58"/>
      <c r="S70" s="69"/>
      <c r="T70" s="70"/>
      <c r="U70" s="66"/>
      <c r="V70" s="55"/>
      <c r="W70" s="55"/>
      <c r="X70" s="277"/>
      <c r="Y70" s="92"/>
    </row>
    <row r="71" spans="1:25" s="99" customFormat="1" ht="30" customHeight="1">
      <c r="A71" s="89"/>
      <c r="B71" s="89"/>
      <c r="C71" s="90"/>
      <c r="D71" s="91"/>
      <c r="E71" s="92"/>
      <c r="F71" s="92"/>
      <c r="G71" s="92"/>
      <c r="H71" s="92"/>
      <c r="I71" s="92"/>
      <c r="J71" s="92"/>
      <c r="K71" s="93"/>
      <c r="L71" s="94"/>
      <c r="M71" s="94"/>
      <c r="N71" s="95"/>
      <c r="O71" s="66"/>
      <c r="P71" s="96"/>
      <c r="Q71" s="97"/>
      <c r="R71" s="58"/>
      <c r="S71" s="69"/>
      <c r="T71" s="70"/>
      <c r="U71" s="66"/>
      <c r="V71" s="55"/>
      <c r="W71" s="55"/>
      <c r="X71" s="277"/>
      <c r="Y71" s="92"/>
    </row>
    <row r="72" spans="1:25" s="99" customFormat="1" ht="30" customHeight="1">
      <c r="A72" s="89"/>
      <c r="B72" s="89"/>
      <c r="C72" s="90"/>
      <c r="D72" s="91"/>
      <c r="E72" s="92"/>
      <c r="F72" s="92"/>
      <c r="G72" s="92"/>
      <c r="H72" s="92"/>
      <c r="I72" s="92"/>
      <c r="J72" s="92"/>
      <c r="K72" s="93"/>
      <c r="L72" s="94"/>
      <c r="M72" s="94"/>
      <c r="N72" s="95"/>
      <c r="O72" s="66"/>
      <c r="P72" s="96"/>
      <c r="Q72" s="97"/>
      <c r="R72" s="58"/>
      <c r="S72" s="69"/>
      <c r="T72" s="70"/>
      <c r="U72" s="66"/>
      <c r="V72" s="55"/>
      <c r="W72" s="55"/>
      <c r="X72" s="277"/>
      <c r="Y72" s="92"/>
    </row>
    <row r="73" spans="1:25" s="99" customFormat="1" ht="30" customHeight="1">
      <c r="A73" s="89"/>
      <c r="B73" s="89"/>
      <c r="C73" s="90"/>
      <c r="D73" s="91"/>
      <c r="E73" s="92"/>
      <c r="F73" s="92"/>
      <c r="G73" s="92"/>
      <c r="H73" s="92"/>
      <c r="I73" s="92"/>
      <c r="J73" s="92"/>
      <c r="K73" s="93"/>
      <c r="L73" s="94"/>
      <c r="M73" s="94"/>
      <c r="N73" s="95"/>
      <c r="O73" s="66"/>
      <c r="P73" s="96"/>
      <c r="Q73" s="97"/>
      <c r="R73" s="58"/>
      <c r="S73" s="69"/>
      <c r="T73" s="70"/>
      <c r="U73" s="66"/>
      <c r="V73" s="55"/>
      <c r="W73" s="55"/>
      <c r="X73" s="277"/>
      <c r="Y73" s="92"/>
    </row>
    <row r="74" spans="1:25" s="99" customFormat="1" ht="30" customHeight="1">
      <c r="A74" s="89"/>
      <c r="B74" s="89"/>
      <c r="C74" s="90"/>
      <c r="D74" s="91"/>
      <c r="E74" s="92"/>
      <c r="F74" s="92"/>
      <c r="G74" s="92"/>
      <c r="H74" s="92"/>
      <c r="I74" s="92"/>
      <c r="J74" s="92"/>
      <c r="K74" s="93"/>
      <c r="L74" s="94"/>
      <c r="M74" s="94"/>
      <c r="N74" s="95"/>
      <c r="O74" s="66"/>
      <c r="P74" s="96"/>
      <c r="Q74" s="97"/>
      <c r="R74" s="58"/>
      <c r="S74" s="69"/>
      <c r="T74" s="70"/>
      <c r="U74" s="66"/>
      <c r="V74" s="55"/>
      <c r="W74" s="55"/>
      <c r="X74" s="277"/>
      <c r="Y74" s="92"/>
    </row>
    <row r="75" spans="1:25" s="99" customFormat="1" ht="30" customHeight="1">
      <c r="A75" s="89"/>
      <c r="B75" s="89"/>
      <c r="C75" s="90"/>
      <c r="D75" s="91"/>
      <c r="E75" s="92"/>
      <c r="F75" s="92"/>
      <c r="G75" s="92"/>
      <c r="H75" s="92"/>
      <c r="I75" s="92"/>
      <c r="J75" s="92"/>
      <c r="K75" s="93"/>
      <c r="L75" s="94"/>
      <c r="M75" s="94"/>
      <c r="N75" s="95"/>
      <c r="O75" s="66"/>
      <c r="P75" s="96"/>
      <c r="Q75" s="97"/>
      <c r="R75" s="58"/>
      <c r="S75" s="69"/>
      <c r="T75" s="70"/>
      <c r="U75" s="66"/>
      <c r="V75" s="55"/>
      <c r="W75" s="55"/>
      <c r="X75" s="277"/>
      <c r="Y75" s="92"/>
    </row>
    <row r="76" spans="1:25" s="99" customFormat="1" ht="30" customHeight="1">
      <c r="A76" s="89"/>
      <c r="B76" s="89"/>
      <c r="C76" s="90"/>
      <c r="D76" s="91"/>
      <c r="E76" s="92"/>
      <c r="F76" s="92"/>
      <c r="G76" s="92"/>
      <c r="H76" s="92"/>
      <c r="I76" s="92"/>
      <c r="J76" s="92"/>
      <c r="K76" s="93"/>
      <c r="L76" s="94"/>
      <c r="M76" s="94"/>
      <c r="N76" s="95"/>
      <c r="O76" s="66"/>
      <c r="P76" s="96"/>
      <c r="Q76" s="97"/>
      <c r="R76" s="58"/>
      <c r="S76" s="69"/>
      <c r="T76" s="70"/>
      <c r="U76" s="66"/>
      <c r="V76" s="55"/>
      <c r="W76" s="55"/>
      <c r="X76" s="277"/>
      <c r="Y76" s="92"/>
    </row>
    <row r="77" spans="1:25" s="99" customFormat="1" ht="30" customHeight="1">
      <c r="A77" s="89"/>
      <c r="B77" s="89"/>
      <c r="C77" s="90"/>
      <c r="D77" s="91"/>
      <c r="E77" s="92"/>
      <c r="F77" s="92"/>
      <c r="G77" s="92"/>
      <c r="H77" s="92"/>
      <c r="I77" s="92"/>
      <c r="J77" s="92"/>
      <c r="K77" s="93"/>
      <c r="L77" s="94"/>
      <c r="M77" s="94"/>
      <c r="N77" s="95"/>
      <c r="O77" s="66"/>
      <c r="P77" s="96"/>
      <c r="Q77" s="97"/>
      <c r="R77" s="58"/>
      <c r="S77" s="69"/>
      <c r="T77" s="70"/>
      <c r="U77" s="66"/>
      <c r="V77" s="55"/>
      <c r="W77" s="55"/>
      <c r="X77" s="277"/>
      <c r="Y77" s="92"/>
    </row>
    <row r="78" spans="1:25" s="99" customFormat="1" ht="30" customHeight="1">
      <c r="A78" s="89"/>
      <c r="B78" s="89"/>
      <c r="C78" s="90"/>
      <c r="D78" s="91"/>
      <c r="E78" s="92"/>
      <c r="F78" s="92"/>
      <c r="G78" s="92"/>
      <c r="H78" s="92"/>
      <c r="I78" s="92"/>
      <c r="J78" s="92"/>
      <c r="K78" s="93"/>
      <c r="L78" s="94"/>
      <c r="M78" s="94"/>
      <c r="N78" s="95"/>
      <c r="O78" s="66"/>
      <c r="P78" s="96"/>
      <c r="Q78" s="97"/>
      <c r="R78" s="58"/>
      <c r="S78" s="69"/>
      <c r="T78" s="70"/>
      <c r="U78" s="66"/>
      <c r="V78" s="55"/>
      <c r="W78" s="55"/>
      <c r="X78" s="277"/>
      <c r="Y78" s="92"/>
    </row>
    <row r="79" spans="1:25" s="99" customFormat="1" ht="30" customHeight="1">
      <c r="A79" s="89"/>
      <c r="B79" s="89"/>
      <c r="C79" s="90"/>
      <c r="D79" s="91"/>
      <c r="E79" s="92"/>
      <c r="F79" s="92"/>
      <c r="G79" s="92"/>
      <c r="H79" s="92"/>
      <c r="I79" s="92"/>
      <c r="J79" s="92"/>
      <c r="K79" s="93"/>
      <c r="L79" s="94"/>
      <c r="M79" s="94"/>
      <c r="N79" s="95"/>
      <c r="O79" s="66"/>
      <c r="P79" s="96"/>
      <c r="Q79" s="97"/>
      <c r="R79" s="58"/>
      <c r="S79" s="69"/>
      <c r="T79" s="70"/>
      <c r="U79" s="66"/>
      <c r="V79" s="55"/>
      <c r="W79" s="55"/>
      <c r="X79" s="277"/>
      <c r="Y79" s="92"/>
    </row>
    <row r="80" spans="1:25" s="99" customFormat="1" ht="30" customHeight="1">
      <c r="A80" s="89"/>
      <c r="B80" s="89"/>
      <c r="C80" s="90"/>
      <c r="D80" s="91"/>
      <c r="E80" s="92"/>
      <c r="F80" s="92"/>
      <c r="G80" s="92"/>
      <c r="H80" s="92"/>
      <c r="I80" s="92"/>
      <c r="J80" s="92"/>
      <c r="K80" s="93"/>
      <c r="L80" s="94"/>
      <c r="M80" s="94"/>
      <c r="N80" s="95"/>
      <c r="O80" s="66"/>
      <c r="P80" s="96"/>
      <c r="Q80" s="97"/>
      <c r="R80" s="58"/>
      <c r="S80" s="69"/>
      <c r="T80" s="70"/>
      <c r="U80" s="66"/>
      <c r="V80" s="55"/>
      <c r="W80" s="55"/>
      <c r="X80" s="277"/>
      <c r="Y80" s="92"/>
    </row>
    <row r="81" spans="1:25" s="99" customFormat="1" ht="30" customHeight="1">
      <c r="A81" s="89"/>
      <c r="B81" s="89"/>
      <c r="C81" s="90"/>
      <c r="D81" s="91"/>
      <c r="E81" s="92"/>
      <c r="F81" s="92"/>
      <c r="G81" s="92"/>
      <c r="H81" s="92"/>
      <c r="I81" s="92"/>
      <c r="J81" s="92"/>
      <c r="K81" s="93"/>
      <c r="L81" s="94"/>
      <c r="M81" s="94"/>
      <c r="N81" s="95"/>
      <c r="O81" s="66"/>
      <c r="P81" s="96"/>
      <c r="Q81" s="97"/>
      <c r="R81" s="58"/>
      <c r="S81" s="69"/>
      <c r="T81" s="70"/>
      <c r="U81" s="66"/>
      <c r="V81" s="55"/>
      <c r="W81" s="55"/>
      <c r="X81" s="277"/>
      <c r="Y81" s="92"/>
    </row>
    <row r="82" spans="1:25" s="99" customFormat="1" ht="30" customHeight="1">
      <c r="A82" s="89"/>
      <c r="B82" s="89"/>
      <c r="C82" s="90"/>
      <c r="D82" s="91"/>
      <c r="E82" s="92"/>
      <c r="F82" s="92"/>
      <c r="G82" s="92"/>
      <c r="H82" s="92"/>
      <c r="I82" s="92"/>
      <c r="J82" s="92"/>
      <c r="K82" s="93"/>
      <c r="L82" s="94"/>
      <c r="M82" s="94"/>
      <c r="N82" s="95"/>
      <c r="O82" s="66"/>
      <c r="P82" s="96"/>
      <c r="Q82" s="97"/>
      <c r="R82" s="58"/>
      <c r="S82" s="69"/>
      <c r="T82" s="70"/>
      <c r="U82" s="66"/>
      <c r="V82" s="55"/>
      <c r="W82" s="55"/>
      <c r="X82" s="277"/>
      <c r="Y82" s="92"/>
    </row>
    <row r="83" spans="1:25" s="99" customFormat="1" ht="30" customHeight="1">
      <c r="A83" s="89"/>
      <c r="B83" s="89"/>
      <c r="C83" s="90"/>
      <c r="D83" s="91"/>
      <c r="E83" s="92"/>
      <c r="F83" s="92"/>
      <c r="G83" s="92"/>
      <c r="H83" s="92"/>
      <c r="I83" s="92"/>
      <c r="J83" s="92"/>
      <c r="K83" s="93"/>
      <c r="L83" s="94"/>
      <c r="M83" s="94"/>
      <c r="N83" s="95"/>
      <c r="O83" s="66"/>
      <c r="P83" s="96"/>
      <c r="Q83" s="97"/>
      <c r="R83" s="58"/>
      <c r="S83" s="69"/>
      <c r="T83" s="70"/>
      <c r="U83" s="66"/>
      <c r="V83" s="55"/>
      <c r="W83" s="55"/>
      <c r="X83" s="277"/>
      <c r="Y83" s="92"/>
    </row>
    <row r="84" spans="1:25" s="99" customFormat="1" ht="30" customHeight="1">
      <c r="A84" s="89"/>
      <c r="B84" s="89"/>
      <c r="C84" s="90"/>
      <c r="D84" s="91"/>
      <c r="E84" s="92"/>
      <c r="F84" s="92"/>
      <c r="G84" s="92"/>
      <c r="H84" s="92"/>
      <c r="I84" s="92"/>
      <c r="J84" s="92"/>
      <c r="K84" s="93"/>
      <c r="L84" s="94"/>
      <c r="M84" s="94"/>
      <c r="N84" s="95"/>
      <c r="O84" s="66"/>
      <c r="P84" s="96"/>
      <c r="Q84" s="97"/>
      <c r="R84" s="58"/>
      <c r="S84" s="69"/>
      <c r="T84" s="70"/>
      <c r="U84" s="66"/>
      <c r="V84" s="55"/>
      <c r="W84" s="55"/>
      <c r="X84" s="277"/>
      <c r="Y84" s="92"/>
    </row>
    <row r="85" spans="1:25" s="99" customFormat="1" ht="30" customHeight="1">
      <c r="A85" s="89"/>
      <c r="B85" s="89"/>
      <c r="C85" s="90"/>
      <c r="D85" s="91"/>
      <c r="E85" s="92"/>
      <c r="F85" s="92"/>
      <c r="G85" s="92"/>
      <c r="H85" s="92"/>
      <c r="I85" s="92"/>
      <c r="J85" s="92"/>
      <c r="K85" s="93"/>
      <c r="L85" s="94"/>
      <c r="M85" s="94"/>
      <c r="N85" s="95"/>
      <c r="O85" s="66"/>
      <c r="P85" s="96"/>
      <c r="Q85" s="97"/>
      <c r="R85" s="58"/>
      <c r="S85" s="69"/>
      <c r="T85" s="70"/>
      <c r="U85" s="66"/>
      <c r="V85" s="55"/>
      <c r="W85" s="55"/>
      <c r="X85" s="277"/>
      <c r="Y85" s="92"/>
    </row>
    <row r="86" spans="1:25" s="99" customFormat="1" ht="30" customHeight="1">
      <c r="A86" s="89"/>
      <c r="B86" s="89"/>
      <c r="C86" s="90"/>
      <c r="D86" s="91"/>
      <c r="E86" s="92"/>
      <c r="F86" s="92"/>
      <c r="G86" s="92"/>
      <c r="H86" s="92"/>
      <c r="I86" s="92"/>
      <c r="J86" s="92"/>
      <c r="K86" s="93"/>
      <c r="L86" s="94"/>
      <c r="M86" s="94"/>
      <c r="N86" s="95"/>
      <c r="O86" s="66"/>
      <c r="P86" s="96"/>
      <c r="Q86" s="97"/>
      <c r="R86" s="58"/>
      <c r="S86" s="69"/>
      <c r="T86" s="70"/>
      <c r="U86" s="66"/>
      <c r="V86" s="55"/>
      <c r="W86" s="55"/>
      <c r="X86" s="277"/>
      <c r="Y86" s="92"/>
    </row>
    <row r="87" spans="1:25" s="99" customFormat="1" ht="30" customHeight="1">
      <c r="A87" s="89"/>
      <c r="B87" s="89"/>
      <c r="C87" s="90"/>
      <c r="D87" s="91"/>
      <c r="E87" s="92"/>
      <c r="F87" s="92"/>
      <c r="G87" s="92"/>
      <c r="H87" s="92"/>
      <c r="I87" s="92"/>
      <c r="J87" s="92"/>
      <c r="K87" s="93"/>
      <c r="L87" s="94"/>
      <c r="M87" s="94"/>
      <c r="N87" s="95"/>
      <c r="O87" s="66"/>
      <c r="P87" s="96"/>
      <c r="Q87" s="97"/>
      <c r="R87" s="58"/>
      <c r="S87" s="69"/>
      <c r="T87" s="70"/>
      <c r="U87" s="66"/>
      <c r="V87" s="55"/>
      <c r="W87" s="55"/>
      <c r="X87" s="277"/>
      <c r="Y87" s="92"/>
    </row>
    <row r="88" spans="1:25" s="99" customFormat="1" ht="30" customHeight="1">
      <c r="A88" s="89"/>
      <c r="B88" s="89"/>
      <c r="C88" s="90"/>
      <c r="D88" s="91"/>
      <c r="E88" s="92"/>
      <c r="F88" s="92"/>
      <c r="G88" s="92"/>
      <c r="H88" s="92"/>
      <c r="I88" s="92"/>
      <c r="J88" s="92"/>
      <c r="K88" s="93"/>
      <c r="L88" s="94"/>
      <c r="M88" s="94"/>
      <c r="N88" s="95"/>
      <c r="O88" s="66"/>
      <c r="P88" s="96"/>
      <c r="Q88" s="97"/>
      <c r="R88" s="58"/>
      <c r="S88" s="69"/>
      <c r="T88" s="70"/>
      <c r="U88" s="66"/>
      <c r="V88" s="55"/>
      <c r="W88" s="55"/>
      <c r="X88" s="277"/>
      <c r="Y88" s="92"/>
    </row>
    <row r="89" spans="1:25" s="99" customFormat="1" ht="30" customHeight="1">
      <c r="A89" s="89"/>
      <c r="B89" s="89"/>
      <c r="C89" s="90"/>
      <c r="D89" s="91"/>
      <c r="E89" s="92"/>
      <c r="F89" s="92"/>
      <c r="G89" s="92"/>
      <c r="H89" s="92"/>
      <c r="I89" s="92"/>
      <c r="J89" s="92"/>
      <c r="K89" s="93"/>
      <c r="L89" s="94"/>
      <c r="M89" s="94"/>
      <c r="N89" s="95"/>
      <c r="O89" s="66"/>
      <c r="P89" s="96"/>
      <c r="Q89" s="97"/>
      <c r="R89" s="58"/>
      <c r="S89" s="69"/>
      <c r="T89" s="70"/>
      <c r="U89" s="66"/>
      <c r="V89" s="55"/>
      <c r="W89" s="55"/>
      <c r="X89" s="277"/>
      <c r="Y89" s="92"/>
    </row>
    <row r="90" spans="1:25" s="99" customFormat="1" ht="30" customHeight="1">
      <c r="A90" s="89"/>
      <c r="B90" s="89"/>
      <c r="C90" s="90"/>
      <c r="D90" s="91"/>
      <c r="E90" s="92"/>
      <c r="F90" s="92"/>
      <c r="G90" s="92"/>
      <c r="H90" s="92"/>
      <c r="I90" s="92"/>
      <c r="J90" s="92"/>
      <c r="K90" s="93"/>
      <c r="L90" s="94"/>
      <c r="M90" s="94"/>
      <c r="N90" s="95"/>
      <c r="O90" s="66"/>
      <c r="P90" s="96"/>
      <c r="Q90" s="97"/>
      <c r="R90" s="58"/>
      <c r="S90" s="69"/>
      <c r="T90" s="70"/>
      <c r="U90" s="66"/>
      <c r="V90" s="55"/>
      <c r="W90" s="55"/>
      <c r="X90" s="277"/>
      <c r="Y90" s="92"/>
    </row>
    <row r="91" spans="1:25" s="99" customFormat="1" ht="30" customHeight="1">
      <c r="A91" s="89"/>
      <c r="B91" s="89"/>
      <c r="C91" s="90"/>
      <c r="D91" s="91"/>
      <c r="E91" s="92"/>
      <c r="F91" s="92"/>
      <c r="G91" s="92"/>
      <c r="H91" s="92"/>
      <c r="I91" s="92"/>
      <c r="J91" s="92"/>
      <c r="K91" s="93"/>
      <c r="L91" s="94"/>
      <c r="M91" s="94"/>
      <c r="N91" s="95"/>
      <c r="O91" s="66"/>
      <c r="P91" s="96"/>
      <c r="Q91" s="97"/>
      <c r="R91" s="58"/>
      <c r="S91" s="69"/>
      <c r="T91" s="70"/>
      <c r="U91" s="66"/>
      <c r="V91" s="55"/>
      <c r="W91" s="55"/>
      <c r="X91" s="277"/>
      <c r="Y91" s="92"/>
    </row>
    <row r="92" spans="1:25" s="99" customFormat="1" ht="30" customHeight="1">
      <c r="A92" s="89"/>
      <c r="B92" s="89"/>
      <c r="C92" s="90"/>
      <c r="D92" s="91"/>
      <c r="E92" s="92"/>
      <c r="F92" s="92"/>
      <c r="G92" s="92"/>
      <c r="H92" s="92"/>
      <c r="I92" s="92"/>
      <c r="J92" s="92"/>
      <c r="K92" s="93"/>
      <c r="L92" s="94"/>
      <c r="M92" s="94"/>
      <c r="N92" s="95"/>
      <c r="O92" s="66"/>
      <c r="P92" s="96"/>
      <c r="Q92" s="97"/>
      <c r="R92" s="58"/>
      <c r="S92" s="69"/>
      <c r="T92" s="70"/>
      <c r="U92" s="66"/>
      <c r="V92" s="55"/>
      <c r="W92" s="55"/>
      <c r="X92" s="277"/>
      <c r="Y92" s="92"/>
    </row>
    <row r="93" spans="1:25" s="99" customFormat="1" ht="30" customHeight="1">
      <c r="A93" s="89"/>
      <c r="B93" s="89"/>
      <c r="C93" s="90"/>
      <c r="D93" s="91"/>
      <c r="E93" s="92"/>
      <c r="F93" s="92"/>
      <c r="G93" s="92"/>
      <c r="H93" s="92"/>
      <c r="I93" s="92"/>
      <c r="J93" s="92"/>
      <c r="K93" s="93"/>
      <c r="L93" s="94"/>
      <c r="M93" s="94"/>
      <c r="N93" s="95"/>
      <c r="O93" s="66"/>
      <c r="P93" s="96"/>
      <c r="Q93" s="97"/>
      <c r="R93" s="58"/>
      <c r="S93" s="69"/>
      <c r="T93" s="70"/>
      <c r="U93" s="66"/>
      <c r="V93" s="55"/>
      <c r="W93" s="55"/>
      <c r="X93" s="277"/>
      <c r="Y93" s="92"/>
    </row>
    <row r="94" spans="1:25" s="99" customFormat="1" ht="30" customHeight="1">
      <c r="A94" s="89"/>
      <c r="B94" s="89"/>
      <c r="C94" s="90"/>
      <c r="D94" s="91"/>
      <c r="E94" s="92"/>
      <c r="F94" s="92"/>
      <c r="G94" s="92"/>
      <c r="H94" s="92"/>
      <c r="I94" s="92"/>
      <c r="J94" s="92"/>
      <c r="K94" s="93"/>
      <c r="L94" s="94"/>
      <c r="M94" s="94"/>
      <c r="N94" s="95"/>
      <c r="O94" s="66"/>
      <c r="P94" s="96"/>
      <c r="Q94" s="97"/>
      <c r="R94" s="58"/>
      <c r="S94" s="69"/>
      <c r="T94" s="70"/>
      <c r="U94" s="66"/>
      <c r="V94" s="55"/>
      <c r="W94" s="55"/>
      <c r="X94" s="277"/>
      <c r="Y94" s="92"/>
    </row>
    <row r="95" spans="1:25" s="99" customFormat="1" ht="30" customHeight="1">
      <c r="A95" s="89"/>
      <c r="B95" s="89"/>
      <c r="C95" s="90"/>
      <c r="D95" s="91"/>
      <c r="E95" s="92"/>
      <c r="F95" s="92"/>
      <c r="G95" s="92"/>
      <c r="H95" s="92"/>
      <c r="I95" s="92"/>
      <c r="J95" s="92"/>
      <c r="K95" s="93"/>
      <c r="L95" s="94"/>
      <c r="M95" s="94"/>
      <c r="N95" s="95"/>
      <c r="O95" s="66"/>
      <c r="P95" s="96"/>
      <c r="Q95" s="97"/>
      <c r="R95" s="58"/>
      <c r="S95" s="69"/>
      <c r="T95" s="70"/>
      <c r="U95" s="66"/>
      <c r="V95" s="55"/>
      <c r="W95" s="55"/>
      <c r="X95" s="277"/>
      <c r="Y95" s="92"/>
    </row>
    <row r="96" spans="1:25" s="99" customFormat="1" ht="30" customHeight="1">
      <c r="A96" s="89"/>
      <c r="B96" s="89"/>
      <c r="C96" s="90"/>
      <c r="D96" s="91"/>
      <c r="E96" s="92"/>
      <c r="F96" s="92"/>
      <c r="G96" s="92"/>
      <c r="H96" s="92"/>
      <c r="I96" s="92"/>
      <c r="J96" s="92"/>
      <c r="K96" s="93"/>
      <c r="L96" s="94"/>
      <c r="M96" s="94"/>
      <c r="N96" s="95"/>
      <c r="O96" s="66"/>
      <c r="P96" s="96"/>
      <c r="Q96" s="97"/>
      <c r="R96" s="58"/>
      <c r="S96" s="69"/>
      <c r="T96" s="70"/>
      <c r="U96" s="66"/>
      <c r="V96" s="55"/>
      <c r="W96" s="55"/>
      <c r="X96" s="277"/>
      <c r="Y96" s="92"/>
    </row>
    <row r="97" spans="1:25" s="99" customFormat="1" ht="30" customHeight="1">
      <c r="A97" s="89"/>
      <c r="B97" s="89"/>
      <c r="C97" s="90"/>
      <c r="D97" s="91"/>
      <c r="E97" s="92"/>
      <c r="F97" s="92"/>
      <c r="G97" s="92"/>
      <c r="H97" s="92"/>
      <c r="I97" s="92"/>
      <c r="J97" s="92"/>
      <c r="K97" s="93"/>
      <c r="L97" s="94"/>
      <c r="M97" s="94"/>
      <c r="N97" s="95"/>
      <c r="O97" s="66"/>
      <c r="P97" s="96"/>
      <c r="Q97" s="97"/>
      <c r="R97" s="58"/>
      <c r="S97" s="69"/>
      <c r="T97" s="70"/>
      <c r="U97" s="66"/>
      <c r="V97" s="55"/>
      <c r="W97" s="55"/>
      <c r="X97" s="277"/>
      <c r="Y97" s="92"/>
    </row>
    <row r="98" spans="1:25" s="99" customFormat="1" ht="30" customHeight="1">
      <c r="A98" s="89"/>
      <c r="B98" s="89"/>
      <c r="C98" s="90"/>
      <c r="D98" s="91"/>
      <c r="E98" s="92"/>
      <c r="F98" s="92"/>
      <c r="G98" s="92"/>
      <c r="H98" s="92"/>
      <c r="I98" s="92"/>
      <c r="J98" s="92"/>
      <c r="K98" s="93"/>
      <c r="L98" s="94"/>
      <c r="M98" s="94"/>
      <c r="N98" s="95"/>
      <c r="O98" s="66"/>
      <c r="P98" s="96"/>
      <c r="Q98" s="97"/>
      <c r="R98" s="58"/>
      <c r="S98" s="69"/>
      <c r="T98" s="70"/>
      <c r="U98" s="66"/>
      <c r="V98" s="55"/>
      <c r="W98" s="55"/>
      <c r="X98" s="277"/>
      <c r="Y98" s="92"/>
    </row>
    <row r="99" spans="1:25" s="99" customFormat="1" ht="30" customHeight="1">
      <c r="A99" s="89"/>
      <c r="B99" s="89"/>
      <c r="C99" s="90"/>
      <c r="D99" s="91"/>
      <c r="E99" s="92"/>
      <c r="F99" s="92"/>
      <c r="G99" s="92"/>
      <c r="H99" s="92"/>
      <c r="I99" s="92"/>
      <c r="J99" s="92"/>
      <c r="K99" s="93"/>
      <c r="L99" s="94"/>
      <c r="M99" s="94"/>
      <c r="N99" s="95"/>
      <c r="O99" s="66"/>
      <c r="P99" s="96"/>
      <c r="Q99" s="97"/>
      <c r="R99" s="58"/>
      <c r="S99" s="69"/>
      <c r="T99" s="70"/>
      <c r="U99" s="66"/>
      <c r="V99" s="55"/>
      <c r="W99" s="55"/>
      <c r="X99" s="277"/>
      <c r="Y99" s="92"/>
    </row>
    <row r="100" spans="1:25" s="99" customFormat="1" ht="30" customHeight="1">
      <c r="A100" s="89"/>
      <c r="B100" s="89"/>
      <c r="C100" s="90"/>
      <c r="D100" s="91"/>
      <c r="E100" s="92"/>
      <c r="F100" s="92"/>
      <c r="G100" s="92"/>
      <c r="H100" s="92"/>
      <c r="I100" s="92"/>
      <c r="J100" s="92"/>
      <c r="K100" s="93"/>
      <c r="L100" s="94"/>
      <c r="M100" s="94"/>
      <c r="N100" s="95"/>
      <c r="O100" s="66"/>
      <c r="P100" s="96"/>
      <c r="Q100" s="97"/>
      <c r="R100" s="58"/>
      <c r="S100" s="69"/>
      <c r="T100" s="70"/>
      <c r="U100" s="66"/>
      <c r="V100" s="55"/>
      <c r="W100" s="55"/>
      <c r="X100" s="277"/>
      <c r="Y100" s="92"/>
    </row>
    <row r="101" spans="1:25" s="99" customFormat="1" ht="30" customHeight="1">
      <c r="A101" s="89"/>
      <c r="B101" s="89"/>
      <c r="C101" s="90"/>
      <c r="D101" s="91"/>
      <c r="E101" s="92"/>
      <c r="F101" s="92"/>
      <c r="G101" s="92"/>
      <c r="H101" s="92"/>
      <c r="I101" s="92"/>
      <c r="J101" s="92"/>
      <c r="K101" s="93"/>
      <c r="L101" s="94"/>
      <c r="M101" s="94"/>
      <c r="N101" s="95"/>
      <c r="O101" s="66"/>
      <c r="P101" s="96"/>
      <c r="Q101" s="97"/>
      <c r="R101" s="58"/>
      <c r="S101" s="69"/>
      <c r="T101" s="70"/>
      <c r="U101" s="66"/>
      <c r="V101" s="55"/>
      <c r="W101" s="55"/>
      <c r="X101" s="277"/>
      <c r="Y101" s="92"/>
    </row>
    <row r="102" spans="1:25" s="99" customFormat="1" ht="30" customHeight="1">
      <c r="A102" s="89"/>
      <c r="B102" s="89"/>
      <c r="C102" s="90"/>
      <c r="D102" s="91"/>
      <c r="E102" s="92"/>
      <c r="F102" s="92"/>
      <c r="G102" s="92"/>
      <c r="H102" s="92"/>
      <c r="I102" s="92"/>
      <c r="J102" s="92"/>
      <c r="K102" s="93"/>
      <c r="L102" s="94"/>
      <c r="M102" s="94"/>
      <c r="N102" s="95"/>
      <c r="O102" s="66"/>
      <c r="P102" s="96"/>
      <c r="Q102" s="97"/>
      <c r="R102" s="58"/>
      <c r="S102" s="69"/>
      <c r="T102" s="70"/>
      <c r="U102" s="66"/>
      <c r="V102" s="55"/>
      <c r="W102" s="55"/>
      <c r="X102" s="277"/>
      <c r="Y102" s="92"/>
    </row>
    <row r="103" spans="1:25" s="99" customFormat="1" ht="30" customHeight="1">
      <c r="A103" s="89"/>
      <c r="B103" s="89"/>
      <c r="C103" s="90"/>
      <c r="D103" s="91"/>
      <c r="E103" s="92"/>
      <c r="F103" s="92"/>
      <c r="G103" s="92"/>
      <c r="H103" s="92"/>
      <c r="I103" s="92"/>
      <c r="J103" s="92"/>
      <c r="K103" s="93"/>
      <c r="L103" s="94"/>
      <c r="M103" s="94"/>
      <c r="N103" s="95"/>
      <c r="O103" s="66"/>
      <c r="P103" s="96"/>
      <c r="Q103" s="97"/>
      <c r="R103" s="58"/>
      <c r="S103" s="69"/>
      <c r="T103" s="70"/>
      <c r="U103" s="66"/>
      <c r="V103" s="55"/>
      <c r="W103" s="55"/>
      <c r="X103" s="277"/>
      <c r="Y103" s="92"/>
    </row>
    <row r="104" spans="1:25" s="99" customFormat="1" ht="30" customHeight="1">
      <c r="A104" s="89"/>
      <c r="B104" s="89"/>
      <c r="C104" s="90"/>
      <c r="D104" s="91"/>
      <c r="E104" s="92"/>
      <c r="F104" s="92"/>
      <c r="G104" s="92"/>
      <c r="H104" s="92"/>
      <c r="I104" s="92"/>
      <c r="J104" s="92"/>
      <c r="K104" s="93"/>
      <c r="L104" s="94"/>
      <c r="M104" s="94"/>
      <c r="N104" s="95"/>
      <c r="O104" s="66"/>
      <c r="P104" s="96"/>
      <c r="Q104" s="97"/>
      <c r="R104" s="58"/>
      <c r="S104" s="69"/>
      <c r="T104" s="70"/>
      <c r="U104" s="66"/>
      <c r="V104" s="55"/>
      <c r="W104" s="55"/>
      <c r="X104" s="277"/>
      <c r="Y104" s="92"/>
    </row>
    <row r="105" spans="1:25" s="99" customFormat="1" ht="30" customHeight="1">
      <c r="A105" s="89"/>
      <c r="B105" s="89"/>
      <c r="C105" s="90"/>
      <c r="D105" s="91"/>
      <c r="E105" s="92"/>
      <c r="F105" s="92"/>
      <c r="G105" s="92"/>
      <c r="H105" s="92"/>
      <c r="I105" s="92"/>
      <c r="J105" s="92"/>
      <c r="K105" s="93"/>
      <c r="L105" s="94"/>
      <c r="M105" s="94"/>
      <c r="N105" s="95"/>
      <c r="O105" s="66"/>
      <c r="P105" s="96"/>
      <c r="Q105" s="97"/>
      <c r="R105" s="58"/>
      <c r="S105" s="69"/>
      <c r="T105" s="70"/>
      <c r="U105" s="66"/>
      <c r="V105" s="55"/>
      <c r="W105" s="55"/>
      <c r="X105" s="277"/>
      <c r="Y105" s="92"/>
    </row>
    <row r="106" spans="1:25" s="99" customFormat="1" ht="30" customHeight="1">
      <c r="A106" s="89"/>
      <c r="B106" s="89"/>
      <c r="C106" s="90"/>
      <c r="D106" s="91"/>
      <c r="E106" s="92"/>
      <c r="F106" s="92"/>
      <c r="G106" s="92"/>
      <c r="H106" s="92"/>
      <c r="I106" s="92"/>
      <c r="J106" s="92"/>
      <c r="K106" s="93"/>
      <c r="L106" s="94"/>
      <c r="M106" s="94"/>
      <c r="N106" s="95"/>
      <c r="O106" s="66"/>
      <c r="P106" s="96"/>
      <c r="Q106" s="97"/>
      <c r="R106" s="58"/>
      <c r="S106" s="69"/>
      <c r="T106" s="70"/>
      <c r="U106" s="66"/>
      <c r="V106" s="55"/>
      <c r="W106" s="55"/>
      <c r="X106" s="277"/>
      <c r="Y106" s="92"/>
    </row>
    <row r="107" spans="1:25" s="99" customFormat="1" ht="30" customHeight="1">
      <c r="A107" s="89"/>
      <c r="B107" s="89"/>
      <c r="C107" s="90"/>
      <c r="D107" s="91"/>
      <c r="E107" s="92"/>
      <c r="F107" s="92"/>
      <c r="G107" s="92"/>
      <c r="H107" s="92"/>
      <c r="I107" s="92"/>
      <c r="J107" s="92"/>
      <c r="K107" s="93"/>
      <c r="L107" s="94"/>
      <c r="M107" s="94"/>
      <c r="N107" s="95"/>
      <c r="O107" s="66"/>
      <c r="P107" s="96"/>
      <c r="Q107" s="97"/>
      <c r="R107" s="58"/>
      <c r="S107" s="69"/>
      <c r="T107" s="70"/>
      <c r="U107" s="66"/>
      <c r="V107" s="55"/>
      <c r="W107" s="55"/>
      <c r="X107" s="277"/>
      <c r="Y107" s="92"/>
    </row>
    <row r="108" spans="1:25" s="99" customFormat="1" ht="30" customHeight="1">
      <c r="A108" s="89"/>
      <c r="B108" s="89"/>
      <c r="C108" s="90"/>
      <c r="D108" s="91"/>
      <c r="E108" s="92"/>
      <c r="F108" s="92"/>
      <c r="G108" s="92"/>
      <c r="H108" s="92"/>
      <c r="I108" s="92"/>
      <c r="J108" s="92"/>
      <c r="K108" s="93"/>
      <c r="L108" s="94"/>
      <c r="M108" s="94"/>
      <c r="N108" s="95"/>
      <c r="O108" s="66"/>
      <c r="P108" s="96"/>
      <c r="Q108" s="97"/>
      <c r="R108" s="58"/>
      <c r="S108" s="69"/>
      <c r="T108" s="70"/>
      <c r="U108" s="66"/>
      <c r="V108" s="55"/>
      <c r="W108" s="55"/>
      <c r="X108" s="277"/>
      <c r="Y108" s="92"/>
    </row>
    <row r="109" spans="1:25" s="99" customFormat="1" ht="30" customHeight="1">
      <c r="A109" s="89"/>
      <c r="B109" s="89"/>
      <c r="C109" s="90"/>
      <c r="D109" s="91"/>
      <c r="E109" s="92"/>
      <c r="F109" s="92"/>
      <c r="G109" s="92"/>
      <c r="H109" s="92"/>
      <c r="I109" s="92"/>
      <c r="J109" s="92"/>
      <c r="K109" s="93"/>
      <c r="L109" s="94"/>
      <c r="M109" s="94"/>
      <c r="N109" s="95"/>
      <c r="O109" s="66"/>
      <c r="P109" s="96"/>
      <c r="Q109" s="97"/>
      <c r="R109" s="58"/>
      <c r="S109" s="69"/>
      <c r="T109" s="70"/>
      <c r="U109" s="66"/>
      <c r="V109" s="55"/>
      <c r="W109" s="55"/>
      <c r="X109" s="277"/>
      <c r="Y109" s="92"/>
    </row>
    <row r="110" spans="1:25" s="99" customFormat="1" ht="65.099999999999994" customHeight="1">
      <c r="A110" s="89"/>
      <c r="B110" s="89"/>
      <c r="C110" s="90"/>
      <c r="D110" s="91"/>
      <c r="E110" s="92"/>
      <c r="F110" s="92"/>
      <c r="G110" s="92"/>
      <c r="H110" s="92"/>
      <c r="I110" s="92"/>
      <c r="J110" s="92"/>
      <c r="K110" s="93"/>
      <c r="L110" s="94"/>
      <c r="M110" s="94"/>
      <c r="N110" s="95"/>
      <c r="O110" s="66"/>
      <c r="P110" s="96"/>
      <c r="Q110" s="97"/>
      <c r="R110" s="58"/>
      <c r="S110" s="69"/>
      <c r="T110" s="70"/>
      <c r="U110" s="66"/>
      <c r="V110" s="55"/>
      <c r="W110" s="55"/>
      <c r="X110" s="277"/>
      <c r="Y110" s="92"/>
    </row>
    <row r="111" spans="1:25" s="99" customFormat="1" ht="65.099999999999994" customHeight="1">
      <c r="A111" s="89"/>
      <c r="B111" s="89"/>
      <c r="C111" s="90"/>
      <c r="D111" s="91"/>
      <c r="E111" s="92"/>
      <c r="F111" s="92"/>
      <c r="G111" s="92"/>
      <c r="H111" s="92"/>
      <c r="I111" s="92"/>
      <c r="J111" s="92"/>
      <c r="K111" s="93"/>
      <c r="L111" s="94"/>
      <c r="M111" s="94"/>
      <c r="N111" s="95"/>
      <c r="O111" s="66"/>
      <c r="P111" s="96"/>
      <c r="Q111" s="97"/>
      <c r="R111" s="58"/>
      <c r="S111" s="69"/>
      <c r="T111" s="70"/>
      <c r="U111" s="66"/>
      <c r="V111" s="55"/>
      <c r="W111" s="55"/>
      <c r="X111" s="277"/>
      <c r="Y111" s="92"/>
    </row>
    <row r="112" spans="1:25" s="99" customFormat="1" ht="65.099999999999994" customHeight="1">
      <c r="A112" s="89"/>
      <c r="B112" s="89"/>
      <c r="C112" s="90"/>
      <c r="D112" s="91"/>
      <c r="E112" s="92"/>
      <c r="F112" s="92"/>
      <c r="G112" s="92"/>
      <c r="H112" s="92"/>
      <c r="I112" s="92"/>
      <c r="J112" s="92"/>
      <c r="K112" s="93"/>
      <c r="L112" s="94"/>
      <c r="M112" s="94"/>
      <c r="N112" s="95"/>
      <c r="O112" s="66"/>
      <c r="P112" s="96"/>
      <c r="Q112" s="97"/>
      <c r="R112" s="58"/>
      <c r="S112" s="69"/>
      <c r="T112" s="70"/>
      <c r="U112" s="66"/>
      <c r="V112" s="55"/>
      <c r="W112" s="55"/>
      <c r="X112" s="277"/>
      <c r="Y112" s="92"/>
    </row>
    <row r="113" spans="1:25" s="99" customFormat="1" ht="65.099999999999994" customHeight="1">
      <c r="A113" s="89"/>
      <c r="B113" s="89"/>
      <c r="C113" s="90"/>
      <c r="D113" s="91"/>
      <c r="E113" s="92"/>
      <c r="F113" s="92"/>
      <c r="G113" s="92"/>
      <c r="H113" s="92"/>
      <c r="I113" s="92"/>
      <c r="J113" s="92"/>
      <c r="K113" s="93"/>
      <c r="L113" s="94"/>
      <c r="M113" s="94"/>
      <c r="N113" s="95"/>
      <c r="O113" s="66"/>
      <c r="P113" s="96"/>
      <c r="Q113" s="97"/>
      <c r="R113" s="58"/>
      <c r="S113" s="69"/>
      <c r="T113" s="70"/>
      <c r="U113" s="66"/>
      <c r="V113" s="55"/>
      <c r="W113" s="55"/>
      <c r="X113" s="277"/>
      <c r="Y113" s="92"/>
    </row>
    <row r="114" spans="1:25" s="99" customFormat="1" ht="65.099999999999994" customHeight="1">
      <c r="A114" s="89"/>
      <c r="B114" s="89"/>
      <c r="C114" s="90"/>
      <c r="D114" s="91"/>
      <c r="E114" s="92"/>
      <c r="F114" s="92"/>
      <c r="G114" s="92"/>
      <c r="H114" s="92"/>
      <c r="I114" s="92"/>
      <c r="J114" s="92"/>
      <c r="K114" s="93"/>
      <c r="L114" s="94"/>
      <c r="M114" s="94"/>
      <c r="N114" s="95"/>
      <c r="O114" s="66"/>
      <c r="P114" s="96"/>
      <c r="Q114" s="97"/>
      <c r="R114" s="58"/>
      <c r="S114" s="69"/>
      <c r="T114" s="70"/>
      <c r="U114" s="66"/>
      <c r="V114" s="55"/>
      <c r="W114" s="55"/>
      <c r="X114" s="277"/>
      <c r="Y114" s="92"/>
    </row>
    <row r="115" spans="1:25" s="99" customFormat="1" ht="65.099999999999994" customHeight="1">
      <c r="A115" s="89"/>
      <c r="B115" s="89"/>
      <c r="C115" s="90"/>
      <c r="D115" s="91"/>
      <c r="E115" s="92"/>
      <c r="F115" s="92"/>
      <c r="G115" s="92"/>
      <c r="H115" s="92"/>
      <c r="I115" s="92"/>
      <c r="J115" s="92"/>
      <c r="K115" s="93"/>
      <c r="L115" s="94"/>
      <c r="M115" s="94"/>
      <c r="N115" s="95"/>
      <c r="O115" s="66"/>
      <c r="P115" s="96"/>
      <c r="Q115" s="97"/>
      <c r="R115" s="58"/>
      <c r="S115" s="69"/>
      <c r="T115" s="70"/>
      <c r="U115" s="66"/>
      <c r="V115" s="55"/>
      <c r="W115" s="55"/>
      <c r="X115" s="277"/>
      <c r="Y115" s="92"/>
    </row>
    <row r="116" spans="1:25" s="99" customFormat="1" ht="65.099999999999994" customHeight="1">
      <c r="A116" s="89"/>
      <c r="B116" s="89"/>
      <c r="C116" s="90"/>
      <c r="D116" s="91"/>
      <c r="E116" s="92"/>
      <c r="F116" s="92"/>
      <c r="G116" s="92"/>
      <c r="H116" s="92"/>
      <c r="I116" s="92"/>
      <c r="J116" s="92"/>
      <c r="K116" s="93"/>
      <c r="L116" s="94"/>
      <c r="M116" s="94"/>
      <c r="N116" s="95"/>
      <c r="O116" s="66"/>
      <c r="P116" s="96"/>
      <c r="Q116" s="97"/>
      <c r="R116" s="58"/>
      <c r="S116" s="69"/>
      <c r="T116" s="70"/>
      <c r="U116" s="66"/>
      <c r="V116" s="55"/>
      <c r="W116" s="55"/>
      <c r="X116" s="277"/>
      <c r="Y116" s="92"/>
    </row>
    <row r="117" spans="1:25" s="99" customFormat="1" ht="65.099999999999994" customHeight="1">
      <c r="A117" s="89"/>
      <c r="B117" s="89"/>
      <c r="C117" s="90"/>
      <c r="D117" s="91"/>
      <c r="E117" s="92"/>
      <c r="F117" s="92"/>
      <c r="G117" s="92"/>
      <c r="H117" s="92"/>
      <c r="I117" s="92"/>
      <c r="J117" s="92"/>
      <c r="K117" s="93"/>
      <c r="L117" s="94"/>
      <c r="M117" s="94"/>
      <c r="N117" s="95"/>
      <c r="O117" s="66"/>
      <c r="P117" s="96"/>
      <c r="Q117" s="97"/>
      <c r="R117" s="58"/>
      <c r="S117" s="69"/>
      <c r="T117" s="70"/>
      <c r="U117" s="66"/>
      <c r="V117" s="55"/>
      <c r="W117" s="55"/>
      <c r="X117" s="277"/>
      <c r="Y117" s="92"/>
    </row>
    <row r="118" spans="1:25" s="99" customFormat="1" ht="65.099999999999994" customHeight="1">
      <c r="A118" s="89"/>
      <c r="B118" s="89"/>
      <c r="C118" s="90"/>
      <c r="D118" s="91"/>
      <c r="E118" s="92"/>
      <c r="F118" s="92"/>
      <c r="G118" s="92"/>
      <c r="H118" s="92"/>
      <c r="I118" s="92"/>
      <c r="J118" s="92"/>
      <c r="K118" s="93"/>
      <c r="L118" s="94"/>
      <c r="M118" s="94"/>
      <c r="N118" s="95"/>
      <c r="O118" s="66"/>
      <c r="P118" s="96"/>
      <c r="Q118" s="97"/>
      <c r="R118" s="58"/>
      <c r="S118" s="69"/>
      <c r="T118" s="70"/>
      <c r="U118" s="66"/>
      <c r="V118" s="55"/>
      <c r="W118" s="55"/>
      <c r="X118" s="277"/>
      <c r="Y118" s="92"/>
    </row>
    <row r="119" spans="1:25" s="99" customFormat="1" ht="65.099999999999994" customHeight="1">
      <c r="A119" s="89"/>
      <c r="B119" s="89"/>
      <c r="C119" s="90"/>
      <c r="D119" s="91"/>
      <c r="E119" s="92"/>
      <c r="F119" s="92"/>
      <c r="G119" s="92"/>
      <c r="H119" s="92"/>
      <c r="I119" s="92"/>
      <c r="J119" s="92"/>
      <c r="K119" s="93"/>
      <c r="L119" s="94"/>
      <c r="M119" s="94"/>
      <c r="N119" s="95"/>
      <c r="O119" s="66"/>
      <c r="P119" s="96"/>
      <c r="Q119" s="97"/>
      <c r="R119" s="58"/>
      <c r="S119" s="69"/>
      <c r="T119" s="70"/>
      <c r="U119" s="66"/>
      <c r="V119" s="55"/>
      <c r="W119" s="55"/>
      <c r="X119" s="277"/>
      <c r="Y119" s="92"/>
    </row>
    <row r="120" spans="1:25" s="99" customFormat="1" ht="65.099999999999994" customHeight="1">
      <c r="A120" s="89"/>
      <c r="B120" s="89"/>
      <c r="C120" s="90"/>
      <c r="D120" s="91"/>
      <c r="E120" s="92"/>
      <c r="F120" s="92"/>
      <c r="G120" s="92"/>
      <c r="H120" s="92"/>
      <c r="I120" s="92"/>
      <c r="J120" s="92"/>
      <c r="K120" s="93"/>
      <c r="L120" s="94"/>
      <c r="M120" s="94"/>
      <c r="N120" s="95"/>
      <c r="O120" s="66"/>
      <c r="P120" s="96"/>
      <c r="Q120" s="97"/>
      <c r="R120" s="58"/>
      <c r="S120" s="69"/>
      <c r="T120" s="70"/>
      <c r="U120" s="66"/>
      <c r="V120" s="55"/>
      <c r="W120" s="55"/>
      <c r="X120" s="277"/>
      <c r="Y120" s="92"/>
    </row>
    <row r="121" spans="1:25" s="99" customFormat="1" ht="65.099999999999994" customHeight="1">
      <c r="A121" s="89"/>
      <c r="B121" s="89"/>
      <c r="C121" s="90"/>
      <c r="D121" s="91"/>
      <c r="E121" s="92"/>
      <c r="F121" s="92"/>
      <c r="G121" s="92"/>
      <c r="H121" s="92"/>
      <c r="I121" s="92"/>
      <c r="J121" s="92"/>
      <c r="K121" s="93"/>
      <c r="L121" s="94"/>
      <c r="M121" s="94"/>
      <c r="N121" s="95"/>
      <c r="O121" s="66"/>
      <c r="P121" s="96"/>
      <c r="Q121" s="97"/>
      <c r="R121" s="58"/>
      <c r="S121" s="69"/>
      <c r="T121" s="70"/>
      <c r="U121" s="66"/>
      <c r="V121" s="55"/>
      <c r="W121" s="55"/>
      <c r="X121" s="277"/>
      <c r="Y121" s="92"/>
    </row>
    <row r="122" spans="1:25" s="99" customFormat="1" ht="65.099999999999994" customHeight="1">
      <c r="A122" s="89"/>
      <c r="B122" s="89"/>
      <c r="C122" s="90"/>
      <c r="D122" s="91"/>
      <c r="E122" s="92"/>
      <c r="F122" s="92"/>
      <c r="G122" s="92"/>
      <c r="H122" s="92"/>
      <c r="I122" s="92"/>
      <c r="J122" s="92"/>
      <c r="K122" s="93"/>
      <c r="L122" s="94"/>
      <c r="M122" s="94"/>
      <c r="N122" s="95"/>
      <c r="O122" s="66"/>
      <c r="P122" s="96"/>
      <c r="Q122" s="97"/>
      <c r="R122" s="58"/>
      <c r="S122" s="69"/>
      <c r="T122" s="70"/>
      <c r="U122" s="66"/>
      <c r="V122" s="55"/>
      <c r="W122" s="55"/>
      <c r="X122" s="277"/>
      <c r="Y122" s="92"/>
    </row>
    <row r="123" spans="1:25" s="99" customFormat="1" ht="65.099999999999994" customHeight="1">
      <c r="A123" s="89"/>
      <c r="B123" s="89"/>
      <c r="C123" s="90"/>
      <c r="D123" s="91"/>
      <c r="E123" s="92"/>
      <c r="F123" s="92"/>
      <c r="G123" s="92"/>
      <c r="H123" s="92"/>
      <c r="I123" s="92"/>
      <c r="J123" s="92"/>
      <c r="K123" s="93"/>
      <c r="L123" s="94"/>
      <c r="M123" s="94"/>
      <c r="N123" s="95"/>
      <c r="O123" s="66"/>
      <c r="P123" s="96"/>
      <c r="Q123" s="97"/>
      <c r="R123" s="58"/>
      <c r="S123" s="69"/>
      <c r="T123" s="70"/>
      <c r="U123" s="66"/>
      <c r="V123" s="55"/>
      <c r="W123" s="55"/>
      <c r="X123" s="277"/>
      <c r="Y123" s="92"/>
    </row>
    <row r="124" spans="1:25" s="99" customFormat="1" ht="65.099999999999994" customHeight="1">
      <c r="A124" s="89"/>
      <c r="B124" s="89"/>
      <c r="C124" s="90"/>
      <c r="D124" s="91"/>
      <c r="E124" s="92"/>
      <c r="F124" s="92"/>
      <c r="G124" s="92"/>
      <c r="H124" s="92"/>
      <c r="I124" s="92"/>
      <c r="J124" s="92"/>
      <c r="K124" s="93"/>
      <c r="L124" s="94"/>
      <c r="M124" s="94"/>
      <c r="N124" s="95"/>
      <c r="O124" s="66"/>
      <c r="P124" s="96"/>
      <c r="Q124" s="97"/>
      <c r="R124" s="58"/>
      <c r="S124" s="69"/>
      <c r="T124" s="70"/>
      <c r="U124" s="66"/>
      <c r="V124" s="55"/>
      <c r="W124" s="55"/>
      <c r="X124" s="277"/>
      <c r="Y124" s="92"/>
    </row>
    <row r="125" spans="1:25" s="99" customFormat="1" ht="65.099999999999994" customHeight="1">
      <c r="A125" s="89"/>
      <c r="B125" s="89"/>
      <c r="C125" s="90"/>
      <c r="D125" s="91"/>
      <c r="E125" s="92"/>
      <c r="F125" s="92"/>
      <c r="G125" s="92"/>
      <c r="H125" s="92"/>
      <c r="I125" s="92"/>
      <c r="J125" s="92"/>
      <c r="K125" s="93"/>
      <c r="L125" s="94"/>
      <c r="M125" s="94"/>
      <c r="N125" s="95"/>
      <c r="O125" s="66"/>
      <c r="P125" s="96"/>
      <c r="Q125" s="97"/>
      <c r="R125" s="58"/>
      <c r="S125" s="69"/>
      <c r="T125" s="70"/>
      <c r="U125" s="66"/>
      <c r="V125" s="55"/>
      <c r="W125" s="55"/>
      <c r="X125" s="277"/>
      <c r="Y125" s="92"/>
    </row>
    <row r="126" spans="1:25" s="99" customFormat="1" ht="65.099999999999994" customHeight="1">
      <c r="A126" s="89"/>
      <c r="B126" s="89"/>
      <c r="C126" s="90"/>
      <c r="D126" s="91"/>
      <c r="E126" s="92"/>
      <c r="F126" s="92"/>
      <c r="G126" s="92"/>
      <c r="H126" s="92"/>
      <c r="I126" s="92"/>
      <c r="J126" s="92"/>
      <c r="K126" s="93"/>
      <c r="L126" s="94"/>
      <c r="M126" s="94"/>
      <c r="N126" s="95"/>
      <c r="O126" s="66"/>
      <c r="P126" s="96"/>
      <c r="Q126" s="97"/>
      <c r="R126" s="58"/>
      <c r="S126" s="69"/>
      <c r="T126" s="70"/>
      <c r="U126" s="66"/>
      <c r="V126" s="55"/>
      <c r="W126" s="55"/>
      <c r="X126" s="277"/>
      <c r="Y126" s="92"/>
    </row>
    <row r="127" spans="1:25" s="99" customFormat="1" ht="65.099999999999994" customHeight="1">
      <c r="A127" s="89"/>
      <c r="B127" s="89"/>
      <c r="C127" s="90"/>
      <c r="D127" s="91"/>
      <c r="E127" s="92"/>
      <c r="F127" s="92"/>
      <c r="G127" s="92"/>
      <c r="H127" s="92"/>
      <c r="I127" s="92"/>
      <c r="J127" s="92"/>
      <c r="K127" s="93"/>
      <c r="L127" s="94"/>
      <c r="M127" s="94"/>
      <c r="N127" s="95"/>
      <c r="O127" s="66"/>
      <c r="P127" s="96"/>
      <c r="Q127" s="97"/>
      <c r="R127" s="58"/>
      <c r="S127" s="69"/>
      <c r="T127" s="70"/>
      <c r="U127" s="66"/>
      <c r="V127" s="55"/>
      <c r="W127" s="55"/>
      <c r="X127" s="277"/>
      <c r="Y127" s="92"/>
    </row>
    <row r="128" spans="1:25" s="99" customFormat="1" ht="65.099999999999994" customHeight="1">
      <c r="A128" s="89"/>
      <c r="B128" s="89"/>
      <c r="C128" s="90"/>
      <c r="D128" s="91"/>
      <c r="E128" s="92"/>
      <c r="F128" s="92"/>
      <c r="G128" s="92"/>
      <c r="H128" s="92"/>
      <c r="I128" s="92"/>
      <c r="J128" s="92"/>
      <c r="K128" s="93"/>
      <c r="L128" s="94"/>
      <c r="M128" s="94"/>
      <c r="N128" s="95"/>
      <c r="O128" s="66"/>
      <c r="P128" s="96"/>
      <c r="Q128" s="97"/>
      <c r="R128" s="58"/>
      <c r="S128" s="69"/>
      <c r="T128" s="70"/>
      <c r="U128" s="66"/>
      <c r="V128" s="55"/>
      <c r="W128" s="55"/>
      <c r="X128" s="277"/>
      <c r="Y128" s="92"/>
    </row>
    <row r="129" spans="1:25" s="99" customFormat="1" ht="65.099999999999994" customHeight="1">
      <c r="A129" s="89"/>
      <c r="B129" s="89"/>
      <c r="C129" s="90"/>
      <c r="D129" s="91"/>
      <c r="E129" s="92"/>
      <c r="F129" s="92"/>
      <c r="G129" s="92"/>
      <c r="H129" s="92"/>
      <c r="I129" s="92"/>
      <c r="J129" s="92"/>
      <c r="K129" s="93"/>
      <c r="L129" s="94"/>
      <c r="M129" s="94"/>
      <c r="N129" s="95"/>
      <c r="O129" s="66"/>
      <c r="P129" s="96"/>
      <c r="Q129" s="97"/>
      <c r="R129" s="58"/>
      <c r="S129" s="69"/>
      <c r="T129" s="70"/>
      <c r="U129" s="66"/>
      <c r="V129" s="55"/>
      <c r="W129" s="55"/>
      <c r="X129" s="277"/>
      <c r="Y129" s="92"/>
    </row>
    <row r="130" spans="1:25" s="99" customFormat="1" ht="65.099999999999994" customHeight="1">
      <c r="A130" s="89"/>
      <c r="B130" s="89"/>
      <c r="C130" s="90"/>
      <c r="D130" s="91"/>
      <c r="E130" s="92"/>
      <c r="F130" s="92"/>
      <c r="G130" s="92"/>
      <c r="H130" s="92"/>
      <c r="I130" s="92"/>
      <c r="J130" s="92"/>
      <c r="K130" s="93"/>
      <c r="L130" s="94"/>
      <c r="M130" s="94"/>
      <c r="N130" s="95"/>
      <c r="O130" s="66"/>
      <c r="P130" s="96"/>
      <c r="Q130" s="97"/>
      <c r="R130" s="58"/>
      <c r="S130" s="69"/>
      <c r="T130" s="70"/>
      <c r="U130" s="66"/>
      <c r="V130" s="55"/>
      <c r="W130" s="55"/>
      <c r="X130" s="277"/>
      <c r="Y130" s="92"/>
    </row>
    <row r="131" spans="1:25" s="99" customFormat="1" ht="65.099999999999994" customHeight="1">
      <c r="A131" s="89"/>
      <c r="B131" s="89"/>
      <c r="C131" s="90"/>
      <c r="D131" s="91"/>
      <c r="E131" s="92"/>
      <c r="F131" s="92"/>
      <c r="G131" s="92"/>
      <c r="H131" s="92"/>
      <c r="I131" s="92"/>
      <c r="J131" s="92"/>
      <c r="K131" s="93"/>
      <c r="L131" s="94"/>
      <c r="M131" s="94"/>
      <c r="N131" s="95"/>
      <c r="O131" s="66"/>
      <c r="P131" s="96"/>
      <c r="Q131" s="97"/>
      <c r="R131" s="58"/>
      <c r="S131" s="69"/>
      <c r="T131" s="70"/>
      <c r="U131" s="66"/>
      <c r="V131" s="55"/>
      <c r="W131" s="55"/>
      <c r="X131" s="277"/>
      <c r="Y131" s="92"/>
    </row>
    <row r="132" spans="1:25" s="99" customFormat="1" ht="65.099999999999994" customHeight="1">
      <c r="A132" s="89"/>
      <c r="B132" s="89"/>
      <c r="C132" s="90"/>
      <c r="D132" s="91"/>
      <c r="E132" s="92"/>
      <c r="F132" s="92"/>
      <c r="G132" s="92"/>
      <c r="H132" s="92"/>
      <c r="I132" s="92"/>
      <c r="J132" s="92"/>
      <c r="K132" s="93"/>
      <c r="L132" s="94"/>
      <c r="M132" s="94"/>
      <c r="N132" s="95"/>
      <c r="O132" s="66"/>
      <c r="P132" s="96"/>
      <c r="Q132" s="97"/>
      <c r="R132" s="58"/>
      <c r="S132" s="69"/>
      <c r="T132" s="70"/>
      <c r="U132" s="66"/>
      <c r="V132" s="55"/>
      <c r="W132" s="55"/>
      <c r="X132" s="277"/>
      <c r="Y132" s="92"/>
    </row>
    <row r="133" spans="1:25" s="99" customFormat="1" ht="65.099999999999994" customHeight="1">
      <c r="A133" s="89"/>
      <c r="B133" s="89"/>
      <c r="C133" s="90"/>
      <c r="D133" s="91"/>
      <c r="E133" s="92"/>
      <c r="F133" s="92"/>
      <c r="G133" s="92"/>
      <c r="H133" s="92"/>
      <c r="I133" s="92"/>
      <c r="J133" s="92"/>
      <c r="K133" s="93"/>
      <c r="L133" s="94"/>
      <c r="M133" s="94"/>
      <c r="N133" s="95"/>
      <c r="O133" s="66"/>
      <c r="P133" s="96"/>
      <c r="Q133" s="97"/>
      <c r="R133" s="58"/>
      <c r="S133" s="69"/>
      <c r="T133" s="70"/>
      <c r="U133" s="66"/>
      <c r="V133" s="55"/>
      <c r="W133" s="55"/>
      <c r="X133" s="277"/>
      <c r="Y133" s="92"/>
    </row>
    <row r="134" spans="1:25" s="99" customFormat="1" ht="65.099999999999994" customHeight="1">
      <c r="A134" s="89"/>
      <c r="B134" s="89"/>
      <c r="C134" s="90"/>
      <c r="D134" s="91"/>
      <c r="E134" s="92"/>
      <c r="F134" s="92"/>
      <c r="G134" s="92"/>
      <c r="H134" s="92"/>
      <c r="I134" s="92"/>
      <c r="J134" s="92"/>
      <c r="K134" s="93"/>
      <c r="L134" s="94"/>
      <c r="M134" s="94"/>
      <c r="N134" s="95"/>
      <c r="O134" s="66"/>
      <c r="P134" s="96"/>
      <c r="Q134" s="97"/>
      <c r="R134" s="58"/>
      <c r="S134" s="69"/>
      <c r="T134" s="70"/>
      <c r="U134" s="66"/>
      <c r="V134" s="55"/>
      <c r="W134" s="55"/>
      <c r="X134" s="277"/>
      <c r="Y134" s="92"/>
    </row>
    <row r="135" spans="1:25" s="99" customFormat="1" ht="65.099999999999994" customHeight="1">
      <c r="A135" s="89"/>
      <c r="B135" s="89"/>
      <c r="C135" s="90"/>
      <c r="D135" s="91"/>
      <c r="E135" s="92"/>
      <c r="F135" s="92"/>
      <c r="G135" s="92"/>
      <c r="H135" s="92"/>
      <c r="I135" s="92"/>
      <c r="J135" s="92"/>
      <c r="K135" s="93"/>
      <c r="L135" s="94"/>
      <c r="M135" s="94"/>
      <c r="N135" s="95"/>
      <c r="O135" s="66"/>
      <c r="P135" s="96"/>
      <c r="Q135" s="97"/>
      <c r="R135" s="58"/>
      <c r="S135" s="69"/>
      <c r="T135" s="70"/>
      <c r="U135" s="66"/>
      <c r="V135" s="55"/>
      <c r="W135" s="55"/>
      <c r="X135" s="277"/>
      <c r="Y135" s="92"/>
    </row>
    <row r="136" spans="1:25" s="99" customFormat="1" ht="65.099999999999994" customHeight="1">
      <c r="A136" s="89"/>
      <c r="B136" s="89"/>
      <c r="C136" s="90"/>
      <c r="D136" s="91"/>
      <c r="E136" s="92"/>
      <c r="F136" s="92"/>
      <c r="G136" s="92"/>
      <c r="H136" s="92"/>
      <c r="I136" s="92"/>
      <c r="J136" s="92"/>
      <c r="K136" s="93"/>
      <c r="L136" s="94"/>
      <c r="M136" s="94"/>
      <c r="N136" s="95"/>
      <c r="O136" s="66"/>
      <c r="P136" s="96"/>
      <c r="Q136" s="97"/>
      <c r="R136" s="58"/>
      <c r="S136" s="69"/>
      <c r="T136" s="70"/>
      <c r="U136" s="66"/>
      <c r="V136" s="55"/>
      <c r="W136" s="55"/>
      <c r="X136" s="277"/>
      <c r="Y136" s="92"/>
    </row>
    <row r="137" spans="1:25" s="99" customFormat="1" ht="65.099999999999994" customHeight="1">
      <c r="A137" s="89"/>
      <c r="B137" s="89"/>
      <c r="C137" s="90"/>
      <c r="D137" s="91"/>
      <c r="E137" s="92"/>
      <c r="F137" s="92"/>
      <c r="G137" s="92"/>
      <c r="H137" s="92"/>
      <c r="I137" s="92"/>
      <c r="J137" s="92"/>
      <c r="K137" s="93"/>
      <c r="L137" s="94"/>
      <c r="M137" s="94"/>
      <c r="N137" s="95"/>
      <c r="O137" s="66"/>
      <c r="P137" s="96"/>
      <c r="Q137" s="97"/>
      <c r="R137" s="58"/>
      <c r="S137" s="69"/>
      <c r="T137" s="70"/>
      <c r="U137" s="66"/>
      <c r="V137" s="55"/>
      <c r="W137" s="55"/>
      <c r="X137" s="277"/>
      <c r="Y137" s="92"/>
    </row>
    <row r="138" spans="1:25" s="99" customFormat="1" ht="65.099999999999994" customHeight="1">
      <c r="A138" s="89"/>
      <c r="B138" s="89"/>
      <c r="C138" s="90"/>
      <c r="D138" s="91"/>
      <c r="E138" s="92"/>
      <c r="F138" s="92"/>
      <c r="G138" s="92"/>
      <c r="H138" s="92"/>
      <c r="I138" s="92"/>
      <c r="J138" s="92"/>
      <c r="K138" s="93"/>
      <c r="L138" s="94"/>
      <c r="M138" s="94"/>
      <c r="N138" s="95"/>
      <c r="O138" s="66"/>
      <c r="P138" s="96"/>
      <c r="Q138" s="97"/>
      <c r="R138" s="58"/>
      <c r="S138" s="69"/>
      <c r="T138" s="70"/>
      <c r="U138" s="66"/>
      <c r="V138" s="55"/>
      <c r="W138" s="55"/>
      <c r="X138" s="277"/>
      <c r="Y138" s="92"/>
    </row>
    <row r="139" spans="1:25" s="99" customFormat="1" ht="65.099999999999994" customHeight="1">
      <c r="A139" s="89"/>
      <c r="B139" s="89"/>
      <c r="C139" s="90"/>
      <c r="D139" s="91"/>
      <c r="E139" s="92"/>
      <c r="F139" s="92"/>
      <c r="G139" s="92"/>
      <c r="H139" s="92"/>
      <c r="I139" s="92"/>
      <c r="J139" s="92"/>
      <c r="K139" s="93"/>
      <c r="L139" s="94"/>
      <c r="M139" s="94"/>
      <c r="N139" s="95"/>
      <c r="O139" s="66"/>
      <c r="P139" s="96"/>
      <c r="Q139" s="97"/>
      <c r="R139" s="58"/>
      <c r="S139" s="69"/>
      <c r="T139" s="70"/>
      <c r="U139" s="66"/>
      <c r="V139" s="55"/>
      <c r="W139" s="55"/>
      <c r="X139" s="277"/>
      <c r="Y139" s="92"/>
    </row>
    <row r="140" spans="1:25" s="99" customFormat="1" ht="65.099999999999994" customHeight="1">
      <c r="A140" s="89"/>
      <c r="B140" s="89"/>
      <c r="C140" s="90"/>
      <c r="D140" s="91"/>
      <c r="E140" s="92"/>
      <c r="F140" s="92"/>
      <c r="G140" s="92"/>
      <c r="H140" s="92"/>
      <c r="I140" s="92"/>
      <c r="J140" s="92"/>
      <c r="K140" s="93"/>
      <c r="L140" s="94"/>
      <c r="M140" s="94"/>
      <c r="N140" s="95"/>
      <c r="O140" s="66"/>
      <c r="P140" s="96"/>
      <c r="Q140" s="97"/>
      <c r="R140" s="58"/>
      <c r="S140" s="69"/>
      <c r="T140" s="70"/>
      <c r="U140" s="66"/>
      <c r="V140" s="55"/>
      <c r="W140" s="55"/>
      <c r="X140" s="277"/>
      <c r="Y140" s="92"/>
    </row>
    <row r="141" spans="1:25" s="99" customFormat="1" ht="65.099999999999994" customHeight="1">
      <c r="A141" s="89"/>
      <c r="B141" s="89"/>
      <c r="C141" s="90"/>
      <c r="D141" s="91"/>
      <c r="E141" s="92"/>
      <c r="F141" s="92"/>
      <c r="G141" s="92"/>
      <c r="H141" s="92"/>
      <c r="I141" s="92"/>
      <c r="J141" s="92"/>
      <c r="K141" s="93"/>
      <c r="L141" s="94"/>
      <c r="M141" s="94"/>
      <c r="N141" s="95"/>
      <c r="O141" s="66"/>
      <c r="P141" s="96"/>
      <c r="Q141" s="97"/>
      <c r="R141" s="58"/>
      <c r="S141" s="69"/>
      <c r="T141" s="70"/>
      <c r="U141" s="66"/>
      <c r="V141" s="55"/>
      <c r="W141" s="55"/>
      <c r="X141" s="277"/>
      <c r="Y141" s="92"/>
    </row>
    <row r="142" spans="1:25" s="99" customFormat="1" ht="65.099999999999994" customHeight="1">
      <c r="A142" s="89"/>
      <c r="B142" s="89"/>
      <c r="C142" s="90"/>
      <c r="D142" s="91"/>
      <c r="E142" s="92"/>
      <c r="F142" s="92"/>
      <c r="G142" s="92"/>
      <c r="H142" s="92"/>
      <c r="I142" s="92"/>
      <c r="J142" s="92"/>
      <c r="K142" s="93"/>
      <c r="L142" s="94"/>
      <c r="M142" s="94"/>
      <c r="N142" s="95"/>
      <c r="O142" s="66"/>
      <c r="P142" s="96"/>
      <c r="Q142" s="97"/>
      <c r="R142" s="58"/>
      <c r="S142" s="69"/>
      <c r="T142" s="70"/>
      <c r="U142" s="66"/>
      <c r="V142" s="55"/>
      <c r="W142" s="55"/>
      <c r="X142" s="277"/>
      <c r="Y142" s="92"/>
    </row>
    <row r="143" spans="1:25" s="99" customFormat="1" ht="65.099999999999994" customHeight="1">
      <c r="A143" s="89"/>
      <c r="B143" s="89"/>
      <c r="C143" s="90"/>
      <c r="D143" s="91"/>
      <c r="E143" s="92"/>
      <c r="F143" s="92"/>
      <c r="G143" s="92"/>
      <c r="H143" s="92"/>
      <c r="I143" s="92"/>
      <c r="J143" s="92"/>
      <c r="K143" s="93"/>
      <c r="L143" s="94"/>
      <c r="M143" s="94"/>
      <c r="N143" s="95"/>
      <c r="O143" s="66"/>
      <c r="P143" s="96"/>
      <c r="Q143" s="97"/>
      <c r="R143" s="58"/>
      <c r="S143" s="69"/>
      <c r="T143" s="70"/>
      <c r="U143" s="66"/>
      <c r="V143" s="55"/>
      <c r="W143" s="55"/>
      <c r="X143" s="277"/>
      <c r="Y143" s="92"/>
    </row>
    <row r="144" spans="1:25" s="99" customFormat="1" ht="65.099999999999994" customHeight="1">
      <c r="A144" s="89"/>
      <c r="B144" s="89"/>
      <c r="C144" s="90"/>
      <c r="D144" s="91"/>
      <c r="E144" s="92"/>
      <c r="F144" s="92"/>
      <c r="G144" s="92"/>
      <c r="H144" s="92"/>
      <c r="I144" s="92"/>
      <c r="J144" s="92"/>
      <c r="K144" s="93"/>
      <c r="L144" s="94"/>
      <c r="M144" s="94"/>
      <c r="N144" s="95"/>
      <c r="O144" s="66"/>
      <c r="P144" s="96"/>
      <c r="Q144" s="97"/>
      <c r="R144" s="58"/>
      <c r="S144" s="69"/>
      <c r="T144" s="70"/>
      <c r="U144" s="66"/>
      <c r="V144" s="55"/>
      <c r="W144" s="55"/>
      <c r="X144" s="277"/>
      <c r="Y144" s="92"/>
    </row>
    <row r="145" spans="1:25" s="99" customFormat="1" ht="65.099999999999994" customHeight="1">
      <c r="A145" s="89"/>
      <c r="B145" s="89"/>
      <c r="C145" s="90"/>
      <c r="D145" s="91"/>
      <c r="E145" s="92"/>
      <c r="F145" s="92"/>
      <c r="G145" s="92"/>
      <c r="H145" s="92"/>
      <c r="I145" s="92"/>
      <c r="J145" s="92"/>
      <c r="K145" s="93"/>
      <c r="L145" s="94"/>
      <c r="M145" s="94"/>
      <c r="N145" s="95"/>
      <c r="O145" s="66"/>
      <c r="P145" s="96"/>
      <c r="Q145" s="97"/>
      <c r="R145" s="58"/>
      <c r="S145" s="69"/>
      <c r="T145" s="70"/>
      <c r="U145" s="66"/>
      <c r="V145" s="55"/>
      <c r="W145" s="55"/>
      <c r="X145" s="277"/>
      <c r="Y145" s="92"/>
    </row>
    <row r="146" spans="1:25" s="99" customFormat="1" ht="65.099999999999994" customHeight="1">
      <c r="A146" s="89"/>
      <c r="B146" s="89"/>
      <c r="C146" s="90"/>
      <c r="D146" s="91"/>
      <c r="E146" s="92"/>
      <c r="F146" s="92"/>
      <c r="G146" s="92"/>
      <c r="H146" s="92"/>
      <c r="I146" s="92"/>
      <c r="J146" s="92"/>
      <c r="K146" s="93"/>
      <c r="L146" s="94"/>
      <c r="M146" s="94"/>
      <c r="N146" s="95"/>
      <c r="O146" s="66"/>
      <c r="P146" s="96"/>
      <c r="Q146" s="97"/>
      <c r="R146" s="58"/>
      <c r="S146" s="69"/>
      <c r="T146" s="70"/>
      <c r="U146" s="66"/>
      <c r="V146" s="55"/>
      <c r="W146" s="55"/>
      <c r="X146" s="277"/>
      <c r="Y146" s="92"/>
    </row>
    <row r="147" spans="1:25" s="99" customFormat="1" ht="65.099999999999994" customHeight="1">
      <c r="A147" s="89"/>
      <c r="B147" s="89"/>
      <c r="C147" s="90"/>
      <c r="D147" s="91"/>
      <c r="E147" s="92"/>
      <c r="F147" s="92"/>
      <c r="G147" s="92"/>
      <c r="H147" s="92"/>
      <c r="I147" s="92"/>
      <c r="J147" s="92"/>
      <c r="K147" s="93"/>
      <c r="L147" s="94"/>
      <c r="M147" s="94"/>
      <c r="N147" s="95"/>
      <c r="O147" s="66"/>
      <c r="P147" s="96"/>
      <c r="Q147" s="97"/>
      <c r="R147" s="58"/>
      <c r="S147" s="69"/>
      <c r="T147" s="70"/>
      <c r="U147" s="66"/>
      <c r="V147" s="55"/>
      <c r="W147" s="55"/>
      <c r="X147" s="277"/>
      <c r="Y147" s="92"/>
    </row>
    <row r="148" spans="1:25" s="99" customFormat="1" ht="65.099999999999994" customHeight="1">
      <c r="A148" s="89"/>
      <c r="B148" s="89"/>
      <c r="C148" s="90"/>
      <c r="D148" s="91"/>
      <c r="E148" s="92"/>
      <c r="F148" s="92"/>
      <c r="G148" s="92"/>
      <c r="H148" s="92"/>
      <c r="I148" s="92"/>
      <c r="J148" s="92"/>
      <c r="K148" s="93"/>
      <c r="L148" s="94"/>
      <c r="M148" s="94"/>
      <c r="N148" s="95"/>
      <c r="O148" s="66"/>
      <c r="P148" s="96"/>
      <c r="Q148" s="97"/>
      <c r="R148" s="58"/>
      <c r="S148" s="69"/>
      <c r="T148" s="70"/>
      <c r="U148" s="66"/>
      <c r="V148" s="55"/>
      <c r="W148" s="55"/>
      <c r="X148" s="277"/>
      <c r="Y148" s="92"/>
    </row>
    <row r="149" spans="1:25" s="99" customFormat="1" ht="65.099999999999994" customHeight="1">
      <c r="A149" s="89"/>
      <c r="B149" s="89"/>
      <c r="C149" s="90"/>
      <c r="D149" s="91"/>
      <c r="E149" s="92"/>
      <c r="F149" s="92"/>
      <c r="G149" s="92"/>
      <c r="H149" s="92"/>
      <c r="I149" s="92"/>
      <c r="J149" s="92"/>
      <c r="K149" s="93"/>
      <c r="L149" s="94"/>
      <c r="M149" s="94"/>
      <c r="N149" s="95"/>
      <c r="O149" s="66"/>
      <c r="P149" s="96"/>
      <c r="Q149" s="97"/>
      <c r="R149" s="58"/>
      <c r="S149" s="69"/>
      <c r="T149" s="70"/>
      <c r="U149" s="66"/>
      <c r="V149" s="55"/>
      <c r="W149" s="55"/>
      <c r="X149" s="277"/>
      <c r="Y149" s="92"/>
    </row>
    <row r="150" spans="1:25" s="99" customFormat="1" ht="65.099999999999994" customHeight="1">
      <c r="A150" s="89"/>
      <c r="B150" s="89"/>
      <c r="C150" s="90"/>
      <c r="D150" s="91"/>
      <c r="E150" s="92"/>
      <c r="F150" s="92"/>
      <c r="G150" s="92"/>
      <c r="H150" s="92"/>
      <c r="I150" s="92"/>
      <c r="J150" s="92"/>
      <c r="K150" s="93"/>
      <c r="L150" s="94"/>
      <c r="M150" s="94"/>
      <c r="N150" s="95"/>
      <c r="O150" s="66"/>
      <c r="P150" s="96"/>
      <c r="Q150" s="97"/>
      <c r="R150" s="58"/>
      <c r="S150" s="69"/>
      <c r="T150" s="70"/>
      <c r="U150" s="66"/>
      <c r="V150" s="55"/>
      <c r="W150" s="55"/>
      <c r="X150" s="277"/>
      <c r="Y150" s="92"/>
    </row>
    <row r="151" spans="1:25" s="99" customFormat="1" ht="65.099999999999994" customHeight="1">
      <c r="A151" s="89"/>
      <c r="B151" s="89"/>
      <c r="C151" s="90"/>
      <c r="D151" s="91"/>
      <c r="E151" s="92"/>
      <c r="F151" s="92"/>
      <c r="G151" s="92"/>
      <c r="H151" s="92"/>
      <c r="I151" s="92"/>
      <c r="J151" s="92"/>
      <c r="K151" s="93"/>
      <c r="L151" s="94"/>
      <c r="M151" s="94"/>
      <c r="N151" s="95"/>
      <c r="O151" s="66"/>
      <c r="P151" s="96"/>
      <c r="Q151" s="97"/>
      <c r="R151" s="58"/>
      <c r="S151" s="69"/>
      <c r="T151" s="70"/>
      <c r="U151" s="66"/>
      <c r="V151" s="55"/>
      <c r="W151" s="55"/>
      <c r="X151" s="277"/>
      <c r="Y151" s="92"/>
    </row>
    <row r="152" spans="1:25" s="99" customFormat="1" ht="65.099999999999994" customHeight="1">
      <c r="A152" s="89"/>
      <c r="B152" s="89"/>
      <c r="C152" s="90"/>
      <c r="D152" s="91"/>
      <c r="E152" s="92"/>
      <c r="F152" s="92"/>
      <c r="G152" s="92"/>
      <c r="H152" s="92"/>
      <c r="I152" s="92"/>
      <c r="J152" s="92"/>
      <c r="K152" s="93"/>
      <c r="L152" s="94"/>
      <c r="M152" s="94"/>
      <c r="N152" s="95"/>
      <c r="O152" s="66"/>
      <c r="P152" s="96"/>
      <c r="Q152" s="97"/>
      <c r="R152" s="58"/>
      <c r="S152" s="69"/>
      <c r="T152" s="70"/>
      <c r="U152" s="66"/>
      <c r="V152" s="55"/>
      <c r="W152" s="55"/>
      <c r="X152" s="277"/>
      <c r="Y152" s="92"/>
    </row>
    <row r="153" spans="1:25" s="99" customFormat="1" ht="65.099999999999994" customHeight="1">
      <c r="A153" s="89"/>
      <c r="B153" s="89"/>
      <c r="C153" s="90"/>
      <c r="D153" s="91"/>
      <c r="E153" s="92"/>
      <c r="F153" s="92"/>
      <c r="G153" s="92"/>
      <c r="H153" s="92"/>
      <c r="I153" s="92"/>
      <c r="J153" s="92"/>
      <c r="K153" s="93"/>
      <c r="L153" s="94"/>
      <c r="M153" s="94"/>
      <c r="N153" s="95"/>
      <c r="O153" s="66"/>
      <c r="P153" s="96"/>
      <c r="Q153" s="97"/>
      <c r="R153" s="58"/>
      <c r="S153" s="69"/>
      <c r="T153" s="70"/>
      <c r="U153" s="66"/>
      <c r="V153" s="55"/>
      <c r="W153" s="55"/>
      <c r="X153" s="277"/>
      <c r="Y153" s="92"/>
    </row>
    <row r="154" spans="1:25" s="99" customFormat="1" ht="65.099999999999994" customHeight="1">
      <c r="A154" s="89"/>
      <c r="B154" s="89"/>
      <c r="C154" s="90"/>
      <c r="D154" s="91"/>
      <c r="E154" s="92"/>
      <c r="F154" s="92"/>
      <c r="G154" s="92"/>
      <c r="H154" s="92"/>
      <c r="I154" s="92"/>
      <c r="J154" s="92"/>
      <c r="K154" s="93"/>
      <c r="L154" s="94"/>
      <c r="M154" s="94"/>
      <c r="N154" s="95"/>
      <c r="O154" s="66"/>
      <c r="P154" s="96"/>
      <c r="Q154" s="97"/>
      <c r="R154" s="58"/>
      <c r="S154" s="69"/>
      <c r="T154" s="70"/>
      <c r="U154" s="66"/>
      <c r="V154" s="55"/>
      <c r="W154" s="55"/>
      <c r="X154" s="277"/>
      <c r="Y154" s="92"/>
    </row>
    <row r="155" spans="1:25" s="99" customFormat="1" ht="65.099999999999994" customHeight="1">
      <c r="A155" s="89"/>
      <c r="B155" s="89"/>
      <c r="C155" s="90"/>
      <c r="D155" s="91"/>
      <c r="E155" s="92"/>
      <c r="F155" s="92"/>
      <c r="G155" s="92"/>
      <c r="H155" s="92"/>
      <c r="I155" s="92"/>
      <c r="J155" s="92"/>
      <c r="K155" s="93"/>
      <c r="L155" s="94"/>
      <c r="M155" s="94"/>
      <c r="N155" s="95"/>
      <c r="O155" s="66"/>
      <c r="P155" s="96"/>
      <c r="Q155" s="97"/>
      <c r="R155" s="58"/>
      <c r="S155" s="69"/>
      <c r="T155" s="70"/>
      <c r="U155" s="66"/>
      <c r="V155" s="55"/>
      <c r="W155" s="55"/>
      <c r="X155" s="277"/>
      <c r="Y155" s="92"/>
    </row>
    <row r="156" spans="1:25" s="99" customFormat="1" ht="65.099999999999994" customHeight="1">
      <c r="A156" s="89"/>
      <c r="B156" s="89"/>
      <c r="C156" s="90"/>
      <c r="D156" s="91"/>
      <c r="E156" s="92"/>
      <c r="F156" s="92"/>
      <c r="G156" s="92"/>
      <c r="H156" s="92"/>
      <c r="I156" s="92"/>
      <c r="J156" s="92"/>
      <c r="K156" s="93"/>
      <c r="L156" s="94"/>
      <c r="M156" s="94"/>
      <c r="N156" s="95"/>
      <c r="O156" s="66"/>
      <c r="P156" s="96"/>
      <c r="Q156" s="97"/>
      <c r="R156" s="58"/>
      <c r="S156" s="69"/>
      <c r="T156" s="70"/>
      <c r="U156" s="66"/>
      <c r="V156" s="55"/>
      <c r="W156" s="55"/>
      <c r="X156" s="277"/>
      <c r="Y156" s="92"/>
    </row>
    <row r="157" spans="1:25" s="99" customFormat="1" ht="65.099999999999994" customHeight="1">
      <c r="A157" s="89"/>
      <c r="B157" s="89"/>
      <c r="C157" s="90"/>
      <c r="D157" s="91"/>
      <c r="E157" s="92"/>
      <c r="F157" s="92"/>
      <c r="G157" s="92"/>
      <c r="H157" s="92"/>
      <c r="I157" s="92"/>
      <c r="J157" s="92"/>
      <c r="K157" s="93"/>
      <c r="L157" s="94"/>
      <c r="M157" s="94"/>
      <c r="N157" s="95"/>
      <c r="O157" s="66"/>
      <c r="P157" s="96"/>
      <c r="Q157" s="97"/>
      <c r="R157" s="58"/>
      <c r="S157" s="69"/>
      <c r="T157" s="70"/>
      <c r="U157" s="66"/>
      <c r="V157" s="55"/>
      <c r="W157" s="55"/>
      <c r="X157" s="277"/>
      <c r="Y157" s="92"/>
    </row>
    <row r="158" spans="1:25" s="99" customFormat="1" ht="65.099999999999994" customHeight="1">
      <c r="A158" s="89"/>
      <c r="B158" s="89"/>
      <c r="C158" s="90"/>
      <c r="D158" s="91"/>
      <c r="E158" s="92"/>
      <c r="F158" s="92"/>
      <c r="G158" s="92"/>
      <c r="H158" s="92"/>
      <c r="I158" s="92"/>
      <c r="J158" s="92"/>
      <c r="K158" s="93"/>
      <c r="L158" s="94"/>
      <c r="M158" s="94"/>
      <c r="N158" s="95"/>
      <c r="O158" s="66"/>
      <c r="P158" s="96"/>
      <c r="Q158" s="97"/>
      <c r="R158" s="58"/>
      <c r="S158" s="69"/>
      <c r="T158" s="70"/>
      <c r="U158" s="66"/>
      <c r="V158" s="55"/>
      <c r="W158" s="55"/>
      <c r="X158" s="277"/>
      <c r="Y158" s="92"/>
    </row>
    <row r="159" spans="1:25" s="99" customFormat="1" ht="65.099999999999994" customHeight="1">
      <c r="A159" s="89"/>
      <c r="B159" s="89"/>
      <c r="C159" s="90"/>
      <c r="D159" s="91"/>
      <c r="E159" s="92"/>
      <c r="F159" s="92"/>
      <c r="G159" s="92"/>
      <c r="H159" s="92"/>
      <c r="I159" s="92"/>
      <c r="J159" s="92"/>
      <c r="K159" s="93"/>
      <c r="L159" s="94"/>
      <c r="M159" s="94"/>
      <c r="N159" s="95"/>
      <c r="O159" s="66"/>
      <c r="P159" s="96"/>
      <c r="Q159" s="97"/>
      <c r="R159" s="58"/>
      <c r="S159" s="69"/>
      <c r="T159" s="70"/>
      <c r="U159" s="66"/>
      <c r="V159" s="55"/>
      <c r="W159" s="55"/>
      <c r="X159" s="277"/>
      <c r="Y159" s="92"/>
    </row>
    <row r="160" spans="1:25" s="99" customFormat="1" ht="65.099999999999994" customHeight="1">
      <c r="A160" s="89"/>
      <c r="B160" s="89"/>
      <c r="C160" s="90"/>
      <c r="D160" s="91"/>
      <c r="E160" s="92"/>
      <c r="F160" s="92"/>
      <c r="G160" s="92"/>
      <c r="H160" s="92"/>
      <c r="I160" s="92"/>
      <c r="J160" s="92"/>
      <c r="K160" s="93"/>
      <c r="L160" s="94"/>
      <c r="M160" s="94"/>
      <c r="N160" s="95"/>
      <c r="O160" s="66"/>
      <c r="P160" s="96"/>
      <c r="Q160" s="97"/>
      <c r="R160" s="58"/>
      <c r="S160" s="69"/>
      <c r="T160" s="70"/>
      <c r="U160" s="66"/>
      <c r="V160" s="55"/>
      <c r="W160" s="55"/>
      <c r="X160" s="277"/>
      <c r="Y160" s="92"/>
    </row>
    <row r="161" spans="1:25" s="99" customFormat="1" ht="65.099999999999994" customHeight="1">
      <c r="A161" s="89"/>
      <c r="B161" s="89"/>
      <c r="C161" s="90"/>
      <c r="D161" s="91"/>
      <c r="E161" s="92"/>
      <c r="F161" s="92"/>
      <c r="G161" s="92"/>
      <c r="H161" s="92"/>
      <c r="I161" s="92"/>
      <c r="J161" s="92"/>
      <c r="K161" s="93"/>
      <c r="L161" s="94"/>
      <c r="M161" s="94"/>
      <c r="N161" s="95"/>
      <c r="O161" s="66"/>
      <c r="P161" s="96"/>
      <c r="Q161" s="97"/>
      <c r="R161" s="58"/>
      <c r="S161" s="69"/>
      <c r="T161" s="70"/>
      <c r="U161" s="66"/>
      <c r="V161" s="55"/>
      <c r="W161" s="55"/>
      <c r="X161" s="277"/>
      <c r="Y161" s="92"/>
    </row>
    <row r="162" spans="1:25" s="99" customFormat="1" ht="65.099999999999994" customHeight="1">
      <c r="A162" s="89"/>
      <c r="B162" s="89"/>
      <c r="C162" s="90"/>
      <c r="D162" s="91"/>
      <c r="E162" s="92"/>
      <c r="F162" s="92"/>
      <c r="G162" s="92"/>
      <c r="H162" s="92"/>
      <c r="I162" s="92"/>
      <c r="J162" s="92"/>
      <c r="K162" s="93"/>
      <c r="L162" s="94"/>
      <c r="M162" s="94"/>
      <c r="N162" s="95"/>
      <c r="O162" s="66"/>
      <c r="P162" s="96"/>
      <c r="Q162" s="97"/>
      <c r="R162" s="58"/>
      <c r="S162" s="69"/>
      <c r="T162" s="70"/>
      <c r="U162" s="66"/>
      <c r="V162" s="55"/>
      <c r="W162" s="55"/>
      <c r="X162" s="277"/>
      <c r="Y162" s="92"/>
    </row>
    <row r="163" spans="1:25" s="99" customFormat="1" ht="65.099999999999994" customHeight="1">
      <c r="A163" s="89"/>
      <c r="B163" s="89"/>
      <c r="C163" s="90"/>
      <c r="D163" s="91"/>
      <c r="E163" s="92"/>
      <c r="F163" s="92"/>
      <c r="G163" s="92"/>
      <c r="H163" s="92"/>
      <c r="I163" s="92"/>
      <c r="J163" s="92"/>
      <c r="K163" s="93"/>
      <c r="L163" s="94"/>
      <c r="M163" s="94"/>
      <c r="N163" s="95"/>
      <c r="O163" s="66"/>
      <c r="P163" s="96"/>
      <c r="Q163" s="97"/>
      <c r="R163" s="58"/>
      <c r="S163" s="69"/>
      <c r="T163" s="70"/>
      <c r="U163" s="66"/>
      <c r="V163" s="55"/>
      <c r="W163" s="55"/>
      <c r="X163" s="277"/>
      <c r="Y163" s="92"/>
    </row>
    <row r="164" spans="1:25" s="99" customFormat="1" ht="65.099999999999994" customHeight="1">
      <c r="A164" s="89"/>
      <c r="B164" s="89"/>
      <c r="C164" s="90"/>
      <c r="D164" s="91"/>
      <c r="E164" s="92"/>
      <c r="F164" s="92"/>
      <c r="G164" s="92"/>
      <c r="H164" s="92"/>
      <c r="I164" s="92"/>
      <c r="J164" s="92"/>
      <c r="K164" s="93"/>
      <c r="L164" s="94"/>
      <c r="M164" s="94"/>
      <c r="N164" s="95"/>
      <c r="O164" s="66"/>
      <c r="P164" s="96"/>
      <c r="Q164" s="97"/>
      <c r="R164" s="58"/>
      <c r="S164" s="69"/>
      <c r="T164" s="70"/>
      <c r="U164" s="66"/>
      <c r="V164" s="55"/>
      <c r="W164" s="55"/>
      <c r="X164" s="277"/>
      <c r="Y164" s="92"/>
    </row>
    <row r="165" spans="1:25" s="99" customFormat="1" ht="65.099999999999994" customHeight="1">
      <c r="A165" s="89"/>
      <c r="B165" s="89"/>
      <c r="C165" s="90"/>
      <c r="D165" s="91"/>
      <c r="E165" s="92"/>
      <c r="F165" s="92"/>
      <c r="G165" s="92"/>
      <c r="H165" s="92"/>
      <c r="I165" s="92"/>
      <c r="J165" s="92"/>
      <c r="K165" s="93"/>
      <c r="L165" s="94"/>
      <c r="M165" s="94"/>
      <c r="N165" s="95"/>
      <c r="O165" s="66"/>
      <c r="P165" s="96"/>
      <c r="Q165" s="97"/>
      <c r="R165" s="58"/>
      <c r="S165" s="69"/>
      <c r="T165" s="70"/>
      <c r="U165" s="66"/>
      <c r="V165" s="55"/>
      <c r="W165" s="55"/>
      <c r="X165" s="277"/>
      <c r="Y165" s="92"/>
    </row>
    <row r="166" spans="1:25" s="99" customFormat="1" ht="65.099999999999994" customHeight="1">
      <c r="A166" s="89"/>
      <c r="B166" s="89"/>
      <c r="C166" s="90"/>
      <c r="D166" s="91"/>
      <c r="E166" s="92"/>
      <c r="F166" s="92"/>
      <c r="G166" s="92"/>
      <c r="H166" s="92"/>
      <c r="I166" s="92"/>
      <c r="J166" s="92"/>
      <c r="K166" s="93"/>
      <c r="L166" s="94"/>
      <c r="M166" s="94"/>
      <c r="N166" s="95"/>
      <c r="O166" s="66"/>
      <c r="P166" s="96"/>
      <c r="Q166" s="97"/>
      <c r="R166" s="58"/>
      <c r="S166" s="69"/>
      <c r="T166" s="70"/>
      <c r="U166" s="66"/>
      <c r="V166" s="55"/>
      <c r="W166" s="55"/>
      <c r="X166" s="277"/>
      <c r="Y166" s="92"/>
    </row>
    <row r="167" spans="1:25" s="99" customFormat="1" ht="65.099999999999994" customHeight="1">
      <c r="A167" s="89"/>
      <c r="B167" s="89"/>
      <c r="C167" s="90"/>
      <c r="D167" s="91"/>
      <c r="E167" s="92"/>
      <c r="F167" s="92"/>
      <c r="G167" s="92"/>
      <c r="H167" s="92"/>
      <c r="I167" s="92"/>
      <c r="J167" s="92"/>
      <c r="K167" s="93"/>
      <c r="L167" s="94"/>
      <c r="M167" s="94"/>
      <c r="N167" s="95"/>
      <c r="O167" s="66"/>
      <c r="P167" s="96"/>
      <c r="Q167" s="97"/>
      <c r="R167" s="58"/>
      <c r="S167" s="69"/>
      <c r="T167" s="70"/>
      <c r="U167" s="66"/>
      <c r="V167" s="55"/>
      <c r="W167" s="55"/>
      <c r="X167" s="277"/>
      <c r="Y167" s="92"/>
    </row>
    <row r="168" spans="1:25" s="99" customFormat="1" ht="65.099999999999994" customHeight="1">
      <c r="A168" s="89"/>
      <c r="B168" s="89"/>
      <c r="C168" s="90"/>
      <c r="D168" s="91"/>
      <c r="E168" s="92"/>
      <c r="F168" s="92"/>
      <c r="G168" s="92"/>
      <c r="H168" s="92"/>
      <c r="I168" s="92"/>
      <c r="J168" s="92"/>
      <c r="K168" s="93"/>
      <c r="L168" s="94"/>
      <c r="M168" s="94"/>
      <c r="N168" s="95"/>
      <c r="O168" s="66"/>
      <c r="P168" s="96"/>
      <c r="Q168" s="97"/>
      <c r="R168" s="58"/>
      <c r="S168" s="69"/>
      <c r="T168" s="70"/>
      <c r="U168" s="66"/>
      <c r="V168" s="55"/>
      <c r="W168" s="55"/>
      <c r="X168" s="277"/>
      <c r="Y168" s="92"/>
    </row>
    <row r="169" spans="1:25" s="99" customFormat="1" ht="65.099999999999994" customHeight="1">
      <c r="A169" s="89"/>
      <c r="B169" s="89"/>
      <c r="C169" s="90"/>
      <c r="D169" s="91"/>
      <c r="E169" s="92"/>
      <c r="F169" s="92"/>
      <c r="G169" s="92"/>
      <c r="H169" s="92"/>
      <c r="I169" s="92"/>
      <c r="J169" s="92"/>
      <c r="K169" s="93"/>
      <c r="L169" s="94"/>
      <c r="M169" s="94"/>
      <c r="N169" s="95"/>
      <c r="O169" s="66"/>
      <c r="P169" s="96"/>
      <c r="Q169" s="97"/>
      <c r="R169" s="58"/>
      <c r="S169" s="69"/>
      <c r="T169" s="70"/>
      <c r="U169" s="66"/>
      <c r="V169" s="55"/>
      <c r="W169" s="55"/>
      <c r="X169" s="277"/>
      <c r="Y169" s="92"/>
    </row>
    <row r="170" spans="1:25" s="99" customFormat="1" ht="65.099999999999994" customHeight="1">
      <c r="A170" s="89"/>
      <c r="B170" s="89"/>
      <c r="C170" s="90"/>
      <c r="D170" s="91"/>
      <c r="E170" s="92"/>
      <c r="F170" s="92"/>
      <c r="G170" s="92"/>
      <c r="H170" s="92"/>
      <c r="I170" s="92"/>
      <c r="J170" s="92"/>
      <c r="K170" s="93"/>
      <c r="L170" s="94"/>
      <c r="M170" s="94"/>
      <c r="N170" s="95"/>
      <c r="O170" s="66"/>
      <c r="P170" s="96"/>
      <c r="Q170" s="97"/>
      <c r="R170" s="58"/>
      <c r="S170" s="69"/>
      <c r="T170" s="70"/>
      <c r="U170" s="66"/>
      <c r="V170" s="55"/>
      <c r="W170" s="55"/>
      <c r="X170" s="277"/>
      <c r="Y170" s="92"/>
    </row>
    <row r="171" spans="1:25" s="99" customFormat="1" ht="65.099999999999994" customHeight="1">
      <c r="A171" s="89"/>
      <c r="B171" s="89"/>
      <c r="C171" s="90"/>
      <c r="D171" s="91"/>
      <c r="E171" s="92"/>
      <c r="F171" s="92"/>
      <c r="G171" s="92"/>
      <c r="H171" s="92"/>
      <c r="I171" s="92"/>
      <c r="J171" s="92"/>
      <c r="K171" s="93"/>
      <c r="L171" s="94"/>
      <c r="M171" s="94"/>
      <c r="N171" s="95"/>
      <c r="O171" s="66"/>
      <c r="P171" s="96"/>
      <c r="Q171" s="97"/>
      <c r="R171" s="58"/>
      <c r="S171" s="69"/>
      <c r="T171" s="70"/>
      <c r="U171" s="66"/>
      <c r="V171" s="55"/>
      <c r="W171" s="55"/>
      <c r="X171" s="277"/>
      <c r="Y171" s="92"/>
    </row>
    <row r="172" spans="1:25" s="99" customFormat="1" ht="65.099999999999994" customHeight="1">
      <c r="A172" s="89"/>
      <c r="B172" s="89"/>
      <c r="C172" s="90"/>
      <c r="D172" s="91"/>
      <c r="E172" s="92"/>
      <c r="F172" s="92"/>
      <c r="G172" s="92"/>
      <c r="H172" s="92"/>
      <c r="I172" s="92"/>
      <c r="J172" s="92"/>
      <c r="K172" s="93"/>
      <c r="L172" s="94"/>
      <c r="M172" s="94"/>
      <c r="N172" s="95"/>
      <c r="O172" s="66"/>
      <c r="P172" s="96"/>
      <c r="Q172" s="97"/>
      <c r="R172" s="58"/>
      <c r="S172" s="69"/>
      <c r="T172" s="70"/>
      <c r="U172" s="66"/>
      <c r="V172" s="55"/>
      <c r="W172" s="55"/>
      <c r="X172" s="277"/>
      <c r="Y172" s="92"/>
    </row>
    <row r="173" spans="1:25" s="99" customFormat="1" ht="65.099999999999994" customHeight="1">
      <c r="A173" s="89"/>
      <c r="B173" s="89"/>
      <c r="C173" s="90"/>
      <c r="D173" s="91"/>
      <c r="E173" s="92"/>
      <c r="F173" s="92"/>
      <c r="G173" s="92"/>
      <c r="H173" s="92"/>
      <c r="I173" s="92"/>
      <c r="J173" s="92"/>
      <c r="K173" s="93"/>
      <c r="L173" s="94"/>
      <c r="M173" s="94"/>
      <c r="N173" s="95"/>
      <c r="O173" s="66"/>
      <c r="P173" s="96"/>
      <c r="Q173" s="97"/>
      <c r="R173" s="58"/>
      <c r="S173" s="69"/>
      <c r="T173" s="70"/>
      <c r="U173" s="66"/>
      <c r="V173" s="55"/>
      <c r="W173" s="55"/>
      <c r="X173" s="277"/>
      <c r="Y173" s="92"/>
    </row>
    <row r="174" spans="1:25" s="99" customFormat="1" ht="65.099999999999994" customHeight="1">
      <c r="A174" s="89"/>
      <c r="B174" s="89"/>
      <c r="C174" s="90"/>
      <c r="D174" s="91"/>
      <c r="E174" s="92"/>
      <c r="F174" s="92"/>
      <c r="G174" s="92"/>
      <c r="H174" s="92"/>
      <c r="I174" s="92"/>
      <c r="J174" s="92"/>
      <c r="K174" s="93"/>
      <c r="L174" s="94"/>
      <c r="M174" s="94"/>
      <c r="N174" s="95"/>
      <c r="O174" s="66"/>
      <c r="P174" s="96"/>
      <c r="Q174" s="97"/>
      <c r="R174" s="58"/>
      <c r="S174" s="69"/>
      <c r="T174" s="70"/>
      <c r="U174" s="66"/>
      <c r="V174" s="55"/>
      <c r="W174" s="55"/>
      <c r="X174" s="277"/>
      <c r="Y174" s="92"/>
    </row>
    <row r="175" spans="1:25" s="99" customFormat="1" ht="65.099999999999994" customHeight="1">
      <c r="A175" s="89"/>
      <c r="B175" s="89"/>
      <c r="C175" s="90"/>
      <c r="D175" s="91"/>
      <c r="E175" s="92"/>
      <c r="F175" s="92"/>
      <c r="G175" s="92"/>
      <c r="H175" s="92"/>
      <c r="I175" s="92"/>
      <c r="J175" s="92"/>
      <c r="K175" s="93"/>
      <c r="L175" s="94"/>
      <c r="M175" s="94"/>
      <c r="N175" s="95"/>
      <c r="O175" s="66"/>
      <c r="P175" s="96"/>
      <c r="Q175" s="97"/>
      <c r="R175" s="58"/>
      <c r="S175" s="69"/>
      <c r="T175" s="70"/>
      <c r="U175" s="66"/>
      <c r="V175" s="55"/>
      <c r="W175" s="55"/>
      <c r="X175" s="277"/>
      <c r="Y175" s="92"/>
    </row>
    <row r="176" spans="1:25" s="99" customFormat="1" ht="65.099999999999994" customHeight="1">
      <c r="A176" s="89"/>
      <c r="B176" s="89"/>
      <c r="C176" s="90"/>
      <c r="D176" s="91"/>
      <c r="E176" s="92"/>
      <c r="F176" s="92"/>
      <c r="G176" s="92"/>
      <c r="H176" s="92"/>
      <c r="I176" s="92"/>
      <c r="J176" s="92"/>
      <c r="K176" s="93"/>
      <c r="L176" s="94"/>
      <c r="M176" s="94"/>
      <c r="N176" s="95"/>
      <c r="O176" s="66"/>
      <c r="P176" s="96"/>
      <c r="Q176" s="97"/>
      <c r="R176" s="58"/>
      <c r="S176" s="69"/>
      <c r="T176" s="70"/>
      <c r="U176" s="66"/>
      <c r="V176" s="55"/>
      <c r="W176" s="55"/>
      <c r="X176" s="277"/>
      <c r="Y176" s="92"/>
    </row>
    <row r="177" spans="1:25" s="99" customFormat="1" ht="65.099999999999994" customHeight="1">
      <c r="A177" s="89"/>
      <c r="B177" s="89"/>
      <c r="C177" s="90"/>
      <c r="D177" s="91"/>
      <c r="E177" s="92"/>
      <c r="F177" s="92"/>
      <c r="G177" s="92"/>
      <c r="H177" s="92"/>
      <c r="I177" s="92"/>
      <c r="J177" s="92"/>
      <c r="K177" s="93"/>
      <c r="L177" s="94"/>
      <c r="M177" s="94"/>
      <c r="N177" s="95"/>
      <c r="O177" s="66"/>
      <c r="P177" s="96"/>
      <c r="Q177" s="97"/>
      <c r="R177" s="58"/>
      <c r="S177" s="69"/>
      <c r="T177" s="70"/>
      <c r="U177" s="66"/>
      <c r="V177" s="55"/>
      <c r="W177" s="55"/>
      <c r="X177" s="277"/>
      <c r="Y177" s="92"/>
    </row>
    <row r="178" spans="1:25" s="99" customFormat="1" ht="65.099999999999994" customHeight="1">
      <c r="A178" s="89"/>
      <c r="B178" s="89"/>
      <c r="C178" s="90"/>
      <c r="D178" s="91"/>
      <c r="E178" s="92"/>
      <c r="F178" s="92"/>
      <c r="G178" s="92"/>
      <c r="H178" s="92"/>
      <c r="I178" s="92"/>
      <c r="J178" s="92"/>
      <c r="K178" s="93"/>
      <c r="L178" s="94"/>
      <c r="M178" s="94"/>
      <c r="N178" s="95"/>
      <c r="O178" s="66"/>
      <c r="P178" s="96"/>
      <c r="Q178" s="97"/>
      <c r="R178" s="58"/>
      <c r="S178" s="69"/>
      <c r="T178" s="70"/>
      <c r="U178" s="66"/>
      <c r="V178" s="55"/>
      <c r="W178" s="55"/>
      <c r="X178" s="277"/>
      <c r="Y178" s="92"/>
    </row>
    <row r="179" spans="1:25" s="99" customFormat="1" ht="65.099999999999994" customHeight="1">
      <c r="A179" s="89"/>
      <c r="B179" s="89"/>
      <c r="C179" s="90"/>
      <c r="D179" s="91"/>
      <c r="E179" s="92"/>
      <c r="F179" s="92"/>
      <c r="G179" s="92"/>
      <c r="H179" s="92"/>
      <c r="I179" s="92"/>
      <c r="J179" s="92"/>
      <c r="K179" s="93"/>
      <c r="L179" s="94"/>
      <c r="M179" s="94"/>
      <c r="N179" s="95"/>
      <c r="O179" s="66"/>
      <c r="P179" s="96"/>
      <c r="Q179" s="97"/>
      <c r="R179" s="58"/>
      <c r="S179" s="69"/>
      <c r="T179" s="70"/>
      <c r="U179" s="66"/>
      <c r="V179" s="55"/>
      <c r="W179" s="55"/>
      <c r="X179" s="277"/>
      <c r="Y179" s="92"/>
    </row>
    <row r="180" spans="1:25" s="99" customFormat="1" ht="65.099999999999994" customHeight="1">
      <c r="A180" s="89"/>
      <c r="B180" s="89"/>
      <c r="C180" s="90"/>
      <c r="D180" s="91"/>
      <c r="E180" s="92"/>
      <c r="F180" s="92"/>
      <c r="G180" s="92"/>
      <c r="H180" s="92"/>
      <c r="I180" s="92"/>
      <c r="J180" s="92"/>
      <c r="K180" s="93"/>
      <c r="L180" s="94"/>
      <c r="M180" s="94"/>
      <c r="N180" s="95"/>
      <c r="O180" s="66"/>
      <c r="P180" s="96"/>
      <c r="Q180" s="97"/>
      <c r="R180" s="58"/>
      <c r="S180" s="69"/>
      <c r="T180" s="70"/>
      <c r="U180" s="66"/>
      <c r="V180" s="55"/>
      <c r="W180" s="55"/>
      <c r="X180" s="277"/>
      <c r="Y180" s="92"/>
    </row>
    <row r="181" spans="1:25" s="99" customFormat="1" ht="65.099999999999994" customHeight="1">
      <c r="A181" s="89"/>
      <c r="B181" s="89"/>
      <c r="C181" s="90"/>
      <c r="D181" s="91"/>
      <c r="E181" s="92"/>
      <c r="F181" s="92"/>
      <c r="G181" s="92"/>
      <c r="H181" s="92"/>
      <c r="I181" s="92"/>
      <c r="J181" s="92"/>
      <c r="K181" s="93"/>
      <c r="L181" s="94"/>
      <c r="M181" s="94"/>
      <c r="N181" s="95"/>
      <c r="O181" s="66"/>
      <c r="P181" s="96"/>
      <c r="Q181" s="97"/>
      <c r="R181" s="58"/>
      <c r="S181" s="69"/>
      <c r="T181" s="70"/>
      <c r="U181" s="66"/>
      <c r="V181" s="55"/>
      <c r="W181" s="55"/>
      <c r="X181" s="277"/>
      <c r="Y181" s="92"/>
    </row>
    <row r="182" spans="1:25" s="99" customFormat="1" ht="65.099999999999994" customHeight="1">
      <c r="A182" s="89"/>
      <c r="B182" s="89"/>
      <c r="C182" s="90"/>
      <c r="D182" s="91"/>
      <c r="E182" s="92"/>
      <c r="F182" s="92"/>
      <c r="G182" s="92"/>
      <c r="H182" s="92"/>
      <c r="I182" s="92"/>
      <c r="J182" s="92"/>
      <c r="K182" s="93"/>
      <c r="L182" s="94"/>
      <c r="M182" s="94"/>
      <c r="N182" s="95"/>
      <c r="O182" s="66"/>
      <c r="P182" s="96"/>
      <c r="Q182" s="97"/>
      <c r="R182" s="58"/>
      <c r="S182" s="69"/>
      <c r="T182" s="70"/>
      <c r="U182" s="66"/>
      <c r="V182" s="55"/>
      <c r="W182" s="55"/>
      <c r="X182" s="277"/>
      <c r="Y182" s="92"/>
    </row>
    <row r="183" spans="1:25" s="99" customFormat="1" ht="65.099999999999994" customHeight="1">
      <c r="A183" s="89"/>
      <c r="B183" s="89"/>
      <c r="C183" s="90"/>
      <c r="D183" s="91"/>
      <c r="E183" s="92"/>
      <c r="F183" s="92"/>
      <c r="G183" s="92"/>
      <c r="H183" s="92"/>
      <c r="I183" s="92"/>
      <c r="J183" s="92"/>
      <c r="K183" s="93"/>
      <c r="L183" s="94"/>
      <c r="M183" s="94"/>
      <c r="N183" s="95"/>
      <c r="O183" s="66"/>
      <c r="P183" s="96"/>
      <c r="Q183" s="97"/>
      <c r="R183" s="58"/>
      <c r="S183" s="69"/>
      <c r="T183" s="70"/>
      <c r="U183" s="66"/>
      <c r="V183" s="55"/>
      <c r="W183" s="55"/>
      <c r="X183" s="277"/>
      <c r="Y183" s="92"/>
    </row>
    <row r="184" spans="1:25" s="99" customFormat="1" ht="65.099999999999994" customHeight="1">
      <c r="A184" s="89"/>
      <c r="B184" s="89"/>
      <c r="C184" s="90"/>
      <c r="D184" s="91"/>
      <c r="E184" s="92"/>
      <c r="F184" s="92"/>
      <c r="G184" s="92"/>
      <c r="H184" s="92"/>
      <c r="I184" s="92"/>
      <c r="J184" s="92"/>
      <c r="K184" s="93"/>
      <c r="L184" s="94"/>
      <c r="M184" s="94"/>
      <c r="N184" s="95"/>
      <c r="O184" s="66"/>
      <c r="P184" s="96"/>
      <c r="Q184" s="97"/>
      <c r="R184" s="58"/>
      <c r="S184" s="69"/>
      <c r="T184" s="70"/>
      <c r="U184" s="66"/>
      <c r="V184" s="55"/>
      <c r="W184" s="55"/>
      <c r="X184" s="277"/>
      <c r="Y184" s="92"/>
    </row>
    <row r="185" spans="1:25" s="99" customFormat="1" ht="65.099999999999994" customHeight="1">
      <c r="A185" s="89"/>
      <c r="B185" s="89"/>
      <c r="C185" s="90"/>
      <c r="D185" s="91"/>
      <c r="E185" s="92"/>
      <c r="F185" s="92"/>
      <c r="G185" s="92"/>
      <c r="H185" s="92"/>
      <c r="I185" s="92"/>
      <c r="J185" s="92"/>
      <c r="K185" s="93"/>
      <c r="L185" s="94"/>
      <c r="M185" s="94"/>
      <c r="N185" s="95"/>
      <c r="O185" s="66"/>
      <c r="P185" s="96"/>
      <c r="Q185" s="97"/>
      <c r="R185" s="58"/>
      <c r="S185" s="69"/>
      <c r="T185" s="70"/>
      <c r="U185" s="66"/>
      <c r="V185" s="55"/>
      <c r="W185" s="55"/>
      <c r="X185" s="277"/>
      <c r="Y185" s="92"/>
    </row>
    <row r="186" spans="1:25" s="99" customFormat="1" ht="65.099999999999994" customHeight="1">
      <c r="A186" s="89"/>
      <c r="B186" s="89"/>
      <c r="C186" s="90"/>
      <c r="D186" s="91"/>
      <c r="E186" s="92"/>
      <c r="F186" s="92"/>
      <c r="G186" s="92"/>
      <c r="H186" s="92"/>
      <c r="I186" s="92"/>
      <c r="J186" s="92"/>
      <c r="K186" s="93"/>
      <c r="L186" s="94"/>
      <c r="M186" s="94"/>
      <c r="N186" s="95"/>
      <c r="O186" s="66"/>
      <c r="P186" s="96"/>
      <c r="Q186" s="97"/>
      <c r="R186" s="58"/>
      <c r="S186" s="69"/>
      <c r="T186" s="70"/>
      <c r="U186" s="66"/>
      <c r="V186" s="55"/>
      <c r="W186" s="55"/>
      <c r="X186" s="277"/>
      <c r="Y186" s="92"/>
    </row>
    <row r="187" spans="1:25" s="99" customFormat="1" ht="65.099999999999994" customHeight="1">
      <c r="A187" s="89"/>
      <c r="B187" s="89"/>
      <c r="C187" s="90"/>
      <c r="D187" s="91"/>
      <c r="E187" s="92"/>
      <c r="F187" s="92"/>
      <c r="G187" s="92"/>
      <c r="H187" s="92"/>
      <c r="I187" s="92"/>
      <c r="J187" s="92"/>
      <c r="K187" s="93"/>
      <c r="L187" s="94"/>
      <c r="M187" s="94"/>
      <c r="N187" s="95"/>
      <c r="O187" s="66"/>
      <c r="P187" s="96"/>
      <c r="Q187" s="97"/>
      <c r="R187" s="58"/>
      <c r="S187" s="69"/>
      <c r="T187" s="70"/>
      <c r="U187" s="66"/>
      <c r="V187" s="55"/>
      <c r="W187" s="55"/>
      <c r="X187" s="277"/>
      <c r="Y187" s="92"/>
    </row>
    <row r="188" spans="1:25" s="99" customFormat="1" ht="65.099999999999994" customHeight="1">
      <c r="A188" s="89"/>
      <c r="B188" s="89"/>
      <c r="C188" s="90"/>
      <c r="D188" s="91"/>
      <c r="E188" s="92"/>
      <c r="F188" s="92"/>
      <c r="G188" s="92"/>
      <c r="H188" s="92"/>
      <c r="I188" s="92"/>
      <c r="J188" s="92"/>
      <c r="K188" s="93"/>
      <c r="L188" s="94"/>
      <c r="M188" s="94"/>
      <c r="N188" s="95"/>
      <c r="O188" s="66"/>
      <c r="P188" s="96"/>
      <c r="Q188" s="97"/>
      <c r="R188" s="58"/>
      <c r="S188" s="69"/>
      <c r="T188" s="70"/>
      <c r="U188" s="66"/>
      <c r="V188" s="55"/>
      <c r="W188" s="55"/>
      <c r="X188" s="277"/>
      <c r="Y188" s="92"/>
    </row>
    <row r="189" spans="1:25" s="99" customFormat="1" ht="65.099999999999994" customHeight="1">
      <c r="A189" s="89"/>
      <c r="B189" s="89"/>
      <c r="C189" s="90"/>
      <c r="D189" s="91"/>
      <c r="E189" s="92"/>
      <c r="F189" s="92"/>
      <c r="G189" s="92"/>
      <c r="H189" s="92"/>
      <c r="I189" s="92"/>
      <c r="J189" s="92"/>
      <c r="K189" s="93"/>
      <c r="L189" s="94"/>
      <c r="M189" s="94"/>
      <c r="N189" s="95"/>
      <c r="O189" s="66"/>
      <c r="P189" s="96"/>
      <c r="Q189" s="97"/>
      <c r="R189" s="58"/>
      <c r="S189" s="69"/>
      <c r="T189" s="70"/>
      <c r="U189" s="66"/>
      <c r="V189" s="55"/>
      <c r="W189" s="55"/>
      <c r="X189" s="277"/>
      <c r="Y189" s="92"/>
    </row>
    <row r="190" spans="1:25" s="99" customFormat="1" ht="65.099999999999994" customHeight="1">
      <c r="A190" s="89"/>
      <c r="B190" s="89"/>
      <c r="C190" s="90"/>
      <c r="D190" s="91"/>
      <c r="E190" s="92"/>
      <c r="F190" s="92"/>
      <c r="G190" s="92"/>
      <c r="H190" s="92"/>
      <c r="I190" s="92"/>
      <c r="J190" s="92"/>
      <c r="K190" s="93"/>
      <c r="L190" s="94"/>
      <c r="M190" s="94"/>
      <c r="N190" s="95"/>
      <c r="O190" s="66"/>
      <c r="P190" s="96"/>
      <c r="Q190" s="97"/>
      <c r="R190" s="58"/>
      <c r="S190" s="69"/>
      <c r="T190" s="70"/>
      <c r="U190" s="66"/>
      <c r="V190" s="55"/>
      <c r="W190" s="55"/>
      <c r="X190" s="277"/>
      <c r="Y190" s="92"/>
    </row>
    <row r="191" spans="1:25" s="99" customFormat="1" ht="65.099999999999994" customHeight="1">
      <c r="A191" s="89"/>
      <c r="B191" s="89"/>
      <c r="C191" s="90"/>
      <c r="D191" s="91"/>
      <c r="E191" s="92"/>
      <c r="F191" s="92"/>
      <c r="G191" s="92"/>
      <c r="H191" s="92"/>
      <c r="I191" s="92"/>
      <c r="J191" s="92"/>
      <c r="K191" s="93"/>
      <c r="L191" s="94"/>
      <c r="M191" s="94"/>
      <c r="N191" s="95"/>
      <c r="O191" s="66"/>
      <c r="P191" s="96"/>
      <c r="Q191" s="97"/>
      <c r="R191" s="58"/>
      <c r="S191" s="69"/>
      <c r="T191" s="70"/>
      <c r="U191" s="66"/>
      <c r="V191" s="55"/>
      <c r="W191" s="55"/>
      <c r="X191" s="277"/>
      <c r="Y191" s="92"/>
    </row>
    <row r="192" spans="1:25" s="99" customFormat="1" ht="65.099999999999994" customHeight="1">
      <c r="A192" s="89"/>
      <c r="B192" s="89"/>
      <c r="C192" s="90"/>
      <c r="D192" s="91"/>
      <c r="E192" s="92"/>
      <c r="F192" s="92"/>
      <c r="G192" s="92"/>
      <c r="H192" s="92"/>
      <c r="I192" s="92"/>
      <c r="J192" s="92"/>
      <c r="K192" s="93"/>
      <c r="L192" s="94"/>
      <c r="M192" s="94"/>
      <c r="N192" s="95"/>
      <c r="O192" s="66"/>
      <c r="P192" s="96"/>
      <c r="Q192" s="97"/>
      <c r="R192" s="58"/>
      <c r="S192" s="69"/>
      <c r="T192" s="70"/>
      <c r="U192" s="66"/>
      <c r="V192" s="55"/>
      <c r="W192" s="55"/>
      <c r="X192" s="277"/>
      <c r="Y192" s="92"/>
    </row>
    <row r="193" spans="1:25" s="99" customFormat="1" ht="65.099999999999994" customHeight="1">
      <c r="A193" s="89"/>
      <c r="B193" s="89"/>
      <c r="C193" s="90"/>
      <c r="D193" s="91"/>
      <c r="E193" s="92"/>
      <c r="F193" s="92"/>
      <c r="G193" s="92"/>
      <c r="H193" s="92"/>
      <c r="I193" s="92"/>
      <c r="J193" s="92"/>
      <c r="K193" s="93"/>
      <c r="L193" s="94"/>
      <c r="M193" s="94"/>
      <c r="N193" s="95"/>
      <c r="O193" s="66"/>
      <c r="P193" s="96"/>
      <c r="Q193" s="97"/>
      <c r="R193" s="58"/>
      <c r="S193" s="69"/>
      <c r="T193" s="70"/>
      <c r="U193" s="66"/>
      <c r="V193" s="55"/>
      <c r="W193" s="55"/>
      <c r="X193" s="277"/>
      <c r="Y193" s="92"/>
    </row>
    <row r="194" spans="1:25" s="99" customFormat="1" ht="65.099999999999994" customHeight="1">
      <c r="A194" s="89"/>
      <c r="B194" s="89"/>
      <c r="C194" s="90"/>
      <c r="D194" s="91"/>
      <c r="E194" s="92"/>
      <c r="F194" s="92"/>
      <c r="G194" s="92"/>
      <c r="H194" s="92"/>
      <c r="I194" s="92"/>
      <c r="J194" s="92"/>
      <c r="K194" s="93"/>
      <c r="L194" s="94"/>
      <c r="M194" s="94"/>
      <c r="N194" s="95"/>
      <c r="O194" s="66"/>
      <c r="P194" s="96"/>
      <c r="Q194" s="97"/>
      <c r="R194" s="58"/>
      <c r="S194" s="69"/>
      <c r="T194" s="70"/>
      <c r="U194" s="66"/>
      <c r="V194" s="55"/>
      <c r="W194" s="55"/>
      <c r="X194" s="277"/>
      <c r="Y194" s="92"/>
    </row>
    <row r="195" spans="1:25" s="99" customFormat="1" ht="65.099999999999994" customHeight="1">
      <c r="A195" s="89"/>
      <c r="B195" s="89"/>
      <c r="C195" s="90"/>
      <c r="D195" s="91"/>
      <c r="E195" s="92"/>
      <c r="F195" s="92"/>
      <c r="G195" s="92"/>
      <c r="H195" s="92"/>
      <c r="I195" s="92"/>
      <c r="J195" s="92"/>
      <c r="K195" s="93"/>
      <c r="L195" s="94"/>
      <c r="M195" s="94"/>
      <c r="N195" s="95"/>
      <c r="O195" s="66"/>
      <c r="P195" s="96"/>
      <c r="Q195" s="97"/>
      <c r="R195" s="58"/>
      <c r="S195" s="69"/>
      <c r="T195" s="70"/>
      <c r="U195" s="66"/>
      <c r="V195" s="55"/>
      <c r="W195" s="55"/>
      <c r="X195" s="277"/>
      <c r="Y195" s="92"/>
    </row>
    <row r="196" spans="1:25" s="99" customFormat="1" ht="65.099999999999994" customHeight="1">
      <c r="A196" s="89"/>
      <c r="B196" s="89"/>
      <c r="C196" s="90"/>
      <c r="D196" s="91"/>
      <c r="E196" s="92"/>
      <c r="F196" s="92"/>
      <c r="G196" s="92"/>
      <c r="H196" s="92"/>
      <c r="I196" s="92"/>
      <c r="J196" s="92"/>
      <c r="K196" s="93"/>
      <c r="L196" s="94"/>
      <c r="M196" s="94"/>
      <c r="N196" s="95"/>
      <c r="O196" s="66"/>
      <c r="P196" s="96"/>
      <c r="Q196" s="97"/>
      <c r="R196" s="58"/>
      <c r="S196" s="69"/>
      <c r="T196" s="70"/>
      <c r="U196" s="66"/>
      <c r="V196" s="55"/>
      <c r="W196" s="55"/>
      <c r="X196" s="277"/>
      <c r="Y196" s="92"/>
    </row>
    <row r="197" spans="1:25" s="99" customFormat="1" ht="65.099999999999994" customHeight="1">
      <c r="A197" s="89"/>
      <c r="B197" s="89"/>
      <c r="C197" s="90"/>
      <c r="D197" s="91"/>
      <c r="E197" s="92"/>
      <c r="F197" s="92"/>
      <c r="G197" s="92"/>
      <c r="H197" s="92"/>
      <c r="I197" s="92"/>
      <c r="J197" s="92"/>
      <c r="K197" s="93"/>
      <c r="L197" s="94"/>
      <c r="M197" s="94"/>
      <c r="N197" s="95"/>
      <c r="O197" s="66"/>
      <c r="P197" s="96"/>
      <c r="Q197" s="97"/>
      <c r="R197" s="58"/>
      <c r="S197" s="69"/>
      <c r="T197" s="70"/>
      <c r="U197" s="66"/>
      <c r="V197" s="55"/>
      <c r="W197" s="55"/>
      <c r="X197" s="277"/>
      <c r="Y197" s="92"/>
    </row>
    <row r="198" spans="1:25" s="99" customFormat="1" ht="65.099999999999994" customHeight="1">
      <c r="A198" s="89"/>
      <c r="B198" s="89"/>
      <c r="C198" s="90"/>
      <c r="D198" s="91"/>
      <c r="E198" s="92"/>
      <c r="F198" s="92"/>
      <c r="G198" s="92"/>
      <c r="H198" s="92"/>
      <c r="I198" s="92"/>
      <c r="J198" s="92"/>
      <c r="K198" s="93"/>
      <c r="L198" s="94"/>
      <c r="M198" s="94"/>
      <c r="N198" s="95"/>
      <c r="O198" s="66"/>
      <c r="P198" s="96"/>
      <c r="Q198" s="97"/>
      <c r="R198" s="58"/>
      <c r="S198" s="69"/>
      <c r="T198" s="70"/>
      <c r="U198" s="66"/>
      <c r="V198" s="55"/>
      <c r="W198" s="55"/>
      <c r="X198" s="277"/>
      <c r="Y198" s="92"/>
    </row>
  </sheetData>
  <autoFilter ref="A1:Y17"/>
  <mergeCells count="38">
    <mergeCell ref="A47:A50"/>
    <mergeCell ref="A51:A54"/>
    <mergeCell ref="A23:A26"/>
    <mergeCell ref="A27:A30"/>
    <mergeCell ref="A31:A34"/>
    <mergeCell ref="A35:A38"/>
    <mergeCell ref="A39:A42"/>
    <mergeCell ref="A43:A46"/>
    <mergeCell ref="Y1:Y2"/>
    <mergeCell ref="A3:A6"/>
    <mergeCell ref="A7:A10"/>
    <mergeCell ref="A11:A14"/>
    <mergeCell ref="A15:A18"/>
    <mergeCell ref="W1:W2"/>
    <mergeCell ref="X1:X2"/>
    <mergeCell ref="L1:L2"/>
    <mergeCell ref="A1:A2"/>
    <mergeCell ref="B1:B2"/>
    <mergeCell ref="C1:C2"/>
    <mergeCell ref="D1:D2"/>
    <mergeCell ref="E1:E2"/>
    <mergeCell ref="F1:F2"/>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s>
  <conditionalFormatting sqref="G3:J54">
    <cfRule type="containsText" dxfId="133" priority="7" operator="containsText" text="NO">
      <formula>NOT(ISERROR(SEARCH("NO",G3)))</formula>
    </cfRule>
  </conditionalFormatting>
  <conditionalFormatting sqref="X3">
    <cfRule type="containsText" dxfId="132" priority="6" operator="containsText" text="NO CUMPLE">
      <formula>NOT(ISERROR(SEARCH("NO CUMPLE",X3)))</formula>
    </cfRule>
  </conditionalFormatting>
  <conditionalFormatting sqref="X4">
    <cfRule type="containsText" dxfId="131" priority="5" operator="containsText" text="NO CUMPLE">
      <formula>NOT(ISERROR(SEARCH("NO CUMPLE",X4)))</formula>
    </cfRule>
  </conditionalFormatting>
  <conditionalFormatting sqref="X5:X22">
    <cfRule type="containsText" dxfId="130" priority="4" operator="containsText" text="NO CUMPLE">
      <formula>NOT(ISERROR(SEARCH("NO CUMPLE",X5)))</formula>
    </cfRule>
  </conditionalFormatting>
  <conditionalFormatting sqref="X26 X30 X34 X38 X42 X46 X50 X54">
    <cfRule type="containsText" dxfId="129" priority="3" operator="containsText" text="NO CUMPLE">
      <formula>NOT(ISERROR(SEARCH("NO CUMPLE",X26)))</formula>
    </cfRule>
  </conditionalFormatting>
  <conditionalFormatting sqref="X24:X25 X28:X29 X32:X33 X36:X37 X40:X41 X44:X45 X48:X49 X52:X53">
    <cfRule type="containsText" dxfId="128" priority="2" operator="containsText" text="NO CUMPLE">
      <formula>NOT(ISERROR(SEARCH("NO CUMPLE",X24)))</formula>
    </cfRule>
  </conditionalFormatting>
  <conditionalFormatting sqref="X23 X27 X31 X35 X39 X43 X47 X51">
    <cfRule type="containsText" dxfId="127" priority="1" operator="containsText" text="NO CUMPLE">
      <formula>NOT(ISERROR(SEARCH("NO CUMPLE",X23)))</formula>
    </cfRule>
  </conditionalFormatting>
  <dataValidations count="1">
    <dataValidation type="list" allowBlank="1" showInputMessage="1" showErrorMessage="1" sqref="G3:J54">
      <formula1>$AA$1:$AB$1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18"/>
  <sheetViews>
    <sheetView topLeftCell="L37" zoomScale="40" zoomScaleNormal="40" zoomScalePageLayoutView="75" workbookViewId="0">
      <selection activeCell="AI5" sqref="AI5"/>
    </sheetView>
  </sheetViews>
  <sheetFormatPr baseColWidth="10" defaultRowHeight="15.75"/>
  <cols>
    <col min="1" max="1" width="10.875" style="89" bestFit="1" customWidth="1"/>
    <col min="2" max="2" width="8.875" style="89" customWidth="1"/>
    <col min="3" max="3" width="10.75" style="482" customWidth="1"/>
    <col min="4" max="4" width="15.25" style="92" customWidth="1"/>
    <col min="5" max="5" width="17.5" style="92" customWidth="1"/>
    <col min="6" max="6" width="66.125" style="101" customWidth="1"/>
    <col min="7" max="7" width="18.5" style="101" customWidth="1"/>
    <col min="8" max="8" width="12.5" style="101" customWidth="1"/>
    <col min="9" max="9" width="13.625" style="102" customWidth="1"/>
    <col min="10" max="10" width="12.125" style="103" customWidth="1"/>
    <col min="11" max="11" width="11.5" style="104" customWidth="1"/>
    <col min="12" max="12" width="11" style="105" customWidth="1"/>
    <col min="13" max="13" width="11" style="68" customWidth="1"/>
    <col min="14" max="14" width="18.5" style="106" customWidth="1"/>
    <col min="15" max="15" width="8.75" style="106" customWidth="1"/>
    <col min="16" max="16" width="9.5" style="68" bestFit="1" customWidth="1"/>
    <col min="17" max="17" width="12.5" style="68" customWidth="1"/>
    <col min="18" max="18" width="17.25" style="68" bestFit="1" customWidth="1"/>
    <col min="19" max="19" width="18.375" style="68" customWidth="1"/>
    <col min="20"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89" customWidth="1"/>
    <col min="30" max="30" width="7.875" style="107" customWidth="1"/>
    <col min="31" max="31" width="8.875" style="107" customWidth="1"/>
    <col min="32" max="35" width="19.5" style="58" customWidth="1"/>
    <col min="36" max="36" width="59.125" style="92" customWidth="1"/>
    <col min="37" max="39" width="11" style="108"/>
    <col min="40" max="41" width="15.125" style="108" bestFit="1" customWidth="1"/>
    <col min="42" max="16384" width="11" style="108"/>
  </cols>
  <sheetData>
    <row r="1" spans="1:39" s="56" customFormat="1" ht="15" customHeight="1">
      <c r="A1" s="776" t="s">
        <v>6</v>
      </c>
      <c r="B1" s="776" t="s">
        <v>5</v>
      </c>
      <c r="C1" s="817" t="s">
        <v>174</v>
      </c>
      <c r="D1" s="778" t="s">
        <v>12</v>
      </c>
      <c r="E1" s="776" t="s">
        <v>13</v>
      </c>
      <c r="F1" s="776" t="s">
        <v>14</v>
      </c>
      <c r="G1" s="780" t="s">
        <v>64</v>
      </c>
      <c r="H1" s="780" t="s">
        <v>187</v>
      </c>
      <c r="I1" s="782" t="s">
        <v>63</v>
      </c>
      <c r="J1" s="784" t="s">
        <v>15</v>
      </c>
      <c r="K1" s="784" t="s">
        <v>16</v>
      </c>
      <c r="L1" s="786" t="s">
        <v>69</v>
      </c>
      <c r="M1" s="778" t="s">
        <v>68</v>
      </c>
      <c r="N1" s="776" t="s">
        <v>17</v>
      </c>
      <c r="O1" s="776" t="s">
        <v>18</v>
      </c>
      <c r="P1" s="780" t="s">
        <v>19</v>
      </c>
      <c r="Q1" s="780" t="s">
        <v>20</v>
      </c>
      <c r="R1" s="780" t="s">
        <v>21</v>
      </c>
      <c r="S1" s="778" t="s">
        <v>22</v>
      </c>
      <c r="T1" s="778" t="s">
        <v>23</v>
      </c>
      <c r="U1" s="778" t="s">
        <v>482</v>
      </c>
      <c r="V1" s="819" t="s">
        <v>62</v>
      </c>
      <c r="W1" s="776" t="s">
        <v>28</v>
      </c>
      <c r="X1" s="776"/>
      <c r="Y1" s="776"/>
      <c r="Z1" s="776" t="s">
        <v>560</v>
      </c>
      <c r="AA1" s="776"/>
      <c r="AB1" s="776"/>
      <c r="AC1" s="776" t="s">
        <v>30</v>
      </c>
      <c r="AD1" s="776"/>
      <c r="AE1" s="776"/>
      <c r="AF1" s="780" t="s">
        <v>31</v>
      </c>
      <c r="AG1" s="788" t="s">
        <v>339</v>
      </c>
      <c r="AH1" s="789" t="s">
        <v>175</v>
      </c>
      <c r="AI1" s="788" t="s">
        <v>736</v>
      </c>
      <c r="AJ1" s="791" t="s">
        <v>3</v>
      </c>
      <c r="AL1" s="57" t="s">
        <v>10</v>
      </c>
      <c r="AM1" s="57" t="s">
        <v>11</v>
      </c>
    </row>
    <row r="2" spans="1:39" s="56" customFormat="1" ht="62.25" customHeight="1" thickBot="1">
      <c r="A2" s="777"/>
      <c r="B2" s="777"/>
      <c r="C2" s="818"/>
      <c r="D2" s="779"/>
      <c r="E2" s="777"/>
      <c r="F2" s="777"/>
      <c r="G2" s="781"/>
      <c r="H2" s="781"/>
      <c r="I2" s="783"/>
      <c r="J2" s="785"/>
      <c r="K2" s="785"/>
      <c r="L2" s="787"/>
      <c r="M2" s="779"/>
      <c r="N2" s="777"/>
      <c r="O2" s="777"/>
      <c r="P2" s="781"/>
      <c r="Q2" s="781"/>
      <c r="R2" s="781"/>
      <c r="S2" s="779"/>
      <c r="T2" s="779"/>
      <c r="U2" s="779"/>
      <c r="V2" s="820"/>
      <c r="W2" s="281" t="s">
        <v>32</v>
      </c>
      <c r="X2" s="281" t="s">
        <v>33</v>
      </c>
      <c r="Y2" s="281" t="s">
        <v>34</v>
      </c>
      <c r="Z2" s="281" t="s">
        <v>35</v>
      </c>
      <c r="AA2" s="281" t="s">
        <v>33</v>
      </c>
      <c r="AB2" s="281" t="s">
        <v>36</v>
      </c>
      <c r="AC2" s="281" t="s">
        <v>35</v>
      </c>
      <c r="AD2" s="281" t="s">
        <v>33</v>
      </c>
      <c r="AE2" s="281" t="s">
        <v>561</v>
      </c>
      <c r="AF2" s="781"/>
      <c r="AG2" s="789"/>
      <c r="AH2" s="790"/>
      <c r="AI2" s="789"/>
      <c r="AJ2" s="792"/>
    </row>
    <row r="3" spans="1:39" s="72" customFormat="1" ht="45" customHeight="1">
      <c r="A3" s="795" t="s">
        <v>212</v>
      </c>
      <c r="B3" s="123" t="str">
        <f>+[2]CONSOLIDADO!C15</f>
        <v>P06-01</v>
      </c>
      <c r="C3" s="124">
        <v>289</v>
      </c>
      <c r="D3" s="125" t="str">
        <f>+IFERROR(INDEX([2]CONSOLIDADO!$D$4:$D$89,MATCH('EXP GEN. 6-12'!B3,[2]CONSOLIDADO!$C$4:$C$89,0)),"")</f>
        <v xml:space="preserve">INZETT S.A.S.  </v>
      </c>
      <c r="E3" s="602" t="s">
        <v>562</v>
      </c>
      <c r="F3" s="603" t="s">
        <v>563</v>
      </c>
      <c r="G3" s="291" t="s">
        <v>10</v>
      </c>
      <c r="H3" s="291" t="s">
        <v>10</v>
      </c>
      <c r="I3" s="604">
        <v>0.7</v>
      </c>
      <c r="J3" s="605">
        <v>40561</v>
      </c>
      <c r="K3" s="606">
        <v>41500</v>
      </c>
      <c r="L3" s="130">
        <f>IF(K3="","",YEAR(K3))</f>
        <v>2013</v>
      </c>
      <c r="M3" s="131">
        <f>+IFERROR(INDEX([2]PARÁMETROS!$B$11:$B$37,MATCH(L3,[2]PARÁMETROS!$A$11:$A$37,0)),"")</f>
        <v>589500</v>
      </c>
      <c r="N3" s="132">
        <v>4482472748</v>
      </c>
      <c r="O3" s="133" t="s">
        <v>25</v>
      </c>
      <c r="P3" s="123" t="s">
        <v>346</v>
      </c>
      <c r="Q3" s="134" t="s">
        <v>346</v>
      </c>
      <c r="R3" s="135">
        <v>1</v>
      </c>
      <c r="S3" s="131">
        <f>IF(R3&lt;&gt;"",N3*R3,"")</f>
        <v>4482472748</v>
      </c>
      <c r="T3" s="136">
        <f>+IFERROR(S3/M3,"")</f>
        <v>7603.8553825275658</v>
      </c>
      <c r="U3" s="136">
        <f>IFERROR(T3*I3,"")</f>
        <v>5322.698767769296</v>
      </c>
      <c r="V3" s="137">
        <v>24</v>
      </c>
      <c r="W3" s="798" t="s">
        <v>10</v>
      </c>
      <c r="X3" s="798"/>
      <c r="Y3" s="798"/>
      <c r="Z3" s="798" t="s">
        <v>10</v>
      </c>
      <c r="AA3" s="798"/>
      <c r="AB3" s="798"/>
      <c r="AC3" s="798" t="s">
        <v>10</v>
      </c>
      <c r="AD3" s="798"/>
      <c r="AE3" s="798"/>
      <c r="AF3" s="291" t="s">
        <v>10</v>
      </c>
      <c r="AG3" s="798" t="str">
        <f>IF(U3:U7="","",IF(SUM(U3:U7)&gt;=[2]PARÁMETROS!$D$5,"HÁBIL","NO HÁBIL"))</f>
        <v>HÁBIL</v>
      </c>
      <c r="AH3" s="798" t="str">
        <f>IF(U3="","",IF(U3+U4+U5&gt;=[2]PARÁMETROS!$H$5,"HÁBIL","NO HÁBIL"))</f>
        <v>HÁBIL</v>
      </c>
      <c r="AI3" s="556" t="str">
        <f>+IF(U3="","",IF(U3&gt;=[2]PARÁMETROS!$F$5,"CUMPLE","NO CUMPLE"))</f>
        <v>CUMPLE</v>
      </c>
      <c r="AJ3" s="138"/>
      <c r="AK3" s="109"/>
    </row>
    <row r="4" spans="1:39" s="72" customFormat="1" ht="72.75" customHeight="1">
      <c r="A4" s="796"/>
      <c r="B4" s="58" t="str">
        <f>+B3</f>
        <v>P06-01</v>
      </c>
      <c r="C4" s="59">
        <v>297</v>
      </c>
      <c r="D4" s="60" t="str">
        <f>+IFERROR(INDEX([2]CONSOLIDADO!$D$4:$D$89,MATCH('EXP GEN. 6-12'!B4,[2]CONSOLIDADO!$C$4:$C$89,0)),"")</f>
        <v xml:space="preserve">INZETT S.A.S.  </v>
      </c>
      <c r="E4" s="450" t="s">
        <v>562</v>
      </c>
      <c r="F4" s="451" t="s">
        <v>563</v>
      </c>
      <c r="G4" s="290" t="s">
        <v>10</v>
      </c>
      <c r="H4" s="290" t="s">
        <v>10</v>
      </c>
      <c r="I4" s="452">
        <v>0.7</v>
      </c>
      <c r="J4" s="453">
        <v>40186</v>
      </c>
      <c r="K4" s="454">
        <v>40561</v>
      </c>
      <c r="L4" s="65">
        <f t="shared" ref="L4:L67" si="0">IF(K4="","",YEAR(K4))</f>
        <v>2011</v>
      </c>
      <c r="M4" s="66">
        <f>+IFERROR(INDEX([2]PARÁMETROS!$B$11:$B$37,MATCH(L4,[2]PARÁMETROS!$A$11:$A$37,0)),"")</f>
        <v>535600</v>
      </c>
      <c r="N4" s="74">
        <v>3104182180</v>
      </c>
      <c r="O4" s="66" t="str">
        <f>+O3</f>
        <v>COP</v>
      </c>
      <c r="P4" s="58" t="s">
        <v>346</v>
      </c>
      <c r="Q4" s="69" t="str">
        <f>+Q3</f>
        <v>NA</v>
      </c>
      <c r="R4" s="70">
        <v>1</v>
      </c>
      <c r="S4" s="66">
        <f t="shared" ref="S4:S67" si="1">IF(R4&lt;&gt;"",N4*R4,"")</f>
        <v>3104182180</v>
      </c>
      <c r="T4" s="55">
        <f t="shared" ref="T4:T67" si="2">+IFERROR(S4/M4,"")</f>
        <v>5795.7098207617628</v>
      </c>
      <c r="U4" s="55">
        <f t="shared" ref="U4:U67" si="3">IFERROR(T4*I4,"")</f>
        <v>4056.9968745332335</v>
      </c>
      <c r="V4" s="71">
        <v>19</v>
      </c>
      <c r="W4" s="799" t="s">
        <v>10</v>
      </c>
      <c r="X4" s="799"/>
      <c r="Y4" s="799"/>
      <c r="Z4" s="799" t="s">
        <v>10</v>
      </c>
      <c r="AA4" s="799"/>
      <c r="AB4" s="799"/>
      <c r="AC4" s="799" t="s">
        <v>10</v>
      </c>
      <c r="AD4" s="799"/>
      <c r="AE4" s="799"/>
      <c r="AF4" s="290" t="s">
        <v>10</v>
      </c>
      <c r="AG4" s="799"/>
      <c r="AH4" s="799"/>
      <c r="AI4" s="290" t="str">
        <f>+IF(U4="","",IF(U4&gt;=[2]PARÁMETROS!$F$5,"CUMPLE","NO CUMPLE"))</f>
        <v>CUMPLE</v>
      </c>
      <c r="AJ4" s="139"/>
      <c r="AK4" s="109"/>
    </row>
    <row r="5" spans="1:39" s="72" customFormat="1" ht="65.099999999999994" customHeight="1">
      <c r="A5" s="796"/>
      <c r="B5" s="58" t="str">
        <f>+B4</f>
        <v>P06-01</v>
      </c>
      <c r="C5" s="59">
        <v>302</v>
      </c>
      <c r="D5" s="60" t="str">
        <f>+IFERROR(INDEX([2]CONSOLIDADO!$D$4:$D$89,MATCH('EXP GEN. 6-12'!B5,[2]CONSOLIDADO!$C$4:$C$89,0)),"")</f>
        <v xml:space="preserve">INZETT S.A.S.  </v>
      </c>
      <c r="E5" s="450" t="s">
        <v>371</v>
      </c>
      <c r="F5" s="455" t="s">
        <v>564</v>
      </c>
      <c r="G5" s="290" t="s">
        <v>10</v>
      </c>
      <c r="H5" s="290" t="s">
        <v>10</v>
      </c>
      <c r="I5" s="447">
        <v>0.5</v>
      </c>
      <c r="J5" s="448">
        <v>38692</v>
      </c>
      <c r="K5" s="449">
        <v>39629</v>
      </c>
      <c r="L5" s="65">
        <f t="shared" si="0"/>
        <v>2008</v>
      </c>
      <c r="M5" s="66">
        <f>+IFERROR(INDEX([2]PARÁMETROS!$B$11:$B$37,MATCH(L5,[2]PARÁMETROS!$A$11:$A$37,0)),"")</f>
        <v>461500</v>
      </c>
      <c r="N5" s="67">
        <v>1433130434</v>
      </c>
      <c r="O5" s="68" t="str">
        <f>+O4</f>
        <v>COP</v>
      </c>
      <c r="P5" s="58" t="s">
        <v>346</v>
      </c>
      <c r="Q5" s="69" t="str">
        <f>+Q4</f>
        <v>NA</v>
      </c>
      <c r="R5" s="70">
        <v>1</v>
      </c>
      <c r="S5" s="66">
        <f>IF(R5&lt;&gt;"",N5*R5,"")</f>
        <v>1433130434</v>
      </c>
      <c r="T5" s="55">
        <f>+IFERROR(S5/M5,"")</f>
        <v>3105.3747215601302</v>
      </c>
      <c r="U5" s="55">
        <f t="shared" si="3"/>
        <v>1552.6873607800651</v>
      </c>
      <c r="V5" s="71">
        <v>16</v>
      </c>
      <c r="W5" s="799" t="s">
        <v>10</v>
      </c>
      <c r="X5" s="799"/>
      <c r="Y5" s="799"/>
      <c r="Z5" s="799" t="s">
        <v>10</v>
      </c>
      <c r="AA5" s="799"/>
      <c r="AB5" s="799"/>
      <c r="AC5" s="799" t="s">
        <v>10</v>
      </c>
      <c r="AD5" s="799"/>
      <c r="AE5" s="799"/>
      <c r="AF5" s="290" t="s">
        <v>10</v>
      </c>
      <c r="AG5" s="799"/>
      <c r="AH5" s="799"/>
      <c r="AI5" s="290" t="str">
        <f>+IF(U5="","",IF(U5&gt;=[2]PARÁMETROS!$F$5,"CUMPLE","NO CUMPLE"))</f>
        <v>NO CUMPLE</v>
      </c>
      <c r="AJ5" s="140"/>
      <c r="AK5" s="109"/>
    </row>
    <row r="6" spans="1:39" s="72" customFormat="1" ht="65.099999999999994" customHeight="1">
      <c r="A6" s="796"/>
      <c r="B6" s="58" t="s">
        <v>215</v>
      </c>
      <c r="C6" s="59">
        <v>305</v>
      </c>
      <c r="D6" s="60" t="str">
        <f>+IFERROR(INDEX([2]CONSOLIDADO!$D$4:$D$89,MATCH('EXP GEN. 6-12'!B6,[2]CONSOLIDADO!$C$4:$C$89,0)),"")</f>
        <v>J FELIPE ARDILA V &amp; CIA S.A.S.</v>
      </c>
      <c r="E6" s="456" t="s">
        <v>386</v>
      </c>
      <c r="F6" s="457" t="s">
        <v>565</v>
      </c>
      <c r="G6" s="290" t="s">
        <v>10</v>
      </c>
      <c r="H6" s="290" t="s">
        <v>10</v>
      </c>
      <c r="I6" s="458">
        <v>0.5</v>
      </c>
      <c r="J6" s="459">
        <v>39595</v>
      </c>
      <c r="K6" s="460">
        <v>42370</v>
      </c>
      <c r="L6" s="65">
        <f t="shared" si="0"/>
        <v>2016</v>
      </c>
      <c r="M6" s="66">
        <f>+IFERROR(INDEX([2]PARÁMETROS!$B$11:$B$37,MATCH(L6,[2]PARÁMETROS!$A$11:$A$37,0)),"")</f>
        <v>689554</v>
      </c>
      <c r="N6" s="67">
        <v>41325941530</v>
      </c>
      <c r="O6" s="68" t="str">
        <f>+O5</f>
        <v>COP</v>
      </c>
      <c r="P6" s="58" t="s">
        <v>346</v>
      </c>
      <c r="Q6" s="69" t="str">
        <f>+Q5</f>
        <v>NA</v>
      </c>
      <c r="R6" s="70">
        <f>+R5</f>
        <v>1</v>
      </c>
      <c r="S6" s="66">
        <f t="shared" si="1"/>
        <v>41325941530</v>
      </c>
      <c r="T6" s="55">
        <f t="shared" si="2"/>
        <v>59931.407155929774</v>
      </c>
      <c r="U6" s="55">
        <f t="shared" si="3"/>
        <v>29965.703577964887</v>
      </c>
      <c r="V6" s="71" t="s">
        <v>737</v>
      </c>
      <c r="W6" s="803"/>
      <c r="X6" s="804"/>
      <c r="Y6" s="805"/>
      <c r="Z6" s="803"/>
      <c r="AA6" s="804"/>
      <c r="AB6" s="805"/>
      <c r="AC6" s="803"/>
      <c r="AD6" s="804"/>
      <c r="AE6" s="805"/>
      <c r="AF6" s="290"/>
      <c r="AG6" s="799"/>
      <c r="AH6" s="799"/>
      <c r="AI6" s="290" t="str">
        <f>+IF(U6="","",IF(U6&gt;=[2]PARÁMETROS!$F$5,"CUMPLE","NO CUMPLE"))</f>
        <v>CUMPLE</v>
      </c>
      <c r="AJ6" s="140"/>
      <c r="AK6" s="109"/>
    </row>
    <row r="7" spans="1:39" s="72" customFormat="1" ht="65.099999999999994" customHeight="1" thickBot="1">
      <c r="A7" s="806"/>
      <c r="B7" s="141" t="s">
        <v>108</v>
      </c>
      <c r="C7" s="169">
        <v>316</v>
      </c>
      <c r="D7" s="143" t="str">
        <f>+IFERROR(INDEX([2]CONSOLIDADO!$D$4:$D$89,MATCH('EXP GEN. 6-12'!B7,[2]CONSOLIDADO!$C$4:$C$89,0)),"")</f>
        <v>CIVING INGENIEROS CONTRATISTAS S EN C</v>
      </c>
      <c r="E7" s="607" t="s">
        <v>566</v>
      </c>
      <c r="F7" s="608" t="s">
        <v>567</v>
      </c>
      <c r="G7" s="289" t="s">
        <v>10</v>
      </c>
      <c r="H7" s="289" t="s">
        <v>10</v>
      </c>
      <c r="I7" s="609">
        <v>1</v>
      </c>
      <c r="J7" s="610">
        <v>40190</v>
      </c>
      <c r="K7" s="611">
        <v>41240</v>
      </c>
      <c r="L7" s="148">
        <f t="shared" si="0"/>
        <v>2012</v>
      </c>
      <c r="M7" s="149">
        <f>+IFERROR(INDEX([2]PARÁMETROS!$B$11:$B$37,MATCH(L7,[2]PARÁMETROS!$A$11:$A$37,0)),"")</f>
        <v>566700</v>
      </c>
      <c r="N7" s="150">
        <v>3164576487</v>
      </c>
      <c r="O7" s="151" t="str">
        <f>+O6</f>
        <v>COP</v>
      </c>
      <c r="P7" s="141" t="s">
        <v>346</v>
      </c>
      <c r="Q7" s="152" t="str">
        <f>+Q6</f>
        <v>NA</v>
      </c>
      <c r="R7" s="153">
        <f>+R6</f>
        <v>1</v>
      </c>
      <c r="S7" s="149">
        <f t="shared" si="1"/>
        <v>3164576487</v>
      </c>
      <c r="T7" s="154">
        <f t="shared" si="2"/>
        <v>5584.2182583377453</v>
      </c>
      <c r="U7" s="154">
        <f t="shared" si="3"/>
        <v>5584.2182583377453</v>
      </c>
      <c r="V7" s="322">
        <v>2</v>
      </c>
      <c r="W7" s="801" t="s">
        <v>10</v>
      </c>
      <c r="X7" s="801"/>
      <c r="Y7" s="801"/>
      <c r="Z7" s="801" t="s">
        <v>10</v>
      </c>
      <c r="AA7" s="801"/>
      <c r="AB7" s="801"/>
      <c r="AC7" s="801" t="s">
        <v>10</v>
      </c>
      <c r="AD7" s="801"/>
      <c r="AE7" s="801"/>
      <c r="AF7" s="289" t="s">
        <v>10</v>
      </c>
      <c r="AG7" s="801"/>
      <c r="AH7" s="801"/>
      <c r="AI7" s="289" t="str">
        <f>+IF(U7="","",IF(U7&gt;=[2]PARÁMETROS!$F$5,"CUMPLE","NO CUMPLE"))</f>
        <v>CUMPLE</v>
      </c>
      <c r="AJ7" s="170"/>
      <c r="AK7" s="109"/>
    </row>
    <row r="8" spans="1:39" s="72" customFormat="1" ht="80.25" customHeight="1">
      <c r="A8" s="808" t="str">
        <f>+[2]CONSOLIDADO!A18</f>
        <v>CM001P07</v>
      </c>
      <c r="B8" s="110" t="str">
        <f>+[2]CONSOLIDADO!C18</f>
        <v>P07-01</v>
      </c>
      <c r="C8" s="597">
        <v>212</v>
      </c>
      <c r="D8" s="112" t="str">
        <f>+IFERROR(INDEX([2]CONSOLIDADO!$D$4:$D$89,MATCH('EXP GEN. 6-12'!B8,[2]CONSOLIDADO!$C$4:$C$89,0)),"")</f>
        <v>GOMEZ CAJIAO Y ASOCIADOS S.A.</v>
      </c>
      <c r="E8" s="598" t="s">
        <v>568</v>
      </c>
      <c r="F8" s="599" t="s">
        <v>569</v>
      </c>
      <c r="G8" s="280" t="s">
        <v>10</v>
      </c>
      <c r="H8" s="280" t="s">
        <v>10</v>
      </c>
      <c r="I8" s="600">
        <v>0.33</v>
      </c>
      <c r="J8" s="601">
        <v>39792</v>
      </c>
      <c r="K8" s="601">
        <v>40977</v>
      </c>
      <c r="L8" s="160">
        <f t="shared" si="0"/>
        <v>2012</v>
      </c>
      <c r="M8" s="117">
        <f>+IFERROR(INDEX([2]PARÁMETROS!$B$11:$B$37,MATCH(L8,[2]PARÁMETROS!$A$11:$A$37,0)),"")</f>
        <v>566700</v>
      </c>
      <c r="N8" s="161">
        <v>4939884563</v>
      </c>
      <c r="O8" s="119" t="s">
        <v>25</v>
      </c>
      <c r="P8" s="110" t="s">
        <v>346</v>
      </c>
      <c r="Q8" s="120" t="s">
        <v>346</v>
      </c>
      <c r="R8" s="121">
        <v>1</v>
      </c>
      <c r="S8" s="117">
        <f>IF(R8&lt;&gt;"",N8*R8,"")</f>
        <v>4939884563</v>
      </c>
      <c r="T8" s="122">
        <f t="shared" si="2"/>
        <v>8716.9305858478911</v>
      </c>
      <c r="U8" s="122">
        <f t="shared" si="3"/>
        <v>2876.5870933298042</v>
      </c>
      <c r="V8" s="562">
        <v>170</v>
      </c>
      <c r="W8" s="821" t="s">
        <v>10</v>
      </c>
      <c r="X8" s="822"/>
      <c r="Y8" s="823"/>
      <c r="Z8" s="821" t="s">
        <v>10</v>
      </c>
      <c r="AA8" s="822"/>
      <c r="AB8" s="823"/>
      <c r="AC8" s="821" t="s">
        <v>10</v>
      </c>
      <c r="AD8" s="822"/>
      <c r="AE8" s="823"/>
      <c r="AF8" s="280" t="s">
        <v>10</v>
      </c>
      <c r="AG8" s="809" t="str">
        <f>IF(U8:U13="","",IF(SUM(U8:U13)&gt;=[2]PARÁMETROS!$H$5,"HÁBIL","NO HÁBIL"))</f>
        <v>HÁBIL</v>
      </c>
      <c r="AH8" s="809" t="str">
        <f>IF(U8="","",IF(U8+U9+U10+U11&gt;=[2]PARÁMETROS!$F$5,"HÁBIL","NO HÁBIL"))</f>
        <v>HÁBIL</v>
      </c>
      <c r="AI8" s="557" t="str">
        <f>+IF(U8="","",IF(U8&gt;=[2]PARÁMETROS!$F$5,"CUMPLE","NO CUMPLE"))</f>
        <v>CUMPLE</v>
      </c>
      <c r="AJ8" s="167"/>
      <c r="AK8" s="109"/>
    </row>
    <row r="9" spans="1:39" s="72" customFormat="1" ht="61.5" customHeight="1">
      <c r="A9" s="796"/>
      <c r="B9" s="58" t="str">
        <f>+[2]CONSOLIDADO!C18</f>
        <v>P07-01</v>
      </c>
      <c r="C9" s="59">
        <v>222</v>
      </c>
      <c r="D9" s="60" t="str">
        <f>+IFERROR(INDEX([2]CONSOLIDADO!$D$4:$D$89,MATCH('EXP GEN. 6-12'!B9,[2]CONSOLIDADO!$C$4:$C$89,0)),"")</f>
        <v>GOMEZ CAJIAO Y ASOCIADOS S.A.</v>
      </c>
      <c r="E9" s="461" t="s">
        <v>570</v>
      </c>
      <c r="F9" s="462" t="s">
        <v>571</v>
      </c>
      <c r="G9" s="277" t="s">
        <v>10</v>
      </c>
      <c r="H9" s="277" t="s">
        <v>10</v>
      </c>
      <c r="I9" s="458">
        <v>1</v>
      </c>
      <c r="J9" s="463">
        <v>38366</v>
      </c>
      <c r="K9" s="463">
        <v>39071</v>
      </c>
      <c r="L9" s="65">
        <f t="shared" si="0"/>
        <v>2006</v>
      </c>
      <c r="M9" s="66">
        <f>+IFERROR(INDEX([2]PARÁMETROS!$B$11:$B$37,MATCH(L9,[2]PARÁMETROS!$A$11:$A$37,0)),"")</f>
        <v>408000</v>
      </c>
      <c r="N9" s="67">
        <v>1534302721</v>
      </c>
      <c r="O9" s="68" t="s">
        <v>25</v>
      </c>
      <c r="P9" s="58" t="s">
        <v>346</v>
      </c>
      <c r="Q9" s="69" t="s">
        <v>346</v>
      </c>
      <c r="R9" s="70">
        <v>1</v>
      </c>
      <c r="S9" s="66">
        <f t="shared" si="1"/>
        <v>1534302721</v>
      </c>
      <c r="T9" s="55">
        <f t="shared" si="2"/>
        <v>3760.5458848039216</v>
      </c>
      <c r="U9" s="55">
        <f t="shared" si="3"/>
        <v>3760.5458848039216</v>
      </c>
      <c r="V9" s="71">
        <v>10</v>
      </c>
      <c r="W9" s="803" t="s">
        <v>10</v>
      </c>
      <c r="X9" s="804"/>
      <c r="Y9" s="805"/>
      <c r="Z9" s="803" t="s">
        <v>10</v>
      </c>
      <c r="AA9" s="804"/>
      <c r="AB9" s="805"/>
      <c r="AC9" s="803" t="s">
        <v>10</v>
      </c>
      <c r="AD9" s="804"/>
      <c r="AE9" s="805"/>
      <c r="AF9" s="277" t="s">
        <v>10</v>
      </c>
      <c r="AG9" s="799"/>
      <c r="AH9" s="799"/>
      <c r="AI9" s="290" t="str">
        <f>+IF(U9="","",IF(U9&gt;=[2]PARÁMETROS!$F$5,"CUMPLE","NO CUMPLE"))</f>
        <v>CUMPLE</v>
      </c>
      <c r="AJ9" s="139"/>
      <c r="AK9" s="109"/>
    </row>
    <row r="10" spans="1:39" s="72" customFormat="1" ht="65.25" customHeight="1">
      <c r="A10" s="796"/>
      <c r="B10" s="58" t="str">
        <f>+B9</f>
        <v>P07-01</v>
      </c>
      <c r="C10" s="59">
        <v>227</v>
      </c>
      <c r="D10" s="60" t="str">
        <f>+IFERROR(INDEX([2]CONSOLIDADO!$D$4:$D$89,MATCH('EXP GEN. 6-12'!B10,[2]CONSOLIDADO!$C$4:$C$89,0)),"")</f>
        <v>GOMEZ CAJIAO Y ASOCIADOS S.A.</v>
      </c>
      <c r="E10" s="461" t="s">
        <v>570</v>
      </c>
      <c r="F10" s="462" t="s">
        <v>572</v>
      </c>
      <c r="G10" s="277" t="s">
        <v>10</v>
      </c>
      <c r="H10" s="277" t="s">
        <v>10</v>
      </c>
      <c r="I10" s="458">
        <v>1</v>
      </c>
      <c r="J10" s="463">
        <v>35409</v>
      </c>
      <c r="K10" s="463">
        <v>35864</v>
      </c>
      <c r="L10" s="65">
        <f t="shared" si="0"/>
        <v>1998</v>
      </c>
      <c r="M10" s="66">
        <f>+IFERROR(INDEX([2]PARÁMETROS!$B$11:$B$37,MATCH(L10,[2]PARÁMETROS!$A$11:$A$37,0)),"")</f>
        <v>203826</v>
      </c>
      <c r="N10" s="67">
        <v>749999988</v>
      </c>
      <c r="O10" s="68" t="s">
        <v>25</v>
      </c>
      <c r="P10" s="58" t="s">
        <v>346</v>
      </c>
      <c r="Q10" s="69" t="s">
        <v>346</v>
      </c>
      <c r="R10" s="70">
        <v>1</v>
      </c>
      <c r="S10" s="66">
        <f t="shared" si="1"/>
        <v>749999988</v>
      </c>
      <c r="T10" s="55">
        <f t="shared" si="2"/>
        <v>3679.6090194577728</v>
      </c>
      <c r="U10" s="55">
        <f t="shared" si="3"/>
        <v>3679.6090194577728</v>
      </c>
      <c r="V10" s="71">
        <v>96</v>
      </c>
      <c r="W10" s="803" t="s">
        <v>10</v>
      </c>
      <c r="X10" s="804"/>
      <c r="Y10" s="805"/>
      <c r="Z10" s="803" t="s">
        <v>10</v>
      </c>
      <c r="AA10" s="804"/>
      <c r="AB10" s="805"/>
      <c r="AC10" s="803" t="s">
        <v>10</v>
      </c>
      <c r="AD10" s="804"/>
      <c r="AE10" s="805"/>
      <c r="AF10" s="277" t="s">
        <v>10</v>
      </c>
      <c r="AG10" s="799"/>
      <c r="AH10" s="799"/>
      <c r="AI10" s="290" t="str">
        <f>+IF(U10="","",IF(U10&gt;=[2]PARÁMETROS!$F$5,"CUMPLE","NO CUMPLE"))</f>
        <v>CUMPLE</v>
      </c>
      <c r="AJ10" s="139"/>
      <c r="AK10" s="109"/>
    </row>
    <row r="11" spans="1:39" s="72" customFormat="1" ht="108.75" customHeight="1">
      <c r="A11" s="796"/>
      <c r="B11" s="58" t="str">
        <f>+B10</f>
        <v>P07-01</v>
      </c>
      <c r="C11" s="59">
        <v>233</v>
      </c>
      <c r="D11" s="60" t="str">
        <f>+IFERROR(INDEX([2]CONSOLIDADO!$D$4:$D$89,MATCH('EXP GEN. 6-12'!B11,[2]CONSOLIDADO!$C$4:$C$89,0)),"")</f>
        <v>GOMEZ CAJIAO Y ASOCIADOS S.A.</v>
      </c>
      <c r="E11" s="461" t="s">
        <v>573</v>
      </c>
      <c r="F11" s="462" t="s">
        <v>574</v>
      </c>
      <c r="G11" s="277" t="s">
        <v>10</v>
      </c>
      <c r="H11" s="277" t="s">
        <v>10</v>
      </c>
      <c r="I11" s="458">
        <v>0.5</v>
      </c>
      <c r="J11" s="463">
        <v>38034</v>
      </c>
      <c r="K11" s="463">
        <v>40770</v>
      </c>
      <c r="L11" s="65">
        <f t="shared" si="0"/>
        <v>2011</v>
      </c>
      <c r="M11" s="66">
        <f>+IFERROR(INDEX([2]PARÁMETROS!$B$11:$B$37,MATCH(L11,[2]PARÁMETROS!$A$11:$A$37,0)),"")</f>
        <v>535600</v>
      </c>
      <c r="N11" s="67">
        <v>9131630030</v>
      </c>
      <c r="O11" s="68" t="s">
        <v>25</v>
      </c>
      <c r="P11" s="58" t="s">
        <v>346</v>
      </c>
      <c r="Q11" s="69" t="s">
        <v>346</v>
      </c>
      <c r="R11" s="70">
        <v>1</v>
      </c>
      <c r="S11" s="66">
        <f t="shared" si="1"/>
        <v>9131630030</v>
      </c>
      <c r="T11" s="55">
        <f t="shared" si="2"/>
        <v>17049.346583271097</v>
      </c>
      <c r="U11" s="55">
        <f t="shared" si="3"/>
        <v>8524.6732916355486</v>
      </c>
      <c r="V11" s="71">
        <v>21</v>
      </c>
      <c r="W11" s="803" t="s">
        <v>10</v>
      </c>
      <c r="X11" s="804"/>
      <c r="Y11" s="805"/>
      <c r="Z11" s="803" t="s">
        <v>10</v>
      </c>
      <c r="AA11" s="804"/>
      <c r="AB11" s="805"/>
      <c r="AC11" s="803" t="s">
        <v>10</v>
      </c>
      <c r="AD11" s="804"/>
      <c r="AE11" s="805"/>
      <c r="AF11" s="277" t="s">
        <v>10</v>
      </c>
      <c r="AG11" s="799"/>
      <c r="AH11" s="799"/>
      <c r="AI11" s="292" t="str">
        <f>+IF(U11="","",IF(U11&gt;=[2]PARÁMETROS!$F$5,"CUMPLE","NO CUMPLE"))</f>
        <v>CUMPLE</v>
      </c>
      <c r="AJ11" s="139"/>
      <c r="AK11" s="109"/>
    </row>
    <row r="12" spans="1:39" s="72" customFormat="1" ht="68.25" customHeight="1">
      <c r="A12" s="796"/>
      <c r="B12" s="58" t="str">
        <f>+[2]CONSOLIDADO!C19</f>
        <v>P07-02</v>
      </c>
      <c r="C12" s="464">
        <v>248</v>
      </c>
      <c r="D12" s="60" t="str">
        <f>+IFERROR(INDEX([2]CONSOLIDADO!$D$4:$D$89,MATCH('EXP GEN. 6-12'!B12,[2]CONSOLIDADO!$C$4:$C$89,0)),"")</f>
        <v>CONSULTORIA INTOK DE COLOMBIA Y ASOCIADOS S.A.S</v>
      </c>
      <c r="E12" s="461" t="s">
        <v>575</v>
      </c>
      <c r="F12" s="462" t="s">
        <v>576</v>
      </c>
      <c r="G12" s="277" t="s">
        <v>10</v>
      </c>
      <c r="H12" s="277" t="s">
        <v>10</v>
      </c>
      <c r="I12" s="458">
        <v>1</v>
      </c>
      <c r="J12" s="465">
        <v>38562</v>
      </c>
      <c r="K12" s="465">
        <v>39521</v>
      </c>
      <c r="L12" s="65">
        <f t="shared" si="0"/>
        <v>2008</v>
      </c>
      <c r="M12" s="66">
        <f>+IFERROR(INDEX([2]PARÁMETROS!$B$11:$B$37,MATCH(L12,[2]PARÁMETROS!$A$11:$A$37,0)),"")</f>
        <v>461500</v>
      </c>
      <c r="N12" s="67">
        <v>2838230</v>
      </c>
      <c r="O12" s="68" t="s">
        <v>577</v>
      </c>
      <c r="P12" s="58">
        <v>1.56097</v>
      </c>
      <c r="Q12" s="69">
        <f>+(N12*P12)</f>
        <v>4430391.8831000002</v>
      </c>
      <c r="R12" s="70">
        <v>1856.01</v>
      </c>
      <c r="S12" s="66">
        <f>IF(R12&lt;&gt;"",Q12*R12,"")</f>
        <v>8222851638.9524317</v>
      </c>
      <c r="T12" s="55">
        <f t="shared" si="2"/>
        <v>17817.663356343299</v>
      </c>
      <c r="U12" s="55">
        <f t="shared" si="3"/>
        <v>17817.663356343299</v>
      </c>
      <c r="V12" s="71">
        <v>28</v>
      </c>
      <c r="W12" s="803" t="s">
        <v>10</v>
      </c>
      <c r="X12" s="804"/>
      <c r="Y12" s="805"/>
      <c r="Z12" s="803" t="s">
        <v>10</v>
      </c>
      <c r="AA12" s="804"/>
      <c r="AB12" s="805"/>
      <c r="AC12" s="803" t="s">
        <v>10</v>
      </c>
      <c r="AD12" s="804"/>
      <c r="AE12" s="805"/>
      <c r="AF12" s="277" t="s">
        <v>10</v>
      </c>
      <c r="AG12" s="799"/>
      <c r="AH12" s="799"/>
      <c r="AI12" s="277" t="str">
        <f>+IF(U12="","",IF(U12&gt;=[2]PARÁMETROS!$F$5,"CUMPLE","NO CUMPLE"))</f>
        <v>CUMPLE</v>
      </c>
      <c r="AJ12" s="139"/>
      <c r="AK12" s="109"/>
    </row>
    <row r="13" spans="1:39" s="72" customFormat="1" ht="54.75" customHeight="1" thickBot="1">
      <c r="A13" s="797"/>
      <c r="B13" s="243" t="str">
        <f>+B12</f>
        <v>P07-02</v>
      </c>
      <c r="C13" s="504">
        <v>257</v>
      </c>
      <c r="D13" s="245" t="str">
        <f>+IFERROR(INDEX([2]CONSOLIDADO!$D$4:$D$89,MATCH('EXP GEN. 6-12'!B13,[2]CONSOLIDADO!$C$4:$C$89,0)),"")</f>
        <v>CONSULTORIA INTOK DE COLOMBIA Y ASOCIADOS S.A.S</v>
      </c>
      <c r="E13" s="612" t="s">
        <v>578</v>
      </c>
      <c r="F13" s="613" t="s">
        <v>579</v>
      </c>
      <c r="G13" s="293" t="s">
        <v>10</v>
      </c>
      <c r="H13" s="293" t="s">
        <v>10</v>
      </c>
      <c r="I13" s="614">
        <v>1</v>
      </c>
      <c r="J13" s="615">
        <v>38701</v>
      </c>
      <c r="K13" s="615">
        <v>40085</v>
      </c>
      <c r="L13" s="251">
        <f t="shared" si="0"/>
        <v>2009</v>
      </c>
      <c r="M13" s="252">
        <f>+IFERROR(INDEX([2]PARÁMETROS!$B$11:$B$37,MATCH(L13,[2]PARÁMETROS!$A$11:$A$37,0)),"")</f>
        <v>496900</v>
      </c>
      <c r="N13" s="616">
        <v>1183264.6000000001</v>
      </c>
      <c r="O13" s="254" t="str">
        <f>+O12</f>
        <v>EURO</v>
      </c>
      <c r="P13" s="243">
        <v>1.45905</v>
      </c>
      <c r="Q13" s="255">
        <f>+(N13*P13)</f>
        <v>1726442.2146300001</v>
      </c>
      <c r="R13" s="256">
        <v>1921.64</v>
      </c>
      <c r="S13" s="252">
        <f>IF(R13&lt;&gt;"",Q13*R13,"")</f>
        <v>3317600417.3215933</v>
      </c>
      <c r="T13" s="257">
        <f t="shared" si="2"/>
        <v>6676.5957281577648</v>
      </c>
      <c r="U13" s="257">
        <f t="shared" si="3"/>
        <v>6676.5957281577648</v>
      </c>
      <c r="V13" s="264">
        <v>60</v>
      </c>
      <c r="W13" s="800" t="s">
        <v>10</v>
      </c>
      <c r="X13" s="800"/>
      <c r="Y13" s="800"/>
      <c r="Z13" s="800" t="s">
        <v>10</v>
      </c>
      <c r="AA13" s="800"/>
      <c r="AB13" s="800"/>
      <c r="AC13" s="800" t="s">
        <v>10</v>
      </c>
      <c r="AD13" s="800"/>
      <c r="AE13" s="800"/>
      <c r="AF13" s="293" t="s">
        <v>10</v>
      </c>
      <c r="AG13" s="800"/>
      <c r="AH13" s="800"/>
      <c r="AI13" s="293" t="str">
        <f>+IF(U12="","",IF(U12&gt;=[2]PARÁMETROS!$F$5,"CUMPLE","NO CUMPLE"))</f>
        <v>CUMPLE</v>
      </c>
      <c r="AJ13" s="259"/>
      <c r="AK13" s="109"/>
    </row>
    <row r="14" spans="1:39" s="72" customFormat="1" ht="69" customHeight="1">
      <c r="A14" s="795" t="str">
        <f>+[2]CONSOLIDADO!A20</f>
        <v>CM001P08</v>
      </c>
      <c r="B14" s="123" t="str">
        <f>+[2]CONSOLIDADO!C20</f>
        <v>P08-01</v>
      </c>
      <c r="C14" s="466">
        <v>57</v>
      </c>
      <c r="D14" s="125" t="str">
        <f>+IFERROR(INDEX([2]CONSOLIDADO!$D$4:$D$89,MATCH('EXP GEN. 6-12'!B14,[2]CONSOLIDADO!$C$4:$C$89,0)),"")</f>
        <v>CONSULTORIA INTEGRAL EN INGENIERIA S.A. DE CV</v>
      </c>
      <c r="E14" s="126" t="s">
        <v>580</v>
      </c>
      <c r="F14" s="127" t="s">
        <v>581</v>
      </c>
      <c r="G14" s="291" t="s">
        <v>10</v>
      </c>
      <c r="H14" s="556" t="s">
        <v>10</v>
      </c>
      <c r="I14" s="128">
        <v>1</v>
      </c>
      <c r="J14" s="129">
        <v>37809</v>
      </c>
      <c r="K14" s="129">
        <v>38260</v>
      </c>
      <c r="L14" s="130">
        <f t="shared" si="0"/>
        <v>2004</v>
      </c>
      <c r="M14" s="131">
        <f>+IFERROR(INDEX([2]PARÁMETROS!$B$11:$B$37,MATCH(L14,[2]PARÁMETROS!$A$11:$A$37,0)),"")</f>
        <v>358000</v>
      </c>
      <c r="N14" s="132">
        <v>19507017.219999999</v>
      </c>
      <c r="O14" s="133" t="s">
        <v>582</v>
      </c>
      <c r="P14" s="123">
        <v>8.7510000000000004E-2</v>
      </c>
      <c r="Q14" s="134">
        <f>+(N14*P14)</f>
        <v>1707059.0769221999</v>
      </c>
      <c r="R14" s="135">
        <v>2595.17</v>
      </c>
      <c r="S14" s="131">
        <f>IF(R14&lt;&gt;"",Q14*R14,"")</f>
        <v>4430108504.6561861</v>
      </c>
      <c r="T14" s="136">
        <f t="shared" si="2"/>
        <v>12374.604761609458</v>
      </c>
      <c r="U14" s="136">
        <f>IFERROR(T14*I14,"")</f>
        <v>12374.604761609458</v>
      </c>
      <c r="V14" s="137">
        <v>21</v>
      </c>
      <c r="W14" s="824" t="s">
        <v>10</v>
      </c>
      <c r="X14" s="824"/>
      <c r="Y14" s="824"/>
      <c r="Z14" s="824" t="s">
        <v>10</v>
      </c>
      <c r="AA14" s="824"/>
      <c r="AB14" s="824"/>
      <c r="AC14" s="824" t="s">
        <v>10</v>
      </c>
      <c r="AD14" s="824"/>
      <c r="AE14" s="824"/>
      <c r="AF14" s="556" t="s">
        <v>10</v>
      </c>
      <c r="AG14" s="798" t="str">
        <f>IF(U14="","",IF(SUM(U14:U16)&gt;=[2]PARÁMETROS!$H$5,"HÁBIL","NO HÁBIL"))</f>
        <v>HÁBIL</v>
      </c>
      <c r="AH14" s="798" t="str">
        <f>IF(U14="","",IF(U14+U15+U16&gt;=[2]PARÁMETROS!$F$5,"HÁBIL","NO HÁBIL"))</f>
        <v>HÁBIL</v>
      </c>
      <c r="AI14" s="291" t="str">
        <f>+IF(U14="","",IF(U14&gt;=[2]PARÁMETROS!$F$5,"CUMPLE","NO CUMPLE"))</f>
        <v>CUMPLE</v>
      </c>
      <c r="AJ14" s="138"/>
      <c r="AK14" s="109"/>
    </row>
    <row r="15" spans="1:39" s="72" customFormat="1" ht="60" customHeight="1">
      <c r="A15" s="796"/>
      <c r="B15" s="58" t="str">
        <f>+B14</f>
        <v>P08-01</v>
      </c>
      <c r="C15" s="464">
        <v>125</v>
      </c>
      <c r="D15" s="60" t="str">
        <f>+IFERROR(INDEX([2]CONSOLIDADO!$D$4:$D$89,MATCH('EXP GEN. 6-12'!B15,[2]CONSOLIDADO!$C$4:$C$89,0)),"")</f>
        <v>CONSULTORIA INTEGRAL EN INGENIERIA S.A. DE CV</v>
      </c>
      <c r="E15" s="61" t="str">
        <f>+E14</f>
        <v>SECRETARIA DE OBRAS Y SERVICIOS DE LA CIUDAD DE MÈXICO</v>
      </c>
      <c r="F15" s="61" t="s">
        <v>583</v>
      </c>
      <c r="G15" s="290" t="s">
        <v>10</v>
      </c>
      <c r="H15" s="290" t="s">
        <v>10</v>
      </c>
      <c r="I15" s="73">
        <v>1</v>
      </c>
      <c r="J15" s="64">
        <v>38467</v>
      </c>
      <c r="K15" s="64">
        <v>38960</v>
      </c>
      <c r="L15" s="65">
        <f t="shared" si="0"/>
        <v>2006</v>
      </c>
      <c r="M15" s="66">
        <f>+IFERROR(INDEX([2]PARÁMETROS!$B$11:$B$37,MATCH(L15,[2]PARÁMETROS!$A$11:$A$37,0)),"")</f>
        <v>408000</v>
      </c>
      <c r="N15" s="74">
        <v>13552658.52</v>
      </c>
      <c r="O15" s="66" t="str">
        <f>+O14</f>
        <v>MX</v>
      </c>
      <c r="P15" s="58">
        <v>9.1899999999999996E-2</v>
      </c>
      <c r="Q15" s="69">
        <f>+(N15*P15)</f>
        <v>1245489.3179879999</v>
      </c>
      <c r="R15" s="70">
        <v>2396.63</v>
      </c>
      <c r="S15" s="66">
        <f>IF(R15&lt;&gt;"",Q15*R15,"")</f>
        <v>2984977064.1695805</v>
      </c>
      <c r="T15" s="55">
        <f t="shared" si="2"/>
        <v>7316.120255317599</v>
      </c>
      <c r="U15" s="55">
        <f t="shared" si="3"/>
        <v>7316.120255317599</v>
      </c>
      <c r="V15" s="71">
        <v>25</v>
      </c>
      <c r="W15" s="799" t="s">
        <v>10</v>
      </c>
      <c r="X15" s="799"/>
      <c r="Y15" s="799"/>
      <c r="Z15" s="799" t="s">
        <v>10</v>
      </c>
      <c r="AA15" s="799"/>
      <c r="AB15" s="799"/>
      <c r="AC15" s="799" t="s">
        <v>10</v>
      </c>
      <c r="AD15" s="799"/>
      <c r="AE15" s="799"/>
      <c r="AF15" s="290" t="s">
        <v>10</v>
      </c>
      <c r="AG15" s="799"/>
      <c r="AH15" s="799"/>
      <c r="AI15" s="290" t="str">
        <f>+IF(U15="","",IF(U15&gt;=[2]PARÁMETROS!$F$5,"CUMPLE","NO CUMPLE"))</f>
        <v>CUMPLE</v>
      </c>
      <c r="AJ15" s="139"/>
      <c r="AK15" s="109"/>
    </row>
    <row r="16" spans="1:39" s="72" customFormat="1" ht="70.5" customHeight="1">
      <c r="A16" s="796"/>
      <c r="B16" s="58" t="str">
        <f>+B15</f>
        <v>P08-01</v>
      </c>
      <c r="C16" s="464">
        <v>131</v>
      </c>
      <c r="D16" s="60" t="str">
        <f>+IFERROR(INDEX([2]CONSOLIDADO!$D$4:$D$89,MATCH('EXP GEN. 6-12'!B16,[2]CONSOLIDADO!$C$4:$C$89,0)),"")</f>
        <v>CONSULTORIA INTEGRAL EN INGENIERIA S.A. DE CV</v>
      </c>
      <c r="E16" s="61" t="str">
        <f>+E15</f>
        <v>SECRETARIA DE OBRAS Y SERVICIOS DE LA CIUDAD DE MÈXICO</v>
      </c>
      <c r="F16" s="62" t="s">
        <v>584</v>
      </c>
      <c r="G16" s="290" t="s">
        <v>10</v>
      </c>
      <c r="H16" s="290" t="s">
        <v>10</v>
      </c>
      <c r="I16" s="63">
        <v>1</v>
      </c>
      <c r="J16" s="64">
        <v>40735</v>
      </c>
      <c r="K16" s="64">
        <v>41079</v>
      </c>
      <c r="L16" s="65">
        <f t="shared" si="0"/>
        <v>2012</v>
      </c>
      <c r="M16" s="66">
        <f>+IFERROR(INDEX([2]PARÁMETROS!$B$11:$B$37,MATCH(L16,[2]PARÁMETROS!$A$11:$A$37,0)),"")</f>
        <v>566700</v>
      </c>
      <c r="N16" s="67">
        <v>14149067.300000001</v>
      </c>
      <c r="O16" s="68" t="str">
        <f>+O15</f>
        <v>MX</v>
      </c>
      <c r="P16" s="58">
        <v>7.2069999999999995E-2</v>
      </c>
      <c r="Q16" s="69">
        <f>+(N16*P16)</f>
        <v>1019723.280311</v>
      </c>
      <c r="R16" s="70">
        <v>1786.21</v>
      </c>
      <c r="S16" s="66">
        <f>IF(R16&lt;&gt;"",Q16*R16,"")</f>
        <v>1821439920.5243113</v>
      </c>
      <c r="T16" s="55">
        <f t="shared" si="2"/>
        <v>3214.1166764148779</v>
      </c>
      <c r="U16" s="55">
        <f t="shared" si="3"/>
        <v>3214.1166764148779</v>
      </c>
      <c r="V16" s="71">
        <v>10</v>
      </c>
      <c r="W16" s="799" t="s">
        <v>10</v>
      </c>
      <c r="X16" s="799"/>
      <c r="Y16" s="799"/>
      <c r="Z16" s="799" t="s">
        <v>10</v>
      </c>
      <c r="AA16" s="799"/>
      <c r="AB16" s="799"/>
      <c r="AC16" s="799" t="s">
        <v>10</v>
      </c>
      <c r="AD16" s="799"/>
      <c r="AE16" s="799"/>
      <c r="AF16" s="290" t="s">
        <v>10</v>
      </c>
      <c r="AG16" s="799"/>
      <c r="AH16" s="799"/>
      <c r="AI16" s="290" t="str">
        <f>+IF(U16="","",IF(U16&gt;=[2]PARÁMETROS!$F$5,"CUMPLE","NO CUMPLE"))</f>
        <v>CUMPLE</v>
      </c>
      <c r="AJ16" s="139"/>
      <c r="AK16" s="109"/>
    </row>
    <row r="17" spans="1:37" s="72" customFormat="1" ht="87.75" customHeight="1">
      <c r="A17" s="796"/>
      <c r="B17" s="58" t="str">
        <f>+[2]CONSOLIDADO!C21</f>
        <v>P08-02</v>
      </c>
      <c r="C17" s="464">
        <v>153</v>
      </c>
      <c r="D17" s="60" t="str">
        <f>+IFERROR(INDEX([2]CONSOLIDADO!$D$4:$D$89,MATCH('EXP GEN. 6-12'!B17,[2]CONSOLIDADO!$C$4:$C$89,0)),"")</f>
        <v>INGENIERIA Y CONSULTORIA INGECON S.A.S.</v>
      </c>
      <c r="E17" s="61" t="s">
        <v>573</v>
      </c>
      <c r="F17" s="76" t="s">
        <v>585</v>
      </c>
      <c r="G17" s="290" t="s">
        <v>10</v>
      </c>
      <c r="H17" s="290" t="s">
        <v>10</v>
      </c>
      <c r="I17" s="63">
        <v>1</v>
      </c>
      <c r="J17" s="64">
        <v>39156</v>
      </c>
      <c r="K17" s="64">
        <v>39964</v>
      </c>
      <c r="L17" s="65">
        <f t="shared" si="0"/>
        <v>2009</v>
      </c>
      <c r="M17" s="66">
        <f>+IFERROR(INDEX([2]PARÁMETROS!$B$11:$B$37,MATCH(L17,[2]PARÁMETROS!$A$11:$A$37,0)),"")</f>
        <v>496900</v>
      </c>
      <c r="N17" s="67">
        <v>2927141854</v>
      </c>
      <c r="O17" s="68" t="s">
        <v>25</v>
      </c>
      <c r="P17" s="58" t="s">
        <v>346</v>
      </c>
      <c r="Q17" s="69" t="s">
        <v>346</v>
      </c>
      <c r="R17" s="70">
        <v>1</v>
      </c>
      <c r="S17" s="66">
        <f>IF(R17&lt;&gt;"",N17*R17,"")</f>
        <v>2927141854</v>
      </c>
      <c r="T17" s="55">
        <f>+IFERROR(S17/M17,"")</f>
        <v>5890.8067095995166</v>
      </c>
      <c r="U17" s="55">
        <f t="shared" si="3"/>
        <v>5890.8067095995166</v>
      </c>
      <c r="V17" s="71">
        <v>21</v>
      </c>
      <c r="W17" s="821" t="s">
        <v>10</v>
      </c>
      <c r="X17" s="822"/>
      <c r="Y17" s="823"/>
      <c r="Z17" s="821" t="s">
        <v>10</v>
      </c>
      <c r="AA17" s="822"/>
      <c r="AB17" s="823"/>
      <c r="AC17" s="821" t="s">
        <v>10</v>
      </c>
      <c r="AD17" s="822"/>
      <c r="AE17" s="823"/>
      <c r="AF17" s="292" t="s">
        <v>10</v>
      </c>
      <c r="AG17" s="799"/>
      <c r="AH17" s="799"/>
      <c r="AI17" s="290" t="str">
        <f>+IF(U17="","",IF(U17&gt;=[2]PARÁMETROS!$F$5,"CUMPLE","NO CUMPLE"))</f>
        <v>CUMPLE</v>
      </c>
      <c r="AJ17" s="139"/>
      <c r="AK17" s="109"/>
    </row>
    <row r="18" spans="1:37" s="72" customFormat="1" ht="73.5" customHeight="1" thickBot="1">
      <c r="A18" s="806"/>
      <c r="B18" s="141" t="str">
        <f>+[2]CONSOLIDADO!C21</f>
        <v>P08-02</v>
      </c>
      <c r="C18" s="404">
        <v>167</v>
      </c>
      <c r="D18" s="143" t="str">
        <f>+IFERROR(INDEX([2]CONSOLIDADO!$D$4:$D$89,MATCH('EXP GEN. 6-12'!B18,[2]CONSOLIDADO!$C$4:$C$89,0)),"")</f>
        <v>INGENIERIA Y CONSULTORIA INGECON S.A.S.</v>
      </c>
      <c r="E18" s="144" t="s">
        <v>510</v>
      </c>
      <c r="F18" s="145" t="s">
        <v>586</v>
      </c>
      <c r="G18" s="289" t="s">
        <v>10</v>
      </c>
      <c r="H18" s="559" t="s">
        <v>10</v>
      </c>
      <c r="I18" s="146">
        <v>1</v>
      </c>
      <c r="J18" s="147">
        <v>39147</v>
      </c>
      <c r="K18" s="147">
        <v>40016</v>
      </c>
      <c r="L18" s="148">
        <f t="shared" si="0"/>
        <v>2009</v>
      </c>
      <c r="M18" s="149">
        <f>+IFERROR(INDEX([2]PARÁMETROS!$B$11:$B$37,MATCH(L18,[2]PARÁMETROS!$A$11:$A$37,0)),"")</f>
        <v>496900</v>
      </c>
      <c r="N18" s="150">
        <v>4704397815</v>
      </c>
      <c r="O18" s="151" t="s">
        <v>25</v>
      </c>
      <c r="P18" s="141" t="s">
        <v>346</v>
      </c>
      <c r="Q18" s="152" t="s">
        <v>346</v>
      </c>
      <c r="R18" s="153">
        <v>1</v>
      </c>
      <c r="S18" s="149">
        <f>IF(R18&lt;&gt;"",N18*R18,"")</f>
        <v>4704397815</v>
      </c>
      <c r="T18" s="154">
        <f t="shared" si="2"/>
        <v>9467.4940933789494</v>
      </c>
      <c r="U18" s="154">
        <f t="shared" si="3"/>
        <v>9467.4940933789494</v>
      </c>
      <c r="V18" s="322">
        <v>5</v>
      </c>
      <c r="W18" s="825" t="s">
        <v>10</v>
      </c>
      <c r="X18" s="826"/>
      <c r="Y18" s="827"/>
      <c r="Z18" s="825" t="s">
        <v>10</v>
      </c>
      <c r="AA18" s="826"/>
      <c r="AB18" s="827"/>
      <c r="AC18" s="801" t="s">
        <v>10</v>
      </c>
      <c r="AD18" s="801"/>
      <c r="AE18" s="801"/>
      <c r="AF18" s="289" t="s">
        <v>10</v>
      </c>
      <c r="AG18" s="801"/>
      <c r="AH18" s="801"/>
      <c r="AI18" s="289" t="str">
        <f>+IF(U18="","",IF(U18&gt;=[2]PARÁMETROS!$F$5,"CUMPLE","NO CUMPLE"))</f>
        <v>CUMPLE</v>
      </c>
      <c r="AJ18" s="155"/>
      <c r="AK18" s="109"/>
    </row>
    <row r="19" spans="1:37" s="72" customFormat="1" ht="56.25" customHeight="1">
      <c r="A19" s="795" t="str">
        <f>+[2]CONSOLIDADO!A22</f>
        <v>CM001P09</v>
      </c>
      <c r="B19" s="123" t="str">
        <f>+[2]CONSOLIDADO!C23</f>
        <v>P09-02</v>
      </c>
      <c r="C19" s="466">
        <v>171</v>
      </c>
      <c r="D19" s="125" t="str">
        <f>+IFERROR(INDEX([2]CONSOLIDADO!$D$4:$D$89,MATCH('EXP GEN. 6-12'!B19,[2]CONSOLIDADO!$C$4:$C$89,0)),"")</f>
        <v>ECOVIAS S.A.S.</v>
      </c>
      <c r="E19" s="617" t="s">
        <v>587</v>
      </c>
      <c r="F19" s="618" t="s">
        <v>588</v>
      </c>
      <c r="G19" s="291" t="s">
        <v>10</v>
      </c>
      <c r="H19" s="556" t="s">
        <v>10</v>
      </c>
      <c r="I19" s="619">
        <v>0.5</v>
      </c>
      <c r="J19" s="620">
        <v>36752</v>
      </c>
      <c r="K19" s="620">
        <v>42111</v>
      </c>
      <c r="L19" s="130">
        <f t="shared" si="0"/>
        <v>2015</v>
      </c>
      <c r="M19" s="131">
        <f>+IFERROR(INDEX([2]PARÁMETROS!$B$11:$B$37,MATCH(L19,[2]PARÁMETROS!$A$11:$A$37,0)),"")</f>
        <v>644350</v>
      </c>
      <c r="N19" s="132">
        <v>5014683563</v>
      </c>
      <c r="O19" s="133" t="s">
        <v>25</v>
      </c>
      <c r="P19" s="123" t="s">
        <v>346</v>
      </c>
      <c r="Q19" s="134" t="s">
        <v>346</v>
      </c>
      <c r="R19" s="135">
        <v>1</v>
      </c>
      <c r="S19" s="131">
        <f t="shared" si="1"/>
        <v>5014683563</v>
      </c>
      <c r="T19" s="136">
        <f t="shared" si="2"/>
        <v>7782.546074338481</v>
      </c>
      <c r="U19" s="136">
        <f t="shared" si="3"/>
        <v>3891.2730371692405</v>
      </c>
      <c r="V19" s="136" t="s">
        <v>737</v>
      </c>
      <c r="W19" s="828"/>
      <c r="X19" s="829"/>
      <c r="Y19" s="830"/>
      <c r="Z19" s="828"/>
      <c r="AA19" s="829"/>
      <c r="AB19" s="830"/>
      <c r="AC19" s="828"/>
      <c r="AD19" s="829"/>
      <c r="AE19" s="830"/>
      <c r="AF19" s="556"/>
      <c r="AG19" s="798" t="str">
        <f>IF(U19:U22="","",IF(SUM(U19:U22)&gt;=[2]PARÁMETROS!$H$5,"HÁBIL","NO HÁBIL"))</f>
        <v>HÁBIL</v>
      </c>
      <c r="AH19" s="798" t="str">
        <f>IF(U19="","",IF(U19+U20+U21&gt;=[2]PARÁMETROS!$F$5,"HÁBIL","NO HÁBIL"))</f>
        <v>HÁBIL</v>
      </c>
      <c r="AI19" s="291" t="str">
        <f>+IF(U19="","",IF(U19&gt;=[2]PARÁMETROS!$F$5,"CUMPLE","NO CUMPLE"))</f>
        <v>CUMPLE</v>
      </c>
      <c r="AJ19" s="138"/>
      <c r="AK19" s="109"/>
    </row>
    <row r="20" spans="1:37" s="72" customFormat="1" ht="108.75" customHeight="1">
      <c r="A20" s="796"/>
      <c r="B20" s="58" t="str">
        <f>+B19</f>
        <v>P09-02</v>
      </c>
      <c r="C20" s="464">
        <v>174</v>
      </c>
      <c r="D20" s="60" t="str">
        <f>+IFERROR(INDEX([2]CONSOLIDADO!$D$4:$D$89,MATCH('EXP GEN. 6-12'!B20,[2]CONSOLIDADO!$C$4:$C$89,0)),"")</f>
        <v>ECOVIAS S.A.S.</v>
      </c>
      <c r="E20" s="467" t="s">
        <v>589</v>
      </c>
      <c r="F20" s="468" t="s">
        <v>590</v>
      </c>
      <c r="G20" s="290" t="s">
        <v>10</v>
      </c>
      <c r="H20" s="290" t="s">
        <v>10</v>
      </c>
      <c r="I20" s="469">
        <v>0.5</v>
      </c>
      <c r="J20" s="470">
        <v>40099</v>
      </c>
      <c r="K20" s="470">
        <v>40558</v>
      </c>
      <c r="L20" s="65">
        <f t="shared" si="0"/>
        <v>2011</v>
      </c>
      <c r="M20" s="66">
        <f>+IFERROR(INDEX([2]PARÁMETROS!$B$11:$B$37,MATCH(L20,[2]PARÁMETROS!$A$11:$A$37,0)),"")</f>
        <v>535600</v>
      </c>
      <c r="N20" s="67">
        <v>4561047955</v>
      </c>
      <c r="O20" s="68" t="str">
        <f t="shared" ref="O20:O28" si="4">+O19</f>
        <v>COP</v>
      </c>
      <c r="P20" s="58" t="s">
        <v>346</v>
      </c>
      <c r="Q20" s="69" t="s">
        <v>346</v>
      </c>
      <c r="R20" s="70">
        <v>1</v>
      </c>
      <c r="S20" s="66">
        <f t="shared" si="1"/>
        <v>4561047955</v>
      </c>
      <c r="T20" s="55">
        <f t="shared" si="2"/>
        <v>8515.7728808812553</v>
      </c>
      <c r="U20" s="55">
        <f t="shared" si="3"/>
        <v>4257.8864404406277</v>
      </c>
      <c r="V20" s="65">
        <v>17</v>
      </c>
      <c r="W20" s="803" t="s">
        <v>10</v>
      </c>
      <c r="X20" s="804"/>
      <c r="Y20" s="805"/>
      <c r="Z20" s="803" t="s">
        <v>10</v>
      </c>
      <c r="AA20" s="804"/>
      <c r="AB20" s="805"/>
      <c r="AC20" s="803" t="s">
        <v>10</v>
      </c>
      <c r="AD20" s="804"/>
      <c r="AE20" s="805"/>
      <c r="AF20" s="290" t="s">
        <v>10</v>
      </c>
      <c r="AG20" s="799"/>
      <c r="AH20" s="799"/>
      <c r="AI20" s="290" t="str">
        <f>+IF(U20="","",IF(U20&gt;=[2]PARÁMETROS!$F$5,"CUMPLE","NO CUMPLE"))</f>
        <v>CUMPLE</v>
      </c>
      <c r="AJ20" s="139"/>
      <c r="AK20" s="109"/>
    </row>
    <row r="21" spans="1:37" s="72" customFormat="1" ht="72.75" customHeight="1">
      <c r="A21" s="796"/>
      <c r="B21" s="58" t="str">
        <f>+B20</f>
        <v>P09-02</v>
      </c>
      <c r="C21" s="464">
        <v>194</v>
      </c>
      <c r="D21" s="60" t="str">
        <f>+IFERROR(INDEX([2]CONSOLIDADO!$D$4:$D$89,MATCH('EXP GEN. 6-12'!B21,[2]CONSOLIDADO!$C$4:$C$89,0)),"")</f>
        <v>ECOVIAS S.A.S.</v>
      </c>
      <c r="E21" s="467" t="s">
        <v>371</v>
      </c>
      <c r="F21" s="468" t="s">
        <v>591</v>
      </c>
      <c r="G21" s="290" t="s">
        <v>10</v>
      </c>
      <c r="H21" s="290" t="s">
        <v>10</v>
      </c>
      <c r="I21" s="469">
        <v>1</v>
      </c>
      <c r="J21" s="470">
        <v>34541</v>
      </c>
      <c r="K21" s="470">
        <v>35002</v>
      </c>
      <c r="L21" s="65">
        <f t="shared" si="0"/>
        <v>1995</v>
      </c>
      <c r="M21" s="66">
        <f>+IFERROR(INDEX([2]PARÁMETROS!$B$11:$B$37,MATCH(L21,[2]PARÁMETROS!$A$11:$A$37,0)),"")</f>
        <v>118933.5</v>
      </c>
      <c r="N21" s="67">
        <v>418334254</v>
      </c>
      <c r="O21" s="68" t="str">
        <f t="shared" si="4"/>
        <v>COP</v>
      </c>
      <c r="P21" s="58" t="s">
        <v>346</v>
      </c>
      <c r="Q21" s="69" t="s">
        <v>346</v>
      </c>
      <c r="R21" s="70">
        <v>1</v>
      </c>
      <c r="S21" s="66">
        <f t="shared" si="1"/>
        <v>418334254</v>
      </c>
      <c r="T21" s="55">
        <f t="shared" si="2"/>
        <v>3517.3794935825481</v>
      </c>
      <c r="U21" s="55">
        <f t="shared" si="3"/>
        <v>3517.3794935825481</v>
      </c>
      <c r="V21" s="65">
        <v>89</v>
      </c>
      <c r="W21" s="803" t="s">
        <v>10</v>
      </c>
      <c r="X21" s="804"/>
      <c r="Y21" s="805"/>
      <c r="Z21" s="803" t="s">
        <v>10</v>
      </c>
      <c r="AA21" s="804"/>
      <c r="AB21" s="805"/>
      <c r="AC21" s="803" t="s">
        <v>10</v>
      </c>
      <c r="AD21" s="804"/>
      <c r="AE21" s="805"/>
      <c r="AF21" s="290" t="s">
        <v>10</v>
      </c>
      <c r="AG21" s="799"/>
      <c r="AH21" s="799"/>
      <c r="AI21" s="290" t="str">
        <f>+IF(U21="","",IF(U21&gt;=[2]PARÁMETROS!$F$5,"CUMPLE","NO CUMPLE"))</f>
        <v>CUMPLE</v>
      </c>
      <c r="AJ21" s="139"/>
      <c r="AK21" s="109"/>
    </row>
    <row r="22" spans="1:37" s="72" customFormat="1" ht="57.75" customHeight="1" thickBot="1">
      <c r="A22" s="806"/>
      <c r="B22" s="141" t="str">
        <f>+[2]CONSOLIDADO!C22</f>
        <v>P09-01</v>
      </c>
      <c r="C22" s="404">
        <v>195</v>
      </c>
      <c r="D22" s="143" t="str">
        <f>+IFERROR(INDEX([2]CONSOLIDADO!$D$4:$D$89,MATCH('EXP GEN. 6-12'!B22,[2]CONSOLIDADO!$C$4:$C$89,0)),"")</f>
        <v>ESTRUCTURADOR COLOMBIA S.A.S.</v>
      </c>
      <c r="E22" s="322" t="str">
        <f>+E21</f>
        <v>INVIAS</v>
      </c>
      <c r="F22" s="621" t="s">
        <v>592</v>
      </c>
      <c r="G22" s="289" t="s">
        <v>10</v>
      </c>
      <c r="H22" s="559" t="s">
        <v>10</v>
      </c>
      <c r="I22" s="622">
        <v>0.15</v>
      </c>
      <c r="J22" s="623">
        <v>40487</v>
      </c>
      <c r="K22" s="623">
        <v>42368</v>
      </c>
      <c r="L22" s="148">
        <f t="shared" si="0"/>
        <v>2015</v>
      </c>
      <c r="M22" s="149">
        <f>+IFERROR(INDEX([2]PARÁMETROS!$B$11:$B$37,MATCH(L22,[2]PARÁMETROS!$A$11:$A$37,0)),"")</f>
        <v>644350</v>
      </c>
      <c r="N22" s="150">
        <v>25305101612</v>
      </c>
      <c r="O22" s="151" t="str">
        <f t="shared" si="4"/>
        <v>COP</v>
      </c>
      <c r="P22" s="141" t="s">
        <v>346</v>
      </c>
      <c r="Q22" s="152" t="str">
        <f t="shared" ref="Q22:Q28" si="5">+Q21</f>
        <v>NA</v>
      </c>
      <c r="R22" s="153">
        <v>1</v>
      </c>
      <c r="S22" s="149">
        <f t="shared" si="1"/>
        <v>25305101612</v>
      </c>
      <c r="T22" s="154">
        <f t="shared" si="2"/>
        <v>39272.292406300927</v>
      </c>
      <c r="U22" s="154">
        <f t="shared" si="3"/>
        <v>5890.8438609451387</v>
      </c>
      <c r="V22" s="154" t="s">
        <v>737</v>
      </c>
      <c r="W22" s="825"/>
      <c r="X22" s="826"/>
      <c r="Y22" s="827"/>
      <c r="Z22" s="825"/>
      <c r="AA22" s="826"/>
      <c r="AB22" s="827"/>
      <c r="AC22" s="825"/>
      <c r="AD22" s="826"/>
      <c r="AE22" s="827"/>
      <c r="AF22" s="559"/>
      <c r="AG22" s="801"/>
      <c r="AH22" s="801"/>
      <c r="AI22" s="289" t="str">
        <f>+IF(U22="","",IF(U22&gt;=[2]PARÁMETROS!$F$5,"CUMPLE","NO CUMPLE"))</f>
        <v>CUMPLE</v>
      </c>
      <c r="AJ22" s="155"/>
      <c r="AK22" s="109"/>
    </row>
    <row r="23" spans="1:37" s="72" customFormat="1" ht="87" customHeight="1">
      <c r="A23" s="795" t="str">
        <f>+[2]CONSOLIDADO!A24</f>
        <v>CM001P10</v>
      </c>
      <c r="B23" s="123" t="str">
        <f>+[2]CONSOLIDADO!C24</f>
        <v>P10-01</v>
      </c>
      <c r="C23" s="466">
        <v>77</v>
      </c>
      <c r="D23" s="125" t="str">
        <f>+IFERROR(INDEX([2]CONSOLIDADO!$D$4:$D$89,MATCH('EXP GEN. 6-12'!B23,[2]CONSOLIDADO!$C$4:$C$89,0)),"")</f>
        <v>JOYCO</v>
      </c>
      <c r="E23" s="624" t="s">
        <v>489</v>
      </c>
      <c r="F23" s="625" t="s">
        <v>593</v>
      </c>
      <c r="G23" s="556" t="s">
        <v>10</v>
      </c>
      <c r="H23" s="556" t="s">
        <v>10</v>
      </c>
      <c r="I23" s="626">
        <v>1</v>
      </c>
      <c r="J23" s="627">
        <v>38321</v>
      </c>
      <c r="K23" s="627">
        <v>39901</v>
      </c>
      <c r="L23" s="130">
        <f t="shared" si="0"/>
        <v>2009</v>
      </c>
      <c r="M23" s="131">
        <f>+IFERROR(INDEX([2]PARÁMETROS!$B$11:$B$37,MATCH(L23,[2]PARÁMETROS!$A$11:$A$37,0)),"")</f>
        <v>496900</v>
      </c>
      <c r="N23" s="632">
        <v>1676200327</v>
      </c>
      <c r="O23" s="436" t="str">
        <f t="shared" si="4"/>
        <v>COP</v>
      </c>
      <c r="P23" s="123" t="s">
        <v>346</v>
      </c>
      <c r="Q23" s="134" t="str">
        <f t="shared" si="5"/>
        <v>NA</v>
      </c>
      <c r="R23" s="135">
        <v>1</v>
      </c>
      <c r="S23" s="131">
        <f t="shared" si="1"/>
        <v>1676200327</v>
      </c>
      <c r="T23" s="136">
        <f t="shared" si="2"/>
        <v>3373.3152082914066</v>
      </c>
      <c r="U23" s="136">
        <f t="shared" si="3"/>
        <v>3373.3152082914066</v>
      </c>
      <c r="V23" s="130">
        <v>45</v>
      </c>
      <c r="W23" s="828" t="s">
        <v>10</v>
      </c>
      <c r="X23" s="829"/>
      <c r="Y23" s="830"/>
      <c r="Z23" s="828" t="s">
        <v>10</v>
      </c>
      <c r="AA23" s="829"/>
      <c r="AB23" s="830"/>
      <c r="AC23" s="828" t="s">
        <v>10</v>
      </c>
      <c r="AD23" s="829"/>
      <c r="AE23" s="830"/>
      <c r="AF23" s="556" t="s">
        <v>10</v>
      </c>
      <c r="AG23" s="798" t="str">
        <f>IF(U23:U28="","",IF(SUM(U23:U28)&gt;=[2]PARÁMETROS!$H$5,"HÁBIL","NO HÁBIL"))</f>
        <v>HÁBIL</v>
      </c>
      <c r="AH23" s="798" t="str">
        <f>IF(U23="","",IF(U23+U24+U25+U26+U27+U28&gt;=[2]PARÁMETROS!$F$5,"HÁBIL","NO HÁBIL"))</f>
        <v>HÁBIL</v>
      </c>
      <c r="AI23" s="291" t="str">
        <f>+IF(U23="","",IF(U23&gt;=[2]PARÁMETROS!$F$5,"CUMPLE","NO CUMPLE"))</f>
        <v>CUMPLE</v>
      </c>
      <c r="AJ23" s="138"/>
      <c r="AK23" s="109"/>
    </row>
    <row r="24" spans="1:37" s="72" customFormat="1" ht="97.5" customHeight="1">
      <c r="A24" s="796"/>
      <c r="B24" s="58" t="str">
        <f>+B23</f>
        <v>P10-01</v>
      </c>
      <c r="C24" s="464">
        <v>87</v>
      </c>
      <c r="D24" s="60" t="str">
        <f>+IFERROR(INDEX([2]CONSOLIDADO!$D$4:$D$89,MATCH('EXP GEN. 6-12'!B24,[2]CONSOLIDADO!$C$4:$C$89,0)),"")</f>
        <v>JOYCO</v>
      </c>
      <c r="E24" s="471" t="s">
        <v>371</v>
      </c>
      <c r="F24" s="472" t="s">
        <v>594</v>
      </c>
      <c r="G24" s="290" t="s">
        <v>10</v>
      </c>
      <c r="H24" s="290" t="s">
        <v>10</v>
      </c>
      <c r="I24" s="473">
        <v>1</v>
      </c>
      <c r="J24" s="474">
        <v>38658</v>
      </c>
      <c r="K24" s="474">
        <v>39813</v>
      </c>
      <c r="L24" s="65">
        <f t="shared" si="0"/>
        <v>2008</v>
      </c>
      <c r="M24" s="66">
        <f>+IFERROR(INDEX([2]PARÁMETROS!$B$11:$B$37,MATCH(L24,[2]PARÁMETROS!$A$11:$A$37,0)),"")</f>
        <v>461500</v>
      </c>
      <c r="N24" s="67">
        <v>2904906735</v>
      </c>
      <c r="O24" s="68" t="str">
        <f t="shared" si="4"/>
        <v>COP</v>
      </c>
      <c r="P24" s="58" t="s">
        <v>346</v>
      </c>
      <c r="Q24" s="69" t="str">
        <f t="shared" si="5"/>
        <v>NA</v>
      </c>
      <c r="R24" s="70">
        <v>1</v>
      </c>
      <c r="S24" s="66">
        <f t="shared" si="1"/>
        <v>2904906735</v>
      </c>
      <c r="T24" s="55">
        <f t="shared" si="2"/>
        <v>6294.4891332611051</v>
      </c>
      <c r="U24" s="55">
        <f t="shared" si="3"/>
        <v>6294.4891332611051</v>
      </c>
      <c r="V24" s="65">
        <v>46</v>
      </c>
      <c r="W24" s="803" t="s">
        <v>10</v>
      </c>
      <c r="X24" s="804"/>
      <c r="Y24" s="805"/>
      <c r="Z24" s="803" t="s">
        <v>10</v>
      </c>
      <c r="AA24" s="804"/>
      <c r="AB24" s="805"/>
      <c r="AC24" s="803" t="s">
        <v>10</v>
      </c>
      <c r="AD24" s="804"/>
      <c r="AE24" s="805"/>
      <c r="AF24" s="290" t="s">
        <v>10</v>
      </c>
      <c r="AG24" s="799"/>
      <c r="AH24" s="799"/>
      <c r="AI24" s="290" t="str">
        <f>+IF(U24="","",IF(U24&gt;=[2]PARÁMETROS!$F$5,"CUMPLE","NO CUMPLE"))</f>
        <v>CUMPLE</v>
      </c>
      <c r="AJ24" s="139"/>
      <c r="AK24" s="109"/>
    </row>
    <row r="25" spans="1:37" s="72" customFormat="1" ht="104.25" customHeight="1">
      <c r="A25" s="796"/>
      <c r="B25" s="58" t="str">
        <f>+B24</f>
        <v>P10-01</v>
      </c>
      <c r="C25" s="464">
        <v>98</v>
      </c>
      <c r="D25" s="60" t="str">
        <f>+IFERROR(INDEX([2]CONSOLIDADO!$D$4:$D$89,MATCH('EXP GEN. 6-12'!B25,[2]CONSOLIDADO!$C$4:$C$89,0)),"")</f>
        <v>JOYCO</v>
      </c>
      <c r="E25" s="471" t="s">
        <v>353</v>
      </c>
      <c r="F25" s="472" t="s">
        <v>595</v>
      </c>
      <c r="G25" s="290" t="s">
        <v>10</v>
      </c>
      <c r="H25" s="290" t="s">
        <v>10</v>
      </c>
      <c r="I25" s="473">
        <v>0.33</v>
      </c>
      <c r="J25" s="474">
        <v>39792</v>
      </c>
      <c r="K25" s="474">
        <v>40977</v>
      </c>
      <c r="L25" s="65">
        <f t="shared" si="0"/>
        <v>2012</v>
      </c>
      <c r="M25" s="66">
        <f>+IFERROR(INDEX([2]PARÁMETROS!$B$11:$B$37,MATCH(L25,[2]PARÁMETROS!$A$11:$A$37,0)),"")</f>
        <v>566700</v>
      </c>
      <c r="N25" s="67">
        <v>4939884563</v>
      </c>
      <c r="O25" s="68" t="str">
        <f t="shared" si="4"/>
        <v>COP</v>
      </c>
      <c r="P25" s="58" t="s">
        <v>346</v>
      </c>
      <c r="Q25" s="69" t="str">
        <f t="shared" si="5"/>
        <v>NA</v>
      </c>
      <c r="R25" s="70">
        <v>1</v>
      </c>
      <c r="S25" s="66">
        <f t="shared" si="1"/>
        <v>4939884563</v>
      </c>
      <c r="T25" s="55">
        <f t="shared" si="2"/>
        <v>8716.9305858478911</v>
      </c>
      <c r="U25" s="55">
        <f>IFERROR(T25*I25,"")</f>
        <v>2876.5870933298042</v>
      </c>
      <c r="V25" s="65">
        <v>67</v>
      </c>
      <c r="W25" s="803" t="s">
        <v>10</v>
      </c>
      <c r="X25" s="804"/>
      <c r="Y25" s="805"/>
      <c r="Z25" s="803" t="s">
        <v>10</v>
      </c>
      <c r="AA25" s="804"/>
      <c r="AB25" s="805"/>
      <c r="AC25" s="803" t="s">
        <v>10</v>
      </c>
      <c r="AD25" s="804"/>
      <c r="AE25" s="805"/>
      <c r="AF25" s="290" t="s">
        <v>10</v>
      </c>
      <c r="AG25" s="799"/>
      <c r="AH25" s="799"/>
      <c r="AI25" s="290" t="str">
        <f>+IF(U25="","",IF(U25&gt;=[2]PARÁMETROS!$F$5,"CUMPLE","NO CUMPLE"))</f>
        <v>CUMPLE</v>
      </c>
      <c r="AJ25" s="166"/>
      <c r="AK25" s="109"/>
    </row>
    <row r="26" spans="1:37" s="82" customFormat="1" ht="118.5" customHeight="1">
      <c r="A26" s="796"/>
      <c r="B26" s="58" t="str">
        <f>+B25</f>
        <v>P10-01</v>
      </c>
      <c r="C26" s="464">
        <v>121</v>
      </c>
      <c r="D26" s="60" t="str">
        <f>+IFERROR(INDEX([2]CONSOLIDADO!$D$4:$D$89,MATCH('EXP GEN. 6-12'!B26,[2]CONSOLIDADO!$C$4:$C$89,0)),"")</f>
        <v>JOYCO</v>
      </c>
      <c r="E26" s="475" t="s">
        <v>371</v>
      </c>
      <c r="F26" s="476" t="s">
        <v>596</v>
      </c>
      <c r="G26" s="290" t="s">
        <v>10</v>
      </c>
      <c r="H26" s="290" t="s">
        <v>10</v>
      </c>
      <c r="I26" s="477">
        <v>0.5</v>
      </c>
      <c r="J26" s="478">
        <v>39778</v>
      </c>
      <c r="K26" s="478">
        <v>41374</v>
      </c>
      <c r="L26" s="65">
        <f t="shared" si="0"/>
        <v>2013</v>
      </c>
      <c r="M26" s="66">
        <f>+IFERROR(INDEX([2]PARÁMETROS!$B$11:$B$37,MATCH(L26,[2]PARÁMETROS!$A$11:$A$37,0)),"")</f>
        <v>589500</v>
      </c>
      <c r="N26" s="68">
        <v>5413567912</v>
      </c>
      <c r="O26" s="68" t="str">
        <f t="shared" si="4"/>
        <v>COP</v>
      </c>
      <c r="P26" s="68" t="s">
        <v>346</v>
      </c>
      <c r="Q26" s="69" t="str">
        <f t="shared" si="5"/>
        <v>NA</v>
      </c>
      <c r="R26" s="70">
        <v>1</v>
      </c>
      <c r="S26" s="66">
        <f t="shared" si="1"/>
        <v>5413567912</v>
      </c>
      <c r="T26" s="55">
        <f t="shared" si="2"/>
        <v>9183.321309584393</v>
      </c>
      <c r="U26" s="55">
        <f t="shared" si="3"/>
        <v>4591.6606547921965</v>
      </c>
      <c r="V26" s="479">
        <v>66</v>
      </c>
      <c r="W26" s="803" t="s">
        <v>10</v>
      </c>
      <c r="X26" s="804"/>
      <c r="Y26" s="805"/>
      <c r="Z26" s="803" t="s">
        <v>10</v>
      </c>
      <c r="AA26" s="804"/>
      <c r="AB26" s="805"/>
      <c r="AC26" s="803" t="s">
        <v>10</v>
      </c>
      <c r="AD26" s="804"/>
      <c r="AE26" s="805"/>
      <c r="AF26" s="290" t="s">
        <v>10</v>
      </c>
      <c r="AG26" s="799"/>
      <c r="AH26" s="799"/>
      <c r="AI26" s="290" t="str">
        <f>+IF(U26="","",IF(U26&gt;=[2]PARÁMETROS!$F$5,"CUMPLE","NO CUMPLE"))</f>
        <v>CUMPLE</v>
      </c>
      <c r="AJ26" s="139"/>
      <c r="AK26" s="158"/>
    </row>
    <row r="27" spans="1:37" s="72" customFormat="1" ht="61.5" customHeight="1">
      <c r="A27" s="796"/>
      <c r="B27" s="58" t="str">
        <f>+B26</f>
        <v>P10-01</v>
      </c>
      <c r="C27" s="464">
        <v>136</v>
      </c>
      <c r="D27" s="60" t="str">
        <f>+IFERROR(INDEX([2]CONSOLIDADO!$D$4:$D$89,MATCH('EXP GEN. 6-12'!B27,[2]CONSOLIDADO!$C$4:$C$89,0)),"")</f>
        <v>JOYCO</v>
      </c>
      <c r="E27" s="475" t="s">
        <v>371</v>
      </c>
      <c r="F27" s="476" t="s">
        <v>597</v>
      </c>
      <c r="G27" s="290" t="s">
        <v>10</v>
      </c>
      <c r="H27" s="290" t="s">
        <v>10</v>
      </c>
      <c r="I27" s="477">
        <v>1</v>
      </c>
      <c r="J27" s="478">
        <v>35171</v>
      </c>
      <c r="K27" s="478">
        <v>36083</v>
      </c>
      <c r="L27" s="65">
        <f t="shared" si="0"/>
        <v>1998</v>
      </c>
      <c r="M27" s="66">
        <f>+IFERROR(INDEX([2]PARÁMETROS!$B$11:$B$37,MATCH(L27,[2]PARÁMETROS!$A$11:$A$37,0)),"")</f>
        <v>203826</v>
      </c>
      <c r="N27" s="67">
        <v>1224631240</v>
      </c>
      <c r="O27" s="68" t="str">
        <f t="shared" si="4"/>
        <v>COP</v>
      </c>
      <c r="P27" s="58" t="s">
        <v>346</v>
      </c>
      <c r="Q27" s="69" t="str">
        <f t="shared" si="5"/>
        <v>NA</v>
      </c>
      <c r="R27" s="70">
        <v>1</v>
      </c>
      <c r="S27" s="66">
        <f>IF(R27&lt;&gt;"",N27*R27,"")</f>
        <v>1224631240</v>
      </c>
      <c r="T27" s="55">
        <f t="shared" si="2"/>
        <v>6008.218971083179</v>
      </c>
      <c r="U27" s="55">
        <f t="shared" si="3"/>
        <v>6008.218971083179</v>
      </c>
      <c r="V27" s="65">
        <v>12</v>
      </c>
      <c r="W27" s="803" t="s">
        <v>10</v>
      </c>
      <c r="X27" s="804"/>
      <c r="Y27" s="805"/>
      <c r="Z27" s="803" t="s">
        <v>10</v>
      </c>
      <c r="AA27" s="804"/>
      <c r="AB27" s="805"/>
      <c r="AC27" s="803" t="s">
        <v>10</v>
      </c>
      <c r="AD27" s="804"/>
      <c r="AE27" s="805"/>
      <c r="AF27" s="290" t="s">
        <v>10</v>
      </c>
      <c r="AG27" s="799"/>
      <c r="AH27" s="799"/>
      <c r="AI27" s="290" t="str">
        <f>+IF(U27="","",IF(U27&gt;=[2]PARÁMETROS!$F$5,"CUMPLE","NO CUMPLE"))</f>
        <v>CUMPLE</v>
      </c>
      <c r="AJ27" s="139"/>
      <c r="AK27" s="109"/>
    </row>
    <row r="28" spans="1:37" s="72" customFormat="1" ht="114.75" customHeight="1" thickBot="1">
      <c r="A28" s="806"/>
      <c r="B28" s="141" t="str">
        <f>+B27</f>
        <v>P10-01</v>
      </c>
      <c r="C28" s="404">
        <v>144</v>
      </c>
      <c r="D28" s="143" t="str">
        <f>+IFERROR(INDEX([2]CONSOLIDADO!$D$4:$D$89,MATCH('EXP GEN. 6-12'!B28,[2]CONSOLIDADO!$C$4:$C$89,0)),"")</f>
        <v>JOYCO</v>
      </c>
      <c r="E28" s="628" t="s">
        <v>371</v>
      </c>
      <c r="F28" s="629" t="s">
        <v>598</v>
      </c>
      <c r="G28" s="559" t="s">
        <v>10</v>
      </c>
      <c r="H28" s="559" t="s">
        <v>10</v>
      </c>
      <c r="I28" s="630">
        <v>1</v>
      </c>
      <c r="J28" s="631">
        <v>38673</v>
      </c>
      <c r="K28" s="631">
        <v>39675</v>
      </c>
      <c r="L28" s="148">
        <f t="shared" si="0"/>
        <v>2008</v>
      </c>
      <c r="M28" s="149">
        <f>+IFERROR(INDEX([2]PARÁMETROS!$B$11:$B$37,MATCH(L28,[2]PARÁMETROS!$A$11:$A$37,0)),"")</f>
        <v>461500</v>
      </c>
      <c r="N28" s="588">
        <v>2205036734</v>
      </c>
      <c r="O28" s="385" t="str">
        <f t="shared" si="4"/>
        <v>COP</v>
      </c>
      <c r="P28" s="141" t="s">
        <v>346</v>
      </c>
      <c r="Q28" s="152" t="str">
        <f t="shared" si="5"/>
        <v>NA</v>
      </c>
      <c r="R28" s="153">
        <v>1</v>
      </c>
      <c r="S28" s="149">
        <f t="shared" si="1"/>
        <v>2205036734</v>
      </c>
      <c r="T28" s="154">
        <f>+IFERROR(S28/M28,"")</f>
        <v>4777.9777551462621</v>
      </c>
      <c r="U28" s="154">
        <f t="shared" si="3"/>
        <v>4777.9777551462621</v>
      </c>
      <c r="V28" s="148">
        <v>48</v>
      </c>
      <c r="W28" s="825" t="s">
        <v>10</v>
      </c>
      <c r="X28" s="826"/>
      <c r="Y28" s="827"/>
      <c r="Z28" s="825" t="s">
        <v>10</v>
      </c>
      <c r="AA28" s="826"/>
      <c r="AB28" s="827"/>
      <c r="AC28" s="825" t="s">
        <v>10</v>
      </c>
      <c r="AD28" s="826"/>
      <c r="AE28" s="827"/>
      <c r="AF28" s="559" t="s">
        <v>10</v>
      </c>
      <c r="AG28" s="801"/>
      <c r="AH28" s="801"/>
      <c r="AI28" s="289" t="str">
        <f>+IF(U28="","",IF(U28&gt;=[2]PARÁMETROS!$F$5,"CUMPLE","NO CUMPLE"))</f>
        <v>CUMPLE</v>
      </c>
      <c r="AJ28" s="155"/>
      <c r="AK28" s="109"/>
    </row>
    <row r="29" spans="1:37" s="72" customFormat="1" ht="120.75" customHeight="1">
      <c r="A29" s="795" t="str">
        <f>+[2]CONSOLIDADO!A25</f>
        <v>CM001P11</v>
      </c>
      <c r="B29" s="123" t="str">
        <f>+[2]CONSOLIDADO!C25</f>
        <v>P11-01</v>
      </c>
      <c r="C29" s="466">
        <v>179</v>
      </c>
      <c r="D29" s="125" t="str">
        <f>+IFERROR(INDEX([2]CONSOLIDADO!$D$4:$D$89,MATCH('EXP GEN. 6-12'!B29,[2]CONSOLIDADO!$C$4:$C$89,0)),"")</f>
        <v>GIC GERENCIA INTERVENTORIA Y CONSULTORIA S.A.S.</v>
      </c>
      <c r="E29" s="137" t="s">
        <v>599</v>
      </c>
      <c r="F29" s="127" t="s">
        <v>600</v>
      </c>
      <c r="G29" s="291" t="s">
        <v>10</v>
      </c>
      <c r="H29" s="556" t="s">
        <v>10</v>
      </c>
      <c r="I29" s="128">
        <v>1</v>
      </c>
      <c r="J29" s="129">
        <v>38733</v>
      </c>
      <c r="K29" s="129">
        <v>39254</v>
      </c>
      <c r="L29" s="130">
        <f t="shared" si="0"/>
        <v>2007</v>
      </c>
      <c r="M29" s="131">
        <f>+IFERROR(INDEX([2]PARÁMETROS!$B$11:$B$37,MATCH(L29,[2]PARÁMETROS!$A$11:$A$37,0)),"")</f>
        <v>433700</v>
      </c>
      <c r="N29" s="132">
        <v>465430.5</v>
      </c>
      <c r="O29" s="133" t="s">
        <v>601</v>
      </c>
      <c r="P29" s="123">
        <v>1.3425</v>
      </c>
      <c r="Q29" s="134">
        <f>+(N29*P29)</f>
        <v>624840.44625000004</v>
      </c>
      <c r="R29" s="135">
        <v>1905.13</v>
      </c>
      <c r="S29" s="131">
        <f>IF(R29&lt;&gt;"",Q29*R29,"")</f>
        <v>1190402279.3642626</v>
      </c>
      <c r="T29" s="136">
        <f>+IFERROR(S29/M29,"")</f>
        <v>2744.7596941763031</v>
      </c>
      <c r="U29" s="136">
        <f>IFERROR(T29*I29,"")</f>
        <v>2744.7596941763031</v>
      </c>
      <c r="V29" s="136" t="s">
        <v>739</v>
      </c>
      <c r="W29" s="828"/>
      <c r="X29" s="829"/>
      <c r="Y29" s="830"/>
      <c r="Z29" s="828"/>
      <c r="AA29" s="829"/>
      <c r="AB29" s="830"/>
      <c r="AC29" s="828"/>
      <c r="AD29" s="829"/>
      <c r="AE29" s="830"/>
      <c r="AF29" s="291"/>
      <c r="AG29" s="798" t="str">
        <f>IF(U29:U34="","",IF(SUM(U29:U34)&gt;=[2]PARÁMETROS!$H$5,"HÁBIL","NO HÁBIL"))</f>
        <v>HÁBIL</v>
      </c>
      <c r="AH29" s="798" t="str">
        <f>IF(U29="","",IF(U29+U30+U31+U32&gt;=[2]PARÁMETROS!$F$5,"HÁBIL","NO HÁBIL"))</f>
        <v>HÁBIL</v>
      </c>
      <c r="AI29" s="291" t="str">
        <f>+IF(U29="","",IF(U29&gt;=[2]PARÁMETROS!$F$5,"CUMPLE","NO CUMPLE"))</f>
        <v>CUMPLE</v>
      </c>
      <c r="AJ29" s="581"/>
      <c r="AK29" s="109"/>
    </row>
    <row r="30" spans="1:37" s="72" customFormat="1" ht="124.5" customHeight="1">
      <c r="A30" s="796"/>
      <c r="B30" s="58" t="str">
        <f>+B29</f>
        <v>P11-01</v>
      </c>
      <c r="C30" s="464">
        <v>188</v>
      </c>
      <c r="D30" s="60" t="str">
        <f>+IFERROR(INDEX([2]CONSOLIDADO!$D$4:$D$89,MATCH('EXP GEN. 6-12'!B30,[2]CONSOLIDADO!$C$4:$C$89,0)),"")</f>
        <v>GIC GERENCIA INTERVENTORIA Y CONSULTORIA S.A.S.</v>
      </c>
      <c r="E30" s="71" t="str">
        <f>+E29</f>
        <v>REGIÒN DE MURCIA CONSEJERIA DE OBRAS PÙBLICAS Y ORDENACIÒN DEL TERRITORIO DIRECCIÒN GENERAL DE CARRETERAS</v>
      </c>
      <c r="F30" s="62" t="s">
        <v>602</v>
      </c>
      <c r="G30" s="290" t="s">
        <v>10</v>
      </c>
      <c r="H30" s="290" t="s">
        <v>10</v>
      </c>
      <c r="I30" s="63">
        <v>1</v>
      </c>
      <c r="J30" s="64">
        <v>39839</v>
      </c>
      <c r="K30" s="64">
        <v>40339</v>
      </c>
      <c r="L30" s="65">
        <f t="shared" si="0"/>
        <v>2010</v>
      </c>
      <c r="M30" s="66">
        <f>+IFERROR(INDEX([2]PARÁMETROS!$B$11:$B$37,MATCH(L30,[2]PARÁMETROS!$A$11:$A$37,0)),"")</f>
        <v>515000</v>
      </c>
      <c r="N30" s="67">
        <v>864969.84</v>
      </c>
      <c r="O30" s="68" t="str">
        <f>+O29</f>
        <v>EUROS</v>
      </c>
      <c r="P30" s="58">
        <v>1.1988799999999999</v>
      </c>
      <c r="Q30" s="69">
        <f>+(N30*P30)</f>
        <v>1036995.0417792</v>
      </c>
      <c r="R30" s="70">
        <v>1943</v>
      </c>
      <c r="S30" s="66">
        <f>IF(R30&lt;&gt;"",Q30*R30,"")</f>
        <v>2014881366.1769855</v>
      </c>
      <c r="T30" s="55">
        <f>+IFERROR(S30/M30,"")</f>
        <v>3912.3910022854088</v>
      </c>
      <c r="U30" s="55">
        <f t="shared" si="3"/>
        <v>3912.3910022854088</v>
      </c>
      <c r="V30" s="55" t="s">
        <v>739</v>
      </c>
      <c r="W30" s="803"/>
      <c r="X30" s="804"/>
      <c r="Y30" s="805"/>
      <c r="Z30" s="803"/>
      <c r="AA30" s="804"/>
      <c r="AB30" s="805"/>
      <c r="AC30" s="803"/>
      <c r="AD30" s="804"/>
      <c r="AE30" s="805"/>
      <c r="AF30" s="293"/>
      <c r="AG30" s="799"/>
      <c r="AH30" s="799"/>
      <c r="AI30" s="290" t="str">
        <f>+IF(U30="","",IF(U30&gt;=[2]PARÁMETROS!$F$5,"CUMPLE","NO CUMPLE"))</f>
        <v>CUMPLE</v>
      </c>
      <c r="AJ30" s="139"/>
      <c r="AK30" s="109"/>
    </row>
    <row r="31" spans="1:37" s="72" customFormat="1" ht="116.25" customHeight="1">
      <c r="A31" s="796"/>
      <c r="B31" s="58" t="str">
        <f>+B30</f>
        <v>P11-01</v>
      </c>
      <c r="C31" s="464">
        <v>197</v>
      </c>
      <c r="D31" s="60" t="str">
        <f>+IFERROR(INDEX([2]CONSOLIDADO!$D$4:$D$89,MATCH('EXP GEN. 6-12'!B31,[2]CONSOLIDADO!$C$4:$C$89,0)),"")</f>
        <v>GIC GERENCIA INTERVENTORIA Y CONSULTORIA S.A.S.</v>
      </c>
      <c r="E31" s="71" t="str">
        <f>+E30</f>
        <v>REGIÒN DE MURCIA CONSEJERIA DE OBRAS PÙBLICAS Y ORDENACIÒN DEL TERRITORIO DIRECCIÒN GENERAL DE CARRETERAS</v>
      </c>
      <c r="F31" s="62" t="s">
        <v>603</v>
      </c>
      <c r="G31" s="290" t="s">
        <v>10</v>
      </c>
      <c r="H31" s="290" t="s">
        <v>10</v>
      </c>
      <c r="I31" s="63">
        <v>1</v>
      </c>
      <c r="J31" s="64">
        <v>40400</v>
      </c>
      <c r="K31" s="64">
        <v>40753</v>
      </c>
      <c r="L31" s="65">
        <f t="shared" si="0"/>
        <v>2011</v>
      </c>
      <c r="M31" s="66">
        <f>+IFERROR(INDEX([2]PARÁMETROS!$B$11:$B$37,MATCH(L31,[2]PARÁMETROS!$A$11:$A$37,0)),"")</f>
        <v>535600</v>
      </c>
      <c r="N31" s="67">
        <v>655152.30000000005</v>
      </c>
      <c r="O31" s="68" t="str">
        <f>+O30</f>
        <v>EUROS</v>
      </c>
      <c r="P31" s="58">
        <v>1.43323</v>
      </c>
      <c r="Q31" s="69">
        <f>+(N31*P31)</f>
        <v>938983.93092900002</v>
      </c>
      <c r="R31" s="70">
        <v>1771.15</v>
      </c>
      <c r="S31" s="66">
        <f>IF(R31&lt;&gt;"",Q31*R31,"")</f>
        <v>1663081389.2648985</v>
      </c>
      <c r="T31" s="55">
        <f>+IFERROR(S31/M31,"")</f>
        <v>3105.0810105767337</v>
      </c>
      <c r="U31" s="55">
        <f t="shared" si="3"/>
        <v>3105.0810105767337</v>
      </c>
      <c r="V31" s="55" t="s">
        <v>739</v>
      </c>
      <c r="W31" s="803"/>
      <c r="X31" s="804"/>
      <c r="Y31" s="805"/>
      <c r="Z31" s="803"/>
      <c r="AA31" s="804"/>
      <c r="AB31" s="805"/>
      <c r="AC31" s="803"/>
      <c r="AD31" s="804"/>
      <c r="AE31" s="805"/>
      <c r="AF31" s="290"/>
      <c r="AG31" s="799"/>
      <c r="AH31" s="799"/>
      <c r="AI31" s="290" t="str">
        <f>+IF(U31="","",IF(U31&gt;=[2]PARÁMETROS!$F$5,"CUMPLE","NO CUMPLE"))</f>
        <v>CUMPLE</v>
      </c>
      <c r="AJ31" s="139"/>
      <c r="AK31" s="109"/>
    </row>
    <row r="32" spans="1:37" s="72" customFormat="1" ht="120" customHeight="1">
      <c r="A32" s="796"/>
      <c r="B32" s="58" t="str">
        <f>+B31</f>
        <v>P11-01</v>
      </c>
      <c r="C32" s="464">
        <v>206</v>
      </c>
      <c r="D32" s="60" t="str">
        <f>+IFERROR(INDEX([2]CONSOLIDADO!$D$4:$D$89,MATCH('EXP GEN. 6-12'!B32,[2]CONSOLIDADO!$C$4:$C$89,0)),"")</f>
        <v>GIC GERENCIA INTERVENTORIA Y CONSULTORIA S.A.S.</v>
      </c>
      <c r="E32" s="71" t="str">
        <f>+E31</f>
        <v>REGIÒN DE MURCIA CONSEJERIA DE OBRAS PÙBLICAS Y ORDENACIÒN DEL TERRITORIO DIRECCIÒN GENERAL DE CARRETERAS</v>
      </c>
      <c r="F32" s="62" t="s">
        <v>604</v>
      </c>
      <c r="G32" s="290" t="s">
        <v>10</v>
      </c>
      <c r="H32" s="290" t="s">
        <v>10</v>
      </c>
      <c r="I32" s="63">
        <v>1</v>
      </c>
      <c r="J32" s="64">
        <v>37572</v>
      </c>
      <c r="K32" s="64">
        <v>38330</v>
      </c>
      <c r="L32" s="65">
        <f t="shared" si="0"/>
        <v>2004</v>
      </c>
      <c r="M32" s="66">
        <f>+IFERROR(INDEX([2]PARÁMETROS!$B$11:$B$37,MATCH(L32,[2]PARÁMETROS!$A$11:$A$37,0)),"")</f>
        <v>358000</v>
      </c>
      <c r="N32" s="67">
        <v>610050.4</v>
      </c>
      <c r="O32" s="68" t="str">
        <f>+O31</f>
        <v>EUROS</v>
      </c>
      <c r="P32" s="58">
        <v>1.29247</v>
      </c>
      <c r="Q32" s="69">
        <f>+(N32*P32)</f>
        <v>788471.84048800007</v>
      </c>
      <c r="R32" s="70">
        <v>2455.12</v>
      </c>
      <c r="S32" s="66">
        <f>IF(R32&lt;&gt;"",Q32*R32,"")</f>
        <v>1935792985.0188987</v>
      </c>
      <c r="T32" s="55">
        <f>+IFERROR(S32/M32,"")</f>
        <v>5407.2429749131252</v>
      </c>
      <c r="U32" s="55">
        <f t="shared" si="3"/>
        <v>5407.2429749131252</v>
      </c>
      <c r="V32" s="55" t="s">
        <v>739</v>
      </c>
      <c r="W32" s="803"/>
      <c r="X32" s="804"/>
      <c r="Y32" s="805"/>
      <c r="Z32" s="803"/>
      <c r="AA32" s="804"/>
      <c r="AB32" s="805"/>
      <c r="AC32" s="803"/>
      <c r="AD32" s="804"/>
      <c r="AE32" s="805"/>
      <c r="AF32" s="290"/>
      <c r="AG32" s="799"/>
      <c r="AH32" s="799"/>
      <c r="AI32" s="290" t="str">
        <f>+IF(U32="","",IF(U32&gt;=[2]PARÁMETROS!$F$5,"CUMPLE","NO CUMPLE"))</f>
        <v>CUMPLE</v>
      </c>
      <c r="AJ32" s="139"/>
      <c r="AK32" s="109"/>
    </row>
    <row r="33" spans="1:37" s="72" customFormat="1" ht="99.75" customHeight="1">
      <c r="A33" s="796"/>
      <c r="B33" s="58" t="str">
        <f>+[2]CONSOLIDADO!C26</f>
        <v>P11-02</v>
      </c>
      <c r="C33" s="464">
        <v>210</v>
      </c>
      <c r="D33" s="60" t="str">
        <f>+IFERROR(INDEX([2]CONSOLIDADO!$D$4:$D$89,MATCH('EXP GEN. 6-12'!B33,[2]CONSOLIDADO!$C$4:$C$89,0)),"")</f>
        <v>CONSULTORES UNIDOS S.A.</v>
      </c>
      <c r="E33" s="61" t="s">
        <v>353</v>
      </c>
      <c r="F33" s="62" t="s">
        <v>605</v>
      </c>
      <c r="G33" s="290" t="s">
        <v>10</v>
      </c>
      <c r="H33" s="290" t="s">
        <v>10</v>
      </c>
      <c r="I33" s="63">
        <v>0.6</v>
      </c>
      <c r="J33" s="64">
        <v>41649</v>
      </c>
      <c r="K33" s="64">
        <v>42417</v>
      </c>
      <c r="L33" s="65">
        <f t="shared" si="0"/>
        <v>2016</v>
      </c>
      <c r="M33" s="66">
        <f>+IFERROR(INDEX([2]PARÁMETROS!$B$11:$B$37,MATCH(L33,[2]PARÁMETROS!$A$11:$A$37,0)),"")</f>
        <v>689554</v>
      </c>
      <c r="N33" s="67">
        <v>7329927363</v>
      </c>
      <c r="O33" s="68" t="s">
        <v>25</v>
      </c>
      <c r="P33" s="58" t="s">
        <v>346</v>
      </c>
      <c r="Q33" s="69" t="s">
        <v>346</v>
      </c>
      <c r="R33" s="429">
        <v>1</v>
      </c>
      <c r="S33" s="66">
        <f t="shared" si="1"/>
        <v>7329927363</v>
      </c>
      <c r="T33" s="55">
        <f t="shared" si="2"/>
        <v>10629.954090615092</v>
      </c>
      <c r="U33" s="55">
        <f t="shared" si="3"/>
        <v>6377.9724543690554</v>
      </c>
      <c r="V33" s="55" t="s">
        <v>737</v>
      </c>
      <c r="W33" s="803"/>
      <c r="X33" s="804"/>
      <c r="Y33" s="805"/>
      <c r="Z33" s="803"/>
      <c r="AA33" s="804"/>
      <c r="AB33" s="805"/>
      <c r="AC33" s="803"/>
      <c r="AD33" s="804"/>
      <c r="AE33" s="805"/>
      <c r="AF33" s="290"/>
      <c r="AG33" s="799"/>
      <c r="AH33" s="799"/>
      <c r="AI33" s="290" t="str">
        <f>+IF(U33="","",IF(U33&gt;=[2]PARÁMETROS!$F$5,"CUMPLE","NO CUMPLE"))</f>
        <v>CUMPLE</v>
      </c>
      <c r="AJ33" s="139"/>
      <c r="AK33" s="109"/>
    </row>
    <row r="34" spans="1:37" s="72" customFormat="1" ht="68.25" customHeight="1" thickBot="1">
      <c r="A34" s="806"/>
      <c r="B34" s="141" t="str">
        <f>+B33</f>
        <v>P11-02</v>
      </c>
      <c r="C34" s="404">
        <v>213</v>
      </c>
      <c r="D34" s="143" t="str">
        <f>+IFERROR(INDEX([2]CONSOLIDADO!$D$4:$D$89,MATCH('EXP GEN. 6-12'!B34,[2]CONSOLIDADO!$C$4:$C$89,0)),"")</f>
        <v>CONSULTORES UNIDOS S.A.</v>
      </c>
      <c r="E34" s="322" t="s">
        <v>573</v>
      </c>
      <c r="F34" s="145" t="s">
        <v>606</v>
      </c>
      <c r="G34" s="289" t="s">
        <v>10</v>
      </c>
      <c r="H34" s="559" t="s">
        <v>10</v>
      </c>
      <c r="I34" s="146">
        <v>0.55000000000000004</v>
      </c>
      <c r="J34" s="147">
        <v>39860</v>
      </c>
      <c r="K34" s="147">
        <v>41213</v>
      </c>
      <c r="L34" s="148">
        <f t="shared" si="0"/>
        <v>2012</v>
      </c>
      <c r="M34" s="149">
        <f>+IFERROR(INDEX([2]PARÁMETROS!$B$11:$B$37,MATCH(L34,[2]PARÁMETROS!$A$11:$A$37,0)),"")</f>
        <v>566700</v>
      </c>
      <c r="N34" s="150">
        <v>8291206645</v>
      </c>
      <c r="O34" s="151" t="s">
        <v>25</v>
      </c>
      <c r="P34" s="141" t="s">
        <v>346</v>
      </c>
      <c r="Q34" s="152" t="s">
        <v>346</v>
      </c>
      <c r="R34" s="480">
        <v>1</v>
      </c>
      <c r="S34" s="149">
        <f>IF(R34&lt;&gt;"",N34*R34,"")</f>
        <v>8291206645</v>
      </c>
      <c r="T34" s="154">
        <f>+IFERROR(S34/M34,"")</f>
        <v>14630.680509970001</v>
      </c>
      <c r="U34" s="154">
        <f>IFERROR(T34*I34,"")</f>
        <v>8046.874280483501</v>
      </c>
      <c r="V34" s="148">
        <v>7</v>
      </c>
      <c r="W34" s="825" t="s">
        <v>10</v>
      </c>
      <c r="X34" s="826"/>
      <c r="Y34" s="827"/>
      <c r="Z34" s="825" t="s">
        <v>10</v>
      </c>
      <c r="AA34" s="826"/>
      <c r="AB34" s="827"/>
      <c r="AC34" s="825" t="s">
        <v>10</v>
      </c>
      <c r="AD34" s="826"/>
      <c r="AE34" s="827"/>
      <c r="AF34" s="559" t="s">
        <v>10</v>
      </c>
      <c r="AG34" s="801"/>
      <c r="AH34" s="801"/>
      <c r="AI34" s="289" t="str">
        <f>+IF(U34="","",IF(U34&gt;=[2]PARÁMETROS!$F$5,"CUMPLE","NO CUMPLE"))</f>
        <v>CUMPLE</v>
      </c>
      <c r="AJ34" s="155"/>
      <c r="AK34" s="109"/>
    </row>
    <row r="35" spans="1:37" s="72" customFormat="1" ht="66" customHeight="1">
      <c r="A35" s="795" t="str">
        <f>+[2]CONSOLIDADO!A27</f>
        <v>CM001P12</v>
      </c>
      <c r="B35" s="123" t="str">
        <f>+[2]CONSOLIDADO!C27</f>
        <v>P12-01</v>
      </c>
      <c r="C35" s="466">
        <v>171</v>
      </c>
      <c r="D35" s="125" t="str">
        <f>+IFERROR(INDEX([2]CONSOLIDADO!$D$4:$D$89,MATCH('EXP GEN. 6-12'!B35,[2]CONSOLIDADO!$C$4:$C$89,0)),"")</f>
        <v>INGEANDINA CONSULTORES DE INGENIERIA S.A.S.</v>
      </c>
      <c r="E35" s="137" t="s">
        <v>607</v>
      </c>
      <c r="F35" s="127" t="s">
        <v>608</v>
      </c>
      <c r="G35" s="291" t="s">
        <v>10</v>
      </c>
      <c r="H35" s="291" t="s">
        <v>10</v>
      </c>
      <c r="I35" s="128">
        <v>1</v>
      </c>
      <c r="J35" s="129">
        <v>38049</v>
      </c>
      <c r="K35" s="129">
        <v>40545</v>
      </c>
      <c r="L35" s="130">
        <f t="shared" si="0"/>
        <v>2011</v>
      </c>
      <c r="M35" s="131">
        <f>+IFERROR(INDEX([2]PARÁMETROS!$B$11:$B$37,MATCH(L35,[2]PARÁMETROS!$A$11:$A$37,0)),"")</f>
        <v>535600</v>
      </c>
      <c r="N35" s="132">
        <v>4478229438</v>
      </c>
      <c r="O35" s="133" t="s">
        <v>609</v>
      </c>
      <c r="P35" s="123">
        <v>2.1199999999999999E-3</v>
      </c>
      <c r="Q35" s="134">
        <f>+N35*P35</f>
        <v>9493846.4085600004</v>
      </c>
      <c r="R35" s="135">
        <v>1913.98</v>
      </c>
      <c r="S35" s="131">
        <f>IF(R35&lt;&gt;"",Q35*R35,"")</f>
        <v>18171032149.055668</v>
      </c>
      <c r="T35" s="136">
        <f>+IFERROR(S35/M35,"")</f>
        <v>33926.497664405651</v>
      </c>
      <c r="U35" s="136">
        <f t="shared" si="3"/>
        <v>33926.497664405651</v>
      </c>
      <c r="V35" s="130">
        <v>1</v>
      </c>
      <c r="W35" s="828" t="s">
        <v>10</v>
      </c>
      <c r="X35" s="829"/>
      <c r="Y35" s="830"/>
      <c r="Z35" s="828" t="s">
        <v>10</v>
      </c>
      <c r="AA35" s="829"/>
      <c r="AB35" s="830"/>
      <c r="AC35" s="828" t="s">
        <v>10</v>
      </c>
      <c r="AD35" s="829"/>
      <c r="AE35" s="830"/>
      <c r="AF35" s="556" t="s">
        <v>10</v>
      </c>
      <c r="AG35" s="798" t="str">
        <f>IF(U35:U38="","",IF(SUM(U35:U38)&gt;=[2]PARÁMETROS!$H$5,"HÁBIL","NO HÁBIL"))</f>
        <v>HÁBIL</v>
      </c>
      <c r="AH35" s="798" t="str">
        <f>IF(U35="","",IF(U35&gt;=[2]PARÁMETROS!$F$5,"HÁBIL","NO HÁBIL"))</f>
        <v>HÁBIL</v>
      </c>
      <c r="AI35" s="291" t="str">
        <f>+IF(U35="","",IF(U35&gt;=[2]PARÁMETROS!$F$5,"CUMPLE","NO CUMPLE"))</f>
        <v>CUMPLE</v>
      </c>
      <c r="AJ35" s="138"/>
      <c r="AK35" s="109"/>
    </row>
    <row r="36" spans="1:37" s="72" customFormat="1" ht="66.75" customHeight="1">
      <c r="A36" s="796"/>
      <c r="B36" s="58" t="str">
        <f>+B35</f>
        <v>P12-01</v>
      </c>
      <c r="C36" s="464">
        <v>184</v>
      </c>
      <c r="D36" s="60" t="str">
        <f>+IFERROR(INDEX([2]CONSOLIDADO!$D$4:$D$89,MATCH('EXP GEN. 6-12'!B36,[2]CONSOLIDADO!$C$4:$C$89,0)),"")</f>
        <v>INGEANDINA CONSULTORES DE INGENIERIA S.A.S.</v>
      </c>
      <c r="E36" s="71" t="str">
        <f>+E35</f>
        <v>MINISTERIO DE OBRAS PÙBLICAS DE CHILE</v>
      </c>
      <c r="F36" s="62" t="s">
        <v>610</v>
      </c>
      <c r="G36" s="290" t="s">
        <v>10</v>
      </c>
      <c r="H36" s="290" t="s">
        <v>10</v>
      </c>
      <c r="I36" s="63">
        <v>0.25</v>
      </c>
      <c r="J36" s="64">
        <v>36363</v>
      </c>
      <c r="K36" s="64">
        <v>37843</v>
      </c>
      <c r="L36" s="65">
        <f t="shared" si="0"/>
        <v>2003</v>
      </c>
      <c r="M36" s="66">
        <f>+IFERROR(INDEX([2]PARÁMETROS!$B$11:$B$37,MATCH(L36,[2]PARÁMETROS!$A$11:$A$37,0)),"")</f>
        <v>332000</v>
      </c>
      <c r="N36" s="67">
        <v>6541364.1500000004</v>
      </c>
      <c r="O36" s="68" t="s">
        <v>520</v>
      </c>
      <c r="P36" s="58"/>
      <c r="Q36" s="69"/>
      <c r="R36" s="70">
        <v>2875.18</v>
      </c>
      <c r="S36" s="66">
        <f>IF(R36&lt;&gt;"",N36*R36,"")</f>
        <v>18807599376.797001</v>
      </c>
      <c r="T36" s="55">
        <f>+IFERROR(S36/M36,"")</f>
        <v>56649.395713243975</v>
      </c>
      <c r="U36" s="55">
        <f>IFERROR(T36*I36,"")</f>
        <v>14162.348928310994</v>
      </c>
      <c r="V36" s="65">
        <v>3</v>
      </c>
      <c r="W36" s="803" t="s">
        <v>10</v>
      </c>
      <c r="X36" s="804"/>
      <c r="Y36" s="805"/>
      <c r="Z36" s="803" t="s">
        <v>10</v>
      </c>
      <c r="AA36" s="804"/>
      <c r="AB36" s="805"/>
      <c r="AC36" s="803" t="s">
        <v>10</v>
      </c>
      <c r="AD36" s="804"/>
      <c r="AE36" s="805"/>
      <c r="AF36" s="290" t="s">
        <v>10</v>
      </c>
      <c r="AG36" s="799"/>
      <c r="AH36" s="799"/>
      <c r="AI36" s="290" t="str">
        <f>+IF(U36="","",IF(U36&gt;=[2]PARÁMETROS!$F$5,"CUMPLE","NO CUMPLE"))</f>
        <v>CUMPLE</v>
      </c>
      <c r="AJ36" s="139"/>
      <c r="AK36" s="109"/>
    </row>
    <row r="37" spans="1:37" s="72" customFormat="1" ht="69" customHeight="1">
      <c r="A37" s="796"/>
      <c r="B37" s="58" t="str">
        <f>+[2]CONSOLIDADO!C28</f>
        <v>P12-02</v>
      </c>
      <c r="C37" s="464">
        <v>192</v>
      </c>
      <c r="D37" s="60" t="str">
        <f>+IFERROR(INDEX([2]CONSOLIDADO!$D$4:$D$89,MATCH('EXP GEN. 6-12'!B37,[2]CONSOLIDADO!$C$4:$C$89,0)),"")</f>
        <v>GEOCONTROL SUCURSAL COLOMBIA</v>
      </c>
      <c r="E37" s="71" t="s">
        <v>611</v>
      </c>
      <c r="F37" s="62" t="s">
        <v>612</v>
      </c>
      <c r="G37" s="290" t="s">
        <v>10</v>
      </c>
      <c r="H37" s="290" t="s">
        <v>10</v>
      </c>
      <c r="I37" s="63">
        <v>0.4</v>
      </c>
      <c r="J37" s="64">
        <v>37377</v>
      </c>
      <c r="K37" s="64">
        <v>39994</v>
      </c>
      <c r="L37" s="65">
        <f t="shared" si="0"/>
        <v>2009</v>
      </c>
      <c r="M37" s="66">
        <f>+IFERROR(INDEX([2]PARÁMETROS!$B$11:$B$37,MATCH(L37,[2]PARÁMETROS!$A$11:$A$37,0)),"")</f>
        <v>496900</v>
      </c>
      <c r="N37" s="67">
        <v>5809824</v>
      </c>
      <c r="O37" s="68" t="s">
        <v>577</v>
      </c>
      <c r="P37" s="58">
        <v>1.40466</v>
      </c>
      <c r="Q37" s="69">
        <f>+N37*P37</f>
        <v>8160827.3798400005</v>
      </c>
      <c r="R37" s="70">
        <v>2158.67</v>
      </c>
      <c r="S37" s="66">
        <f>IF(R37&lt;&gt;"",Q37*R37,"")</f>
        <v>17616533240.039215</v>
      </c>
      <c r="T37" s="55">
        <f>+IFERROR(S37/M37,"")</f>
        <v>35452.874300743038</v>
      </c>
      <c r="U37" s="55">
        <f>IFERROR(T37*I37,"")</f>
        <v>14181.149720297217</v>
      </c>
      <c r="V37" s="65">
        <v>16</v>
      </c>
      <c r="W37" s="803" t="s">
        <v>10</v>
      </c>
      <c r="X37" s="804"/>
      <c r="Y37" s="805"/>
      <c r="Z37" s="803" t="s">
        <v>10</v>
      </c>
      <c r="AA37" s="804"/>
      <c r="AB37" s="805"/>
      <c r="AC37" s="803" t="s">
        <v>10</v>
      </c>
      <c r="AD37" s="804"/>
      <c r="AE37" s="805"/>
      <c r="AF37" s="290" t="s">
        <v>10</v>
      </c>
      <c r="AG37" s="799"/>
      <c r="AH37" s="799"/>
      <c r="AI37" s="290" t="str">
        <f>+IF(U37="","",IF(U37&gt;=[2]PARÁMETROS!$F$5,"CUMPLE","NO CUMPLE"))</f>
        <v>CUMPLE</v>
      </c>
      <c r="AJ37" s="139"/>
      <c r="AK37" s="109"/>
    </row>
    <row r="38" spans="1:37" s="72" customFormat="1" ht="84.75" customHeight="1" thickBot="1">
      <c r="A38" s="806"/>
      <c r="B38" s="141" t="str">
        <f>+B37</f>
        <v>P12-02</v>
      </c>
      <c r="C38" s="404">
        <v>199</v>
      </c>
      <c r="D38" s="143" t="str">
        <f>+IFERROR(INDEX([2]CONSOLIDADO!$D$4:$D$89,MATCH('EXP GEN. 6-12'!B38,[2]CONSOLIDADO!$C$4:$C$89,0)),"")</f>
        <v>GEOCONTROL SUCURSAL COLOMBIA</v>
      </c>
      <c r="E38" s="633" t="s">
        <v>611</v>
      </c>
      <c r="F38" s="634" t="s">
        <v>613</v>
      </c>
      <c r="G38" s="289" t="s">
        <v>10</v>
      </c>
      <c r="H38" s="289" t="s">
        <v>10</v>
      </c>
      <c r="I38" s="285">
        <v>0.35</v>
      </c>
      <c r="J38" s="286">
        <v>37518</v>
      </c>
      <c r="K38" s="286">
        <v>40025</v>
      </c>
      <c r="L38" s="148">
        <f t="shared" si="0"/>
        <v>2009</v>
      </c>
      <c r="M38" s="149">
        <f>+IFERROR(INDEX([2]PARÁMETROS!$B$11:$B$37,MATCH(L38,[2]PARÁMETROS!$A$11:$A$37,0)),"")</f>
        <v>496900</v>
      </c>
      <c r="N38" s="287">
        <v>5822747.0499999998</v>
      </c>
      <c r="O38" s="288" t="str">
        <f>+O37</f>
        <v>EURO</v>
      </c>
      <c r="P38" s="141">
        <v>1.4059299999999999</v>
      </c>
      <c r="Q38" s="152">
        <f>+N38*P38</f>
        <v>8186374.7600064995</v>
      </c>
      <c r="R38" s="153">
        <v>2043.37</v>
      </c>
      <c r="S38" s="149">
        <f>IF(R38&lt;&gt;"",Q38*R38,"")</f>
        <v>16727792593.354481</v>
      </c>
      <c r="T38" s="154">
        <f t="shared" si="2"/>
        <v>33664.30387070735</v>
      </c>
      <c r="U38" s="154">
        <f t="shared" si="3"/>
        <v>11782.506354747571</v>
      </c>
      <c r="V38" s="148">
        <v>5</v>
      </c>
      <c r="W38" s="825" t="s">
        <v>10</v>
      </c>
      <c r="X38" s="826"/>
      <c r="Y38" s="827"/>
      <c r="Z38" s="825" t="s">
        <v>10</v>
      </c>
      <c r="AA38" s="826"/>
      <c r="AB38" s="827"/>
      <c r="AC38" s="825" t="s">
        <v>10</v>
      </c>
      <c r="AD38" s="826"/>
      <c r="AE38" s="827"/>
      <c r="AF38" s="559" t="s">
        <v>10</v>
      </c>
      <c r="AG38" s="801"/>
      <c r="AH38" s="801"/>
      <c r="AI38" s="289" t="str">
        <f>+IF(U38="","",IF(U38&gt;=[2]PARÁMETROS!$F$5,"CUMPLE","NO CUMPLE"))</f>
        <v>CUMPLE</v>
      </c>
      <c r="AJ38" s="170"/>
      <c r="AK38" s="109"/>
    </row>
    <row r="39" spans="1:37" s="72" customFormat="1" ht="30" customHeight="1">
      <c r="A39" s="795"/>
      <c r="B39" s="123"/>
      <c r="C39" s="466"/>
      <c r="D39" s="125" t="str">
        <f>+IFERROR(INDEX([2]CONSOLIDADO!$D$4:$D$89,MATCH('EXP GEN. 6-12'!B39,[2]CONSOLIDADO!$C$4:$C$89,0)),"")</f>
        <v/>
      </c>
      <c r="E39" s="126"/>
      <c r="F39" s="127"/>
      <c r="G39" s="279"/>
      <c r="H39" s="279"/>
      <c r="I39" s="128"/>
      <c r="J39" s="129"/>
      <c r="K39" s="129"/>
      <c r="L39" s="130" t="str">
        <f t="shared" si="0"/>
        <v/>
      </c>
      <c r="M39" s="131" t="str">
        <f>+IFERROR(INDEX([2]PARÁMETROS!$B$11:$B$37,MATCH(L39,[2]PARÁMETROS!$A$11:$A$37,0)),"")</f>
        <v/>
      </c>
      <c r="N39" s="132"/>
      <c r="O39" s="133"/>
      <c r="P39" s="123"/>
      <c r="Q39" s="134"/>
      <c r="R39" s="135"/>
      <c r="S39" s="131" t="str">
        <f t="shared" si="1"/>
        <v/>
      </c>
      <c r="T39" s="136" t="str">
        <f t="shared" si="2"/>
        <v/>
      </c>
      <c r="U39" s="136" t="str">
        <f t="shared" si="3"/>
        <v/>
      </c>
      <c r="V39" s="136"/>
      <c r="W39" s="798"/>
      <c r="X39" s="798"/>
      <c r="Y39" s="798"/>
      <c r="Z39" s="798"/>
      <c r="AA39" s="798"/>
      <c r="AB39" s="798"/>
      <c r="AC39" s="798"/>
      <c r="AD39" s="798"/>
      <c r="AE39" s="798"/>
      <c r="AF39" s="279"/>
      <c r="AG39" s="798" t="str">
        <f>IF(U39="","",IF(SUM(U39:U41)&gt;=[2]PARÁMETROS!$H$5,"HÁBIL","NO HÁBIL"))</f>
        <v/>
      </c>
      <c r="AH39" s="798" t="str">
        <f>IF(U39="","",IF(U39&gt;=[2]PARÁMETROS!$F$5,"HÁBIL","NO HÁBIL"))</f>
        <v/>
      </c>
      <c r="AI39" s="279" t="str">
        <f>+IF(U39="","",IF(U39&gt;=[2]PARÁMETROS!$F$5,"CUMPLE","NO CUMPLE"))</f>
        <v/>
      </c>
      <c r="AJ39" s="138"/>
      <c r="AK39" s="109"/>
    </row>
    <row r="40" spans="1:37" s="72" customFormat="1" ht="30" customHeight="1">
      <c r="A40" s="796"/>
      <c r="B40" s="58"/>
      <c r="C40" s="464"/>
      <c r="D40" s="60" t="str">
        <f>+IFERROR(INDEX([2]CONSOLIDADO!$D$4:$D$89,MATCH('EXP GEN. 6-12'!B40,[2]CONSOLIDADO!$C$4:$C$89,0)),"")</f>
        <v/>
      </c>
      <c r="E40" s="61"/>
      <c r="F40" s="62"/>
      <c r="G40" s="277"/>
      <c r="H40" s="277"/>
      <c r="I40" s="63"/>
      <c r="J40" s="64"/>
      <c r="K40" s="64"/>
      <c r="L40" s="65" t="str">
        <f t="shared" si="0"/>
        <v/>
      </c>
      <c r="M40" s="66" t="str">
        <f>+IFERROR(INDEX([2]PARÁMETROS!$B$11:$B$37,MATCH(L40,[2]PARÁMETROS!$A$11:$A$37,0)),"")</f>
        <v/>
      </c>
      <c r="N40" s="67"/>
      <c r="O40" s="68"/>
      <c r="P40" s="58"/>
      <c r="Q40" s="69"/>
      <c r="R40" s="70"/>
      <c r="S40" s="66" t="str">
        <f t="shared" si="1"/>
        <v/>
      </c>
      <c r="T40" s="55" t="str">
        <f t="shared" si="2"/>
        <v/>
      </c>
      <c r="U40" s="55" t="str">
        <f t="shared" si="3"/>
        <v/>
      </c>
      <c r="V40" s="55"/>
      <c r="W40" s="799"/>
      <c r="X40" s="799"/>
      <c r="Y40" s="799"/>
      <c r="Z40" s="799"/>
      <c r="AA40" s="799"/>
      <c r="AB40" s="799"/>
      <c r="AC40" s="799"/>
      <c r="AD40" s="799"/>
      <c r="AE40" s="799"/>
      <c r="AF40" s="277"/>
      <c r="AG40" s="799"/>
      <c r="AH40" s="799"/>
      <c r="AI40" s="277" t="str">
        <f>+IF(U40="","",IF(U40&gt;=[2]PARÁMETROS!$D$5,"CUMPLE","NO CUMPLE"))</f>
        <v/>
      </c>
      <c r="AJ40" s="139"/>
      <c r="AK40" s="109"/>
    </row>
    <row r="41" spans="1:37" s="72" customFormat="1" ht="30" customHeight="1">
      <c r="A41" s="796"/>
      <c r="B41" s="58"/>
      <c r="C41" s="464"/>
      <c r="D41" s="60" t="str">
        <f>+IFERROR(INDEX([2]CONSOLIDADO!$D$4:$D$89,MATCH('EXP GEN. 6-12'!B41,[2]CONSOLIDADO!$C$4:$C$89,0)),"")</f>
        <v/>
      </c>
      <c r="E41" s="61"/>
      <c r="F41" s="62"/>
      <c r="G41" s="277"/>
      <c r="H41" s="277"/>
      <c r="I41" s="63"/>
      <c r="J41" s="64"/>
      <c r="K41" s="64"/>
      <c r="L41" s="65" t="str">
        <f t="shared" si="0"/>
        <v/>
      </c>
      <c r="M41" s="66" t="str">
        <f>+IFERROR(INDEX([2]PARÁMETROS!$B$11:$B$37,MATCH(L41,[2]PARÁMETROS!$A$11:$A$37,0)),"")</f>
        <v/>
      </c>
      <c r="N41" s="67"/>
      <c r="O41" s="68"/>
      <c r="P41" s="58"/>
      <c r="Q41" s="69"/>
      <c r="R41" s="70"/>
      <c r="S41" s="66" t="str">
        <f t="shared" si="1"/>
        <v/>
      </c>
      <c r="T41" s="55" t="str">
        <f t="shared" si="2"/>
        <v/>
      </c>
      <c r="U41" s="55" t="str">
        <f t="shared" si="3"/>
        <v/>
      </c>
      <c r="V41" s="55"/>
      <c r="W41" s="799"/>
      <c r="X41" s="799"/>
      <c r="Y41" s="799"/>
      <c r="Z41" s="799"/>
      <c r="AA41" s="799"/>
      <c r="AB41" s="799"/>
      <c r="AC41" s="799"/>
      <c r="AD41" s="799"/>
      <c r="AE41" s="799"/>
      <c r="AF41" s="277"/>
      <c r="AG41" s="799"/>
      <c r="AH41" s="799"/>
      <c r="AI41" s="277" t="str">
        <f>+IF(U41="","",IF(U41&gt;=[2]PARÁMETROS!$D$5,"CUMPLE","NO CUMPLE"))</f>
        <v/>
      </c>
      <c r="AJ41" s="139"/>
      <c r="AK41" s="109"/>
    </row>
    <row r="42" spans="1:37" s="72" customFormat="1" ht="30" customHeight="1">
      <c r="A42" s="796"/>
      <c r="B42" s="58"/>
      <c r="C42" s="464"/>
      <c r="D42" s="60" t="str">
        <f>+IFERROR(INDEX([2]CONSOLIDADO!$D$4:$D$89,MATCH('EXP GEN. 6-12'!B42,[2]CONSOLIDADO!$C$4:$C$89,0)),"")</f>
        <v/>
      </c>
      <c r="E42" s="61"/>
      <c r="F42" s="62"/>
      <c r="G42" s="277"/>
      <c r="H42" s="277"/>
      <c r="I42" s="63"/>
      <c r="J42" s="64"/>
      <c r="K42" s="64"/>
      <c r="L42" s="65" t="str">
        <f t="shared" si="0"/>
        <v/>
      </c>
      <c r="M42" s="66" t="str">
        <f>+IFERROR(INDEX([2]PARÁMETROS!$B$11:$B$37,MATCH(L42,[2]PARÁMETROS!$A$11:$A$37,0)),"")</f>
        <v/>
      </c>
      <c r="N42" s="67"/>
      <c r="O42" s="68"/>
      <c r="P42" s="58"/>
      <c r="Q42" s="69"/>
      <c r="R42" s="70"/>
      <c r="S42" s="66" t="str">
        <f t="shared" si="1"/>
        <v/>
      </c>
      <c r="T42" s="55" t="str">
        <f t="shared" si="2"/>
        <v/>
      </c>
      <c r="U42" s="55" t="str">
        <f t="shared" si="3"/>
        <v/>
      </c>
      <c r="V42" s="55"/>
      <c r="W42" s="799"/>
      <c r="X42" s="799"/>
      <c r="Y42" s="799"/>
      <c r="Z42" s="799"/>
      <c r="AA42" s="799"/>
      <c r="AB42" s="799"/>
      <c r="AC42" s="799"/>
      <c r="AD42" s="799"/>
      <c r="AE42" s="799"/>
      <c r="AF42" s="277"/>
      <c r="AG42" s="799"/>
      <c r="AH42" s="799"/>
      <c r="AI42" s="277" t="str">
        <f>+IF(U42="","",IF(U42&gt;=[2]PARÁMETROS!$D$5,"CUMPLE","NO CUMPLE"))</f>
        <v/>
      </c>
      <c r="AJ42" s="139"/>
      <c r="AK42" s="109"/>
    </row>
    <row r="43" spans="1:37" s="72" customFormat="1" ht="30" customHeight="1">
      <c r="A43" s="796"/>
      <c r="B43" s="58"/>
      <c r="C43" s="464"/>
      <c r="D43" s="60" t="str">
        <f>+IFERROR(INDEX([2]CONSOLIDADO!$D$4:$D$89,MATCH('EXP GEN. 6-12'!B43,[2]CONSOLIDADO!$C$4:$C$89,0)),"")</f>
        <v/>
      </c>
      <c r="E43" s="61"/>
      <c r="F43" s="61"/>
      <c r="G43" s="277"/>
      <c r="H43" s="277"/>
      <c r="I43" s="73"/>
      <c r="J43" s="64"/>
      <c r="K43" s="64"/>
      <c r="L43" s="65" t="str">
        <f t="shared" si="0"/>
        <v/>
      </c>
      <c r="M43" s="66" t="str">
        <f>+IFERROR(INDEX([2]PARÁMETROS!$B$11:$B$37,MATCH(L43,[2]PARÁMETROS!$A$11:$A$37,0)),"")</f>
        <v/>
      </c>
      <c r="N43" s="74"/>
      <c r="O43" s="66"/>
      <c r="P43" s="58"/>
      <c r="Q43" s="69"/>
      <c r="R43" s="70"/>
      <c r="S43" s="66" t="str">
        <f t="shared" si="1"/>
        <v/>
      </c>
      <c r="T43" s="55" t="str">
        <f t="shared" si="2"/>
        <v/>
      </c>
      <c r="U43" s="55" t="str">
        <f t="shared" si="3"/>
        <v/>
      </c>
      <c r="V43" s="55"/>
      <c r="W43" s="799"/>
      <c r="X43" s="799"/>
      <c r="Y43" s="799"/>
      <c r="Z43" s="799"/>
      <c r="AA43" s="799"/>
      <c r="AB43" s="799"/>
      <c r="AC43" s="799"/>
      <c r="AD43" s="799"/>
      <c r="AE43" s="799"/>
      <c r="AF43" s="277"/>
      <c r="AG43" s="799"/>
      <c r="AH43" s="799"/>
      <c r="AI43" s="277" t="str">
        <f>+IF(U43="","",IF(U43&gt;=[2]PARÁMETROS!$D$5,"CUMPLE","NO CUMPLE"))</f>
        <v/>
      </c>
      <c r="AJ43" s="139"/>
      <c r="AK43" s="109"/>
    </row>
    <row r="44" spans="1:37" s="72" customFormat="1" ht="30" customHeight="1" thickBot="1">
      <c r="A44" s="806"/>
      <c r="B44" s="141"/>
      <c r="C44" s="404"/>
      <c r="D44" s="143" t="str">
        <f>+IFERROR(INDEX([2]CONSOLIDADO!$D$4:$D$89,MATCH('EXP GEN. 6-12'!B44,[2]CONSOLIDADO!$C$4:$C$89,0)),"")</f>
        <v/>
      </c>
      <c r="E44" s="144"/>
      <c r="F44" s="144"/>
      <c r="G44" s="278"/>
      <c r="H44" s="278"/>
      <c r="I44" s="164"/>
      <c r="J44" s="147"/>
      <c r="K44" s="147"/>
      <c r="L44" s="148" t="str">
        <f t="shared" si="0"/>
        <v/>
      </c>
      <c r="M44" s="149" t="str">
        <f>+IFERROR(INDEX([2]PARÁMETROS!$B$11:$B$37,MATCH(L44,[2]PARÁMETROS!$A$11:$A$37,0)),"")</f>
        <v/>
      </c>
      <c r="N44" s="165"/>
      <c r="O44" s="149"/>
      <c r="P44" s="141"/>
      <c r="Q44" s="152"/>
      <c r="R44" s="153"/>
      <c r="S44" s="149" t="str">
        <f t="shared" si="1"/>
        <v/>
      </c>
      <c r="T44" s="154" t="str">
        <f t="shared" si="2"/>
        <v/>
      </c>
      <c r="U44" s="154" t="str">
        <f t="shared" si="3"/>
        <v/>
      </c>
      <c r="V44" s="154"/>
      <c r="W44" s="801"/>
      <c r="X44" s="801"/>
      <c r="Y44" s="801"/>
      <c r="Z44" s="801"/>
      <c r="AA44" s="801"/>
      <c r="AB44" s="801"/>
      <c r="AC44" s="801"/>
      <c r="AD44" s="801"/>
      <c r="AE44" s="801"/>
      <c r="AF44" s="278"/>
      <c r="AG44" s="801"/>
      <c r="AH44" s="801"/>
      <c r="AI44" s="278" t="str">
        <f>+IF(U44="","",IF(U44&gt;=[2]PARÁMETROS!$D$5,"CUMPLE","NO CUMPLE"))</f>
        <v/>
      </c>
      <c r="AJ44" s="155"/>
      <c r="AK44" s="109"/>
    </row>
    <row r="45" spans="1:37" s="72" customFormat="1" ht="30" customHeight="1">
      <c r="A45" s="795"/>
      <c r="B45" s="123"/>
      <c r="C45" s="466"/>
      <c r="D45" s="125" t="str">
        <f>+IFERROR(INDEX([2]CONSOLIDADO!$D$4:$D$89,MATCH('EXP GEN. 6-12'!B45,[2]CONSOLIDADO!$C$4:$C$89,0)),"")</f>
        <v/>
      </c>
      <c r="E45" s="126"/>
      <c r="F45" s="126"/>
      <c r="G45" s="279"/>
      <c r="H45" s="279"/>
      <c r="I45" s="162"/>
      <c r="J45" s="129"/>
      <c r="K45" s="129"/>
      <c r="L45" s="130" t="str">
        <f t="shared" si="0"/>
        <v/>
      </c>
      <c r="M45" s="131" t="str">
        <f>+IFERROR(INDEX([2]PARÁMETROS!$B$11:$B$37,MATCH(L45,[2]PARÁMETROS!$A$11:$A$37,0)),"")</f>
        <v/>
      </c>
      <c r="N45" s="163"/>
      <c r="O45" s="131"/>
      <c r="P45" s="123"/>
      <c r="Q45" s="134"/>
      <c r="R45" s="135"/>
      <c r="S45" s="131" t="str">
        <f t="shared" si="1"/>
        <v/>
      </c>
      <c r="T45" s="136" t="str">
        <f t="shared" si="2"/>
        <v/>
      </c>
      <c r="U45" s="136" t="str">
        <f t="shared" si="3"/>
        <v/>
      </c>
      <c r="V45" s="136"/>
      <c r="W45" s="798"/>
      <c r="X45" s="798"/>
      <c r="Y45" s="798"/>
      <c r="Z45" s="798"/>
      <c r="AA45" s="798"/>
      <c r="AB45" s="798"/>
      <c r="AC45" s="798"/>
      <c r="AD45" s="798"/>
      <c r="AE45" s="798"/>
      <c r="AF45" s="279"/>
      <c r="AG45" s="798" t="str">
        <f>IF(U45="","",IF(SUM(U45:U47)&gt;=[2]PARÁMETROS!$H$5,"HÁBIL","NO HÁBIL"))</f>
        <v/>
      </c>
      <c r="AH45" s="798" t="str">
        <f>IF(U45="","",IF(U45&gt;=[2]PARÁMETROS!$F$5,"HÁBIL","NO HÁBIL"))</f>
        <v/>
      </c>
      <c r="AI45" s="279" t="str">
        <f>+IF(U45="","",IF(U45&gt;=[2]PARÁMETROS!$D$5,"CUMPLE","NO CUMPLE"))</f>
        <v/>
      </c>
      <c r="AJ45" s="138"/>
      <c r="AK45" s="109"/>
    </row>
    <row r="46" spans="1:37" s="72" customFormat="1" ht="30" customHeight="1">
      <c r="A46" s="796"/>
      <c r="B46" s="58"/>
      <c r="C46" s="464"/>
      <c r="D46" s="60" t="str">
        <f>+IFERROR(INDEX([2]CONSOLIDADO!$D$4:$D$89,MATCH('EXP GEN. 6-12'!B46,[2]CONSOLIDADO!$C$4:$C$89,0)),"")</f>
        <v/>
      </c>
      <c r="E46" s="61"/>
      <c r="F46" s="61"/>
      <c r="G46" s="277"/>
      <c r="H46" s="277"/>
      <c r="I46" s="73"/>
      <c r="J46" s="64"/>
      <c r="K46" s="64"/>
      <c r="L46" s="65" t="str">
        <f t="shared" si="0"/>
        <v/>
      </c>
      <c r="M46" s="66" t="str">
        <f>+IFERROR(INDEX([2]PARÁMETROS!$B$11:$B$37,MATCH(L46,[2]PARÁMETROS!$A$11:$A$37,0)),"")</f>
        <v/>
      </c>
      <c r="N46" s="74"/>
      <c r="O46" s="66"/>
      <c r="P46" s="58"/>
      <c r="Q46" s="69"/>
      <c r="R46" s="70"/>
      <c r="S46" s="66" t="str">
        <f t="shared" si="1"/>
        <v/>
      </c>
      <c r="T46" s="55" t="str">
        <f t="shared" si="2"/>
        <v/>
      </c>
      <c r="U46" s="55" t="str">
        <f t="shared" si="3"/>
        <v/>
      </c>
      <c r="V46" s="55"/>
      <c r="W46" s="799"/>
      <c r="X46" s="799"/>
      <c r="Y46" s="799"/>
      <c r="Z46" s="799"/>
      <c r="AA46" s="799"/>
      <c r="AB46" s="799"/>
      <c r="AC46" s="799"/>
      <c r="AD46" s="799"/>
      <c r="AE46" s="799"/>
      <c r="AF46" s="277"/>
      <c r="AG46" s="799"/>
      <c r="AH46" s="799"/>
      <c r="AI46" s="277" t="str">
        <f>+IF(U46="","",IF(U46&gt;=[2]PARÁMETROS!$D$5,"CUMPLE","NO CUMPLE"))</f>
        <v/>
      </c>
      <c r="AJ46" s="139"/>
      <c r="AK46" s="109"/>
    </row>
    <row r="47" spans="1:37" s="72" customFormat="1" ht="30" customHeight="1">
      <c r="A47" s="796"/>
      <c r="B47" s="58"/>
      <c r="C47" s="464"/>
      <c r="D47" s="60" t="str">
        <f>+IFERROR(INDEX([2]CONSOLIDADO!$D$4:$D$89,MATCH('EXP GEN. 6-12'!B47,[2]CONSOLIDADO!$C$4:$C$89,0)),"")</f>
        <v/>
      </c>
      <c r="E47" s="61"/>
      <c r="F47" s="61"/>
      <c r="G47" s="277"/>
      <c r="H47" s="277"/>
      <c r="I47" s="73"/>
      <c r="J47" s="64"/>
      <c r="K47" s="64"/>
      <c r="L47" s="65" t="str">
        <f t="shared" si="0"/>
        <v/>
      </c>
      <c r="M47" s="66" t="str">
        <f>+IFERROR(INDEX([2]PARÁMETROS!$B$11:$B$37,MATCH(L47,[2]PARÁMETROS!$A$11:$A$37,0)),"")</f>
        <v/>
      </c>
      <c r="N47" s="74"/>
      <c r="O47" s="66"/>
      <c r="P47" s="58"/>
      <c r="Q47" s="69"/>
      <c r="R47" s="70"/>
      <c r="S47" s="66" t="str">
        <f t="shared" si="1"/>
        <v/>
      </c>
      <c r="T47" s="55" t="str">
        <f t="shared" si="2"/>
        <v/>
      </c>
      <c r="U47" s="55" t="str">
        <f t="shared" si="3"/>
        <v/>
      </c>
      <c r="V47" s="55"/>
      <c r="W47" s="799"/>
      <c r="X47" s="799"/>
      <c r="Y47" s="799"/>
      <c r="Z47" s="799"/>
      <c r="AA47" s="799"/>
      <c r="AB47" s="799"/>
      <c r="AC47" s="799"/>
      <c r="AD47" s="799"/>
      <c r="AE47" s="799"/>
      <c r="AF47" s="277"/>
      <c r="AG47" s="799"/>
      <c r="AH47" s="799"/>
      <c r="AI47" s="277" t="str">
        <f>+IF(U47="","",IF(U47&gt;=[2]PARÁMETROS!$D$5,"CUMPLE","NO CUMPLE"))</f>
        <v/>
      </c>
      <c r="AJ47" s="139"/>
      <c r="AK47" s="109"/>
    </row>
    <row r="48" spans="1:37" s="72" customFormat="1" ht="30" customHeight="1">
      <c r="A48" s="796"/>
      <c r="B48" s="58"/>
      <c r="C48" s="464"/>
      <c r="D48" s="60" t="str">
        <f>+IFERROR(INDEX([2]CONSOLIDADO!$D$4:$D$89,MATCH('EXP GEN. 6-12'!B48,[2]CONSOLIDADO!$C$4:$C$89,0)),"")</f>
        <v/>
      </c>
      <c r="E48" s="61"/>
      <c r="F48" s="61"/>
      <c r="G48" s="277"/>
      <c r="H48" s="277"/>
      <c r="I48" s="73"/>
      <c r="J48" s="64"/>
      <c r="K48" s="64"/>
      <c r="L48" s="65" t="str">
        <f t="shared" si="0"/>
        <v/>
      </c>
      <c r="M48" s="66" t="str">
        <f>+IFERROR(INDEX([2]PARÁMETROS!$B$11:$B$37,MATCH(L48,[2]PARÁMETROS!$A$11:$A$37,0)),"")</f>
        <v/>
      </c>
      <c r="N48" s="74"/>
      <c r="O48" s="66"/>
      <c r="P48" s="58"/>
      <c r="Q48" s="69"/>
      <c r="R48" s="70"/>
      <c r="S48" s="66" t="str">
        <f t="shared" si="1"/>
        <v/>
      </c>
      <c r="T48" s="55" t="str">
        <f t="shared" si="2"/>
        <v/>
      </c>
      <c r="U48" s="55" t="str">
        <f t="shared" si="3"/>
        <v/>
      </c>
      <c r="V48" s="55"/>
      <c r="W48" s="799"/>
      <c r="X48" s="799"/>
      <c r="Y48" s="799"/>
      <c r="Z48" s="799"/>
      <c r="AA48" s="799"/>
      <c r="AB48" s="799"/>
      <c r="AC48" s="799"/>
      <c r="AD48" s="799"/>
      <c r="AE48" s="799"/>
      <c r="AF48" s="277"/>
      <c r="AG48" s="799"/>
      <c r="AH48" s="799"/>
      <c r="AI48" s="277" t="str">
        <f>+IF(U48="","",IF(U48&gt;=[2]PARÁMETROS!$D$5,"CUMPLE","NO CUMPLE"))</f>
        <v/>
      </c>
      <c r="AJ48" s="139"/>
      <c r="AK48" s="109"/>
    </row>
    <row r="49" spans="1:37" s="72" customFormat="1" ht="30" customHeight="1">
      <c r="A49" s="796"/>
      <c r="B49" s="58"/>
      <c r="C49" s="464"/>
      <c r="D49" s="60" t="str">
        <f>+IFERROR(INDEX([2]CONSOLIDADO!$D$4:$D$89,MATCH('EXP GEN. 6-12'!B49,[2]CONSOLIDADO!$C$4:$C$89,0)),"")</f>
        <v/>
      </c>
      <c r="E49" s="61"/>
      <c r="F49" s="61"/>
      <c r="G49" s="277"/>
      <c r="H49" s="277"/>
      <c r="I49" s="73"/>
      <c r="J49" s="64"/>
      <c r="K49" s="64"/>
      <c r="L49" s="65" t="str">
        <f t="shared" si="0"/>
        <v/>
      </c>
      <c r="M49" s="66" t="str">
        <f>+IFERROR(INDEX([2]PARÁMETROS!$B$11:$B$37,MATCH(L49,[2]PARÁMETROS!$A$11:$A$37,0)),"")</f>
        <v/>
      </c>
      <c r="N49" s="74"/>
      <c r="O49" s="66"/>
      <c r="P49" s="58"/>
      <c r="Q49" s="69"/>
      <c r="R49" s="70"/>
      <c r="S49" s="66" t="str">
        <f t="shared" si="1"/>
        <v/>
      </c>
      <c r="T49" s="55" t="str">
        <f t="shared" si="2"/>
        <v/>
      </c>
      <c r="U49" s="55" t="str">
        <f t="shared" si="3"/>
        <v/>
      </c>
      <c r="V49" s="55"/>
      <c r="W49" s="799"/>
      <c r="X49" s="799"/>
      <c r="Y49" s="799"/>
      <c r="Z49" s="799"/>
      <c r="AA49" s="799"/>
      <c r="AB49" s="799"/>
      <c r="AC49" s="799"/>
      <c r="AD49" s="799"/>
      <c r="AE49" s="799"/>
      <c r="AF49" s="277"/>
      <c r="AG49" s="799"/>
      <c r="AH49" s="799"/>
      <c r="AI49" s="277" t="str">
        <f>+IF(U49="","",IF(U49&gt;=[2]PARÁMETROS!$D$5,"CUMPLE","NO CUMPLE"))</f>
        <v/>
      </c>
      <c r="AJ49" s="139"/>
      <c r="AK49" s="109"/>
    </row>
    <row r="50" spans="1:37" s="72" customFormat="1" ht="30" customHeight="1" thickBot="1">
      <c r="A50" s="806"/>
      <c r="B50" s="141"/>
      <c r="C50" s="404"/>
      <c r="D50" s="143" t="str">
        <f>+IFERROR(INDEX([2]CONSOLIDADO!$D$4:$D$89,MATCH('EXP GEN. 6-12'!B50,[2]CONSOLIDADO!$C$4:$C$89,0)),"")</f>
        <v/>
      </c>
      <c r="E50" s="144"/>
      <c r="F50" s="144"/>
      <c r="G50" s="278"/>
      <c r="H50" s="278"/>
      <c r="I50" s="164"/>
      <c r="J50" s="147"/>
      <c r="K50" s="147"/>
      <c r="L50" s="148" t="str">
        <f t="shared" si="0"/>
        <v/>
      </c>
      <c r="M50" s="149" t="str">
        <f>+IFERROR(INDEX([2]PARÁMETROS!$B$11:$B$37,MATCH(L50,[2]PARÁMETROS!$A$11:$A$37,0)),"")</f>
        <v/>
      </c>
      <c r="N50" s="165"/>
      <c r="O50" s="149"/>
      <c r="P50" s="141"/>
      <c r="Q50" s="152"/>
      <c r="R50" s="153"/>
      <c r="S50" s="149" t="str">
        <f t="shared" si="1"/>
        <v/>
      </c>
      <c r="T50" s="154" t="str">
        <f t="shared" si="2"/>
        <v/>
      </c>
      <c r="U50" s="154" t="str">
        <f t="shared" si="3"/>
        <v/>
      </c>
      <c r="V50" s="154"/>
      <c r="W50" s="801"/>
      <c r="X50" s="801"/>
      <c r="Y50" s="801"/>
      <c r="Z50" s="801"/>
      <c r="AA50" s="801"/>
      <c r="AB50" s="801"/>
      <c r="AC50" s="801"/>
      <c r="AD50" s="801"/>
      <c r="AE50" s="801"/>
      <c r="AF50" s="278"/>
      <c r="AG50" s="801"/>
      <c r="AH50" s="801"/>
      <c r="AI50" s="278" t="str">
        <f>+IF(U50="","",IF(U50&gt;=[2]PARÁMETROS!$D$5,"CUMPLE","NO CUMPLE"))</f>
        <v/>
      </c>
      <c r="AJ50" s="155"/>
      <c r="AK50" s="109"/>
    </row>
    <row r="51" spans="1:37" s="72" customFormat="1" ht="30" customHeight="1">
      <c r="A51" s="795"/>
      <c r="B51" s="123"/>
      <c r="C51" s="466"/>
      <c r="D51" s="125" t="str">
        <f>+IFERROR(INDEX([2]CONSOLIDADO!$D$4:$D$89,MATCH('EXP GEN. 6-12'!B51,[2]CONSOLIDADO!$C$4:$C$89,0)),"")</f>
        <v/>
      </c>
      <c r="E51" s="126"/>
      <c r="F51" s="126"/>
      <c r="G51" s="279"/>
      <c r="H51" s="279"/>
      <c r="I51" s="162"/>
      <c r="J51" s="129"/>
      <c r="K51" s="129"/>
      <c r="L51" s="130" t="str">
        <f t="shared" si="0"/>
        <v/>
      </c>
      <c r="M51" s="131" t="str">
        <f>+IFERROR(INDEX([2]PARÁMETROS!$B$11:$B$37,MATCH(L51,[2]PARÁMETROS!$A$11:$A$37,0)),"")</f>
        <v/>
      </c>
      <c r="N51" s="163"/>
      <c r="O51" s="131"/>
      <c r="P51" s="123"/>
      <c r="Q51" s="134"/>
      <c r="R51" s="135"/>
      <c r="S51" s="131" t="str">
        <f t="shared" si="1"/>
        <v/>
      </c>
      <c r="T51" s="136" t="str">
        <f t="shared" si="2"/>
        <v/>
      </c>
      <c r="U51" s="136" t="str">
        <f t="shared" si="3"/>
        <v/>
      </c>
      <c r="V51" s="136"/>
      <c r="W51" s="798"/>
      <c r="X51" s="798"/>
      <c r="Y51" s="798"/>
      <c r="Z51" s="798"/>
      <c r="AA51" s="798"/>
      <c r="AB51" s="798"/>
      <c r="AC51" s="798"/>
      <c r="AD51" s="798"/>
      <c r="AE51" s="798"/>
      <c r="AF51" s="279"/>
      <c r="AG51" s="798" t="str">
        <f>IF(U51="","",IF(SUM(U51:U53)&gt;=[2]PARÁMETROS!$H$5,"HÁBIL","NO HÁBIL"))</f>
        <v/>
      </c>
      <c r="AH51" s="798" t="str">
        <f>IF(U51="","",IF(U51&gt;=[2]PARÁMETROS!$F$5,"HÁBIL","NO HÁBIL"))</f>
        <v/>
      </c>
      <c r="AI51" s="279" t="str">
        <f>+IF(U51="","",IF(U51&gt;=[2]PARÁMETROS!$D$5,"CUMPLE","NO CUMPLE"))</f>
        <v/>
      </c>
      <c r="AJ51" s="138"/>
      <c r="AK51" s="109"/>
    </row>
    <row r="52" spans="1:37" s="72" customFormat="1" ht="30" customHeight="1">
      <c r="A52" s="796"/>
      <c r="B52" s="58"/>
      <c r="C52" s="464"/>
      <c r="D52" s="60" t="str">
        <f>+IFERROR(INDEX([2]CONSOLIDADO!$D$4:$D$89,MATCH('EXP GEN. 6-12'!B52,[2]CONSOLIDADO!$C$4:$C$89,0)),"")</f>
        <v/>
      </c>
      <c r="E52" s="61"/>
      <c r="F52" s="61"/>
      <c r="G52" s="277"/>
      <c r="H52" s="277"/>
      <c r="I52" s="73"/>
      <c r="J52" s="64"/>
      <c r="K52" s="64"/>
      <c r="L52" s="65" t="str">
        <f t="shared" si="0"/>
        <v/>
      </c>
      <c r="M52" s="66" t="str">
        <f>+IFERROR(INDEX([2]PARÁMETROS!$B$11:$B$37,MATCH(L52,[2]PARÁMETROS!$A$11:$A$37,0)),"")</f>
        <v/>
      </c>
      <c r="N52" s="74"/>
      <c r="O52" s="66"/>
      <c r="P52" s="58"/>
      <c r="Q52" s="69"/>
      <c r="R52" s="70"/>
      <c r="S52" s="66" t="str">
        <f t="shared" si="1"/>
        <v/>
      </c>
      <c r="T52" s="55" t="str">
        <f t="shared" si="2"/>
        <v/>
      </c>
      <c r="U52" s="55" t="str">
        <f t="shared" si="3"/>
        <v/>
      </c>
      <c r="V52" s="55"/>
      <c r="W52" s="799"/>
      <c r="X52" s="799"/>
      <c r="Y52" s="799"/>
      <c r="Z52" s="799"/>
      <c r="AA52" s="799"/>
      <c r="AB52" s="799"/>
      <c r="AC52" s="799"/>
      <c r="AD52" s="799"/>
      <c r="AE52" s="799"/>
      <c r="AF52" s="277"/>
      <c r="AG52" s="799"/>
      <c r="AH52" s="799"/>
      <c r="AI52" s="277" t="str">
        <f>+IF(U52="","",IF(U52&gt;=[2]PARÁMETROS!$D$5,"CUMPLE","NO CUMPLE"))</f>
        <v/>
      </c>
      <c r="AJ52" s="139"/>
      <c r="AK52" s="109"/>
    </row>
    <row r="53" spans="1:37" s="72" customFormat="1" ht="30" customHeight="1">
      <c r="A53" s="796"/>
      <c r="B53" s="58"/>
      <c r="C53" s="464"/>
      <c r="D53" s="60" t="str">
        <f>+IFERROR(INDEX([2]CONSOLIDADO!$D$4:$D$89,MATCH('EXP GEN. 6-12'!B53,[2]CONSOLIDADO!$C$4:$C$89,0)),"")</f>
        <v/>
      </c>
      <c r="E53" s="61"/>
      <c r="F53" s="61"/>
      <c r="G53" s="277"/>
      <c r="H53" s="277"/>
      <c r="I53" s="73"/>
      <c r="J53" s="64"/>
      <c r="K53" s="64"/>
      <c r="L53" s="65" t="str">
        <f t="shared" si="0"/>
        <v/>
      </c>
      <c r="M53" s="66" t="str">
        <f>+IFERROR(INDEX([2]PARÁMETROS!$B$11:$B$37,MATCH(L53,[2]PARÁMETROS!$A$11:$A$37,0)),"")</f>
        <v/>
      </c>
      <c r="N53" s="74"/>
      <c r="O53" s="66"/>
      <c r="P53" s="58"/>
      <c r="Q53" s="69"/>
      <c r="R53" s="70"/>
      <c r="S53" s="66" t="str">
        <f t="shared" si="1"/>
        <v/>
      </c>
      <c r="T53" s="55" t="str">
        <f t="shared" si="2"/>
        <v/>
      </c>
      <c r="U53" s="55" t="str">
        <f t="shared" si="3"/>
        <v/>
      </c>
      <c r="V53" s="55"/>
      <c r="W53" s="799"/>
      <c r="X53" s="799"/>
      <c r="Y53" s="799"/>
      <c r="Z53" s="799"/>
      <c r="AA53" s="799"/>
      <c r="AB53" s="799"/>
      <c r="AC53" s="799"/>
      <c r="AD53" s="799"/>
      <c r="AE53" s="799"/>
      <c r="AF53" s="277"/>
      <c r="AG53" s="799"/>
      <c r="AH53" s="799"/>
      <c r="AI53" s="277" t="str">
        <f>+IF(U53="","",IF(U53&gt;=[2]PARÁMETROS!$D$5,"CUMPLE","NO CUMPLE"))</f>
        <v/>
      </c>
      <c r="AJ53" s="139"/>
      <c r="AK53" s="109"/>
    </row>
    <row r="54" spans="1:37" s="72" customFormat="1" ht="30" customHeight="1">
      <c r="A54" s="796"/>
      <c r="B54" s="58"/>
      <c r="C54" s="464"/>
      <c r="D54" s="60" t="str">
        <f>+IFERROR(INDEX([2]CONSOLIDADO!$D$4:$D$89,MATCH('EXP GEN. 6-12'!B54,[2]CONSOLIDADO!$C$4:$C$89,0)),"")</f>
        <v/>
      </c>
      <c r="E54" s="61"/>
      <c r="F54" s="61"/>
      <c r="G54" s="277"/>
      <c r="H54" s="277"/>
      <c r="I54" s="73"/>
      <c r="J54" s="64"/>
      <c r="K54" s="64"/>
      <c r="L54" s="65" t="str">
        <f t="shared" si="0"/>
        <v/>
      </c>
      <c r="M54" s="66" t="str">
        <f>+IFERROR(INDEX([2]PARÁMETROS!$B$11:$B$37,MATCH(L54,[2]PARÁMETROS!$A$11:$A$37,0)),"")</f>
        <v/>
      </c>
      <c r="N54" s="74"/>
      <c r="O54" s="66"/>
      <c r="P54" s="58"/>
      <c r="Q54" s="69"/>
      <c r="R54" s="70"/>
      <c r="S54" s="66" t="str">
        <f t="shared" si="1"/>
        <v/>
      </c>
      <c r="T54" s="55" t="str">
        <f t="shared" si="2"/>
        <v/>
      </c>
      <c r="U54" s="55" t="str">
        <f t="shared" si="3"/>
        <v/>
      </c>
      <c r="V54" s="55"/>
      <c r="W54" s="799"/>
      <c r="X54" s="799"/>
      <c r="Y54" s="799"/>
      <c r="Z54" s="799"/>
      <c r="AA54" s="799"/>
      <c r="AB54" s="799"/>
      <c r="AC54" s="799"/>
      <c r="AD54" s="799"/>
      <c r="AE54" s="799"/>
      <c r="AF54" s="277"/>
      <c r="AG54" s="799"/>
      <c r="AH54" s="799"/>
      <c r="AI54" s="277" t="str">
        <f>+IF(U54="","",IF(U54&gt;=[2]PARÁMETROS!$D$5,"CUMPLE","NO CUMPLE"))</f>
        <v/>
      </c>
      <c r="AJ54" s="139"/>
      <c r="AK54" s="109"/>
    </row>
    <row r="55" spans="1:37" s="72" customFormat="1" ht="30" customHeight="1">
      <c r="A55" s="796"/>
      <c r="B55" s="58"/>
      <c r="C55" s="464"/>
      <c r="D55" s="60" t="str">
        <f>+IFERROR(INDEX([2]CONSOLIDADO!$D$4:$D$89,MATCH('EXP GEN. 6-12'!B55,[2]CONSOLIDADO!$C$4:$C$89,0)),"")</f>
        <v/>
      </c>
      <c r="E55" s="61"/>
      <c r="F55" s="61"/>
      <c r="G55" s="277"/>
      <c r="H55" s="277"/>
      <c r="I55" s="73"/>
      <c r="J55" s="64"/>
      <c r="K55" s="64"/>
      <c r="L55" s="65" t="str">
        <f t="shared" si="0"/>
        <v/>
      </c>
      <c r="M55" s="66" t="str">
        <f>+IFERROR(INDEX([2]PARÁMETROS!$B$11:$B$37,MATCH(L55,[2]PARÁMETROS!$A$11:$A$37,0)),"")</f>
        <v/>
      </c>
      <c r="N55" s="74"/>
      <c r="O55" s="66"/>
      <c r="P55" s="58"/>
      <c r="Q55" s="69"/>
      <c r="R55" s="70"/>
      <c r="S55" s="66" t="str">
        <f t="shared" si="1"/>
        <v/>
      </c>
      <c r="T55" s="55" t="str">
        <f t="shared" si="2"/>
        <v/>
      </c>
      <c r="U55" s="55" t="str">
        <f t="shared" si="3"/>
        <v/>
      </c>
      <c r="V55" s="55"/>
      <c r="W55" s="799"/>
      <c r="X55" s="799"/>
      <c r="Y55" s="799"/>
      <c r="Z55" s="799"/>
      <c r="AA55" s="799"/>
      <c r="AB55" s="799"/>
      <c r="AC55" s="799"/>
      <c r="AD55" s="799"/>
      <c r="AE55" s="799"/>
      <c r="AF55" s="277"/>
      <c r="AG55" s="799"/>
      <c r="AH55" s="799"/>
      <c r="AI55" s="277" t="str">
        <f>+IF(U55="","",IF(U55&gt;=[2]PARÁMETROS!$D$5,"CUMPLE","NO CUMPLE"))</f>
        <v/>
      </c>
      <c r="AJ55" s="139"/>
      <c r="AK55" s="109"/>
    </row>
    <row r="56" spans="1:37" s="72" customFormat="1" ht="30" customHeight="1" thickBot="1">
      <c r="A56" s="806"/>
      <c r="B56" s="141"/>
      <c r="C56" s="404"/>
      <c r="D56" s="143" t="str">
        <f>+IFERROR(INDEX([2]CONSOLIDADO!$D$4:$D$89,MATCH('EXP GEN. 6-12'!B56,[2]CONSOLIDADO!$C$4:$C$89,0)),"")</f>
        <v/>
      </c>
      <c r="E56" s="144"/>
      <c r="F56" s="144"/>
      <c r="G56" s="278"/>
      <c r="H56" s="278"/>
      <c r="I56" s="164"/>
      <c r="J56" s="147"/>
      <c r="K56" s="147"/>
      <c r="L56" s="148" t="str">
        <f t="shared" si="0"/>
        <v/>
      </c>
      <c r="M56" s="149" t="str">
        <f>+IFERROR(INDEX([2]PARÁMETROS!$B$11:$B$37,MATCH(L56,[2]PARÁMETROS!$A$11:$A$37,0)),"")</f>
        <v/>
      </c>
      <c r="N56" s="165"/>
      <c r="O56" s="149"/>
      <c r="P56" s="141"/>
      <c r="Q56" s="152"/>
      <c r="R56" s="153"/>
      <c r="S56" s="149" t="str">
        <f t="shared" si="1"/>
        <v/>
      </c>
      <c r="T56" s="154" t="str">
        <f t="shared" si="2"/>
        <v/>
      </c>
      <c r="U56" s="154" t="str">
        <f t="shared" si="3"/>
        <v/>
      </c>
      <c r="V56" s="154"/>
      <c r="W56" s="801"/>
      <c r="X56" s="801"/>
      <c r="Y56" s="801"/>
      <c r="Z56" s="801"/>
      <c r="AA56" s="801"/>
      <c r="AB56" s="801"/>
      <c r="AC56" s="801"/>
      <c r="AD56" s="801"/>
      <c r="AE56" s="801"/>
      <c r="AF56" s="278"/>
      <c r="AG56" s="801"/>
      <c r="AH56" s="801"/>
      <c r="AI56" s="278" t="str">
        <f>+IF(U56="","",IF(U56&gt;=[2]PARÁMETROS!$D$5,"CUMPLE","NO CUMPLE"))</f>
        <v/>
      </c>
      <c r="AJ56" s="155"/>
      <c r="AK56" s="109"/>
    </row>
    <row r="57" spans="1:37" s="72" customFormat="1" ht="30" customHeight="1">
      <c r="A57" s="795"/>
      <c r="B57" s="123"/>
      <c r="C57" s="466"/>
      <c r="D57" s="125" t="str">
        <f>+IFERROR(INDEX([2]CONSOLIDADO!$D$4:$D$89,MATCH('EXP GEN. 6-12'!B57,[2]CONSOLIDADO!$C$4:$C$89,0)),"")</f>
        <v/>
      </c>
      <c r="E57" s="126"/>
      <c r="F57" s="126"/>
      <c r="G57" s="279"/>
      <c r="H57" s="279"/>
      <c r="I57" s="162"/>
      <c r="J57" s="129"/>
      <c r="K57" s="129"/>
      <c r="L57" s="130" t="str">
        <f t="shared" si="0"/>
        <v/>
      </c>
      <c r="M57" s="131" t="str">
        <f>+IFERROR(INDEX([2]PARÁMETROS!$B$11:$B$37,MATCH(L57,[2]PARÁMETROS!$A$11:$A$37,0)),"")</f>
        <v/>
      </c>
      <c r="N57" s="163"/>
      <c r="O57" s="131"/>
      <c r="P57" s="123"/>
      <c r="Q57" s="134"/>
      <c r="R57" s="135"/>
      <c r="S57" s="131" t="str">
        <f t="shared" si="1"/>
        <v/>
      </c>
      <c r="T57" s="136" t="str">
        <f t="shared" si="2"/>
        <v/>
      </c>
      <c r="U57" s="136" t="str">
        <f t="shared" si="3"/>
        <v/>
      </c>
      <c r="V57" s="136"/>
      <c r="W57" s="798"/>
      <c r="X57" s="798"/>
      <c r="Y57" s="798"/>
      <c r="Z57" s="798"/>
      <c r="AA57" s="798"/>
      <c r="AB57" s="798"/>
      <c r="AC57" s="798"/>
      <c r="AD57" s="798"/>
      <c r="AE57" s="798"/>
      <c r="AF57" s="279"/>
      <c r="AG57" s="798" t="str">
        <f>IF(U57="","",IF(SUM(U57:U59)&gt;=[2]PARÁMETROS!$H$5,"HÁBIL","NO HÁBIL"))</f>
        <v/>
      </c>
      <c r="AH57" s="798" t="str">
        <f>IF(U57="","",IF(U57&gt;=[2]PARÁMETROS!$F$5,"HÁBIL","NO HÁBIL"))</f>
        <v/>
      </c>
      <c r="AI57" s="279" t="str">
        <f>+IF(U57="","",IF(U57&gt;=[2]PARÁMETROS!$D$5,"CUMPLE","NO CUMPLE"))</f>
        <v/>
      </c>
      <c r="AJ57" s="138"/>
      <c r="AK57" s="109"/>
    </row>
    <row r="58" spans="1:37" s="72" customFormat="1" ht="30" customHeight="1">
      <c r="A58" s="796"/>
      <c r="B58" s="58"/>
      <c r="C58" s="464"/>
      <c r="D58" s="60" t="str">
        <f>+IFERROR(INDEX([2]CONSOLIDADO!$D$4:$D$89,MATCH('EXP GEN. 6-12'!B58,[2]CONSOLIDADO!$C$4:$C$89,0)),"")</f>
        <v/>
      </c>
      <c r="E58" s="61"/>
      <c r="F58" s="61"/>
      <c r="G58" s="277"/>
      <c r="H58" s="277"/>
      <c r="I58" s="73"/>
      <c r="J58" s="64"/>
      <c r="K58" s="64"/>
      <c r="L58" s="65" t="str">
        <f t="shared" si="0"/>
        <v/>
      </c>
      <c r="M58" s="66" t="str">
        <f>+IFERROR(INDEX([2]PARÁMETROS!$B$11:$B$37,MATCH(L58,[2]PARÁMETROS!$A$11:$A$37,0)),"")</f>
        <v/>
      </c>
      <c r="N58" s="74"/>
      <c r="O58" s="66"/>
      <c r="P58" s="58"/>
      <c r="Q58" s="69"/>
      <c r="R58" s="70"/>
      <c r="S58" s="66" t="str">
        <f t="shared" si="1"/>
        <v/>
      </c>
      <c r="T58" s="55" t="str">
        <f t="shared" si="2"/>
        <v/>
      </c>
      <c r="U58" s="55" t="str">
        <f t="shared" si="3"/>
        <v/>
      </c>
      <c r="V58" s="55"/>
      <c r="W58" s="799"/>
      <c r="X58" s="799"/>
      <c r="Y58" s="799"/>
      <c r="Z58" s="799"/>
      <c r="AA58" s="799"/>
      <c r="AB58" s="799"/>
      <c r="AC58" s="799"/>
      <c r="AD58" s="799"/>
      <c r="AE58" s="799"/>
      <c r="AF58" s="277"/>
      <c r="AG58" s="799"/>
      <c r="AH58" s="799"/>
      <c r="AI58" s="277" t="str">
        <f>+IF(U58="","",IF(U58&gt;=[2]PARÁMETROS!$D$5,"CUMPLE","NO CUMPLE"))</f>
        <v/>
      </c>
      <c r="AJ58" s="139"/>
      <c r="AK58" s="109"/>
    </row>
    <row r="59" spans="1:37" s="72" customFormat="1" ht="30" customHeight="1">
      <c r="A59" s="796"/>
      <c r="B59" s="58"/>
      <c r="C59" s="464"/>
      <c r="D59" s="60" t="str">
        <f>+IFERROR(INDEX([2]CONSOLIDADO!$D$4:$D$89,MATCH('EXP GEN. 6-12'!B59,[2]CONSOLIDADO!$C$4:$C$89,0)),"")</f>
        <v/>
      </c>
      <c r="E59" s="61"/>
      <c r="F59" s="61"/>
      <c r="G59" s="277"/>
      <c r="H59" s="277"/>
      <c r="I59" s="73"/>
      <c r="J59" s="64"/>
      <c r="K59" s="64"/>
      <c r="L59" s="65" t="str">
        <f t="shared" si="0"/>
        <v/>
      </c>
      <c r="M59" s="66" t="str">
        <f>+IFERROR(INDEX([2]PARÁMETROS!$B$11:$B$37,MATCH(L59,[2]PARÁMETROS!$A$11:$A$37,0)),"")</f>
        <v/>
      </c>
      <c r="N59" s="74"/>
      <c r="O59" s="66"/>
      <c r="P59" s="58"/>
      <c r="Q59" s="69"/>
      <c r="R59" s="70"/>
      <c r="S59" s="66" t="str">
        <f t="shared" si="1"/>
        <v/>
      </c>
      <c r="T59" s="55" t="str">
        <f t="shared" si="2"/>
        <v/>
      </c>
      <c r="U59" s="55" t="str">
        <f t="shared" si="3"/>
        <v/>
      </c>
      <c r="V59" s="55"/>
      <c r="W59" s="799"/>
      <c r="X59" s="799"/>
      <c r="Y59" s="799"/>
      <c r="Z59" s="799"/>
      <c r="AA59" s="799"/>
      <c r="AB59" s="799"/>
      <c r="AC59" s="799"/>
      <c r="AD59" s="799"/>
      <c r="AE59" s="799"/>
      <c r="AF59" s="277"/>
      <c r="AG59" s="799"/>
      <c r="AH59" s="799"/>
      <c r="AI59" s="277" t="str">
        <f>+IF(U59="","",IF(U59&gt;=[2]PARÁMETROS!$D$5,"CUMPLE","NO CUMPLE"))</f>
        <v/>
      </c>
      <c r="AJ59" s="139"/>
      <c r="AK59" s="109"/>
    </row>
    <row r="60" spans="1:37" s="72" customFormat="1" ht="30" customHeight="1">
      <c r="A60" s="796"/>
      <c r="B60" s="58"/>
      <c r="C60" s="464"/>
      <c r="D60" s="60" t="str">
        <f>+IFERROR(INDEX([2]CONSOLIDADO!$D$4:$D$89,MATCH('EXP GEN. 6-12'!B60,[2]CONSOLIDADO!$C$4:$C$89,0)),"")</f>
        <v/>
      </c>
      <c r="E60" s="61"/>
      <c r="F60" s="61"/>
      <c r="G60" s="277"/>
      <c r="H60" s="277"/>
      <c r="I60" s="73"/>
      <c r="J60" s="64"/>
      <c r="K60" s="64"/>
      <c r="L60" s="65" t="str">
        <f t="shared" si="0"/>
        <v/>
      </c>
      <c r="M60" s="66" t="str">
        <f>+IFERROR(INDEX([2]PARÁMETROS!$B$11:$B$37,MATCH(L60,[2]PARÁMETROS!$A$11:$A$37,0)),"")</f>
        <v/>
      </c>
      <c r="N60" s="74"/>
      <c r="O60" s="66"/>
      <c r="P60" s="58"/>
      <c r="Q60" s="69"/>
      <c r="R60" s="70"/>
      <c r="S60" s="66" t="str">
        <f t="shared" si="1"/>
        <v/>
      </c>
      <c r="T60" s="55" t="str">
        <f t="shared" si="2"/>
        <v/>
      </c>
      <c r="U60" s="55" t="str">
        <f t="shared" si="3"/>
        <v/>
      </c>
      <c r="V60" s="55"/>
      <c r="W60" s="799"/>
      <c r="X60" s="799"/>
      <c r="Y60" s="799"/>
      <c r="Z60" s="799"/>
      <c r="AA60" s="799"/>
      <c r="AB60" s="799"/>
      <c r="AC60" s="799"/>
      <c r="AD60" s="799"/>
      <c r="AE60" s="799"/>
      <c r="AF60" s="277"/>
      <c r="AG60" s="799"/>
      <c r="AH60" s="799"/>
      <c r="AI60" s="277" t="str">
        <f>+IF(U60="","",IF(U60&gt;=[2]PARÁMETROS!$D$5,"CUMPLE","NO CUMPLE"))</f>
        <v/>
      </c>
      <c r="AJ60" s="139"/>
      <c r="AK60" s="109"/>
    </row>
    <row r="61" spans="1:37" s="72" customFormat="1" ht="30" customHeight="1">
      <c r="A61" s="796"/>
      <c r="B61" s="58"/>
      <c r="C61" s="464"/>
      <c r="D61" s="60" t="str">
        <f>+IFERROR(INDEX([2]CONSOLIDADO!$D$4:$D$89,MATCH('EXP GEN. 6-12'!B61,[2]CONSOLIDADO!$C$4:$C$89,0)),"")</f>
        <v/>
      </c>
      <c r="E61" s="61"/>
      <c r="F61" s="61"/>
      <c r="G61" s="277"/>
      <c r="H61" s="277"/>
      <c r="I61" s="73"/>
      <c r="J61" s="64"/>
      <c r="K61" s="64"/>
      <c r="L61" s="65" t="str">
        <f t="shared" si="0"/>
        <v/>
      </c>
      <c r="M61" s="66" t="str">
        <f>+IFERROR(INDEX([2]PARÁMETROS!$B$11:$B$37,MATCH(L61,[2]PARÁMETROS!$A$11:$A$37,0)),"")</f>
        <v/>
      </c>
      <c r="N61" s="74"/>
      <c r="O61" s="66"/>
      <c r="P61" s="58"/>
      <c r="Q61" s="69"/>
      <c r="R61" s="70"/>
      <c r="S61" s="66" t="str">
        <f t="shared" si="1"/>
        <v/>
      </c>
      <c r="T61" s="55" t="str">
        <f t="shared" si="2"/>
        <v/>
      </c>
      <c r="U61" s="55" t="str">
        <f t="shared" si="3"/>
        <v/>
      </c>
      <c r="V61" s="55"/>
      <c r="W61" s="799"/>
      <c r="X61" s="799"/>
      <c r="Y61" s="799"/>
      <c r="Z61" s="799"/>
      <c r="AA61" s="799"/>
      <c r="AB61" s="799"/>
      <c r="AC61" s="799"/>
      <c r="AD61" s="799"/>
      <c r="AE61" s="799"/>
      <c r="AF61" s="277"/>
      <c r="AG61" s="799"/>
      <c r="AH61" s="799"/>
      <c r="AI61" s="277" t="str">
        <f>+IF(U61="","",IF(U61&gt;=[2]PARÁMETROS!$D$5,"CUMPLE","NO CUMPLE"))</f>
        <v/>
      </c>
      <c r="AJ61" s="139"/>
      <c r="AK61" s="109"/>
    </row>
    <row r="62" spans="1:37" s="72" customFormat="1" ht="30" customHeight="1" thickBot="1">
      <c r="A62" s="806"/>
      <c r="B62" s="141"/>
      <c r="C62" s="404"/>
      <c r="D62" s="143" t="str">
        <f>+IFERROR(INDEX([2]CONSOLIDADO!$D$4:$D$89,MATCH('EXP GEN. 6-12'!B62,[2]CONSOLIDADO!$C$4:$C$89,0)),"")</f>
        <v/>
      </c>
      <c r="E62" s="144"/>
      <c r="F62" s="144"/>
      <c r="G62" s="278"/>
      <c r="H62" s="278"/>
      <c r="I62" s="164"/>
      <c r="J62" s="147"/>
      <c r="K62" s="147"/>
      <c r="L62" s="148" t="str">
        <f t="shared" si="0"/>
        <v/>
      </c>
      <c r="M62" s="149" t="str">
        <f>+IFERROR(INDEX([2]PARÁMETROS!$B$11:$B$37,MATCH(L62,[2]PARÁMETROS!$A$11:$A$37,0)),"")</f>
        <v/>
      </c>
      <c r="N62" s="165"/>
      <c r="O62" s="149"/>
      <c r="P62" s="141"/>
      <c r="Q62" s="152"/>
      <c r="R62" s="153"/>
      <c r="S62" s="149" t="str">
        <f t="shared" si="1"/>
        <v/>
      </c>
      <c r="T62" s="154" t="str">
        <f t="shared" si="2"/>
        <v/>
      </c>
      <c r="U62" s="154" t="str">
        <f t="shared" si="3"/>
        <v/>
      </c>
      <c r="V62" s="154"/>
      <c r="W62" s="801"/>
      <c r="X62" s="801"/>
      <c r="Y62" s="801"/>
      <c r="Z62" s="801"/>
      <c r="AA62" s="801"/>
      <c r="AB62" s="801"/>
      <c r="AC62" s="801"/>
      <c r="AD62" s="801"/>
      <c r="AE62" s="801"/>
      <c r="AF62" s="278"/>
      <c r="AG62" s="801"/>
      <c r="AH62" s="801"/>
      <c r="AI62" s="278" t="str">
        <f>+IF(U62="","",IF(U62&gt;=[2]PARÁMETROS!$D$5,"CUMPLE","NO CUMPLE"))</f>
        <v/>
      </c>
      <c r="AJ62" s="155"/>
      <c r="AK62" s="109"/>
    </row>
    <row r="63" spans="1:37" s="72" customFormat="1" ht="30" customHeight="1">
      <c r="A63" s="795"/>
      <c r="B63" s="123"/>
      <c r="C63" s="466"/>
      <c r="D63" s="125" t="str">
        <f>+IFERROR(INDEX([2]CONSOLIDADO!$D$4:$D$89,MATCH('EXP GEN. 6-12'!B63,[2]CONSOLIDADO!$C$4:$C$89,0)),"")</f>
        <v/>
      </c>
      <c r="E63" s="126"/>
      <c r="F63" s="126"/>
      <c r="G63" s="279"/>
      <c r="H63" s="279"/>
      <c r="I63" s="162"/>
      <c r="J63" s="129"/>
      <c r="K63" s="129"/>
      <c r="L63" s="130" t="str">
        <f t="shared" si="0"/>
        <v/>
      </c>
      <c r="M63" s="131" t="str">
        <f>+IFERROR(INDEX([2]PARÁMETROS!$B$11:$B$37,MATCH(L63,[2]PARÁMETROS!$A$11:$A$37,0)),"")</f>
        <v/>
      </c>
      <c r="N63" s="163"/>
      <c r="O63" s="131"/>
      <c r="P63" s="123"/>
      <c r="Q63" s="134"/>
      <c r="R63" s="135"/>
      <c r="S63" s="131" t="str">
        <f t="shared" si="1"/>
        <v/>
      </c>
      <c r="T63" s="136" t="str">
        <f t="shared" si="2"/>
        <v/>
      </c>
      <c r="U63" s="136" t="str">
        <f t="shared" si="3"/>
        <v/>
      </c>
      <c r="V63" s="136"/>
      <c r="W63" s="798"/>
      <c r="X63" s="798"/>
      <c r="Y63" s="798"/>
      <c r="Z63" s="798"/>
      <c r="AA63" s="798"/>
      <c r="AB63" s="798"/>
      <c r="AC63" s="798"/>
      <c r="AD63" s="798"/>
      <c r="AE63" s="798"/>
      <c r="AF63" s="279"/>
      <c r="AG63" s="798" t="str">
        <f>IF(U63="","",IF(SUM(U63:U65)&gt;=[2]PARÁMETROS!$H$5,"HÁBIL","NO HÁBIL"))</f>
        <v/>
      </c>
      <c r="AH63" s="798" t="str">
        <f>IF(U63="","",IF(U63&gt;=[2]PARÁMETROS!$F$5,"HÁBIL","NO HÁBIL"))</f>
        <v/>
      </c>
      <c r="AI63" s="279" t="str">
        <f>+IF(U63="","",IF(U63&gt;=[2]PARÁMETROS!$D$5,"CUMPLE","NO CUMPLE"))</f>
        <v/>
      </c>
      <c r="AJ63" s="138"/>
      <c r="AK63" s="109"/>
    </row>
    <row r="64" spans="1:37" s="72" customFormat="1" ht="30" customHeight="1">
      <c r="A64" s="796"/>
      <c r="B64" s="58"/>
      <c r="C64" s="464"/>
      <c r="D64" s="60" t="str">
        <f>+IFERROR(INDEX([2]CONSOLIDADO!$D$4:$D$89,MATCH('EXP GEN. 6-12'!B64,[2]CONSOLIDADO!$C$4:$C$89,0)),"")</f>
        <v/>
      </c>
      <c r="E64" s="61"/>
      <c r="F64" s="61"/>
      <c r="G64" s="277"/>
      <c r="H64" s="277"/>
      <c r="I64" s="73"/>
      <c r="J64" s="64"/>
      <c r="K64" s="64"/>
      <c r="L64" s="65" t="str">
        <f t="shared" si="0"/>
        <v/>
      </c>
      <c r="M64" s="66" t="str">
        <f>+IFERROR(INDEX([2]PARÁMETROS!$B$11:$B$37,MATCH(L64,[2]PARÁMETROS!$A$11:$A$37,0)),"")</f>
        <v/>
      </c>
      <c r="N64" s="74"/>
      <c r="O64" s="66"/>
      <c r="P64" s="58"/>
      <c r="Q64" s="69"/>
      <c r="R64" s="70"/>
      <c r="S64" s="66" t="str">
        <f t="shared" si="1"/>
        <v/>
      </c>
      <c r="T64" s="55" t="str">
        <f t="shared" si="2"/>
        <v/>
      </c>
      <c r="U64" s="55" t="str">
        <f t="shared" si="3"/>
        <v/>
      </c>
      <c r="V64" s="55"/>
      <c r="W64" s="799"/>
      <c r="X64" s="799"/>
      <c r="Y64" s="799"/>
      <c r="Z64" s="799"/>
      <c r="AA64" s="799"/>
      <c r="AB64" s="799"/>
      <c r="AC64" s="799"/>
      <c r="AD64" s="799"/>
      <c r="AE64" s="799"/>
      <c r="AF64" s="277"/>
      <c r="AG64" s="799"/>
      <c r="AH64" s="799"/>
      <c r="AI64" s="277" t="str">
        <f>+IF(U64="","",IF(U64&gt;=[2]PARÁMETROS!$D$5,"CUMPLE","NO CUMPLE"))</f>
        <v/>
      </c>
      <c r="AJ64" s="139"/>
      <c r="AK64" s="109"/>
    </row>
    <row r="65" spans="1:37" s="72" customFormat="1" ht="30" customHeight="1">
      <c r="A65" s="796"/>
      <c r="B65" s="58"/>
      <c r="C65" s="464"/>
      <c r="D65" s="60" t="str">
        <f>+IFERROR(INDEX([2]CONSOLIDADO!$D$4:$D$89,MATCH('EXP GEN. 6-12'!B65,[2]CONSOLIDADO!$C$4:$C$89,0)),"")</f>
        <v/>
      </c>
      <c r="E65" s="61"/>
      <c r="F65" s="61"/>
      <c r="G65" s="277"/>
      <c r="H65" s="277"/>
      <c r="I65" s="73"/>
      <c r="J65" s="64"/>
      <c r="K65" s="64"/>
      <c r="L65" s="65" t="str">
        <f t="shared" si="0"/>
        <v/>
      </c>
      <c r="M65" s="66" t="str">
        <f>+IFERROR(INDEX([2]PARÁMETROS!$B$11:$B$37,MATCH(L65,[2]PARÁMETROS!$A$11:$A$37,0)),"")</f>
        <v/>
      </c>
      <c r="N65" s="74"/>
      <c r="O65" s="66"/>
      <c r="P65" s="58"/>
      <c r="Q65" s="69"/>
      <c r="R65" s="70"/>
      <c r="S65" s="66" t="str">
        <f t="shared" si="1"/>
        <v/>
      </c>
      <c r="T65" s="55" t="str">
        <f t="shared" si="2"/>
        <v/>
      </c>
      <c r="U65" s="55" t="str">
        <f t="shared" si="3"/>
        <v/>
      </c>
      <c r="V65" s="55"/>
      <c r="W65" s="799"/>
      <c r="X65" s="799"/>
      <c r="Y65" s="799"/>
      <c r="Z65" s="799"/>
      <c r="AA65" s="799"/>
      <c r="AB65" s="799"/>
      <c r="AC65" s="799"/>
      <c r="AD65" s="799"/>
      <c r="AE65" s="799"/>
      <c r="AF65" s="277"/>
      <c r="AG65" s="799"/>
      <c r="AH65" s="799"/>
      <c r="AI65" s="277" t="str">
        <f>+IF(U65="","",IF(U65&gt;=[2]PARÁMETROS!$D$5,"CUMPLE","NO CUMPLE"))</f>
        <v/>
      </c>
      <c r="AJ65" s="139"/>
      <c r="AK65" s="109"/>
    </row>
    <row r="66" spans="1:37" s="72" customFormat="1" ht="30" customHeight="1">
      <c r="A66" s="796"/>
      <c r="B66" s="58"/>
      <c r="C66" s="464"/>
      <c r="D66" s="60" t="str">
        <f>+IFERROR(INDEX([2]CONSOLIDADO!$D$4:$D$89,MATCH('EXP GEN. 6-12'!B66,[2]CONSOLIDADO!$C$4:$C$89,0)),"")</f>
        <v/>
      </c>
      <c r="E66" s="61"/>
      <c r="F66" s="61"/>
      <c r="G66" s="277"/>
      <c r="H66" s="277"/>
      <c r="I66" s="73"/>
      <c r="J66" s="64"/>
      <c r="K66" s="64"/>
      <c r="L66" s="65" t="str">
        <f t="shared" si="0"/>
        <v/>
      </c>
      <c r="M66" s="66" t="str">
        <f>+IFERROR(INDEX([2]PARÁMETROS!$B$11:$B$37,MATCH(L66,[2]PARÁMETROS!$A$11:$A$37,0)),"")</f>
        <v/>
      </c>
      <c r="N66" s="74"/>
      <c r="O66" s="66"/>
      <c r="P66" s="58"/>
      <c r="Q66" s="69"/>
      <c r="R66" s="70"/>
      <c r="S66" s="66" t="str">
        <f t="shared" si="1"/>
        <v/>
      </c>
      <c r="T66" s="55" t="str">
        <f t="shared" si="2"/>
        <v/>
      </c>
      <c r="U66" s="55" t="str">
        <f t="shared" si="3"/>
        <v/>
      </c>
      <c r="V66" s="55"/>
      <c r="W66" s="799"/>
      <c r="X66" s="799"/>
      <c r="Y66" s="799"/>
      <c r="Z66" s="799"/>
      <c r="AA66" s="799"/>
      <c r="AB66" s="799"/>
      <c r="AC66" s="799"/>
      <c r="AD66" s="799"/>
      <c r="AE66" s="799"/>
      <c r="AF66" s="277"/>
      <c r="AG66" s="799"/>
      <c r="AH66" s="799"/>
      <c r="AI66" s="277" t="str">
        <f>+IF(U66="","",IF(U66&gt;=[2]PARÁMETROS!$D$5,"CUMPLE","NO CUMPLE"))</f>
        <v/>
      </c>
      <c r="AJ66" s="139"/>
      <c r="AK66" s="109"/>
    </row>
    <row r="67" spans="1:37" s="72" customFormat="1" ht="30" customHeight="1">
      <c r="A67" s="796"/>
      <c r="B67" s="58"/>
      <c r="C67" s="464"/>
      <c r="D67" s="60" t="str">
        <f>+IFERROR(INDEX([2]CONSOLIDADO!$D$4:$D$89,MATCH('EXP GEN. 6-12'!B67,[2]CONSOLIDADO!$C$4:$C$89,0)),"")</f>
        <v/>
      </c>
      <c r="E67" s="61"/>
      <c r="F67" s="61"/>
      <c r="G67" s="277"/>
      <c r="H67" s="277"/>
      <c r="I67" s="73"/>
      <c r="J67" s="64"/>
      <c r="K67" s="64"/>
      <c r="L67" s="65" t="str">
        <f t="shared" si="0"/>
        <v/>
      </c>
      <c r="M67" s="66" t="str">
        <f>+IFERROR(INDEX([2]PARÁMETROS!$B$11:$B$37,MATCH(L67,[2]PARÁMETROS!$A$11:$A$37,0)),"")</f>
        <v/>
      </c>
      <c r="N67" s="74"/>
      <c r="O67" s="66"/>
      <c r="P67" s="58"/>
      <c r="Q67" s="69"/>
      <c r="R67" s="70"/>
      <c r="S67" s="66" t="str">
        <f t="shared" si="1"/>
        <v/>
      </c>
      <c r="T67" s="55" t="str">
        <f t="shared" si="2"/>
        <v/>
      </c>
      <c r="U67" s="55" t="str">
        <f t="shared" si="3"/>
        <v/>
      </c>
      <c r="V67" s="55"/>
      <c r="W67" s="799"/>
      <c r="X67" s="799"/>
      <c r="Y67" s="799"/>
      <c r="Z67" s="799"/>
      <c r="AA67" s="799"/>
      <c r="AB67" s="799"/>
      <c r="AC67" s="799"/>
      <c r="AD67" s="799"/>
      <c r="AE67" s="799"/>
      <c r="AF67" s="277"/>
      <c r="AG67" s="799"/>
      <c r="AH67" s="799"/>
      <c r="AI67" s="277" t="str">
        <f>+IF(U67="","",IF(U67&gt;=[2]PARÁMETROS!$D$5,"CUMPLE","NO CUMPLE"))</f>
        <v/>
      </c>
      <c r="AJ67" s="139"/>
      <c r="AK67" s="109"/>
    </row>
    <row r="68" spans="1:37" s="72" customFormat="1" ht="30" customHeight="1" thickBot="1">
      <c r="A68" s="806"/>
      <c r="B68" s="141"/>
      <c r="C68" s="404"/>
      <c r="D68" s="143" t="str">
        <f>+IFERROR(INDEX([2]CONSOLIDADO!$D$4:$D$89,MATCH('EXP GEN. 6-12'!B68,[2]CONSOLIDADO!$C$4:$C$89,0)),"")</f>
        <v/>
      </c>
      <c r="E68" s="144"/>
      <c r="F68" s="144"/>
      <c r="G68" s="278"/>
      <c r="H68" s="278"/>
      <c r="I68" s="164"/>
      <c r="J68" s="147"/>
      <c r="K68" s="147"/>
      <c r="L68" s="148" t="str">
        <f t="shared" ref="L68:L74" si="6">IF(K68="","",YEAR(K68))</f>
        <v/>
      </c>
      <c r="M68" s="149" t="str">
        <f>+IFERROR(INDEX([2]PARÁMETROS!$B$11:$B$37,MATCH(L68,[2]PARÁMETROS!$A$11:$A$37,0)),"")</f>
        <v/>
      </c>
      <c r="N68" s="165"/>
      <c r="O68" s="149"/>
      <c r="P68" s="141"/>
      <c r="Q68" s="152"/>
      <c r="R68" s="153"/>
      <c r="S68" s="149" t="str">
        <f t="shared" ref="S68:S74" si="7">IF(R68&lt;&gt;"",N68*R68,"")</f>
        <v/>
      </c>
      <c r="T68" s="154" t="str">
        <f t="shared" ref="T68:T74" si="8">+IFERROR(S68/M68,"")</f>
        <v/>
      </c>
      <c r="U68" s="154" t="str">
        <f t="shared" ref="U68:U74" si="9">IFERROR(T68*I68,"")</f>
        <v/>
      </c>
      <c r="V68" s="154"/>
      <c r="W68" s="801"/>
      <c r="X68" s="801"/>
      <c r="Y68" s="801"/>
      <c r="Z68" s="801"/>
      <c r="AA68" s="801"/>
      <c r="AB68" s="801"/>
      <c r="AC68" s="801"/>
      <c r="AD68" s="801"/>
      <c r="AE68" s="801"/>
      <c r="AF68" s="278"/>
      <c r="AG68" s="801"/>
      <c r="AH68" s="801"/>
      <c r="AI68" s="278" t="str">
        <f>+IF(U68="","",IF(U68&gt;=[2]PARÁMETROS!$D$5,"CUMPLE","NO CUMPLE"))</f>
        <v/>
      </c>
      <c r="AJ68" s="155"/>
      <c r="AK68" s="109"/>
    </row>
    <row r="69" spans="1:37" s="72" customFormat="1" ht="30" customHeight="1">
      <c r="A69" s="795"/>
      <c r="B69" s="123"/>
      <c r="C69" s="466"/>
      <c r="D69" s="125" t="str">
        <f>+IFERROR(INDEX([2]CONSOLIDADO!$D$4:$D$89,MATCH('EXP GEN. 6-12'!B69,[2]CONSOLIDADO!$C$4:$C$89,0)),"")</f>
        <v/>
      </c>
      <c r="E69" s="126"/>
      <c r="F69" s="126"/>
      <c r="G69" s="279"/>
      <c r="H69" s="279"/>
      <c r="I69" s="162"/>
      <c r="J69" s="129"/>
      <c r="K69" s="129"/>
      <c r="L69" s="130" t="str">
        <f t="shared" si="6"/>
        <v/>
      </c>
      <c r="M69" s="131" t="str">
        <f>+IFERROR(INDEX([2]PARÁMETROS!$B$11:$B$37,MATCH(L69,[2]PARÁMETROS!$A$11:$A$37,0)),"")</f>
        <v/>
      </c>
      <c r="N69" s="163"/>
      <c r="O69" s="131"/>
      <c r="P69" s="123"/>
      <c r="Q69" s="134"/>
      <c r="R69" s="135"/>
      <c r="S69" s="131" t="str">
        <f t="shared" si="7"/>
        <v/>
      </c>
      <c r="T69" s="136" t="str">
        <f t="shared" si="8"/>
        <v/>
      </c>
      <c r="U69" s="136" t="str">
        <f t="shared" si="9"/>
        <v/>
      </c>
      <c r="V69" s="136"/>
      <c r="W69" s="798"/>
      <c r="X69" s="798"/>
      <c r="Y69" s="798"/>
      <c r="Z69" s="798"/>
      <c r="AA69" s="798"/>
      <c r="AB69" s="798"/>
      <c r="AC69" s="798"/>
      <c r="AD69" s="798"/>
      <c r="AE69" s="798"/>
      <c r="AF69" s="279"/>
      <c r="AG69" s="798" t="str">
        <f>IF(U69="","",IF(SUM(U69:U71)&gt;=[2]PARÁMETROS!$H$5,"HÁBIL","NO HÁBIL"))</f>
        <v/>
      </c>
      <c r="AH69" s="798" t="str">
        <f>IF(U69="","",IF(U69&gt;=[2]PARÁMETROS!$F$5,"HÁBIL","NO HÁBIL"))</f>
        <v/>
      </c>
      <c r="AI69" s="279" t="str">
        <f>+IF(U69="","",IF(U69&gt;=[2]PARÁMETROS!$D$5,"CUMPLE","NO CUMPLE"))</f>
        <v/>
      </c>
      <c r="AJ69" s="138"/>
      <c r="AK69" s="109"/>
    </row>
    <row r="70" spans="1:37" s="72" customFormat="1" ht="30" customHeight="1">
      <c r="A70" s="796"/>
      <c r="B70" s="58"/>
      <c r="C70" s="464"/>
      <c r="D70" s="60" t="str">
        <f>+IFERROR(INDEX([2]CONSOLIDADO!$D$4:$D$89,MATCH('EXP GEN. 6-12'!B70,[2]CONSOLIDADO!$C$4:$C$89,0)),"")</f>
        <v/>
      </c>
      <c r="E70" s="61"/>
      <c r="F70" s="61"/>
      <c r="G70" s="277"/>
      <c r="H70" s="277"/>
      <c r="I70" s="73"/>
      <c r="J70" s="64"/>
      <c r="K70" s="64"/>
      <c r="L70" s="65" t="str">
        <f t="shared" si="6"/>
        <v/>
      </c>
      <c r="M70" s="66" t="str">
        <f>+IFERROR(INDEX([2]PARÁMETROS!$B$11:$B$37,MATCH(L70,[2]PARÁMETROS!$A$11:$A$37,0)),"")</f>
        <v/>
      </c>
      <c r="N70" s="74"/>
      <c r="O70" s="66"/>
      <c r="P70" s="58"/>
      <c r="Q70" s="69"/>
      <c r="R70" s="70"/>
      <c r="S70" s="66" t="str">
        <f t="shared" si="7"/>
        <v/>
      </c>
      <c r="T70" s="55" t="str">
        <f t="shared" si="8"/>
        <v/>
      </c>
      <c r="U70" s="55" t="str">
        <f t="shared" si="9"/>
        <v/>
      </c>
      <c r="V70" s="55"/>
      <c r="W70" s="799"/>
      <c r="X70" s="799"/>
      <c r="Y70" s="799"/>
      <c r="Z70" s="799"/>
      <c r="AA70" s="799"/>
      <c r="AB70" s="799"/>
      <c r="AC70" s="799"/>
      <c r="AD70" s="799"/>
      <c r="AE70" s="799"/>
      <c r="AF70" s="277"/>
      <c r="AG70" s="799"/>
      <c r="AH70" s="799"/>
      <c r="AI70" s="277" t="str">
        <f>+IF(U70="","",IF(U70&gt;=[2]PARÁMETROS!$D$5,"CUMPLE","NO CUMPLE"))</f>
        <v/>
      </c>
      <c r="AJ70" s="139"/>
      <c r="AK70" s="109"/>
    </row>
    <row r="71" spans="1:37" s="72" customFormat="1" ht="30" customHeight="1">
      <c r="A71" s="796"/>
      <c r="B71" s="58"/>
      <c r="C71" s="464"/>
      <c r="D71" s="60" t="str">
        <f>+IFERROR(INDEX([2]CONSOLIDADO!$D$4:$D$89,MATCH('EXP GEN. 6-12'!B71,[2]CONSOLIDADO!$C$4:$C$89,0)),"")</f>
        <v/>
      </c>
      <c r="E71" s="61"/>
      <c r="F71" s="61"/>
      <c r="G71" s="277"/>
      <c r="H71" s="277"/>
      <c r="I71" s="73"/>
      <c r="J71" s="64"/>
      <c r="K71" s="64"/>
      <c r="L71" s="65" t="str">
        <f t="shared" si="6"/>
        <v/>
      </c>
      <c r="M71" s="66" t="str">
        <f>+IFERROR(INDEX([2]PARÁMETROS!$B$11:$B$37,MATCH(L71,[2]PARÁMETROS!$A$11:$A$37,0)),"")</f>
        <v/>
      </c>
      <c r="N71" s="74"/>
      <c r="O71" s="66"/>
      <c r="P71" s="58"/>
      <c r="Q71" s="69"/>
      <c r="R71" s="70"/>
      <c r="S71" s="66" t="str">
        <f t="shared" si="7"/>
        <v/>
      </c>
      <c r="T71" s="55" t="str">
        <f t="shared" si="8"/>
        <v/>
      </c>
      <c r="U71" s="55" t="str">
        <f t="shared" si="9"/>
        <v/>
      </c>
      <c r="V71" s="55"/>
      <c r="W71" s="799"/>
      <c r="X71" s="799"/>
      <c r="Y71" s="799"/>
      <c r="Z71" s="799"/>
      <c r="AA71" s="799"/>
      <c r="AB71" s="799"/>
      <c r="AC71" s="799"/>
      <c r="AD71" s="799"/>
      <c r="AE71" s="799"/>
      <c r="AF71" s="277"/>
      <c r="AG71" s="799"/>
      <c r="AH71" s="799"/>
      <c r="AI71" s="277" t="str">
        <f>+IF(U71="","",IF(U71&gt;=[2]PARÁMETROS!$D$5,"CUMPLE","NO CUMPLE"))</f>
        <v/>
      </c>
      <c r="AJ71" s="139"/>
      <c r="AK71" s="109"/>
    </row>
    <row r="72" spans="1:37" s="72" customFormat="1" ht="30" customHeight="1">
      <c r="A72" s="796"/>
      <c r="B72" s="58"/>
      <c r="C72" s="464"/>
      <c r="D72" s="60" t="str">
        <f>+IFERROR(INDEX([2]CONSOLIDADO!$D$4:$D$89,MATCH('EXP GEN. 6-12'!B72,[2]CONSOLIDADO!$C$4:$C$89,0)),"")</f>
        <v/>
      </c>
      <c r="E72" s="61"/>
      <c r="F72" s="61"/>
      <c r="G72" s="277"/>
      <c r="H72" s="277"/>
      <c r="I72" s="73"/>
      <c r="J72" s="64"/>
      <c r="K72" s="64"/>
      <c r="L72" s="65" t="str">
        <f t="shared" si="6"/>
        <v/>
      </c>
      <c r="M72" s="66" t="str">
        <f>+IFERROR(INDEX([2]PARÁMETROS!$B$11:$B$37,MATCH(L72,[2]PARÁMETROS!$A$11:$A$37,0)),"")</f>
        <v/>
      </c>
      <c r="N72" s="74"/>
      <c r="O72" s="66"/>
      <c r="P72" s="58"/>
      <c r="Q72" s="69"/>
      <c r="R72" s="70"/>
      <c r="S72" s="66" t="str">
        <f t="shared" si="7"/>
        <v/>
      </c>
      <c r="T72" s="55" t="str">
        <f t="shared" si="8"/>
        <v/>
      </c>
      <c r="U72" s="55" t="str">
        <f t="shared" si="9"/>
        <v/>
      </c>
      <c r="V72" s="55"/>
      <c r="W72" s="799"/>
      <c r="X72" s="799"/>
      <c r="Y72" s="799"/>
      <c r="Z72" s="799"/>
      <c r="AA72" s="799"/>
      <c r="AB72" s="799"/>
      <c r="AC72" s="799"/>
      <c r="AD72" s="799"/>
      <c r="AE72" s="799"/>
      <c r="AF72" s="277"/>
      <c r="AG72" s="799"/>
      <c r="AH72" s="799"/>
      <c r="AI72" s="277" t="str">
        <f>+IF(U72="","",IF(U72&gt;=[2]PARÁMETROS!$D$5,"CUMPLE","NO CUMPLE"))</f>
        <v/>
      </c>
      <c r="AJ72" s="139"/>
      <c r="AK72" s="109"/>
    </row>
    <row r="73" spans="1:37" s="72" customFormat="1" ht="30" customHeight="1">
      <c r="A73" s="796"/>
      <c r="B73" s="58"/>
      <c r="C73" s="464"/>
      <c r="D73" s="60" t="str">
        <f>+IFERROR(INDEX([2]CONSOLIDADO!$D$4:$D$89,MATCH('EXP GEN. 6-12'!B73,[2]CONSOLIDADO!$C$4:$C$89,0)),"")</f>
        <v/>
      </c>
      <c r="E73" s="61"/>
      <c r="F73" s="61"/>
      <c r="G73" s="277"/>
      <c r="H73" s="277"/>
      <c r="I73" s="73"/>
      <c r="J73" s="64"/>
      <c r="K73" s="64"/>
      <c r="L73" s="65" t="str">
        <f t="shared" si="6"/>
        <v/>
      </c>
      <c r="M73" s="66" t="str">
        <f>+IFERROR(INDEX([2]PARÁMETROS!$B$11:$B$37,MATCH(L73,[2]PARÁMETROS!$A$11:$A$37,0)),"")</f>
        <v/>
      </c>
      <c r="N73" s="74"/>
      <c r="O73" s="66"/>
      <c r="P73" s="58"/>
      <c r="Q73" s="69"/>
      <c r="R73" s="70"/>
      <c r="S73" s="66" t="str">
        <f t="shared" si="7"/>
        <v/>
      </c>
      <c r="T73" s="55" t="str">
        <f t="shared" si="8"/>
        <v/>
      </c>
      <c r="U73" s="55" t="str">
        <f t="shared" si="9"/>
        <v/>
      </c>
      <c r="V73" s="55"/>
      <c r="W73" s="799"/>
      <c r="X73" s="799"/>
      <c r="Y73" s="799"/>
      <c r="Z73" s="799"/>
      <c r="AA73" s="799"/>
      <c r="AB73" s="799"/>
      <c r="AC73" s="799"/>
      <c r="AD73" s="799"/>
      <c r="AE73" s="799"/>
      <c r="AF73" s="277"/>
      <c r="AG73" s="799"/>
      <c r="AH73" s="799"/>
      <c r="AI73" s="277" t="str">
        <f>+IF(U73="","",IF(U73&gt;=[2]PARÁMETROS!$D$5,"CUMPLE","NO CUMPLE"))</f>
        <v/>
      </c>
      <c r="AJ73" s="139"/>
      <c r="AK73" s="109"/>
    </row>
    <row r="74" spans="1:37" s="72" customFormat="1" ht="30" customHeight="1" thickBot="1">
      <c r="A74" s="806"/>
      <c r="B74" s="141"/>
      <c r="C74" s="404"/>
      <c r="D74" s="143" t="str">
        <f>+IFERROR(INDEX([2]CONSOLIDADO!$D$4:$D$89,MATCH('EXP GEN. 6-12'!B74,[2]CONSOLIDADO!$C$4:$C$89,0)),"")</f>
        <v/>
      </c>
      <c r="E74" s="144"/>
      <c r="F74" s="144"/>
      <c r="G74" s="278"/>
      <c r="H74" s="278"/>
      <c r="I74" s="164"/>
      <c r="J74" s="147"/>
      <c r="K74" s="147"/>
      <c r="L74" s="148" t="str">
        <f t="shared" si="6"/>
        <v/>
      </c>
      <c r="M74" s="149" t="str">
        <f>+IFERROR(INDEX([2]PARÁMETROS!$B$11:$B$37,MATCH(L74,[2]PARÁMETROS!$A$11:$A$37,0)),"")</f>
        <v/>
      </c>
      <c r="N74" s="165"/>
      <c r="O74" s="149"/>
      <c r="P74" s="141"/>
      <c r="Q74" s="152"/>
      <c r="R74" s="153"/>
      <c r="S74" s="149" t="str">
        <f t="shared" si="7"/>
        <v/>
      </c>
      <c r="T74" s="154" t="str">
        <f t="shared" si="8"/>
        <v/>
      </c>
      <c r="U74" s="154" t="str">
        <f t="shared" si="9"/>
        <v/>
      </c>
      <c r="V74" s="154"/>
      <c r="W74" s="801"/>
      <c r="X74" s="801"/>
      <c r="Y74" s="801"/>
      <c r="Z74" s="801"/>
      <c r="AA74" s="801"/>
      <c r="AB74" s="801"/>
      <c r="AC74" s="801"/>
      <c r="AD74" s="801"/>
      <c r="AE74" s="801"/>
      <c r="AF74" s="278"/>
      <c r="AG74" s="801"/>
      <c r="AH74" s="801"/>
      <c r="AI74" s="278" t="str">
        <f>+IF(U74="","",IF(U74&gt;=[2]PARÁMETROS!$D$5,"CUMPLE","NO CUMPLE"))</f>
        <v/>
      </c>
      <c r="AJ74" s="155"/>
      <c r="AK74" s="109"/>
    </row>
    <row r="75" spans="1:37" s="72" customFormat="1" ht="30" customHeight="1">
      <c r="A75" s="58"/>
      <c r="B75" s="58"/>
      <c r="C75" s="464"/>
      <c r="D75" s="60"/>
      <c r="E75" s="61"/>
      <c r="F75" s="61"/>
      <c r="G75" s="61"/>
      <c r="H75" s="61"/>
      <c r="I75" s="73"/>
      <c r="J75" s="64"/>
      <c r="K75" s="64"/>
      <c r="L75" s="65"/>
      <c r="M75" s="66"/>
      <c r="N75" s="74"/>
      <c r="O75" s="66"/>
      <c r="P75" s="58"/>
      <c r="Q75" s="69"/>
      <c r="R75" s="70"/>
      <c r="S75" s="66"/>
      <c r="T75" s="55"/>
      <c r="U75" s="55"/>
      <c r="V75" s="55"/>
      <c r="W75" s="277"/>
      <c r="X75" s="277"/>
      <c r="Y75" s="277"/>
      <c r="Z75" s="277"/>
      <c r="AA75" s="277"/>
      <c r="AB75" s="277"/>
      <c r="AC75" s="277"/>
      <c r="AD75" s="277"/>
      <c r="AE75" s="277"/>
      <c r="AF75" s="277"/>
      <c r="AG75" s="277"/>
      <c r="AH75" s="277"/>
      <c r="AI75" s="277"/>
      <c r="AJ75" s="61"/>
    </row>
    <row r="76" spans="1:37" s="72" customFormat="1" ht="30" customHeight="1">
      <c r="A76" s="58"/>
      <c r="B76" s="58"/>
      <c r="C76" s="464"/>
      <c r="D76" s="60"/>
      <c r="E76" s="61"/>
      <c r="F76" s="61"/>
      <c r="G76" s="61"/>
      <c r="H76" s="61"/>
      <c r="I76" s="73"/>
      <c r="J76" s="64"/>
      <c r="K76" s="64"/>
      <c r="L76" s="65"/>
      <c r="M76" s="66"/>
      <c r="N76" s="74"/>
      <c r="O76" s="66"/>
      <c r="P76" s="58"/>
      <c r="Q76" s="69"/>
      <c r="R76" s="70"/>
      <c r="S76" s="66"/>
      <c r="T76" s="55"/>
      <c r="U76" s="55"/>
      <c r="V76" s="55"/>
      <c r="W76" s="277"/>
      <c r="X76" s="277"/>
      <c r="Y76" s="277"/>
      <c r="Z76" s="277"/>
      <c r="AA76" s="277"/>
      <c r="AB76" s="277"/>
      <c r="AC76" s="277"/>
      <c r="AD76" s="277"/>
      <c r="AE76" s="277"/>
      <c r="AF76" s="277"/>
      <c r="AG76" s="277"/>
      <c r="AH76" s="277"/>
      <c r="AI76" s="277"/>
      <c r="AJ76" s="61"/>
    </row>
    <row r="77" spans="1:37" s="72" customFormat="1" ht="30" customHeight="1">
      <c r="A77" s="58"/>
      <c r="B77" s="58"/>
      <c r="C77" s="464"/>
      <c r="D77" s="60"/>
      <c r="E77" s="61"/>
      <c r="F77" s="61"/>
      <c r="G77" s="61"/>
      <c r="H77" s="61"/>
      <c r="I77" s="73"/>
      <c r="J77" s="64"/>
      <c r="K77" s="64"/>
      <c r="L77" s="65"/>
      <c r="M77" s="66"/>
      <c r="N77" s="74"/>
      <c r="O77" s="66"/>
      <c r="P77" s="58"/>
      <c r="Q77" s="69"/>
      <c r="R77" s="70"/>
      <c r="S77" s="66"/>
      <c r="T77" s="55"/>
      <c r="U77" s="55"/>
      <c r="V77" s="55"/>
      <c r="W77" s="277"/>
      <c r="X77" s="277"/>
      <c r="Y77" s="277"/>
      <c r="Z77" s="277"/>
      <c r="AA77" s="277"/>
      <c r="AB77" s="277"/>
      <c r="AC77" s="277"/>
      <c r="AD77" s="277"/>
      <c r="AE77" s="277"/>
      <c r="AF77" s="277"/>
      <c r="AG77" s="277"/>
      <c r="AH77" s="277"/>
      <c r="AI77" s="277"/>
      <c r="AJ77" s="61"/>
    </row>
    <row r="78" spans="1:37" s="72" customFormat="1" ht="30" customHeight="1">
      <c r="A78" s="58"/>
      <c r="B78" s="58"/>
      <c r="C78" s="464"/>
      <c r="D78" s="60"/>
      <c r="E78" s="61"/>
      <c r="F78" s="61"/>
      <c r="G78" s="61"/>
      <c r="H78" s="61"/>
      <c r="I78" s="73"/>
      <c r="J78" s="64"/>
      <c r="K78" s="64"/>
      <c r="L78" s="65"/>
      <c r="M78" s="66"/>
      <c r="N78" s="74"/>
      <c r="O78" s="66"/>
      <c r="P78" s="58"/>
      <c r="Q78" s="69"/>
      <c r="R78" s="70"/>
      <c r="S78" s="66"/>
      <c r="T78" s="55"/>
      <c r="U78" s="55"/>
      <c r="V78" s="55"/>
      <c r="W78" s="277"/>
      <c r="X78" s="277"/>
      <c r="Y78" s="277"/>
      <c r="Z78" s="277"/>
      <c r="AA78" s="277"/>
      <c r="AB78" s="277"/>
      <c r="AC78" s="277"/>
      <c r="AD78" s="277"/>
      <c r="AE78" s="277"/>
      <c r="AF78" s="277"/>
      <c r="AG78" s="277"/>
      <c r="AH78" s="277"/>
      <c r="AI78" s="277"/>
      <c r="AJ78" s="61"/>
    </row>
    <row r="79" spans="1:37" s="72" customFormat="1" ht="30" customHeight="1">
      <c r="A79" s="58"/>
      <c r="B79" s="58"/>
      <c r="C79" s="464"/>
      <c r="D79" s="60"/>
      <c r="E79" s="61"/>
      <c r="F79" s="61"/>
      <c r="G79" s="61"/>
      <c r="H79" s="61"/>
      <c r="I79" s="73"/>
      <c r="J79" s="64"/>
      <c r="K79" s="64"/>
      <c r="L79" s="65"/>
      <c r="M79" s="66"/>
      <c r="N79" s="74"/>
      <c r="O79" s="66"/>
      <c r="P79" s="58"/>
      <c r="Q79" s="69"/>
      <c r="R79" s="70"/>
      <c r="S79" s="66"/>
      <c r="T79" s="55"/>
      <c r="U79" s="55"/>
      <c r="V79" s="55"/>
      <c r="W79" s="277"/>
      <c r="X79" s="277"/>
      <c r="Y79" s="277"/>
      <c r="Z79" s="277"/>
      <c r="AA79" s="277"/>
      <c r="AB79" s="277"/>
      <c r="AC79" s="277"/>
      <c r="AD79" s="277"/>
      <c r="AE79" s="277"/>
      <c r="AF79" s="277"/>
      <c r="AG79" s="277"/>
      <c r="AH79" s="277"/>
      <c r="AI79" s="277"/>
      <c r="AJ79" s="61"/>
    </row>
    <row r="80" spans="1:37" s="72" customFormat="1" ht="30" customHeight="1">
      <c r="A80" s="58"/>
      <c r="B80" s="58"/>
      <c r="C80" s="464"/>
      <c r="D80" s="60"/>
      <c r="E80" s="61"/>
      <c r="F80" s="61"/>
      <c r="G80" s="61"/>
      <c r="H80" s="61"/>
      <c r="I80" s="73"/>
      <c r="J80" s="64"/>
      <c r="K80" s="64"/>
      <c r="L80" s="65"/>
      <c r="M80" s="66"/>
      <c r="N80" s="74"/>
      <c r="O80" s="66"/>
      <c r="P80" s="58"/>
      <c r="Q80" s="69"/>
      <c r="R80" s="70"/>
      <c r="S80" s="66"/>
      <c r="T80" s="55"/>
      <c r="U80" s="55"/>
      <c r="V80" s="55"/>
      <c r="W80" s="277"/>
      <c r="X80" s="277"/>
      <c r="Y80" s="277"/>
      <c r="Z80" s="277"/>
      <c r="AA80" s="277"/>
      <c r="AB80" s="277"/>
      <c r="AC80" s="277"/>
      <c r="AD80" s="277"/>
      <c r="AE80" s="277"/>
      <c r="AF80" s="277"/>
      <c r="AG80" s="277"/>
      <c r="AH80" s="277"/>
      <c r="AI80" s="277"/>
      <c r="AJ80" s="61"/>
    </row>
    <row r="81" spans="1:36" s="72" customFormat="1" ht="30" customHeight="1">
      <c r="A81" s="58"/>
      <c r="B81" s="58"/>
      <c r="C81" s="464"/>
      <c r="D81" s="60"/>
      <c r="E81" s="61"/>
      <c r="F81" s="61"/>
      <c r="G81" s="61"/>
      <c r="H81" s="61"/>
      <c r="I81" s="73"/>
      <c r="J81" s="64"/>
      <c r="K81" s="64"/>
      <c r="L81" s="65"/>
      <c r="M81" s="66"/>
      <c r="N81" s="74"/>
      <c r="O81" s="66"/>
      <c r="P81" s="58"/>
      <c r="Q81" s="69"/>
      <c r="R81" s="70"/>
      <c r="S81" s="66"/>
      <c r="T81" s="55"/>
      <c r="U81" s="55"/>
      <c r="V81" s="55"/>
      <c r="W81" s="277"/>
      <c r="X81" s="277"/>
      <c r="Y81" s="277"/>
      <c r="Z81" s="277"/>
      <c r="AA81" s="277"/>
      <c r="AB81" s="277"/>
      <c r="AC81" s="277"/>
      <c r="AD81" s="277"/>
      <c r="AE81" s="277"/>
      <c r="AF81" s="277"/>
      <c r="AG81" s="277"/>
      <c r="AH81" s="277"/>
      <c r="AI81" s="277"/>
      <c r="AJ81" s="61"/>
    </row>
    <row r="82" spans="1:36" s="72" customFormat="1" ht="30" customHeight="1">
      <c r="A82" s="58"/>
      <c r="B82" s="58"/>
      <c r="C82" s="464"/>
      <c r="D82" s="60"/>
      <c r="E82" s="61"/>
      <c r="F82" s="61"/>
      <c r="G82" s="61"/>
      <c r="H82" s="61"/>
      <c r="I82" s="73"/>
      <c r="J82" s="64"/>
      <c r="K82" s="64"/>
      <c r="L82" s="65"/>
      <c r="M82" s="66"/>
      <c r="N82" s="74"/>
      <c r="O82" s="66"/>
      <c r="P82" s="58"/>
      <c r="Q82" s="69"/>
      <c r="R82" s="70"/>
      <c r="S82" s="66"/>
      <c r="T82" s="55"/>
      <c r="U82" s="55"/>
      <c r="V82" s="55"/>
      <c r="W82" s="277"/>
      <c r="X82" s="277"/>
      <c r="Y82" s="277"/>
      <c r="Z82" s="277"/>
      <c r="AA82" s="277"/>
      <c r="AB82" s="277"/>
      <c r="AC82" s="277"/>
      <c r="AD82" s="277"/>
      <c r="AE82" s="277"/>
      <c r="AF82" s="277"/>
      <c r="AG82" s="277"/>
      <c r="AH82" s="277"/>
      <c r="AI82" s="277"/>
      <c r="AJ82" s="61"/>
    </row>
    <row r="83" spans="1:36" s="72" customFormat="1" ht="30" customHeight="1">
      <c r="A83" s="58"/>
      <c r="B83" s="58"/>
      <c r="C83" s="464"/>
      <c r="D83" s="60"/>
      <c r="E83" s="61"/>
      <c r="F83" s="61"/>
      <c r="G83" s="61"/>
      <c r="H83" s="61"/>
      <c r="I83" s="73"/>
      <c r="J83" s="64"/>
      <c r="K83" s="64"/>
      <c r="L83" s="65"/>
      <c r="M83" s="66"/>
      <c r="N83" s="74"/>
      <c r="O83" s="66"/>
      <c r="P83" s="58"/>
      <c r="Q83" s="69"/>
      <c r="R83" s="70"/>
      <c r="S83" s="66"/>
      <c r="T83" s="55"/>
      <c r="U83" s="55"/>
      <c r="V83" s="55"/>
      <c r="W83" s="277"/>
      <c r="X83" s="277"/>
      <c r="Y83" s="277"/>
      <c r="Z83" s="277"/>
      <c r="AA83" s="277"/>
      <c r="AB83" s="277"/>
      <c r="AC83" s="277"/>
      <c r="AD83" s="277"/>
      <c r="AE83" s="277"/>
      <c r="AF83" s="277"/>
      <c r="AG83" s="277"/>
      <c r="AH83" s="277"/>
      <c r="AI83" s="277"/>
      <c r="AJ83" s="61"/>
    </row>
    <row r="84" spans="1:36" s="72" customFormat="1" ht="30" customHeight="1">
      <c r="A84" s="58"/>
      <c r="B84" s="58"/>
      <c r="C84" s="464"/>
      <c r="D84" s="60"/>
      <c r="E84" s="61"/>
      <c r="F84" s="61"/>
      <c r="G84" s="61"/>
      <c r="H84" s="61"/>
      <c r="I84" s="73"/>
      <c r="J84" s="64"/>
      <c r="K84" s="64"/>
      <c r="L84" s="65"/>
      <c r="M84" s="66"/>
      <c r="N84" s="74"/>
      <c r="O84" s="66"/>
      <c r="P84" s="58"/>
      <c r="Q84" s="69"/>
      <c r="R84" s="70"/>
      <c r="S84" s="66"/>
      <c r="T84" s="55"/>
      <c r="U84" s="55"/>
      <c r="V84" s="55"/>
      <c r="W84" s="277"/>
      <c r="X84" s="277"/>
      <c r="Y84" s="277"/>
      <c r="Z84" s="277"/>
      <c r="AA84" s="277"/>
      <c r="AB84" s="277"/>
      <c r="AC84" s="277"/>
      <c r="AD84" s="277"/>
      <c r="AE84" s="277"/>
      <c r="AF84" s="277"/>
      <c r="AG84" s="277"/>
      <c r="AH84" s="277"/>
      <c r="AI84" s="277"/>
      <c r="AJ84" s="61"/>
    </row>
    <row r="85" spans="1:36" s="72" customFormat="1" ht="30" customHeight="1">
      <c r="A85" s="58"/>
      <c r="B85" s="58"/>
      <c r="C85" s="464"/>
      <c r="D85" s="60"/>
      <c r="E85" s="61"/>
      <c r="F85" s="61"/>
      <c r="G85" s="61"/>
      <c r="H85" s="61"/>
      <c r="I85" s="73"/>
      <c r="J85" s="64"/>
      <c r="K85" s="64"/>
      <c r="L85" s="65"/>
      <c r="M85" s="66"/>
      <c r="N85" s="74"/>
      <c r="O85" s="66"/>
      <c r="P85" s="58"/>
      <c r="Q85" s="69"/>
      <c r="R85" s="70"/>
      <c r="S85" s="66"/>
      <c r="T85" s="55"/>
      <c r="U85" s="55"/>
      <c r="V85" s="55"/>
      <c r="W85" s="277"/>
      <c r="X85" s="277"/>
      <c r="Y85" s="277"/>
      <c r="Z85" s="277"/>
      <c r="AA85" s="277"/>
      <c r="AB85" s="277"/>
      <c r="AC85" s="277"/>
      <c r="AD85" s="277"/>
      <c r="AE85" s="277"/>
      <c r="AF85" s="277"/>
      <c r="AG85" s="277"/>
      <c r="AH85" s="277"/>
      <c r="AI85" s="277"/>
      <c r="AJ85" s="61"/>
    </row>
    <row r="86" spans="1:36" s="72" customFormat="1" ht="30" customHeight="1">
      <c r="A86" s="58"/>
      <c r="B86" s="58"/>
      <c r="C86" s="464"/>
      <c r="D86" s="60"/>
      <c r="E86" s="61"/>
      <c r="F86" s="61"/>
      <c r="G86" s="61"/>
      <c r="H86" s="61"/>
      <c r="I86" s="73"/>
      <c r="J86" s="64"/>
      <c r="K86" s="64"/>
      <c r="L86" s="65"/>
      <c r="M86" s="66"/>
      <c r="N86" s="74"/>
      <c r="O86" s="66"/>
      <c r="P86" s="58"/>
      <c r="Q86" s="69"/>
      <c r="R86" s="70"/>
      <c r="S86" s="66"/>
      <c r="T86" s="55"/>
      <c r="U86" s="55"/>
      <c r="V86" s="55"/>
      <c r="W86" s="277"/>
      <c r="X86" s="277"/>
      <c r="Y86" s="277"/>
      <c r="Z86" s="277"/>
      <c r="AA86" s="277"/>
      <c r="AB86" s="277"/>
      <c r="AC86" s="277"/>
      <c r="AD86" s="277"/>
      <c r="AE86" s="277"/>
      <c r="AF86" s="277"/>
      <c r="AG86" s="277"/>
      <c r="AH86" s="277"/>
      <c r="AI86" s="277"/>
      <c r="AJ86" s="61"/>
    </row>
    <row r="87" spans="1:36" s="99" customFormat="1" ht="30" customHeight="1">
      <c r="A87" s="89"/>
      <c r="B87" s="89"/>
      <c r="C87" s="482"/>
      <c r="D87" s="91"/>
      <c r="E87" s="92"/>
      <c r="F87" s="92"/>
      <c r="G87" s="92"/>
      <c r="H87" s="92"/>
      <c r="I87" s="93"/>
      <c r="J87" s="94"/>
      <c r="K87" s="94"/>
      <c r="L87" s="95"/>
      <c r="M87" s="66"/>
      <c r="N87" s="96"/>
      <c r="O87" s="97"/>
      <c r="P87" s="58"/>
      <c r="Q87" s="69"/>
      <c r="R87" s="70"/>
      <c r="S87" s="66"/>
      <c r="T87" s="55"/>
      <c r="U87" s="55"/>
      <c r="V87" s="55"/>
      <c r="W87" s="98"/>
      <c r="X87" s="98"/>
      <c r="Y87" s="98"/>
      <c r="Z87" s="98"/>
      <c r="AA87" s="98"/>
      <c r="AB87" s="98"/>
      <c r="AC87" s="98"/>
      <c r="AD87" s="98"/>
      <c r="AE87" s="98"/>
      <c r="AF87" s="277"/>
      <c r="AG87" s="277"/>
      <c r="AH87" s="277"/>
      <c r="AI87" s="277"/>
      <c r="AJ87" s="92"/>
    </row>
    <row r="88" spans="1:36" s="99" customFormat="1" ht="30" customHeight="1">
      <c r="A88" s="89"/>
      <c r="B88" s="89"/>
      <c r="C88" s="482"/>
      <c r="D88" s="91"/>
      <c r="E88" s="92"/>
      <c r="F88" s="92"/>
      <c r="G88" s="92"/>
      <c r="H88" s="92"/>
      <c r="I88" s="93"/>
      <c r="J88" s="94"/>
      <c r="K88" s="94"/>
      <c r="L88" s="95"/>
      <c r="M88" s="66"/>
      <c r="N88" s="96"/>
      <c r="O88" s="97"/>
      <c r="P88" s="58"/>
      <c r="Q88" s="69"/>
      <c r="R88" s="70"/>
      <c r="S88" s="66"/>
      <c r="T88" s="55"/>
      <c r="U88" s="55"/>
      <c r="V88" s="55"/>
      <c r="W88" s="98"/>
      <c r="X88" s="98"/>
      <c r="Y88" s="98"/>
      <c r="Z88" s="98"/>
      <c r="AA88" s="98"/>
      <c r="AB88" s="98"/>
      <c r="AC88" s="98"/>
      <c r="AD88" s="98"/>
      <c r="AE88" s="98"/>
      <c r="AF88" s="277"/>
      <c r="AG88" s="277"/>
      <c r="AH88" s="277"/>
      <c r="AI88" s="277"/>
      <c r="AJ88" s="92"/>
    </row>
    <row r="89" spans="1:36" s="99" customFormat="1" ht="30" customHeight="1">
      <c r="A89" s="89"/>
      <c r="B89" s="89"/>
      <c r="C89" s="482"/>
      <c r="D89" s="91"/>
      <c r="E89" s="92"/>
      <c r="F89" s="92"/>
      <c r="G89" s="92"/>
      <c r="H89" s="92"/>
      <c r="I89" s="93"/>
      <c r="J89" s="94"/>
      <c r="K89" s="94"/>
      <c r="L89" s="95"/>
      <c r="M89" s="66"/>
      <c r="N89" s="96"/>
      <c r="O89" s="97"/>
      <c r="P89" s="58"/>
      <c r="Q89" s="69"/>
      <c r="R89" s="70"/>
      <c r="S89" s="66"/>
      <c r="T89" s="55"/>
      <c r="U89" s="55"/>
      <c r="V89" s="55"/>
      <c r="W89" s="98"/>
      <c r="X89" s="98"/>
      <c r="Y89" s="98"/>
      <c r="Z89" s="98"/>
      <c r="AA89" s="98"/>
      <c r="AB89" s="98"/>
      <c r="AC89" s="98"/>
      <c r="AD89" s="98"/>
      <c r="AE89" s="98"/>
      <c r="AF89" s="277"/>
      <c r="AG89" s="277"/>
      <c r="AH89" s="277"/>
      <c r="AI89" s="277"/>
      <c r="AJ89" s="92"/>
    </row>
    <row r="90" spans="1:36" s="99" customFormat="1" ht="30" customHeight="1">
      <c r="A90" s="89"/>
      <c r="B90" s="89"/>
      <c r="C90" s="482"/>
      <c r="D90" s="91"/>
      <c r="E90" s="92"/>
      <c r="F90" s="92"/>
      <c r="G90" s="92"/>
      <c r="H90" s="92"/>
      <c r="I90" s="93"/>
      <c r="J90" s="94"/>
      <c r="K90" s="94"/>
      <c r="L90" s="95"/>
      <c r="M90" s="66"/>
      <c r="N90" s="96"/>
      <c r="O90" s="97"/>
      <c r="P90" s="58"/>
      <c r="Q90" s="69"/>
      <c r="R90" s="70"/>
      <c r="S90" s="66"/>
      <c r="T90" s="55"/>
      <c r="U90" s="55"/>
      <c r="V90" s="55"/>
      <c r="W90" s="98"/>
      <c r="X90" s="98"/>
      <c r="Y90" s="98"/>
      <c r="Z90" s="98"/>
      <c r="AA90" s="98"/>
      <c r="AB90" s="98"/>
      <c r="AC90" s="98"/>
      <c r="AD90" s="98"/>
      <c r="AE90" s="98"/>
      <c r="AF90" s="277"/>
      <c r="AG90" s="277"/>
      <c r="AH90" s="277"/>
      <c r="AI90" s="277"/>
      <c r="AJ90" s="92"/>
    </row>
    <row r="91" spans="1:36" s="99" customFormat="1" ht="30" customHeight="1">
      <c r="A91" s="89"/>
      <c r="B91" s="89"/>
      <c r="C91" s="482"/>
      <c r="D91" s="91"/>
      <c r="E91" s="92"/>
      <c r="F91" s="92"/>
      <c r="G91" s="92"/>
      <c r="H91" s="92"/>
      <c r="I91" s="93"/>
      <c r="J91" s="94"/>
      <c r="K91" s="94"/>
      <c r="L91" s="95"/>
      <c r="M91" s="66"/>
      <c r="N91" s="96"/>
      <c r="O91" s="97"/>
      <c r="P91" s="58"/>
      <c r="Q91" s="69"/>
      <c r="R91" s="70"/>
      <c r="S91" s="66"/>
      <c r="T91" s="55"/>
      <c r="U91" s="55"/>
      <c r="V91" s="55"/>
      <c r="W91" s="98"/>
      <c r="X91" s="98"/>
      <c r="Y91" s="98"/>
      <c r="Z91" s="98"/>
      <c r="AA91" s="98"/>
      <c r="AB91" s="98"/>
      <c r="AC91" s="98"/>
      <c r="AD91" s="98"/>
      <c r="AE91" s="98"/>
      <c r="AF91" s="277"/>
      <c r="AG91" s="277"/>
      <c r="AH91" s="277"/>
      <c r="AI91" s="277"/>
      <c r="AJ91" s="92"/>
    </row>
    <row r="92" spans="1:36" s="99" customFormat="1" ht="30" customHeight="1">
      <c r="A92" s="89"/>
      <c r="B92" s="89"/>
      <c r="C92" s="482"/>
      <c r="D92" s="91"/>
      <c r="E92" s="92"/>
      <c r="F92" s="92"/>
      <c r="G92" s="92"/>
      <c r="H92" s="92"/>
      <c r="I92" s="93"/>
      <c r="J92" s="94"/>
      <c r="K92" s="94"/>
      <c r="L92" s="95"/>
      <c r="M92" s="66"/>
      <c r="N92" s="96"/>
      <c r="O92" s="97"/>
      <c r="P92" s="58"/>
      <c r="Q92" s="69"/>
      <c r="R92" s="70"/>
      <c r="S92" s="66"/>
      <c r="T92" s="55"/>
      <c r="U92" s="55"/>
      <c r="V92" s="55"/>
      <c r="W92" s="98"/>
      <c r="X92" s="98"/>
      <c r="Y92" s="98"/>
      <c r="Z92" s="98"/>
      <c r="AA92" s="98"/>
      <c r="AB92" s="98"/>
      <c r="AC92" s="98"/>
      <c r="AD92" s="98"/>
      <c r="AE92" s="98"/>
      <c r="AF92" s="277"/>
      <c r="AG92" s="277"/>
      <c r="AH92" s="277"/>
      <c r="AI92" s="277"/>
      <c r="AJ92" s="92"/>
    </row>
    <row r="93" spans="1:36" s="99" customFormat="1" ht="30" customHeight="1">
      <c r="A93" s="89"/>
      <c r="B93" s="89"/>
      <c r="C93" s="482"/>
      <c r="D93" s="91"/>
      <c r="E93" s="92"/>
      <c r="F93" s="92"/>
      <c r="G93" s="92"/>
      <c r="H93" s="92"/>
      <c r="I93" s="93"/>
      <c r="J93" s="94"/>
      <c r="K93" s="94"/>
      <c r="L93" s="95"/>
      <c r="M93" s="66"/>
      <c r="N93" s="96"/>
      <c r="O93" s="97"/>
      <c r="P93" s="58"/>
      <c r="Q93" s="69"/>
      <c r="R93" s="70"/>
      <c r="S93" s="66"/>
      <c r="T93" s="55"/>
      <c r="U93" s="55"/>
      <c r="V93" s="55"/>
      <c r="W93" s="98"/>
      <c r="X93" s="98"/>
      <c r="Y93" s="98"/>
      <c r="Z93" s="98"/>
      <c r="AA93" s="98"/>
      <c r="AB93" s="98"/>
      <c r="AC93" s="98"/>
      <c r="AD93" s="98"/>
      <c r="AE93" s="98"/>
      <c r="AF93" s="277"/>
      <c r="AG93" s="277"/>
      <c r="AH93" s="277"/>
      <c r="AI93" s="277"/>
      <c r="AJ93" s="92"/>
    </row>
    <row r="94" spans="1:36" s="99" customFormat="1" ht="30" customHeight="1">
      <c r="A94" s="89"/>
      <c r="B94" s="89"/>
      <c r="C94" s="482"/>
      <c r="D94" s="91"/>
      <c r="E94" s="92"/>
      <c r="F94" s="92"/>
      <c r="G94" s="92"/>
      <c r="H94" s="92"/>
      <c r="I94" s="93"/>
      <c r="J94" s="94"/>
      <c r="K94" s="94"/>
      <c r="L94" s="95"/>
      <c r="M94" s="66"/>
      <c r="N94" s="96"/>
      <c r="O94" s="97"/>
      <c r="P94" s="58"/>
      <c r="Q94" s="69"/>
      <c r="R94" s="70"/>
      <c r="S94" s="66"/>
      <c r="T94" s="55"/>
      <c r="U94" s="55"/>
      <c r="V94" s="55"/>
      <c r="W94" s="98"/>
      <c r="X94" s="98"/>
      <c r="Y94" s="98"/>
      <c r="Z94" s="98"/>
      <c r="AA94" s="98"/>
      <c r="AB94" s="98"/>
      <c r="AC94" s="98"/>
      <c r="AD94" s="98"/>
      <c r="AE94" s="98"/>
      <c r="AF94" s="277"/>
      <c r="AG94" s="277"/>
      <c r="AH94" s="277"/>
      <c r="AI94" s="277"/>
      <c r="AJ94" s="92"/>
    </row>
    <row r="95" spans="1:36" s="99" customFormat="1" ht="30" customHeight="1">
      <c r="A95" s="89"/>
      <c r="B95" s="89"/>
      <c r="C95" s="482"/>
      <c r="D95" s="91"/>
      <c r="E95" s="92"/>
      <c r="F95" s="92"/>
      <c r="G95" s="92"/>
      <c r="H95" s="92"/>
      <c r="I95" s="93"/>
      <c r="J95" s="94"/>
      <c r="K95" s="94"/>
      <c r="L95" s="95"/>
      <c r="M95" s="66"/>
      <c r="N95" s="96"/>
      <c r="O95" s="97"/>
      <c r="P95" s="58"/>
      <c r="Q95" s="69"/>
      <c r="R95" s="70"/>
      <c r="S95" s="66"/>
      <c r="T95" s="55"/>
      <c r="U95" s="55"/>
      <c r="V95" s="55"/>
      <c r="W95" s="98"/>
      <c r="X95" s="98"/>
      <c r="Y95" s="98"/>
      <c r="Z95" s="98"/>
      <c r="AA95" s="98"/>
      <c r="AB95" s="98"/>
      <c r="AC95" s="98"/>
      <c r="AD95" s="98"/>
      <c r="AE95" s="98"/>
      <c r="AF95" s="277"/>
      <c r="AG95" s="277"/>
      <c r="AH95" s="277"/>
      <c r="AI95" s="277"/>
      <c r="AJ95" s="92"/>
    </row>
    <row r="96" spans="1:36" s="99" customFormat="1" ht="30" customHeight="1">
      <c r="A96" s="89"/>
      <c r="B96" s="89"/>
      <c r="C96" s="482"/>
      <c r="D96" s="91"/>
      <c r="E96" s="92"/>
      <c r="F96" s="92"/>
      <c r="G96" s="92"/>
      <c r="H96" s="92"/>
      <c r="I96" s="93"/>
      <c r="J96" s="94"/>
      <c r="K96" s="94"/>
      <c r="L96" s="95"/>
      <c r="M96" s="66"/>
      <c r="N96" s="96"/>
      <c r="O96" s="97"/>
      <c r="P96" s="58"/>
      <c r="Q96" s="69"/>
      <c r="R96" s="70"/>
      <c r="S96" s="66"/>
      <c r="T96" s="55"/>
      <c r="U96" s="55"/>
      <c r="V96" s="55"/>
      <c r="W96" s="98"/>
      <c r="X96" s="98"/>
      <c r="Y96" s="98"/>
      <c r="Z96" s="98"/>
      <c r="AA96" s="98"/>
      <c r="AB96" s="98"/>
      <c r="AC96" s="98"/>
      <c r="AD96" s="98"/>
      <c r="AE96" s="98"/>
      <c r="AF96" s="277"/>
      <c r="AG96" s="277"/>
      <c r="AH96" s="277"/>
      <c r="AI96" s="277"/>
      <c r="AJ96" s="92"/>
    </row>
    <row r="97" spans="1:36" s="99" customFormat="1" ht="30" customHeight="1">
      <c r="A97" s="89"/>
      <c r="B97" s="89"/>
      <c r="C97" s="482"/>
      <c r="D97" s="91"/>
      <c r="E97" s="92"/>
      <c r="F97" s="92"/>
      <c r="G97" s="92"/>
      <c r="H97" s="92"/>
      <c r="I97" s="93"/>
      <c r="J97" s="94"/>
      <c r="K97" s="94"/>
      <c r="L97" s="95"/>
      <c r="M97" s="66"/>
      <c r="N97" s="96"/>
      <c r="O97" s="97"/>
      <c r="P97" s="58"/>
      <c r="Q97" s="69"/>
      <c r="R97" s="70"/>
      <c r="S97" s="66"/>
      <c r="T97" s="55"/>
      <c r="U97" s="55"/>
      <c r="V97" s="55"/>
      <c r="W97" s="98"/>
      <c r="X97" s="98"/>
      <c r="Y97" s="98"/>
      <c r="Z97" s="98"/>
      <c r="AA97" s="98"/>
      <c r="AB97" s="98"/>
      <c r="AC97" s="98"/>
      <c r="AD97" s="98"/>
      <c r="AE97" s="98"/>
      <c r="AF97" s="277"/>
      <c r="AG97" s="277"/>
      <c r="AH97" s="277"/>
      <c r="AI97" s="277"/>
      <c r="AJ97" s="92"/>
    </row>
    <row r="98" spans="1:36" s="99" customFormat="1" ht="30" customHeight="1">
      <c r="A98" s="89"/>
      <c r="B98" s="89"/>
      <c r="C98" s="482"/>
      <c r="D98" s="91"/>
      <c r="E98" s="92"/>
      <c r="F98" s="92"/>
      <c r="G98" s="92"/>
      <c r="H98" s="92"/>
      <c r="I98" s="93"/>
      <c r="J98" s="94"/>
      <c r="K98" s="94"/>
      <c r="L98" s="95"/>
      <c r="M98" s="66"/>
      <c r="N98" s="96"/>
      <c r="O98" s="97"/>
      <c r="P98" s="58"/>
      <c r="Q98" s="69"/>
      <c r="R98" s="70"/>
      <c r="S98" s="66"/>
      <c r="T98" s="55"/>
      <c r="U98" s="55"/>
      <c r="V98" s="55"/>
      <c r="W98" s="98"/>
      <c r="X98" s="98"/>
      <c r="Y98" s="98"/>
      <c r="Z98" s="98"/>
      <c r="AA98" s="98"/>
      <c r="AB98" s="98"/>
      <c r="AC98" s="98"/>
      <c r="AD98" s="98"/>
      <c r="AE98" s="98"/>
      <c r="AF98" s="277"/>
      <c r="AG98" s="277"/>
      <c r="AH98" s="277"/>
      <c r="AI98" s="277"/>
      <c r="AJ98" s="92"/>
    </row>
    <row r="99" spans="1:36" s="99" customFormat="1" ht="30" customHeight="1">
      <c r="A99" s="89"/>
      <c r="B99" s="89"/>
      <c r="C99" s="482"/>
      <c r="D99" s="91"/>
      <c r="E99" s="92"/>
      <c r="F99" s="92"/>
      <c r="G99" s="92"/>
      <c r="H99" s="92"/>
      <c r="I99" s="93"/>
      <c r="J99" s="94"/>
      <c r="K99" s="94"/>
      <c r="L99" s="95"/>
      <c r="M99" s="66"/>
      <c r="N99" s="96"/>
      <c r="O99" s="97"/>
      <c r="P99" s="58"/>
      <c r="Q99" s="69"/>
      <c r="R99" s="70"/>
      <c r="S99" s="66"/>
      <c r="T99" s="55"/>
      <c r="U99" s="55"/>
      <c r="V99" s="55"/>
      <c r="W99" s="98"/>
      <c r="X99" s="98"/>
      <c r="Y99" s="98"/>
      <c r="Z99" s="98"/>
      <c r="AA99" s="98"/>
      <c r="AB99" s="98"/>
      <c r="AC99" s="98"/>
      <c r="AD99" s="98"/>
      <c r="AE99" s="98"/>
      <c r="AF99" s="277"/>
      <c r="AG99" s="277"/>
      <c r="AH99" s="277"/>
      <c r="AI99" s="277"/>
      <c r="AJ99" s="92"/>
    </row>
    <row r="100" spans="1:36" s="99" customFormat="1" ht="30" customHeight="1">
      <c r="A100" s="89"/>
      <c r="B100" s="89"/>
      <c r="C100" s="482"/>
      <c r="D100" s="91"/>
      <c r="E100" s="92"/>
      <c r="F100" s="92"/>
      <c r="G100" s="92"/>
      <c r="H100" s="92"/>
      <c r="I100" s="93"/>
      <c r="J100" s="94"/>
      <c r="K100" s="94"/>
      <c r="L100" s="95"/>
      <c r="M100" s="66"/>
      <c r="N100" s="96"/>
      <c r="O100" s="97"/>
      <c r="P100" s="58"/>
      <c r="Q100" s="69"/>
      <c r="R100" s="70"/>
      <c r="S100" s="66"/>
      <c r="T100" s="55"/>
      <c r="U100" s="55"/>
      <c r="V100" s="55"/>
      <c r="W100" s="98"/>
      <c r="X100" s="98"/>
      <c r="Y100" s="98"/>
      <c r="Z100" s="98"/>
      <c r="AA100" s="98"/>
      <c r="AB100" s="98"/>
      <c r="AC100" s="98"/>
      <c r="AD100" s="98"/>
      <c r="AE100" s="98"/>
      <c r="AF100" s="277"/>
      <c r="AG100" s="277"/>
      <c r="AH100" s="277"/>
      <c r="AI100" s="277"/>
      <c r="AJ100" s="92"/>
    </row>
    <row r="101" spans="1:36" s="99" customFormat="1" ht="30" customHeight="1">
      <c r="A101" s="89"/>
      <c r="B101" s="89"/>
      <c r="C101" s="482"/>
      <c r="D101" s="91"/>
      <c r="E101" s="92"/>
      <c r="F101" s="92"/>
      <c r="G101" s="92"/>
      <c r="H101" s="92"/>
      <c r="I101" s="93"/>
      <c r="J101" s="94"/>
      <c r="K101" s="94"/>
      <c r="L101" s="95"/>
      <c r="M101" s="66"/>
      <c r="N101" s="96"/>
      <c r="O101" s="97"/>
      <c r="P101" s="58"/>
      <c r="Q101" s="69"/>
      <c r="R101" s="70"/>
      <c r="S101" s="66"/>
      <c r="T101" s="55"/>
      <c r="U101" s="55"/>
      <c r="V101" s="55"/>
      <c r="W101" s="98"/>
      <c r="X101" s="98"/>
      <c r="Y101" s="98"/>
      <c r="Z101" s="98"/>
      <c r="AA101" s="98"/>
      <c r="AB101" s="98"/>
      <c r="AC101" s="98"/>
      <c r="AD101" s="98"/>
      <c r="AE101" s="98"/>
      <c r="AF101" s="277"/>
      <c r="AG101" s="277"/>
      <c r="AH101" s="277"/>
      <c r="AI101" s="277"/>
      <c r="AJ101" s="92"/>
    </row>
    <row r="102" spans="1:36" s="99" customFormat="1" ht="30" customHeight="1">
      <c r="A102" s="89"/>
      <c r="B102" s="89"/>
      <c r="C102" s="482"/>
      <c r="D102" s="91"/>
      <c r="E102" s="92"/>
      <c r="F102" s="92"/>
      <c r="G102" s="92"/>
      <c r="H102" s="92"/>
      <c r="I102" s="93"/>
      <c r="J102" s="94"/>
      <c r="K102" s="94"/>
      <c r="L102" s="95"/>
      <c r="M102" s="66"/>
      <c r="N102" s="96"/>
      <c r="O102" s="97"/>
      <c r="P102" s="58"/>
      <c r="Q102" s="69"/>
      <c r="R102" s="70"/>
      <c r="S102" s="66"/>
      <c r="T102" s="55"/>
      <c r="U102" s="55"/>
      <c r="V102" s="55"/>
      <c r="W102" s="98"/>
      <c r="X102" s="98"/>
      <c r="Y102" s="98"/>
      <c r="Z102" s="98"/>
      <c r="AA102" s="98"/>
      <c r="AB102" s="98"/>
      <c r="AC102" s="98"/>
      <c r="AD102" s="98"/>
      <c r="AE102" s="98"/>
      <c r="AF102" s="277"/>
      <c r="AG102" s="277"/>
      <c r="AH102" s="277"/>
      <c r="AI102" s="277"/>
      <c r="AJ102" s="92"/>
    </row>
    <row r="103" spans="1:36" s="99" customFormat="1" ht="30" customHeight="1">
      <c r="A103" s="89"/>
      <c r="B103" s="89"/>
      <c r="C103" s="482"/>
      <c r="D103" s="91"/>
      <c r="E103" s="92"/>
      <c r="F103" s="92"/>
      <c r="G103" s="92"/>
      <c r="H103" s="92"/>
      <c r="I103" s="93"/>
      <c r="J103" s="94"/>
      <c r="K103" s="94"/>
      <c r="L103" s="95"/>
      <c r="M103" s="66"/>
      <c r="N103" s="96"/>
      <c r="O103" s="97"/>
      <c r="P103" s="58"/>
      <c r="Q103" s="69"/>
      <c r="R103" s="70"/>
      <c r="S103" s="66"/>
      <c r="T103" s="55"/>
      <c r="U103" s="55"/>
      <c r="V103" s="55"/>
      <c r="W103" s="98"/>
      <c r="X103" s="98"/>
      <c r="Y103" s="98"/>
      <c r="Z103" s="98"/>
      <c r="AA103" s="98"/>
      <c r="AB103" s="98"/>
      <c r="AC103" s="98"/>
      <c r="AD103" s="98"/>
      <c r="AE103" s="98"/>
      <c r="AF103" s="277"/>
      <c r="AG103" s="277"/>
      <c r="AH103" s="277"/>
      <c r="AI103" s="277"/>
      <c r="AJ103" s="92"/>
    </row>
    <row r="104" spans="1:36" s="99" customFormat="1" ht="30" customHeight="1">
      <c r="A104" s="89"/>
      <c r="B104" s="89"/>
      <c r="C104" s="482"/>
      <c r="D104" s="91"/>
      <c r="E104" s="92"/>
      <c r="F104" s="92"/>
      <c r="G104" s="92"/>
      <c r="H104" s="92"/>
      <c r="I104" s="93"/>
      <c r="J104" s="94"/>
      <c r="K104" s="94"/>
      <c r="L104" s="95"/>
      <c r="M104" s="66"/>
      <c r="N104" s="96"/>
      <c r="O104" s="97"/>
      <c r="P104" s="58"/>
      <c r="Q104" s="69"/>
      <c r="R104" s="70"/>
      <c r="S104" s="66"/>
      <c r="T104" s="55"/>
      <c r="U104" s="55"/>
      <c r="V104" s="55"/>
      <c r="W104" s="98"/>
      <c r="X104" s="98"/>
      <c r="Y104" s="98"/>
      <c r="Z104" s="98"/>
      <c r="AA104" s="98"/>
      <c r="AB104" s="98"/>
      <c r="AC104" s="98"/>
      <c r="AD104" s="98"/>
      <c r="AE104" s="98"/>
      <c r="AF104" s="277"/>
      <c r="AG104" s="277"/>
      <c r="AH104" s="277"/>
      <c r="AI104" s="277"/>
      <c r="AJ104" s="92"/>
    </row>
    <row r="105" spans="1:36" s="99" customFormat="1" ht="30" customHeight="1">
      <c r="A105" s="89"/>
      <c r="B105" s="89"/>
      <c r="C105" s="482"/>
      <c r="D105" s="91"/>
      <c r="E105" s="92"/>
      <c r="F105" s="92"/>
      <c r="G105" s="92"/>
      <c r="H105" s="92"/>
      <c r="I105" s="93"/>
      <c r="J105" s="94"/>
      <c r="K105" s="94"/>
      <c r="L105" s="95"/>
      <c r="M105" s="66"/>
      <c r="N105" s="96"/>
      <c r="O105" s="97"/>
      <c r="P105" s="58"/>
      <c r="Q105" s="69"/>
      <c r="R105" s="70"/>
      <c r="S105" s="66"/>
      <c r="T105" s="55"/>
      <c r="U105" s="55"/>
      <c r="V105" s="55"/>
      <c r="W105" s="98"/>
      <c r="X105" s="98"/>
      <c r="Y105" s="98"/>
      <c r="Z105" s="98"/>
      <c r="AA105" s="98"/>
      <c r="AB105" s="98"/>
      <c r="AC105" s="98"/>
      <c r="AD105" s="98"/>
      <c r="AE105" s="98"/>
      <c r="AF105" s="277"/>
      <c r="AG105" s="277"/>
      <c r="AH105" s="277"/>
      <c r="AI105" s="277"/>
      <c r="AJ105" s="92"/>
    </row>
    <row r="106" spans="1:36" s="99" customFormat="1" ht="30" customHeight="1">
      <c r="A106" s="89"/>
      <c r="B106" s="89"/>
      <c r="C106" s="482"/>
      <c r="D106" s="91"/>
      <c r="E106" s="92"/>
      <c r="F106" s="92"/>
      <c r="G106" s="92"/>
      <c r="H106" s="92"/>
      <c r="I106" s="93"/>
      <c r="J106" s="94"/>
      <c r="K106" s="94"/>
      <c r="L106" s="95"/>
      <c r="M106" s="66"/>
      <c r="N106" s="96"/>
      <c r="O106" s="97"/>
      <c r="P106" s="58"/>
      <c r="Q106" s="69"/>
      <c r="R106" s="70"/>
      <c r="S106" s="66"/>
      <c r="T106" s="55"/>
      <c r="U106" s="55"/>
      <c r="V106" s="55"/>
      <c r="W106" s="98"/>
      <c r="X106" s="98"/>
      <c r="Y106" s="98"/>
      <c r="Z106" s="98"/>
      <c r="AA106" s="98"/>
      <c r="AB106" s="98"/>
      <c r="AC106" s="98"/>
      <c r="AD106" s="98"/>
      <c r="AE106" s="98"/>
      <c r="AF106" s="277"/>
      <c r="AG106" s="277"/>
      <c r="AH106" s="277"/>
      <c r="AI106" s="277"/>
      <c r="AJ106" s="92"/>
    </row>
    <row r="107" spans="1:36" s="99" customFormat="1" ht="30" customHeight="1">
      <c r="A107" s="89"/>
      <c r="B107" s="89"/>
      <c r="C107" s="482"/>
      <c r="D107" s="91"/>
      <c r="E107" s="92"/>
      <c r="F107" s="92"/>
      <c r="G107" s="92"/>
      <c r="H107" s="92"/>
      <c r="I107" s="93"/>
      <c r="J107" s="94"/>
      <c r="K107" s="94"/>
      <c r="L107" s="95"/>
      <c r="M107" s="66"/>
      <c r="N107" s="96"/>
      <c r="O107" s="97"/>
      <c r="P107" s="58"/>
      <c r="Q107" s="69"/>
      <c r="R107" s="70"/>
      <c r="S107" s="66"/>
      <c r="T107" s="55"/>
      <c r="U107" s="55"/>
      <c r="V107" s="55"/>
      <c r="W107" s="98"/>
      <c r="X107" s="98"/>
      <c r="Y107" s="98"/>
      <c r="Z107" s="98"/>
      <c r="AA107" s="98"/>
      <c r="AB107" s="98"/>
      <c r="AC107" s="98"/>
      <c r="AD107" s="98"/>
      <c r="AE107" s="98"/>
      <c r="AF107" s="277"/>
      <c r="AG107" s="277"/>
      <c r="AH107" s="277"/>
      <c r="AI107" s="277"/>
      <c r="AJ107" s="92"/>
    </row>
    <row r="108" spans="1:36" s="99" customFormat="1" ht="30" customHeight="1">
      <c r="A108" s="89"/>
      <c r="B108" s="89"/>
      <c r="C108" s="482"/>
      <c r="D108" s="91"/>
      <c r="E108" s="92"/>
      <c r="F108" s="92"/>
      <c r="G108" s="92"/>
      <c r="H108" s="92"/>
      <c r="I108" s="93"/>
      <c r="J108" s="94"/>
      <c r="K108" s="94"/>
      <c r="L108" s="95"/>
      <c r="M108" s="66"/>
      <c r="N108" s="96"/>
      <c r="O108" s="97"/>
      <c r="P108" s="58"/>
      <c r="Q108" s="69"/>
      <c r="R108" s="70"/>
      <c r="S108" s="66"/>
      <c r="T108" s="55"/>
      <c r="U108" s="55"/>
      <c r="V108" s="55"/>
      <c r="W108" s="98"/>
      <c r="X108" s="98"/>
      <c r="Y108" s="98"/>
      <c r="Z108" s="98"/>
      <c r="AA108" s="98"/>
      <c r="AB108" s="98"/>
      <c r="AC108" s="98"/>
      <c r="AD108" s="98"/>
      <c r="AE108" s="98"/>
      <c r="AF108" s="277"/>
      <c r="AG108" s="277"/>
      <c r="AH108" s="277"/>
      <c r="AI108" s="277"/>
      <c r="AJ108" s="92"/>
    </row>
    <row r="109" spans="1:36" s="99" customFormat="1" ht="30" customHeight="1">
      <c r="A109" s="89"/>
      <c r="B109" s="89"/>
      <c r="C109" s="482"/>
      <c r="D109" s="91"/>
      <c r="E109" s="92"/>
      <c r="F109" s="92"/>
      <c r="G109" s="92"/>
      <c r="H109" s="92"/>
      <c r="I109" s="93"/>
      <c r="J109" s="94"/>
      <c r="K109" s="94"/>
      <c r="L109" s="95"/>
      <c r="M109" s="66"/>
      <c r="N109" s="96"/>
      <c r="O109" s="97"/>
      <c r="P109" s="58"/>
      <c r="Q109" s="69"/>
      <c r="R109" s="70"/>
      <c r="S109" s="66"/>
      <c r="T109" s="55"/>
      <c r="U109" s="55"/>
      <c r="V109" s="55"/>
      <c r="W109" s="98"/>
      <c r="X109" s="98"/>
      <c r="Y109" s="98"/>
      <c r="Z109" s="98"/>
      <c r="AA109" s="98"/>
      <c r="AB109" s="98"/>
      <c r="AC109" s="98"/>
      <c r="AD109" s="98"/>
      <c r="AE109" s="98"/>
      <c r="AF109" s="277"/>
      <c r="AG109" s="277"/>
      <c r="AH109" s="277"/>
      <c r="AI109" s="277"/>
      <c r="AJ109" s="92"/>
    </row>
    <row r="110" spans="1:36" s="99" customFormat="1" ht="30" customHeight="1">
      <c r="A110" s="89"/>
      <c r="B110" s="89"/>
      <c r="C110" s="482"/>
      <c r="D110" s="91"/>
      <c r="E110" s="92"/>
      <c r="F110" s="92"/>
      <c r="G110" s="92"/>
      <c r="H110" s="92"/>
      <c r="I110" s="93"/>
      <c r="J110" s="94"/>
      <c r="K110" s="94"/>
      <c r="L110" s="95"/>
      <c r="M110" s="66"/>
      <c r="N110" s="96"/>
      <c r="O110" s="97"/>
      <c r="P110" s="58"/>
      <c r="Q110" s="69"/>
      <c r="R110" s="70"/>
      <c r="S110" s="66"/>
      <c r="T110" s="55"/>
      <c r="U110" s="55"/>
      <c r="V110" s="55"/>
      <c r="W110" s="98"/>
      <c r="X110" s="98"/>
      <c r="Y110" s="98"/>
      <c r="Z110" s="98"/>
      <c r="AA110" s="98"/>
      <c r="AB110" s="98"/>
      <c r="AC110" s="98"/>
      <c r="AD110" s="98"/>
      <c r="AE110" s="98"/>
      <c r="AF110" s="277"/>
      <c r="AG110" s="277"/>
      <c r="AH110" s="277"/>
      <c r="AI110" s="277"/>
      <c r="AJ110" s="92"/>
    </row>
    <row r="111" spans="1:36" s="99" customFormat="1" ht="30" customHeight="1">
      <c r="A111" s="89"/>
      <c r="B111" s="89"/>
      <c r="C111" s="482"/>
      <c r="D111" s="91"/>
      <c r="E111" s="92"/>
      <c r="F111" s="92"/>
      <c r="G111" s="92"/>
      <c r="H111" s="92"/>
      <c r="I111" s="93"/>
      <c r="J111" s="94"/>
      <c r="K111" s="94"/>
      <c r="L111" s="95"/>
      <c r="M111" s="66"/>
      <c r="N111" s="96"/>
      <c r="O111" s="97"/>
      <c r="P111" s="58"/>
      <c r="Q111" s="69"/>
      <c r="R111" s="70"/>
      <c r="S111" s="66"/>
      <c r="T111" s="55"/>
      <c r="U111" s="55"/>
      <c r="V111" s="55"/>
      <c r="W111" s="98"/>
      <c r="X111" s="98"/>
      <c r="Y111" s="98"/>
      <c r="Z111" s="98"/>
      <c r="AA111" s="98"/>
      <c r="AB111" s="98"/>
      <c r="AC111" s="98"/>
      <c r="AD111" s="98"/>
      <c r="AE111" s="98"/>
      <c r="AF111" s="277"/>
      <c r="AG111" s="277"/>
      <c r="AH111" s="277"/>
      <c r="AI111" s="277"/>
      <c r="AJ111" s="92"/>
    </row>
    <row r="112" spans="1:36" s="99" customFormat="1" ht="30" customHeight="1">
      <c r="A112" s="89"/>
      <c r="B112" s="89"/>
      <c r="C112" s="482"/>
      <c r="D112" s="91"/>
      <c r="E112" s="92"/>
      <c r="F112" s="92"/>
      <c r="G112" s="92"/>
      <c r="H112" s="92"/>
      <c r="I112" s="93"/>
      <c r="J112" s="94"/>
      <c r="K112" s="94"/>
      <c r="L112" s="95"/>
      <c r="M112" s="66"/>
      <c r="N112" s="96"/>
      <c r="O112" s="97"/>
      <c r="P112" s="58"/>
      <c r="Q112" s="69"/>
      <c r="R112" s="70"/>
      <c r="S112" s="66"/>
      <c r="T112" s="55"/>
      <c r="U112" s="55"/>
      <c r="V112" s="55"/>
      <c r="W112" s="98"/>
      <c r="X112" s="98"/>
      <c r="Y112" s="98"/>
      <c r="Z112" s="98"/>
      <c r="AA112" s="98"/>
      <c r="AB112" s="98"/>
      <c r="AC112" s="98"/>
      <c r="AD112" s="98"/>
      <c r="AE112" s="98"/>
      <c r="AF112" s="277"/>
      <c r="AG112" s="277"/>
      <c r="AH112" s="277"/>
      <c r="AI112" s="277"/>
      <c r="AJ112" s="92"/>
    </row>
    <row r="113" spans="1:36" s="99" customFormat="1" ht="30" customHeight="1">
      <c r="A113" s="89"/>
      <c r="B113" s="89"/>
      <c r="C113" s="482"/>
      <c r="D113" s="91"/>
      <c r="E113" s="92"/>
      <c r="F113" s="92"/>
      <c r="G113" s="92"/>
      <c r="H113" s="92"/>
      <c r="I113" s="93"/>
      <c r="J113" s="94"/>
      <c r="K113" s="94"/>
      <c r="L113" s="95"/>
      <c r="M113" s="66"/>
      <c r="N113" s="96"/>
      <c r="O113" s="97"/>
      <c r="P113" s="58"/>
      <c r="Q113" s="69"/>
      <c r="R113" s="70"/>
      <c r="S113" s="66"/>
      <c r="T113" s="55"/>
      <c r="U113" s="55"/>
      <c r="V113" s="55"/>
      <c r="W113" s="98"/>
      <c r="X113" s="98"/>
      <c r="Y113" s="98"/>
      <c r="Z113" s="98"/>
      <c r="AA113" s="98"/>
      <c r="AB113" s="98"/>
      <c r="AC113" s="98"/>
      <c r="AD113" s="98"/>
      <c r="AE113" s="98"/>
      <c r="AF113" s="277"/>
      <c r="AG113" s="277"/>
      <c r="AH113" s="277"/>
      <c r="AI113" s="277"/>
      <c r="AJ113" s="92"/>
    </row>
    <row r="114" spans="1:36" s="99" customFormat="1" ht="30" customHeight="1">
      <c r="A114" s="89"/>
      <c r="B114" s="89"/>
      <c r="C114" s="482"/>
      <c r="D114" s="91"/>
      <c r="E114" s="92"/>
      <c r="F114" s="92"/>
      <c r="G114" s="92"/>
      <c r="H114" s="92"/>
      <c r="I114" s="93"/>
      <c r="J114" s="94"/>
      <c r="K114" s="94"/>
      <c r="L114" s="95"/>
      <c r="M114" s="66"/>
      <c r="N114" s="96"/>
      <c r="O114" s="97"/>
      <c r="P114" s="58"/>
      <c r="Q114" s="69"/>
      <c r="R114" s="70"/>
      <c r="S114" s="66"/>
      <c r="T114" s="55"/>
      <c r="U114" s="55"/>
      <c r="V114" s="55"/>
      <c r="W114" s="98"/>
      <c r="X114" s="98"/>
      <c r="Y114" s="98"/>
      <c r="Z114" s="98"/>
      <c r="AA114" s="98"/>
      <c r="AB114" s="98"/>
      <c r="AC114" s="98"/>
      <c r="AD114" s="98"/>
      <c r="AE114" s="98"/>
      <c r="AF114" s="277"/>
      <c r="AG114" s="277"/>
      <c r="AH114" s="277"/>
      <c r="AI114" s="277"/>
      <c r="AJ114" s="92"/>
    </row>
    <row r="115" spans="1:36" s="99" customFormat="1" ht="30" customHeight="1">
      <c r="A115" s="89"/>
      <c r="B115" s="89"/>
      <c r="C115" s="482"/>
      <c r="D115" s="91"/>
      <c r="E115" s="92"/>
      <c r="F115" s="92"/>
      <c r="G115" s="92"/>
      <c r="H115" s="92"/>
      <c r="I115" s="93"/>
      <c r="J115" s="94"/>
      <c r="K115" s="94"/>
      <c r="L115" s="95"/>
      <c r="M115" s="66"/>
      <c r="N115" s="96"/>
      <c r="O115" s="97"/>
      <c r="P115" s="58"/>
      <c r="Q115" s="69"/>
      <c r="R115" s="70"/>
      <c r="S115" s="66"/>
      <c r="T115" s="55"/>
      <c r="U115" s="55"/>
      <c r="V115" s="55"/>
      <c r="W115" s="98"/>
      <c r="X115" s="98"/>
      <c r="Y115" s="98"/>
      <c r="Z115" s="98"/>
      <c r="AA115" s="98"/>
      <c r="AB115" s="98"/>
      <c r="AC115" s="98"/>
      <c r="AD115" s="98"/>
      <c r="AE115" s="98"/>
      <c r="AF115" s="277"/>
      <c r="AG115" s="277"/>
      <c r="AH115" s="277"/>
      <c r="AI115" s="277"/>
      <c r="AJ115" s="92"/>
    </row>
    <row r="116" spans="1:36" s="99" customFormat="1" ht="30" customHeight="1">
      <c r="A116" s="89"/>
      <c r="B116" s="89"/>
      <c r="C116" s="482"/>
      <c r="D116" s="91"/>
      <c r="E116" s="92"/>
      <c r="F116" s="92"/>
      <c r="G116" s="92"/>
      <c r="H116" s="92"/>
      <c r="I116" s="93"/>
      <c r="J116" s="94"/>
      <c r="K116" s="94"/>
      <c r="L116" s="95"/>
      <c r="M116" s="66"/>
      <c r="N116" s="96"/>
      <c r="O116" s="97"/>
      <c r="P116" s="58"/>
      <c r="Q116" s="69"/>
      <c r="R116" s="70"/>
      <c r="S116" s="66"/>
      <c r="T116" s="55"/>
      <c r="U116" s="55"/>
      <c r="V116" s="55"/>
      <c r="W116" s="98"/>
      <c r="X116" s="98"/>
      <c r="Y116" s="98"/>
      <c r="Z116" s="98"/>
      <c r="AA116" s="98"/>
      <c r="AB116" s="98"/>
      <c r="AC116" s="98"/>
      <c r="AD116" s="98"/>
      <c r="AE116" s="98"/>
      <c r="AF116" s="277"/>
      <c r="AG116" s="277"/>
      <c r="AH116" s="277"/>
      <c r="AI116" s="277"/>
      <c r="AJ116" s="92"/>
    </row>
    <row r="117" spans="1:36" s="99" customFormat="1" ht="30" customHeight="1">
      <c r="A117" s="89"/>
      <c r="B117" s="89"/>
      <c r="C117" s="482"/>
      <c r="D117" s="91"/>
      <c r="E117" s="92"/>
      <c r="F117" s="92"/>
      <c r="G117" s="92"/>
      <c r="H117" s="92"/>
      <c r="I117" s="93"/>
      <c r="J117" s="94"/>
      <c r="K117" s="94"/>
      <c r="L117" s="95"/>
      <c r="M117" s="66"/>
      <c r="N117" s="96"/>
      <c r="O117" s="97"/>
      <c r="P117" s="58"/>
      <c r="Q117" s="69"/>
      <c r="R117" s="70"/>
      <c r="S117" s="66"/>
      <c r="T117" s="55"/>
      <c r="U117" s="55"/>
      <c r="V117" s="55"/>
      <c r="W117" s="98"/>
      <c r="X117" s="98"/>
      <c r="Y117" s="98"/>
      <c r="Z117" s="98"/>
      <c r="AA117" s="98"/>
      <c r="AB117" s="98"/>
      <c r="AC117" s="98"/>
      <c r="AD117" s="98"/>
      <c r="AE117" s="98"/>
      <c r="AF117" s="277"/>
      <c r="AG117" s="277"/>
      <c r="AH117" s="277"/>
      <c r="AI117" s="277"/>
      <c r="AJ117" s="92"/>
    </row>
    <row r="118" spans="1:36" s="99" customFormat="1" ht="30" customHeight="1">
      <c r="A118" s="89"/>
      <c r="B118" s="89"/>
      <c r="C118" s="482"/>
      <c r="D118" s="91"/>
      <c r="E118" s="92"/>
      <c r="F118" s="92"/>
      <c r="G118" s="92"/>
      <c r="H118" s="92"/>
      <c r="I118" s="93"/>
      <c r="J118" s="94"/>
      <c r="K118" s="94"/>
      <c r="L118" s="95"/>
      <c r="M118" s="66"/>
      <c r="N118" s="96"/>
      <c r="O118" s="97"/>
      <c r="P118" s="58"/>
      <c r="Q118" s="69"/>
      <c r="R118" s="70"/>
      <c r="S118" s="66"/>
      <c r="T118" s="55"/>
      <c r="U118" s="55"/>
      <c r="V118" s="55"/>
      <c r="W118" s="98"/>
      <c r="X118" s="98"/>
      <c r="Y118" s="98"/>
      <c r="Z118" s="98"/>
      <c r="AA118" s="98"/>
      <c r="AB118" s="98"/>
      <c r="AC118" s="98"/>
      <c r="AD118" s="98"/>
      <c r="AE118" s="98"/>
      <c r="AF118" s="277"/>
      <c r="AG118" s="277"/>
      <c r="AH118" s="277"/>
      <c r="AI118" s="277"/>
      <c r="AJ118" s="92"/>
    </row>
    <row r="119" spans="1:36" s="99" customFormat="1" ht="30" customHeight="1">
      <c r="A119" s="89"/>
      <c r="B119" s="89"/>
      <c r="C119" s="482"/>
      <c r="D119" s="91"/>
      <c r="E119" s="92"/>
      <c r="F119" s="92"/>
      <c r="G119" s="92"/>
      <c r="H119" s="92"/>
      <c r="I119" s="93"/>
      <c r="J119" s="94"/>
      <c r="K119" s="94"/>
      <c r="L119" s="95"/>
      <c r="M119" s="66"/>
      <c r="N119" s="96"/>
      <c r="O119" s="97"/>
      <c r="P119" s="58"/>
      <c r="Q119" s="69"/>
      <c r="R119" s="70"/>
      <c r="S119" s="66"/>
      <c r="T119" s="55"/>
      <c r="U119" s="55"/>
      <c r="V119" s="55"/>
      <c r="W119" s="98"/>
      <c r="X119" s="98"/>
      <c r="Y119" s="98"/>
      <c r="Z119" s="98"/>
      <c r="AA119" s="98"/>
      <c r="AB119" s="98"/>
      <c r="AC119" s="98"/>
      <c r="AD119" s="98"/>
      <c r="AE119" s="98"/>
      <c r="AF119" s="277"/>
      <c r="AG119" s="277"/>
      <c r="AH119" s="277"/>
      <c r="AI119" s="277"/>
      <c r="AJ119" s="92"/>
    </row>
    <row r="120" spans="1:36" s="99" customFormat="1" ht="30" customHeight="1">
      <c r="A120" s="89"/>
      <c r="B120" s="89"/>
      <c r="C120" s="482"/>
      <c r="D120" s="91"/>
      <c r="E120" s="92"/>
      <c r="F120" s="92"/>
      <c r="G120" s="92"/>
      <c r="H120" s="92"/>
      <c r="I120" s="93"/>
      <c r="J120" s="94"/>
      <c r="K120" s="94"/>
      <c r="L120" s="95"/>
      <c r="M120" s="66"/>
      <c r="N120" s="96"/>
      <c r="O120" s="97"/>
      <c r="P120" s="58"/>
      <c r="Q120" s="69"/>
      <c r="R120" s="70"/>
      <c r="S120" s="66"/>
      <c r="T120" s="55"/>
      <c r="U120" s="55"/>
      <c r="V120" s="55"/>
      <c r="W120" s="98"/>
      <c r="X120" s="98"/>
      <c r="Y120" s="98"/>
      <c r="Z120" s="98"/>
      <c r="AA120" s="98"/>
      <c r="AB120" s="98"/>
      <c r="AC120" s="98"/>
      <c r="AD120" s="98"/>
      <c r="AE120" s="98"/>
      <c r="AF120" s="277"/>
      <c r="AG120" s="277"/>
      <c r="AH120" s="277"/>
      <c r="AI120" s="277"/>
      <c r="AJ120" s="92"/>
    </row>
    <row r="121" spans="1:36" s="99" customFormat="1" ht="30" customHeight="1">
      <c r="A121" s="89"/>
      <c r="B121" s="89"/>
      <c r="C121" s="482"/>
      <c r="D121" s="91"/>
      <c r="E121" s="92"/>
      <c r="F121" s="92"/>
      <c r="G121" s="92"/>
      <c r="H121" s="92"/>
      <c r="I121" s="93"/>
      <c r="J121" s="94"/>
      <c r="K121" s="94"/>
      <c r="L121" s="95"/>
      <c r="M121" s="66"/>
      <c r="N121" s="96"/>
      <c r="O121" s="97"/>
      <c r="P121" s="58"/>
      <c r="Q121" s="69"/>
      <c r="R121" s="70"/>
      <c r="S121" s="66"/>
      <c r="T121" s="55"/>
      <c r="U121" s="55"/>
      <c r="V121" s="55"/>
      <c r="W121" s="98"/>
      <c r="X121" s="98"/>
      <c r="Y121" s="98"/>
      <c r="Z121" s="98"/>
      <c r="AA121" s="98"/>
      <c r="AB121" s="98"/>
      <c r="AC121" s="98"/>
      <c r="AD121" s="98"/>
      <c r="AE121" s="98"/>
      <c r="AF121" s="277"/>
      <c r="AG121" s="277"/>
      <c r="AH121" s="277"/>
      <c r="AI121" s="277"/>
      <c r="AJ121" s="92"/>
    </row>
    <row r="122" spans="1:36" s="99" customFormat="1" ht="30" customHeight="1">
      <c r="A122" s="89"/>
      <c r="B122" s="89"/>
      <c r="C122" s="482"/>
      <c r="D122" s="91"/>
      <c r="E122" s="92"/>
      <c r="F122" s="92"/>
      <c r="G122" s="92"/>
      <c r="H122" s="92"/>
      <c r="I122" s="93"/>
      <c r="J122" s="94"/>
      <c r="K122" s="94"/>
      <c r="L122" s="95"/>
      <c r="M122" s="66"/>
      <c r="N122" s="96"/>
      <c r="O122" s="97"/>
      <c r="P122" s="58"/>
      <c r="Q122" s="69"/>
      <c r="R122" s="70"/>
      <c r="S122" s="66"/>
      <c r="T122" s="55"/>
      <c r="U122" s="55"/>
      <c r="V122" s="55"/>
      <c r="W122" s="98"/>
      <c r="X122" s="98"/>
      <c r="Y122" s="98"/>
      <c r="Z122" s="98"/>
      <c r="AA122" s="98"/>
      <c r="AB122" s="98"/>
      <c r="AC122" s="98"/>
      <c r="AD122" s="98"/>
      <c r="AE122" s="98"/>
      <c r="AF122" s="277"/>
      <c r="AG122" s="277"/>
      <c r="AH122" s="277"/>
      <c r="AI122" s="277"/>
      <c r="AJ122" s="92"/>
    </row>
    <row r="123" spans="1:36" s="99" customFormat="1" ht="30" customHeight="1">
      <c r="A123" s="89"/>
      <c r="B123" s="89"/>
      <c r="C123" s="482"/>
      <c r="D123" s="91"/>
      <c r="E123" s="92"/>
      <c r="F123" s="92"/>
      <c r="G123" s="92"/>
      <c r="H123" s="92"/>
      <c r="I123" s="93"/>
      <c r="J123" s="94"/>
      <c r="K123" s="94"/>
      <c r="L123" s="95"/>
      <c r="M123" s="66"/>
      <c r="N123" s="96"/>
      <c r="O123" s="97"/>
      <c r="P123" s="58"/>
      <c r="Q123" s="69"/>
      <c r="R123" s="70"/>
      <c r="S123" s="66"/>
      <c r="T123" s="55"/>
      <c r="U123" s="55"/>
      <c r="V123" s="55"/>
      <c r="W123" s="98"/>
      <c r="X123" s="98"/>
      <c r="Y123" s="98"/>
      <c r="Z123" s="98"/>
      <c r="AA123" s="98"/>
      <c r="AB123" s="98"/>
      <c r="AC123" s="98"/>
      <c r="AD123" s="98"/>
      <c r="AE123" s="98"/>
      <c r="AF123" s="277"/>
      <c r="AG123" s="277"/>
      <c r="AH123" s="277"/>
      <c r="AI123" s="277"/>
      <c r="AJ123" s="92"/>
    </row>
    <row r="124" spans="1:36" s="99" customFormat="1" ht="30" customHeight="1">
      <c r="A124" s="89"/>
      <c r="B124" s="89"/>
      <c r="C124" s="482"/>
      <c r="D124" s="91"/>
      <c r="E124" s="92"/>
      <c r="F124" s="92"/>
      <c r="G124" s="92"/>
      <c r="H124" s="92"/>
      <c r="I124" s="93"/>
      <c r="J124" s="94"/>
      <c r="K124" s="94"/>
      <c r="L124" s="95"/>
      <c r="M124" s="66"/>
      <c r="N124" s="96"/>
      <c r="O124" s="97"/>
      <c r="P124" s="58"/>
      <c r="Q124" s="69"/>
      <c r="R124" s="70"/>
      <c r="S124" s="66"/>
      <c r="T124" s="55"/>
      <c r="U124" s="55"/>
      <c r="V124" s="55"/>
      <c r="W124" s="98"/>
      <c r="X124" s="98"/>
      <c r="Y124" s="98"/>
      <c r="Z124" s="98"/>
      <c r="AA124" s="98"/>
      <c r="AB124" s="98"/>
      <c r="AC124" s="98"/>
      <c r="AD124" s="98"/>
      <c r="AE124" s="98"/>
      <c r="AF124" s="277"/>
      <c r="AG124" s="277"/>
      <c r="AH124" s="277"/>
      <c r="AI124" s="277"/>
      <c r="AJ124" s="92"/>
    </row>
    <row r="125" spans="1:36" s="99" customFormat="1" ht="30" customHeight="1">
      <c r="A125" s="89"/>
      <c r="B125" s="89"/>
      <c r="C125" s="482"/>
      <c r="D125" s="91"/>
      <c r="E125" s="92"/>
      <c r="F125" s="92"/>
      <c r="G125" s="92"/>
      <c r="H125" s="92"/>
      <c r="I125" s="93"/>
      <c r="J125" s="94"/>
      <c r="K125" s="94"/>
      <c r="L125" s="95"/>
      <c r="M125" s="66"/>
      <c r="N125" s="96"/>
      <c r="O125" s="97"/>
      <c r="P125" s="58"/>
      <c r="Q125" s="69"/>
      <c r="R125" s="70"/>
      <c r="S125" s="66"/>
      <c r="T125" s="55"/>
      <c r="U125" s="55"/>
      <c r="V125" s="55"/>
      <c r="W125" s="98"/>
      <c r="X125" s="98"/>
      <c r="Y125" s="98"/>
      <c r="Z125" s="98"/>
      <c r="AA125" s="98"/>
      <c r="AB125" s="98"/>
      <c r="AC125" s="98"/>
      <c r="AD125" s="98"/>
      <c r="AE125" s="98"/>
      <c r="AF125" s="277"/>
      <c r="AG125" s="277"/>
      <c r="AH125" s="277"/>
      <c r="AI125" s="277"/>
      <c r="AJ125" s="92"/>
    </row>
    <row r="126" spans="1:36" s="99" customFormat="1" ht="30" customHeight="1">
      <c r="A126" s="89"/>
      <c r="B126" s="89"/>
      <c r="C126" s="482"/>
      <c r="D126" s="91"/>
      <c r="E126" s="92"/>
      <c r="F126" s="92"/>
      <c r="G126" s="92"/>
      <c r="H126" s="92"/>
      <c r="I126" s="93"/>
      <c r="J126" s="94"/>
      <c r="K126" s="94"/>
      <c r="L126" s="95"/>
      <c r="M126" s="66"/>
      <c r="N126" s="96"/>
      <c r="O126" s="97"/>
      <c r="P126" s="58"/>
      <c r="Q126" s="69"/>
      <c r="R126" s="70"/>
      <c r="S126" s="66"/>
      <c r="T126" s="55"/>
      <c r="U126" s="55"/>
      <c r="V126" s="55"/>
      <c r="W126" s="98"/>
      <c r="X126" s="98"/>
      <c r="Y126" s="98"/>
      <c r="Z126" s="98"/>
      <c r="AA126" s="98"/>
      <c r="AB126" s="98"/>
      <c r="AC126" s="98"/>
      <c r="AD126" s="98"/>
      <c r="AE126" s="98"/>
      <c r="AF126" s="277"/>
      <c r="AG126" s="277"/>
      <c r="AH126" s="277"/>
      <c r="AI126" s="277"/>
      <c r="AJ126" s="92"/>
    </row>
    <row r="127" spans="1:36" s="99" customFormat="1" ht="30" customHeight="1">
      <c r="A127" s="89"/>
      <c r="B127" s="89"/>
      <c r="C127" s="482"/>
      <c r="D127" s="91"/>
      <c r="E127" s="92"/>
      <c r="F127" s="92"/>
      <c r="G127" s="92"/>
      <c r="H127" s="92"/>
      <c r="I127" s="93"/>
      <c r="J127" s="94"/>
      <c r="K127" s="94"/>
      <c r="L127" s="95"/>
      <c r="M127" s="66"/>
      <c r="N127" s="96"/>
      <c r="O127" s="97"/>
      <c r="P127" s="58"/>
      <c r="Q127" s="69"/>
      <c r="R127" s="70"/>
      <c r="S127" s="66"/>
      <c r="T127" s="55"/>
      <c r="U127" s="55"/>
      <c r="V127" s="55"/>
      <c r="W127" s="98"/>
      <c r="X127" s="98"/>
      <c r="Y127" s="98"/>
      <c r="Z127" s="98"/>
      <c r="AA127" s="98"/>
      <c r="AB127" s="98"/>
      <c r="AC127" s="98"/>
      <c r="AD127" s="98"/>
      <c r="AE127" s="98"/>
      <c r="AF127" s="277"/>
      <c r="AG127" s="277"/>
      <c r="AH127" s="277"/>
      <c r="AI127" s="277"/>
      <c r="AJ127" s="92"/>
    </row>
    <row r="128" spans="1:36" s="99" customFormat="1" ht="30" customHeight="1">
      <c r="A128" s="89"/>
      <c r="B128" s="89"/>
      <c r="C128" s="482"/>
      <c r="D128" s="91"/>
      <c r="E128" s="92"/>
      <c r="F128" s="92"/>
      <c r="G128" s="92"/>
      <c r="H128" s="92"/>
      <c r="I128" s="93"/>
      <c r="J128" s="94"/>
      <c r="K128" s="94"/>
      <c r="L128" s="95"/>
      <c r="M128" s="66"/>
      <c r="N128" s="96"/>
      <c r="O128" s="97"/>
      <c r="P128" s="58"/>
      <c r="Q128" s="69"/>
      <c r="R128" s="70"/>
      <c r="S128" s="66"/>
      <c r="T128" s="55"/>
      <c r="U128" s="55"/>
      <c r="V128" s="55"/>
      <c r="W128" s="98"/>
      <c r="X128" s="98"/>
      <c r="Y128" s="98"/>
      <c r="Z128" s="98"/>
      <c r="AA128" s="98"/>
      <c r="AB128" s="98"/>
      <c r="AC128" s="98"/>
      <c r="AD128" s="98"/>
      <c r="AE128" s="98"/>
      <c r="AF128" s="277"/>
      <c r="AG128" s="277"/>
      <c r="AH128" s="277"/>
      <c r="AI128" s="277"/>
      <c r="AJ128" s="92"/>
    </row>
    <row r="129" spans="1:36" s="99" customFormat="1" ht="30" customHeight="1">
      <c r="A129" s="89"/>
      <c r="B129" s="89"/>
      <c r="C129" s="482"/>
      <c r="D129" s="91"/>
      <c r="E129" s="92"/>
      <c r="F129" s="92"/>
      <c r="G129" s="92"/>
      <c r="H129" s="92"/>
      <c r="I129" s="93"/>
      <c r="J129" s="94"/>
      <c r="K129" s="94"/>
      <c r="L129" s="95"/>
      <c r="M129" s="66"/>
      <c r="N129" s="96"/>
      <c r="O129" s="97"/>
      <c r="P129" s="58"/>
      <c r="Q129" s="69"/>
      <c r="R129" s="70"/>
      <c r="S129" s="66"/>
      <c r="T129" s="55"/>
      <c r="U129" s="55"/>
      <c r="V129" s="55"/>
      <c r="W129" s="98"/>
      <c r="X129" s="98"/>
      <c r="Y129" s="98"/>
      <c r="Z129" s="98"/>
      <c r="AA129" s="98"/>
      <c r="AB129" s="98"/>
      <c r="AC129" s="98"/>
      <c r="AD129" s="98"/>
      <c r="AE129" s="98"/>
      <c r="AF129" s="277"/>
      <c r="AG129" s="277"/>
      <c r="AH129" s="277"/>
      <c r="AI129" s="277"/>
      <c r="AJ129" s="92"/>
    </row>
    <row r="130" spans="1:36" s="99" customFormat="1" ht="65.099999999999994" customHeight="1">
      <c r="A130" s="89"/>
      <c r="B130" s="89"/>
      <c r="C130" s="482"/>
      <c r="D130" s="91"/>
      <c r="E130" s="92"/>
      <c r="F130" s="92"/>
      <c r="G130" s="92"/>
      <c r="H130" s="92"/>
      <c r="I130" s="93"/>
      <c r="J130" s="94"/>
      <c r="K130" s="94"/>
      <c r="L130" s="95"/>
      <c r="M130" s="66"/>
      <c r="N130" s="96"/>
      <c r="O130" s="97"/>
      <c r="P130" s="58"/>
      <c r="Q130" s="69"/>
      <c r="R130" s="70"/>
      <c r="S130" s="66"/>
      <c r="T130" s="55"/>
      <c r="U130" s="55"/>
      <c r="V130" s="55"/>
      <c r="W130" s="98"/>
      <c r="X130" s="98"/>
      <c r="Y130" s="98"/>
      <c r="Z130" s="98"/>
      <c r="AA130" s="98"/>
      <c r="AB130" s="98"/>
      <c r="AC130" s="98"/>
      <c r="AD130" s="98"/>
      <c r="AE130" s="98"/>
      <c r="AF130" s="277"/>
      <c r="AG130" s="277"/>
      <c r="AH130" s="277"/>
      <c r="AI130" s="277"/>
      <c r="AJ130" s="92"/>
    </row>
    <row r="131" spans="1:36" s="99" customFormat="1" ht="65.099999999999994" customHeight="1">
      <c r="A131" s="89"/>
      <c r="B131" s="89"/>
      <c r="C131" s="482"/>
      <c r="D131" s="91"/>
      <c r="E131" s="92"/>
      <c r="F131" s="92"/>
      <c r="G131" s="92"/>
      <c r="H131" s="92"/>
      <c r="I131" s="93"/>
      <c r="J131" s="94"/>
      <c r="K131" s="94"/>
      <c r="L131" s="95"/>
      <c r="M131" s="66"/>
      <c r="N131" s="96"/>
      <c r="O131" s="97"/>
      <c r="P131" s="58"/>
      <c r="Q131" s="69"/>
      <c r="R131" s="70"/>
      <c r="S131" s="66"/>
      <c r="T131" s="55"/>
      <c r="U131" s="55"/>
      <c r="V131" s="55"/>
      <c r="W131" s="98"/>
      <c r="X131" s="98"/>
      <c r="Y131" s="98"/>
      <c r="Z131" s="98"/>
      <c r="AA131" s="98"/>
      <c r="AB131" s="98"/>
      <c r="AC131" s="98"/>
      <c r="AD131" s="98"/>
      <c r="AE131" s="98"/>
      <c r="AF131" s="277"/>
      <c r="AG131" s="277"/>
      <c r="AH131" s="277"/>
      <c r="AI131" s="277"/>
      <c r="AJ131" s="92"/>
    </row>
    <row r="132" spans="1:36" s="99" customFormat="1" ht="65.099999999999994" customHeight="1">
      <c r="A132" s="89"/>
      <c r="B132" s="89"/>
      <c r="C132" s="482"/>
      <c r="D132" s="91"/>
      <c r="E132" s="92"/>
      <c r="F132" s="92"/>
      <c r="G132" s="92"/>
      <c r="H132" s="92"/>
      <c r="I132" s="93"/>
      <c r="J132" s="94"/>
      <c r="K132" s="94"/>
      <c r="L132" s="95"/>
      <c r="M132" s="66"/>
      <c r="N132" s="96"/>
      <c r="O132" s="97"/>
      <c r="P132" s="58"/>
      <c r="Q132" s="69"/>
      <c r="R132" s="70"/>
      <c r="S132" s="66"/>
      <c r="T132" s="55"/>
      <c r="U132" s="55"/>
      <c r="V132" s="55"/>
      <c r="W132" s="98"/>
      <c r="X132" s="98"/>
      <c r="Y132" s="98"/>
      <c r="Z132" s="98"/>
      <c r="AA132" s="98"/>
      <c r="AB132" s="98"/>
      <c r="AC132" s="98"/>
      <c r="AD132" s="98"/>
      <c r="AE132" s="98"/>
      <c r="AF132" s="277"/>
      <c r="AG132" s="277"/>
      <c r="AH132" s="277"/>
      <c r="AI132" s="277"/>
      <c r="AJ132" s="92"/>
    </row>
    <row r="133" spans="1:36" s="99" customFormat="1" ht="65.099999999999994" customHeight="1">
      <c r="A133" s="89"/>
      <c r="B133" s="89"/>
      <c r="C133" s="482"/>
      <c r="D133" s="91"/>
      <c r="E133" s="92"/>
      <c r="F133" s="92"/>
      <c r="G133" s="92"/>
      <c r="H133" s="92"/>
      <c r="I133" s="93"/>
      <c r="J133" s="94"/>
      <c r="K133" s="94"/>
      <c r="L133" s="95"/>
      <c r="M133" s="66"/>
      <c r="N133" s="96"/>
      <c r="O133" s="97"/>
      <c r="P133" s="58"/>
      <c r="Q133" s="69"/>
      <c r="R133" s="70"/>
      <c r="S133" s="66"/>
      <c r="T133" s="55"/>
      <c r="U133" s="55"/>
      <c r="V133" s="55"/>
      <c r="W133" s="98"/>
      <c r="X133" s="98"/>
      <c r="Y133" s="98"/>
      <c r="Z133" s="98"/>
      <c r="AA133" s="98"/>
      <c r="AB133" s="98"/>
      <c r="AC133" s="98"/>
      <c r="AD133" s="98"/>
      <c r="AE133" s="98"/>
      <c r="AF133" s="277"/>
      <c r="AG133" s="277"/>
      <c r="AH133" s="277"/>
      <c r="AI133" s="277"/>
      <c r="AJ133" s="92"/>
    </row>
    <row r="134" spans="1:36" s="99" customFormat="1" ht="65.099999999999994" customHeight="1">
      <c r="A134" s="89"/>
      <c r="B134" s="89"/>
      <c r="C134" s="482"/>
      <c r="D134" s="91"/>
      <c r="E134" s="92"/>
      <c r="F134" s="92"/>
      <c r="G134" s="92"/>
      <c r="H134" s="92"/>
      <c r="I134" s="93"/>
      <c r="J134" s="94"/>
      <c r="K134" s="94"/>
      <c r="L134" s="95"/>
      <c r="M134" s="66"/>
      <c r="N134" s="96"/>
      <c r="O134" s="97"/>
      <c r="P134" s="58"/>
      <c r="Q134" s="69"/>
      <c r="R134" s="70"/>
      <c r="S134" s="66"/>
      <c r="T134" s="55"/>
      <c r="U134" s="55"/>
      <c r="V134" s="55"/>
      <c r="W134" s="98"/>
      <c r="X134" s="98"/>
      <c r="Y134" s="98"/>
      <c r="Z134" s="98"/>
      <c r="AA134" s="98"/>
      <c r="AB134" s="98"/>
      <c r="AC134" s="98"/>
      <c r="AD134" s="98"/>
      <c r="AE134" s="98"/>
      <c r="AF134" s="277"/>
      <c r="AG134" s="277"/>
      <c r="AH134" s="277"/>
      <c r="AI134" s="277"/>
      <c r="AJ134" s="92"/>
    </row>
    <row r="135" spans="1:36" s="99" customFormat="1" ht="65.099999999999994" customHeight="1">
      <c r="A135" s="89"/>
      <c r="B135" s="89"/>
      <c r="C135" s="482"/>
      <c r="D135" s="91"/>
      <c r="E135" s="92"/>
      <c r="F135" s="92"/>
      <c r="G135" s="92"/>
      <c r="H135" s="92"/>
      <c r="I135" s="93"/>
      <c r="J135" s="94"/>
      <c r="K135" s="94"/>
      <c r="L135" s="95"/>
      <c r="M135" s="66"/>
      <c r="N135" s="96"/>
      <c r="O135" s="97"/>
      <c r="P135" s="58"/>
      <c r="Q135" s="69"/>
      <c r="R135" s="70"/>
      <c r="S135" s="66"/>
      <c r="T135" s="55"/>
      <c r="U135" s="55"/>
      <c r="V135" s="55"/>
      <c r="W135" s="98"/>
      <c r="X135" s="98"/>
      <c r="Y135" s="98"/>
      <c r="Z135" s="98"/>
      <c r="AA135" s="98"/>
      <c r="AB135" s="98"/>
      <c r="AC135" s="98"/>
      <c r="AD135" s="98"/>
      <c r="AE135" s="98"/>
      <c r="AF135" s="277"/>
      <c r="AG135" s="277"/>
      <c r="AH135" s="277"/>
      <c r="AI135" s="277"/>
      <c r="AJ135" s="92"/>
    </row>
    <row r="136" spans="1:36" s="99" customFormat="1" ht="65.099999999999994" customHeight="1">
      <c r="A136" s="89"/>
      <c r="B136" s="89"/>
      <c r="C136" s="482"/>
      <c r="D136" s="91"/>
      <c r="E136" s="92"/>
      <c r="F136" s="92"/>
      <c r="G136" s="92"/>
      <c r="H136" s="92"/>
      <c r="I136" s="93"/>
      <c r="J136" s="94"/>
      <c r="K136" s="94"/>
      <c r="L136" s="95"/>
      <c r="M136" s="66"/>
      <c r="N136" s="96"/>
      <c r="O136" s="97"/>
      <c r="P136" s="58"/>
      <c r="Q136" s="69"/>
      <c r="R136" s="70"/>
      <c r="S136" s="66"/>
      <c r="T136" s="55"/>
      <c r="U136" s="55"/>
      <c r="V136" s="55"/>
      <c r="W136" s="98"/>
      <c r="X136" s="98"/>
      <c r="Y136" s="98"/>
      <c r="Z136" s="98"/>
      <c r="AA136" s="98"/>
      <c r="AB136" s="98"/>
      <c r="AC136" s="98"/>
      <c r="AD136" s="98"/>
      <c r="AE136" s="98"/>
      <c r="AF136" s="277"/>
      <c r="AG136" s="277"/>
      <c r="AH136" s="277"/>
      <c r="AI136" s="277"/>
      <c r="AJ136" s="92"/>
    </row>
    <row r="137" spans="1:36" s="99" customFormat="1" ht="65.099999999999994" customHeight="1">
      <c r="A137" s="89"/>
      <c r="B137" s="89"/>
      <c r="C137" s="482"/>
      <c r="D137" s="91"/>
      <c r="E137" s="92"/>
      <c r="F137" s="92"/>
      <c r="G137" s="92"/>
      <c r="H137" s="92"/>
      <c r="I137" s="93"/>
      <c r="J137" s="94"/>
      <c r="K137" s="94"/>
      <c r="L137" s="95"/>
      <c r="M137" s="66"/>
      <c r="N137" s="96"/>
      <c r="O137" s="97"/>
      <c r="P137" s="58"/>
      <c r="Q137" s="69"/>
      <c r="R137" s="70"/>
      <c r="S137" s="66"/>
      <c r="T137" s="55"/>
      <c r="U137" s="55"/>
      <c r="V137" s="55"/>
      <c r="W137" s="98"/>
      <c r="X137" s="98"/>
      <c r="Y137" s="98"/>
      <c r="Z137" s="98"/>
      <c r="AA137" s="98"/>
      <c r="AB137" s="98"/>
      <c r="AC137" s="98"/>
      <c r="AD137" s="98"/>
      <c r="AE137" s="98"/>
      <c r="AF137" s="277"/>
      <c r="AG137" s="277"/>
      <c r="AH137" s="277"/>
      <c r="AI137" s="277"/>
      <c r="AJ137" s="92"/>
    </row>
    <row r="138" spans="1:36" s="99" customFormat="1" ht="65.099999999999994" customHeight="1">
      <c r="A138" s="89"/>
      <c r="B138" s="89"/>
      <c r="C138" s="482"/>
      <c r="D138" s="91"/>
      <c r="E138" s="92"/>
      <c r="F138" s="92"/>
      <c r="G138" s="92"/>
      <c r="H138" s="92"/>
      <c r="I138" s="93"/>
      <c r="J138" s="94"/>
      <c r="K138" s="94"/>
      <c r="L138" s="95"/>
      <c r="M138" s="66"/>
      <c r="N138" s="96"/>
      <c r="O138" s="97"/>
      <c r="P138" s="58"/>
      <c r="Q138" s="69"/>
      <c r="R138" s="70"/>
      <c r="S138" s="66"/>
      <c r="T138" s="55"/>
      <c r="U138" s="55"/>
      <c r="V138" s="55"/>
      <c r="W138" s="98"/>
      <c r="X138" s="98"/>
      <c r="Y138" s="98"/>
      <c r="Z138" s="98"/>
      <c r="AA138" s="98"/>
      <c r="AB138" s="98"/>
      <c r="AC138" s="98"/>
      <c r="AD138" s="98"/>
      <c r="AE138" s="98"/>
      <c r="AF138" s="277"/>
      <c r="AG138" s="277"/>
      <c r="AH138" s="277"/>
      <c r="AI138" s="277"/>
      <c r="AJ138" s="92"/>
    </row>
    <row r="139" spans="1:36" s="99" customFormat="1" ht="65.099999999999994" customHeight="1">
      <c r="A139" s="89"/>
      <c r="B139" s="89"/>
      <c r="C139" s="482"/>
      <c r="D139" s="91"/>
      <c r="E139" s="92"/>
      <c r="F139" s="92"/>
      <c r="G139" s="92"/>
      <c r="H139" s="92"/>
      <c r="I139" s="93"/>
      <c r="J139" s="94"/>
      <c r="K139" s="94"/>
      <c r="L139" s="95"/>
      <c r="M139" s="66"/>
      <c r="N139" s="96"/>
      <c r="O139" s="97"/>
      <c r="P139" s="58"/>
      <c r="Q139" s="69"/>
      <c r="R139" s="70"/>
      <c r="S139" s="66"/>
      <c r="T139" s="55"/>
      <c r="U139" s="55"/>
      <c r="V139" s="55"/>
      <c r="W139" s="98"/>
      <c r="X139" s="98"/>
      <c r="Y139" s="98"/>
      <c r="Z139" s="98"/>
      <c r="AA139" s="98"/>
      <c r="AB139" s="98"/>
      <c r="AC139" s="98"/>
      <c r="AD139" s="98"/>
      <c r="AE139" s="98"/>
      <c r="AF139" s="277"/>
      <c r="AG139" s="277"/>
      <c r="AH139" s="277"/>
      <c r="AI139" s="277"/>
      <c r="AJ139" s="92"/>
    </row>
    <row r="140" spans="1:36" s="99" customFormat="1" ht="65.099999999999994" customHeight="1">
      <c r="A140" s="89"/>
      <c r="B140" s="89"/>
      <c r="C140" s="482"/>
      <c r="D140" s="91"/>
      <c r="E140" s="92"/>
      <c r="F140" s="92"/>
      <c r="G140" s="92"/>
      <c r="H140" s="92"/>
      <c r="I140" s="93"/>
      <c r="J140" s="94"/>
      <c r="K140" s="94"/>
      <c r="L140" s="95"/>
      <c r="M140" s="66"/>
      <c r="N140" s="96"/>
      <c r="O140" s="97"/>
      <c r="P140" s="58"/>
      <c r="Q140" s="69"/>
      <c r="R140" s="70"/>
      <c r="S140" s="66"/>
      <c r="T140" s="55"/>
      <c r="U140" s="55"/>
      <c r="V140" s="55"/>
      <c r="W140" s="98"/>
      <c r="X140" s="98"/>
      <c r="Y140" s="98"/>
      <c r="Z140" s="98"/>
      <c r="AA140" s="98"/>
      <c r="AB140" s="98"/>
      <c r="AC140" s="98"/>
      <c r="AD140" s="98"/>
      <c r="AE140" s="98"/>
      <c r="AF140" s="277"/>
      <c r="AG140" s="277"/>
      <c r="AH140" s="277"/>
      <c r="AI140" s="277"/>
      <c r="AJ140" s="92"/>
    </row>
    <row r="141" spans="1:36" s="99" customFormat="1" ht="65.099999999999994" customHeight="1">
      <c r="A141" s="89"/>
      <c r="B141" s="89"/>
      <c r="C141" s="482"/>
      <c r="D141" s="91"/>
      <c r="E141" s="92"/>
      <c r="F141" s="92"/>
      <c r="G141" s="92"/>
      <c r="H141" s="92"/>
      <c r="I141" s="93"/>
      <c r="J141" s="94"/>
      <c r="K141" s="94"/>
      <c r="L141" s="95"/>
      <c r="M141" s="66"/>
      <c r="N141" s="96"/>
      <c r="O141" s="97"/>
      <c r="P141" s="58"/>
      <c r="Q141" s="69"/>
      <c r="R141" s="70"/>
      <c r="S141" s="66"/>
      <c r="T141" s="55"/>
      <c r="U141" s="55"/>
      <c r="V141" s="55"/>
      <c r="W141" s="98"/>
      <c r="X141" s="98"/>
      <c r="Y141" s="98"/>
      <c r="Z141" s="98"/>
      <c r="AA141" s="98"/>
      <c r="AB141" s="98"/>
      <c r="AC141" s="98"/>
      <c r="AD141" s="98"/>
      <c r="AE141" s="98"/>
      <c r="AF141" s="277"/>
      <c r="AG141" s="277"/>
      <c r="AH141" s="277"/>
      <c r="AI141" s="277"/>
      <c r="AJ141" s="92"/>
    </row>
    <row r="142" spans="1:36" s="99" customFormat="1" ht="65.099999999999994" customHeight="1">
      <c r="A142" s="89"/>
      <c r="B142" s="89"/>
      <c r="C142" s="482"/>
      <c r="D142" s="91"/>
      <c r="E142" s="92"/>
      <c r="F142" s="92"/>
      <c r="G142" s="92"/>
      <c r="H142" s="92"/>
      <c r="I142" s="93"/>
      <c r="J142" s="94"/>
      <c r="K142" s="94"/>
      <c r="L142" s="95"/>
      <c r="M142" s="66"/>
      <c r="N142" s="96"/>
      <c r="O142" s="97"/>
      <c r="P142" s="58"/>
      <c r="Q142" s="69"/>
      <c r="R142" s="70"/>
      <c r="S142" s="66"/>
      <c r="T142" s="55"/>
      <c r="U142" s="55"/>
      <c r="V142" s="55"/>
      <c r="W142" s="98"/>
      <c r="X142" s="98"/>
      <c r="Y142" s="98"/>
      <c r="Z142" s="98"/>
      <c r="AA142" s="98"/>
      <c r="AB142" s="98"/>
      <c r="AC142" s="98"/>
      <c r="AD142" s="98"/>
      <c r="AE142" s="98"/>
      <c r="AF142" s="277"/>
      <c r="AG142" s="277"/>
      <c r="AH142" s="277"/>
      <c r="AI142" s="277"/>
      <c r="AJ142" s="92"/>
    </row>
    <row r="143" spans="1:36" s="99" customFormat="1" ht="65.099999999999994" customHeight="1">
      <c r="A143" s="89"/>
      <c r="B143" s="89"/>
      <c r="C143" s="482"/>
      <c r="D143" s="91"/>
      <c r="E143" s="92"/>
      <c r="F143" s="92"/>
      <c r="G143" s="92"/>
      <c r="H143" s="92"/>
      <c r="I143" s="93"/>
      <c r="J143" s="94"/>
      <c r="K143" s="94"/>
      <c r="L143" s="95"/>
      <c r="M143" s="66"/>
      <c r="N143" s="96"/>
      <c r="O143" s="97"/>
      <c r="P143" s="58"/>
      <c r="Q143" s="69"/>
      <c r="R143" s="70"/>
      <c r="S143" s="66"/>
      <c r="T143" s="55"/>
      <c r="U143" s="55"/>
      <c r="V143" s="55"/>
      <c r="W143" s="98"/>
      <c r="X143" s="98"/>
      <c r="Y143" s="98"/>
      <c r="Z143" s="98"/>
      <c r="AA143" s="98"/>
      <c r="AB143" s="98"/>
      <c r="AC143" s="98"/>
      <c r="AD143" s="98"/>
      <c r="AE143" s="98"/>
      <c r="AF143" s="277"/>
      <c r="AG143" s="277"/>
      <c r="AH143" s="277"/>
      <c r="AI143" s="277"/>
      <c r="AJ143" s="92"/>
    </row>
    <row r="144" spans="1:36" s="99" customFormat="1" ht="65.099999999999994" customHeight="1">
      <c r="A144" s="89"/>
      <c r="B144" s="89"/>
      <c r="C144" s="482"/>
      <c r="D144" s="91"/>
      <c r="E144" s="92"/>
      <c r="F144" s="92"/>
      <c r="G144" s="92"/>
      <c r="H144" s="92"/>
      <c r="I144" s="93"/>
      <c r="J144" s="94"/>
      <c r="K144" s="94"/>
      <c r="L144" s="95"/>
      <c r="M144" s="66"/>
      <c r="N144" s="96"/>
      <c r="O144" s="97"/>
      <c r="P144" s="58"/>
      <c r="Q144" s="69"/>
      <c r="R144" s="70"/>
      <c r="S144" s="66"/>
      <c r="T144" s="55"/>
      <c r="U144" s="55"/>
      <c r="V144" s="55"/>
      <c r="W144" s="98"/>
      <c r="X144" s="98"/>
      <c r="Y144" s="98"/>
      <c r="Z144" s="98"/>
      <c r="AA144" s="98"/>
      <c r="AB144" s="98"/>
      <c r="AC144" s="98"/>
      <c r="AD144" s="98"/>
      <c r="AE144" s="98"/>
      <c r="AF144" s="277"/>
      <c r="AG144" s="277"/>
      <c r="AH144" s="277"/>
      <c r="AI144" s="277"/>
      <c r="AJ144" s="92"/>
    </row>
    <row r="145" spans="1:36" s="99" customFormat="1" ht="65.099999999999994" customHeight="1">
      <c r="A145" s="89"/>
      <c r="B145" s="89"/>
      <c r="C145" s="482"/>
      <c r="D145" s="91"/>
      <c r="E145" s="92"/>
      <c r="F145" s="92"/>
      <c r="G145" s="92"/>
      <c r="H145" s="92"/>
      <c r="I145" s="93"/>
      <c r="J145" s="94"/>
      <c r="K145" s="94"/>
      <c r="L145" s="95"/>
      <c r="M145" s="66"/>
      <c r="N145" s="96"/>
      <c r="O145" s="97"/>
      <c r="P145" s="58"/>
      <c r="Q145" s="69"/>
      <c r="R145" s="70"/>
      <c r="S145" s="66"/>
      <c r="T145" s="55"/>
      <c r="U145" s="55"/>
      <c r="V145" s="55"/>
      <c r="W145" s="98"/>
      <c r="X145" s="98"/>
      <c r="Y145" s="98"/>
      <c r="Z145" s="98"/>
      <c r="AA145" s="98"/>
      <c r="AB145" s="98"/>
      <c r="AC145" s="98"/>
      <c r="AD145" s="98"/>
      <c r="AE145" s="98"/>
      <c r="AF145" s="277"/>
      <c r="AG145" s="277"/>
      <c r="AH145" s="277"/>
      <c r="AI145" s="277"/>
      <c r="AJ145" s="92"/>
    </row>
    <row r="146" spans="1:36" s="99" customFormat="1" ht="65.099999999999994" customHeight="1">
      <c r="A146" s="89"/>
      <c r="B146" s="89"/>
      <c r="C146" s="482"/>
      <c r="D146" s="91"/>
      <c r="E146" s="92"/>
      <c r="F146" s="92"/>
      <c r="G146" s="92"/>
      <c r="H146" s="92"/>
      <c r="I146" s="93"/>
      <c r="J146" s="94"/>
      <c r="K146" s="94"/>
      <c r="L146" s="95"/>
      <c r="M146" s="66"/>
      <c r="N146" s="96"/>
      <c r="O146" s="97"/>
      <c r="P146" s="58"/>
      <c r="Q146" s="69"/>
      <c r="R146" s="70"/>
      <c r="S146" s="66"/>
      <c r="T146" s="55"/>
      <c r="U146" s="55"/>
      <c r="V146" s="55"/>
      <c r="W146" s="98"/>
      <c r="X146" s="98"/>
      <c r="Y146" s="98"/>
      <c r="Z146" s="98"/>
      <c r="AA146" s="98"/>
      <c r="AB146" s="98"/>
      <c r="AC146" s="98"/>
      <c r="AD146" s="98"/>
      <c r="AE146" s="98"/>
      <c r="AF146" s="277"/>
      <c r="AG146" s="277"/>
      <c r="AH146" s="277"/>
      <c r="AI146" s="277"/>
      <c r="AJ146" s="92"/>
    </row>
    <row r="147" spans="1:36" s="99" customFormat="1" ht="65.099999999999994" customHeight="1">
      <c r="A147" s="89"/>
      <c r="B147" s="89"/>
      <c r="C147" s="482"/>
      <c r="D147" s="91"/>
      <c r="E147" s="92"/>
      <c r="F147" s="92"/>
      <c r="G147" s="92"/>
      <c r="H147" s="92"/>
      <c r="I147" s="93"/>
      <c r="J147" s="94"/>
      <c r="K147" s="94"/>
      <c r="L147" s="95"/>
      <c r="M147" s="66"/>
      <c r="N147" s="96"/>
      <c r="O147" s="97"/>
      <c r="P147" s="58"/>
      <c r="Q147" s="69"/>
      <c r="R147" s="70"/>
      <c r="S147" s="66"/>
      <c r="T147" s="55"/>
      <c r="U147" s="55"/>
      <c r="V147" s="55"/>
      <c r="W147" s="98"/>
      <c r="X147" s="98"/>
      <c r="Y147" s="98"/>
      <c r="Z147" s="98"/>
      <c r="AA147" s="98"/>
      <c r="AB147" s="98"/>
      <c r="AC147" s="98"/>
      <c r="AD147" s="98"/>
      <c r="AE147" s="98"/>
      <c r="AF147" s="277"/>
      <c r="AG147" s="277"/>
      <c r="AH147" s="277"/>
      <c r="AI147" s="277"/>
      <c r="AJ147" s="92"/>
    </row>
    <row r="148" spans="1:36" s="99" customFormat="1" ht="65.099999999999994" customHeight="1">
      <c r="A148" s="89"/>
      <c r="B148" s="89"/>
      <c r="C148" s="482"/>
      <c r="D148" s="91"/>
      <c r="E148" s="92"/>
      <c r="F148" s="92"/>
      <c r="G148" s="92"/>
      <c r="H148" s="92"/>
      <c r="I148" s="93"/>
      <c r="J148" s="94"/>
      <c r="K148" s="94"/>
      <c r="L148" s="95"/>
      <c r="M148" s="66"/>
      <c r="N148" s="96"/>
      <c r="O148" s="97"/>
      <c r="P148" s="58"/>
      <c r="Q148" s="69"/>
      <c r="R148" s="70"/>
      <c r="S148" s="66"/>
      <c r="T148" s="55"/>
      <c r="U148" s="55"/>
      <c r="V148" s="55"/>
      <c r="W148" s="98"/>
      <c r="X148" s="98"/>
      <c r="Y148" s="98"/>
      <c r="Z148" s="98"/>
      <c r="AA148" s="98"/>
      <c r="AB148" s="98"/>
      <c r="AC148" s="98"/>
      <c r="AD148" s="98"/>
      <c r="AE148" s="98"/>
      <c r="AF148" s="277"/>
      <c r="AG148" s="277"/>
      <c r="AH148" s="277"/>
      <c r="AI148" s="277"/>
      <c r="AJ148" s="92"/>
    </row>
    <row r="149" spans="1:36" s="99" customFormat="1" ht="65.099999999999994" customHeight="1">
      <c r="A149" s="89"/>
      <c r="B149" s="89"/>
      <c r="C149" s="482"/>
      <c r="D149" s="91"/>
      <c r="E149" s="92"/>
      <c r="F149" s="92"/>
      <c r="G149" s="92"/>
      <c r="H149" s="92"/>
      <c r="I149" s="93"/>
      <c r="J149" s="94"/>
      <c r="K149" s="94"/>
      <c r="L149" s="95"/>
      <c r="M149" s="66"/>
      <c r="N149" s="96"/>
      <c r="O149" s="97"/>
      <c r="P149" s="58"/>
      <c r="Q149" s="69"/>
      <c r="R149" s="70"/>
      <c r="S149" s="66"/>
      <c r="T149" s="55"/>
      <c r="U149" s="55"/>
      <c r="V149" s="55"/>
      <c r="W149" s="98"/>
      <c r="X149" s="98"/>
      <c r="Y149" s="98"/>
      <c r="Z149" s="98"/>
      <c r="AA149" s="98"/>
      <c r="AB149" s="98"/>
      <c r="AC149" s="98"/>
      <c r="AD149" s="98"/>
      <c r="AE149" s="98"/>
      <c r="AF149" s="277"/>
      <c r="AG149" s="277"/>
      <c r="AH149" s="277"/>
      <c r="AI149" s="277"/>
      <c r="AJ149" s="92"/>
    </row>
    <row r="150" spans="1:36" s="99" customFormat="1" ht="65.099999999999994" customHeight="1">
      <c r="A150" s="89"/>
      <c r="B150" s="89"/>
      <c r="C150" s="482"/>
      <c r="D150" s="91"/>
      <c r="E150" s="92"/>
      <c r="F150" s="92"/>
      <c r="G150" s="92"/>
      <c r="H150" s="92"/>
      <c r="I150" s="93"/>
      <c r="J150" s="94"/>
      <c r="K150" s="94"/>
      <c r="L150" s="95"/>
      <c r="M150" s="66"/>
      <c r="N150" s="96"/>
      <c r="O150" s="97"/>
      <c r="P150" s="58"/>
      <c r="Q150" s="69"/>
      <c r="R150" s="70"/>
      <c r="S150" s="66"/>
      <c r="T150" s="55"/>
      <c r="U150" s="55"/>
      <c r="V150" s="55"/>
      <c r="W150" s="98"/>
      <c r="X150" s="98"/>
      <c r="Y150" s="98"/>
      <c r="Z150" s="98"/>
      <c r="AA150" s="98"/>
      <c r="AB150" s="98"/>
      <c r="AC150" s="98"/>
      <c r="AD150" s="98"/>
      <c r="AE150" s="98"/>
      <c r="AF150" s="277"/>
      <c r="AG150" s="277"/>
      <c r="AH150" s="277"/>
      <c r="AI150" s="277"/>
      <c r="AJ150" s="92"/>
    </row>
    <row r="151" spans="1:36" s="99" customFormat="1" ht="65.099999999999994" customHeight="1">
      <c r="A151" s="89"/>
      <c r="B151" s="89"/>
      <c r="C151" s="482"/>
      <c r="D151" s="91"/>
      <c r="E151" s="92"/>
      <c r="F151" s="92"/>
      <c r="G151" s="92"/>
      <c r="H151" s="92"/>
      <c r="I151" s="93"/>
      <c r="J151" s="94"/>
      <c r="K151" s="94"/>
      <c r="L151" s="95"/>
      <c r="M151" s="66"/>
      <c r="N151" s="96"/>
      <c r="O151" s="97"/>
      <c r="P151" s="58"/>
      <c r="Q151" s="69"/>
      <c r="R151" s="70"/>
      <c r="S151" s="66"/>
      <c r="T151" s="55"/>
      <c r="U151" s="55"/>
      <c r="V151" s="55"/>
      <c r="W151" s="98"/>
      <c r="X151" s="98"/>
      <c r="Y151" s="98"/>
      <c r="Z151" s="98"/>
      <c r="AA151" s="98"/>
      <c r="AB151" s="98"/>
      <c r="AC151" s="98"/>
      <c r="AD151" s="98"/>
      <c r="AE151" s="98"/>
      <c r="AF151" s="277"/>
      <c r="AG151" s="277"/>
      <c r="AH151" s="277"/>
      <c r="AI151" s="277"/>
      <c r="AJ151" s="92"/>
    </row>
    <row r="152" spans="1:36" s="99" customFormat="1" ht="65.099999999999994" customHeight="1">
      <c r="A152" s="89"/>
      <c r="B152" s="89"/>
      <c r="C152" s="482"/>
      <c r="D152" s="91"/>
      <c r="E152" s="92"/>
      <c r="F152" s="92"/>
      <c r="G152" s="92"/>
      <c r="H152" s="92"/>
      <c r="I152" s="93"/>
      <c r="J152" s="94"/>
      <c r="K152" s="94"/>
      <c r="L152" s="95"/>
      <c r="M152" s="66"/>
      <c r="N152" s="96"/>
      <c r="O152" s="97"/>
      <c r="P152" s="58"/>
      <c r="Q152" s="69"/>
      <c r="R152" s="70"/>
      <c r="S152" s="66"/>
      <c r="T152" s="55"/>
      <c r="U152" s="55"/>
      <c r="V152" s="55"/>
      <c r="W152" s="98"/>
      <c r="X152" s="98"/>
      <c r="Y152" s="98"/>
      <c r="Z152" s="98"/>
      <c r="AA152" s="98"/>
      <c r="AB152" s="98"/>
      <c r="AC152" s="98"/>
      <c r="AD152" s="98"/>
      <c r="AE152" s="98"/>
      <c r="AF152" s="277"/>
      <c r="AG152" s="277"/>
      <c r="AH152" s="277"/>
      <c r="AI152" s="277"/>
      <c r="AJ152" s="92"/>
    </row>
    <row r="153" spans="1:36" s="99" customFormat="1" ht="65.099999999999994" customHeight="1">
      <c r="A153" s="89"/>
      <c r="B153" s="89"/>
      <c r="C153" s="482"/>
      <c r="D153" s="91"/>
      <c r="E153" s="92"/>
      <c r="F153" s="92"/>
      <c r="G153" s="92"/>
      <c r="H153" s="92"/>
      <c r="I153" s="93"/>
      <c r="J153" s="94"/>
      <c r="K153" s="94"/>
      <c r="L153" s="95"/>
      <c r="M153" s="66"/>
      <c r="N153" s="96"/>
      <c r="O153" s="97"/>
      <c r="P153" s="58"/>
      <c r="Q153" s="69"/>
      <c r="R153" s="70"/>
      <c r="S153" s="66"/>
      <c r="T153" s="55"/>
      <c r="U153" s="55"/>
      <c r="V153" s="55"/>
      <c r="W153" s="98"/>
      <c r="X153" s="98"/>
      <c r="Y153" s="98"/>
      <c r="Z153" s="98"/>
      <c r="AA153" s="98"/>
      <c r="AB153" s="98"/>
      <c r="AC153" s="98"/>
      <c r="AD153" s="98"/>
      <c r="AE153" s="98"/>
      <c r="AF153" s="277"/>
      <c r="AG153" s="277"/>
      <c r="AH153" s="277"/>
      <c r="AI153" s="277"/>
      <c r="AJ153" s="92"/>
    </row>
    <row r="154" spans="1:36" s="99" customFormat="1" ht="65.099999999999994" customHeight="1">
      <c r="A154" s="89"/>
      <c r="B154" s="89"/>
      <c r="C154" s="482"/>
      <c r="D154" s="91"/>
      <c r="E154" s="92"/>
      <c r="F154" s="92"/>
      <c r="G154" s="92"/>
      <c r="H154" s="92"/>
      <c r="I154" s="93"/>
      <c r="J154" s="94"/>
      <c r="K154" s="94"/>
      <c r="L154" s="95"/>
      <c r="M154" s="66"/>
      <c r="N154" s="96"/>
      <c r="O154" s="97"/>
      <c r="P154" s="58"/>
      <c r="Q154" s="69"/>
      <c r="R154" s="70"/>
      <c r="S154" s="66"/>
      <c r="T154" s="55"/>
      <c r="U154" s="55"/>
      <c r="V154" s="55"/>
      <c r="W154" s="98"/>
      <c r="X154" s="98"/>
      <c r="Y154" s="98"/>
      <c r="Z154" s="98"/>
      <c r="AA154" s="98"/>
      <c r="AB154" s="98"/>
      <c r="AC154" s="98"/>
      <c r="AD154" s="98"/>
      <c r="AE154" s="98"/>
      <c r="AF154" s="277"/>
      <c r="AG154" s="277"/>
      <c r="AH154" s="277"/>
      <c r="AI154" s="277"/>
      <c r="AJ154" s="92"/>
    </row>
    <row r="155" spans="1:36" s="99" customFormat="1" ht="65.099999999999994" customHeight="1">
      <c r="A155" s="89"/>
      <c r="B155" s="89"/>
      <c r="C155" s="482"/>
      <c r="D155" s="91"/>
      <c r="E155" s="92"/>
      <c r="F155" s="92"/>
      <c r="G155" s="92"/>
      <c r="H155" s="92"/>
      <c r="I155" s="93"/>
      <c r="J155" s="94"/>
      <c r="K155" s="94"/>
      <c r="L155" s="95"/>
      <c r="M155" s="66"/>
      <c r="N155" s="96"/>
      <c r="O155" s="97"/>
      <c r="P155" s="58"/>
      <c r="Q155" s="69"/>
      <c r="R155" s="70"/>
      <c r="S155" s="66"/>
      <c r="T155" s="55"/>
      <c r="U155" s="55"/>
      <c r="V155" s="55"/>
      <c r="W155" s="98"/>
      <c r="X155" s="98"/>
      <c r="Y155" s="98"/>
      <c r="Z155" s="98"/>
      <c r="AA155" s="98"/>
      <c r="AB155" s="98"/>
      <c r="AC155" s="98"/>
      <c r="AD155" s="98"/>
      <c r="AE155" s="98"/>
      <c r="AF155" s="277"/>
      <c r="AG155" s="277"/>
      <c r="AH155" s="277"/>
      <c r="AI155" s="277"/>
      <c r="AJ155" s="92"/>
    </row>
    <row r="156" spans="1:36" s="99" customFormat="1" ht="65.099999999999994" customHeight="1">
      <c r="A156" s="89"/>
      <c r="B156" s="89"/>
      <c r="C156" s="482"/>
      <c r="D156" s="91"/>
      <c r="E156" s="92"/>
      <c r="F156" s="92"/>
      <c r="G156" s="92"/>
      <c r="H156" s="92"/>
      <c r="I156" s="93"/>
      <c r="J156" s="94"/>
      <c r="K156" s="94"/>
      <c r="L156" s="95"/>
      <c r="M156" s="66"/>
      <c r="N156" s="96"/>
      <c r="O156" s="97"/>
      <c r="P156" s="58"/>
      <c r="Q156" s="69"/>
      <c r="R156" s="70"/>
      <c r="S156" s="66"/>
      <c r="T156" s="55"/>
      <c r="U156" s="55"/>
      <c r="V156" s="55"/>
      <c r="W156" s="98"/>
      <c r="X156" s="98"/>
      <c r="Y156" s="98"/>
      <c r="Z156" s="98"/>
      <c r="AA156" s="98"/>
      <c r="AB156" s="98"/>
      <c r="AC156" s="98"/>
      <c r="AD156" s="98"/>
      <c r="AE156" s="98"/>
      <c r="AF156" s="277"/>
      <c r="AG156" s="277"/>
      <c r="AH156" s="277"/>
      <c r="AI156" s="277"/>
      <c r="AJ156" s="92"/>
    </row>
    <row r="157" spans="1:36" s="99" customFormat="1" ht="65.099999999999994" customHeight="1">
      <c r="A157" s="89"/>
      <c r="B157" s="89"/>
      <c r="C157" s="482"/>
      <c r="D157" s="91"/>
      <c r="E157" s="92"/>
      <c r="F157" s="92"/>
      <c r="G157" s="92"/>
      <c r="H157" s="92"/>
      <c r="I157" s="93"/>
      <c r="J157" s="94"/>
      <c r="K157" s="94"/>
      <c r="L157" s="95"/>
      <c r="M157" s="66"/>
      <c r="N157" s="96"/>
      <c r="O157" s="97"/>
      <c r="P157" s="58"/>
      <c r="Q157" s="69"/>
      <c r="R157" s="70"/>
      <c r="S157" s="66"/>
      <c r="T157" s="55"/>
      <c r="U157" s="55"/>
      <c r="V157" s="55"/>
      <c r="W157" s="98"/>
      <c r="X157" s="98"/>
      <c r="Y157" s="98"/>
      <c r="Z157" s="98"/>
      <c r="AA157" s="98"/>
      <c r="AB157" s="98"/>
      <c r="AC157" s="98"/>
      <c r="AD157" s="98"/>
      <c r="AE157" s="98"/>
      <c r="AF157" s="277"/>
      <c r="AG157" s="277"/>
      <c r="AH157" s="277"/>
      <c r="AI157" s="277"/>
      <c r="AJ157" s="92"/>
    </row>
    <row r="158" spans="1:36" s="99" customFormat="1" ht="65.099999999999994" customHeight="1">
      <c r="A158" s="89"/>
      <c r="B158" s="89"/>
      <c r="C158" s="482"/>
      <c r="D158" s="91"/>
      <c r="E158" s="92"/>
      <c r="F158" s="92"/>
      <c r="G158" s="92"/>
      <c r="H158" s="92"/>
      <c r="I158" s="93"/>
      <c r="J158" s="94"/>
      <c r="K158" s="94"/>
      <c r="L158" s="95"/>
      <c r="M158" s="66"/>
      <c r="N158" s="96"/>
      <c r="O158" s="97"/>
      <c r="P158" s="58"/>
      <c r="Q158" s="69"/>
      <c r="R158" s="70"/>
      <c r="S158" s="66"/>
      <c r="T158" s="55"/>
      <c r="U158" s="55"/>
      <c r="V158" s="55"/>
      <c r="W158" s="98"/>
      <c r="X158" s="98"/>
      <c r="Y158" s="98"/>
      <c r="Z158" s="98"/>
      <c r="AA158" s="98"/>
      <c r="AB158" s="98"/>
      <c r="AC158" s="98"/>
      <c r="AD158" s="98"/>
      <c r="AE158" s="98"/>
      <c r="AF158" s="277"/>
      <c r="AG158" s="277"/>
      <c r="AH158" s="277"/>
      <c r="AI158" s="277"/>
      <c r="AJ158" s="92"/>
    </row>
    <row r="159" spans="1:36" s="99" customFormat="1" ht="65.099999999999994" customHeight="1">
      <c r="A159" s="89"/>
      <c r="B159" s="89"/>
      <c r="C159" s="482"/>
      <c r="D159" s="91"/>
      <c r="E159" s="92"/>
      <c r="F159" s="92"/>
      <c r="G159" s="92"/>
      <c r="H159" s="92"/>
      <c r="I159" s="93"/>
      <c r="J159" s="94"/>
      <c r="K159" s="94"/>
      <c r="L159" s="95"/>
      <c r="M159" s="66"/>
      <c r="N159" s="96"/>
      <c r="O159" s="97"/>
      <c r="P159" s="58"/>
      <c r="Q159" s="69"/>
      <c r="R159" s="70"/>
      <c r="S159" s="66"/>
      <c r="T159" s="55"/>
      <c r="U159" s="55"/>
      <c r="V159" s="55"/>
      <c r="W159" s="98"/>
      <c r="X159" s="98"/>
      <c r="Y159" s="98"/>
      <c r="Z159" s="98"/>
      <c r="AA159" s="98"/>
      <c r="AB159" s="98"/>
      <c r="AC159" s="98"/>
      <c r="AD159" s="98"/>
      <c r="AE159" s="98"/>
      <c r="AF159" s="277"/>
      <c r="AG159" s="277"/>
      <c r="AH159" s="277"/>
      <c r="AI159" s="277"/>
      <c r="AJ159" s="92"/>
    </row>
    <row r="160" spans="1:36" s="99" customFormat="1" ht="65.099999999999994" customHeight="1">
      <c r="A160" s="89"/>
      <c r="B160" s="89"/>
      <c r="C160" s="482"/>
      <c r="D160" s="91"/>
      <c r="E160" s="92"/>
      <c r="F160" s="92"/>
      <c r="G160" s="92"/>
      <c r="H160" s="92"/>
      <c r="I160" s="93"/>
      <c r="J160" s="94"/>
      <c r="K160" s="94"/>
      <c r="L160" s="95"/>
      <c r="M160" s="66"/>
      <c r="N160" s="96"/>
      <c r="O160" s="97"/>
      <c r="P160" s="58"/>
      <c r="Q160" s="69"/>
      <c r="R160" s="70"/>
      <c r="S160" s="66"/>
      <c r="T160" s="55"/>
      <c r="U160" s="55"/>
      <c r="V160" s="55"/>
      <c r="W160" s="98"/>
      <c r="X160" s="98"/>
      <c r="Y160" s="98"/>
      <c r="Z160" s="98"/>
      <c r="AA160" s="98"/>
      <c r="AB160" s="98"/>
      <c r="AC160" s="98"/>
      <c r="AD160" s="98"/>
      <c r="AE160" s="98"/>
      <c r="AF160" s="277"/>
      <c r="AG160" s="277"/>
      <c r="AH160" s="277"/>
      <c r="AI160" s="277"/>
      <c r="AJ160" s="92"/>
    </row>
    <row r="161" spans="1:36" s="99" customFormat="1" ht="65.099999999999994" customHeight="1">
      <c r="A161" s="89"/>
      <c r="B161" s="89"/>
      <c r="C161" s="482"/>
      <c r="D161" s="91"/>
      <c r="E161" s="92"/>
      <c r="F161" s="92"/>
      <c r="G161" s="92"/>
      <c r="H161" s="92"/>
      <c r="I161" s="93"/>
      <c r="J161" s="94"/>
      <c r="K161" s="94"/>
      <c r="L161" s="95"/>
      <c r="M161" s="66"/>
      <c r="N161" s="96"/>
      <c r="O161" s="97"/>
      <c r="P161" s="58"/>
      <c r="Q161" s="69"/>
      <c r="R161" s="70"/>
      <c r="S161" s="66"/>
      <c r="T161" s="55"/>
      <c r="U161" s="55"/>
      <c r="V161" s="55"/>
      <c r="W161" s="98"/>
      <c r="X161" s="98"/>
      <c r="Y161" s="98"/>
      <c r="Z161" s="98"/>
      <c r="AA161" s="98"/>
      <c r="AB161" s="98"/>
      <c r="AC161" s="98"/>
      <c r="AD161" s="98"/>
      <c r="AE161" s="98"/>
      <c r="AF161" s="277"/>
      <c r="AG161" s="277"/>
      <c r="AH161" s="277"/>
      <c r="AI161" s="277"/>
      <c r="AJ161" s="92"/>
    </row>
    <row r="162" spans="1:36" s="99" customFormat="1" ht="65.099999999999994" customHeight="1">
      <c r="A162" s="89"/>
      <c r="B162" s="89"/>
      <c r="C162" s="482"/>
      <c r="D162" s="91"/>
      <c r="E162" s="92"/>
      <c r="F162" s="92"/>
      <c r="G162" s="92"/>
      <c r="H162" s="92"/>
      <c r="I162" s="93"/>
      <c r="J162" s="94"/>
      <c r="K162" s="94"/>
      <c r="L162" s="95"/>
      <c r="M162" s="66"/>
      <c r="N162" s="96"/>
      <c r="O162" s="97"/>
      <c r="P162" s="58"/>
      <c r="Q162" s="69"/>
      <c r="R162" s="70"/>
      <c r="S162" s="66"/>
      <c r="T162" s="55"/>
      <c r="U162" s="55"/>
      <c r="V162" s="55"/>
      <c r="W162" s="98"/>
      <c r="X162" s="98"/>
      <c r="Y162" s="98"/>
      <c r="Z162" s="98"/>
      <c r="AA162" s="98"/>
      <c r="AB162" s="98"/>
      <c r="AC162" s="98"/>
      <c r="AD162" s="98"/>
      <c r="AE162" s="98"/>
      <c r="AF162" s="277"/>
      <c r="AG162" s="277"/>
      <c r="AH162" s="277"/>
      <c r="AI162" s="277"/>
      <c r="AJ162" s="92"/>
    </row>
    <row r="163" spans="1:36" s="99" customFormat="1" ht="65.099999999999994" customHeight="1">
      <c r="A163" s="89"/>
      <c r="B163" s="89"/>
      <c r="C163" s="482"/>
      <c r="D163" s="91"/>
      <c r="E163" s="92"/>
      <c r="F163" s="92"/>
      <c r="G163" s="92"/>
      <c r="H163" s="92"/>
      <c r="I163" s="93"/>
      <c r="J163" s="94"/>
      <c r="K163" s="94"/>
      <c r="L163" s="95"/>
      <c r="M163" s="66"/>
      <c r="N163" s="96"/>
      <c r="O163" s="97"/>
      <c r="P163" s="58"/>
      <c r="Q163" s="69"/>
      <c r="R163" s="70"/>
      <c r="S163" s="66"/>
      <c r="T163" s="55"/>
      <c r="U163" s="55"/>
      <c r="V163" s="55"/>
      <c r="W163" s="98"/>
      <c r="X163" s="98"/>
      <c r="Y163" s="98"/>
      <c r="Z163" s="98"/>
      <c r="AA163" s="98"/>
      <c r="AB163" s="98"/>
      <c r="AC163" s="98"/>
      <c r="AD163" s="98"/>
      <c r="AE163" s="98"/>
      <c r="AF163" s="277"/>
      <c r="AG163" s="277"/>
      <c r="AH163" s="277"/>
      <c r="AI163" s="277"/>
      <c r="AJ163" s="92"/>
    </row>
    <row r="164" spans="1:36" s="99" customFormat="1" ht="65.099999999999994" customHeight="1">
      <c r="A164" s="89"/>
      <c r="B164" s="89"/>
      <c r="C164" s="482"/>
      <c r="D164" s="91"/>
      <c r="E164" s="92"/>
      <c r="F164" s="92"/>
      <c r="G164" s="92"/>
      <c r="H164" s="92"/>
      <c r="I164" s="93"/>
      <c r="J164" s="94"/>
      <c r="K164" s="94"/>
      <c r="L164" s="95"/>
      <c r="M164" s="66"/>
      <c r="N164" s="96"/>
      <c r="O164" s="97"/>
      <c r="P164" s="58"/>
      <c r="Q164" s="69"/>
      <c r="R164" s="70"/>
      <c r="S164" s="66"/>
      <c r="T164" s="55"/>
      <c r="U164" s="55"/>
      <c r="V164" s="55"/>
      <c r="W164" s="98"/>
      <c r="X164" s="98"/>
      <c r="Y164" s="98"/>
      <c r="Z164" s="98"/>
      <c r="AA164" s="98"/>
      <c r="AB164" s="98"/>
      <c r="AC164" s="98"/>
      <c r="AD164" s="98"/>
      <c r="AE164" s="98"/>
      <c r="AF164" s="277"/>
      <c r="AG164" s="277"/>
      <c r="AH164" s="277"/>
      <c r="AI164" s="277"/>
      <c r="AJ164" s="92"/>
    </row>
    <row r="165" spans="1:36" s="99" customFormat="1" ht="65.099999999999994" customHeight="1">
      <c r="A165" s="89"/>
      <c r="B165" s="89"/>
      <c r="C165" s="482"/>
      <c r="D165" s="91"/>
      <c r="E165" s="92"/>
      <c r="F165" s="92"/>
      <c r="G165" s="92"/>
      <c r="H165" s="92"/>
      <c r="I165" s="93"/>
      <c r="J165" s="94"/>
      <c r="K165" s="94"/>
      <c r="L165" s="95"/>
      <c r="M165" s="66"/>
      <c r="N165" s="96"/>
      <c r="O165" s="97"/>
      <c r="P165" s="58"/>
      <c r="Q165" s="69"/>
      <c r="R165" s="70"/>
      <c r="S165" s="66"/>
      <c r="T165" s="55"/>
      <c r="U165" s="55"/>
      <c r="V165" s="55"/>
      <c r="W165" s="98"/>
      <c r="X165" s="98"/>
      <c r="Y165" s="98"/>
      <c r="Z165" s="98"/>
      <c r="AA165" s="98"/>
      <c r="AB165" s="98"/>
      <c r="AC165" s="98"/>
      <c r="AD165" s="98"/>
      <c r="AE165" s="98"/>
      <c r="AF165" s="277"/>
      <c r="AG165" s="277"/>
      <c r="AH165" s="277"/>
      <c r="AI165" s="277"/>
      <c r="AJ165" s="92"/>
    </row>
    <row r="166" spans="1:36" s="99" customFormat="1" ht="65.099999999999994" customHeight="1">
      <c r="A166" s="89"/>
      <c r="B166" s="89"/>
      <c r="C166" s="482"/>
      <c r="D166" s="91"/>
      <c r="E166" s="92"/>
      <c r="F166" s="92"/>
      <c r="G166" s="92"/>
      <c r="H166" s="92"/>
      <c r="I166" s="93"/>
      <c r="J166" s="94"/>
      <c r="K166" s="94"/>
      <c r="L166" s="95"/>
      <c r="M166" s="66"/>
      <c r="N166" s="96"/>
      <c r="O166" s="97"/>
      <c r="P166" s="58"/>
      <c r="Q166" s="69"/>
      <c r="R166" s="70"/>
      <c r="S166" s="66"/>
      <c r="T166" s="55"/>
      <c r="U166" s="55"/>
      <c r="V166" s="55"/>
      <c r="W166" s="98"/>
      <c r="X166" s="98"/>
      <c r="Y166" s="98"/>
      <c r="Z166" s="98"/>
      <c r="AA166" s="98"/>
      <c r="AB166" s="98"/>
      <c r="AC166" s="98"/>
      <c r="AD166" s="98"/>
      <c r="AE166" s="98"/>
      <c r="AF166" s="277"/>
      <c r="AG166" s="277"/>
      <c r="AH166" s="277"/>
      <c r="AI166" s="277"/>
      <c r="AJ166" s="92"/>
    </row>
    <row r="167" spans="1:36" s="99" customFormat="1" ht="65.099999999999994" customHeight="1">
      <c r="A167" s="89"/>
      <c r="B167" s="89"/>
      <c r="C167" s="482"/>
      <c r="D167" s="91"/>
      <c r="E167" s="92"/>
      <c r="F167" s="92"/>
      <c r="G167" s="92"/>
      <c r="H167" s="92"/>
      <c r="I167" s="93"/>
      <c r="J167" s="94"/>
      <c r="K167" s="94"/>
      <c r="L167" s="95"/>
      <c r="M167" s="66"/>
      <c r="N167" s="96"/>
      <c r="O167" s="97"/>
      <c r="P167" s="58"/>
      <c r="Q167" s="69"/>
      <c r="R167" s="70"/>
      <c r="S167" s="66"/>
      <c r="T167" s="55"/>
      <c r="U167" s="55"/>
      <c r="V167" s="55"/>
      <c r="W167" s="98"/>
      <c r="X167" s="98"/>
      <c r="Y167" s="98"/>
      <c r="Z167" s="98"/>
      <c r="AA167" s="98"/>
      <c r="AB167" s="98"/>
      <c r="AC167" s="98"/>
      <c r="AD167" s="98"/>
      <c r="AE167" s="98"/>
      <c r="AF167" s="277"/>
      <c r="AG167" s="277"/>
      <c r="AH167" s="277"/>
      <c r="AI167" s="277"/>
      <c r="AJ167" s="92"/>
    </row>
    <row r="168" spans="1:36" s="99" customFormat="1" ht="65.099999999999994" customHeight="1">
      <c r="A168" s="89"/>
      <c r="B168" s="89"/>
      <c r="C168" s="482"/>
      <c r="D168" s="91"/>
      <c r="E168" s="92"/>
      <c r="F168" s="92"/>
      <c r="G168" s="92"/>
      <c r="H168" s="92"/>
      <c r="I168" s="93"/>
      <c r="J168" s="94"/>
      <c r="K168" s="94"/>
      <c r="L168" s="95"/>
      <c r="M168" s="66"/>
      <c r="N168" s="96"/>
      <c r="O168" s="97"/>
      <c r="P168" s="58"/>
      <c r="Q168" s="69"/>
      <c r="R168" s="70"/>
      <c r="S168" s="66"/>
      <c r="T168" s="55"/>
      <c r="U168" s="55"/>
      <c r="V168" s="55"/>
      <c r="W168" s="98"/>
      <c r="X168" s="98"/>
      <c r="Y168" s="98"/>
      <c r="Z168" s="98"/>
      <c r="AA168" s="98"/>
      <c r="AB168" s="98"/>
      <c r="AC168" s="98"/>
      <c r="AD168" s="98"/>
      <c r="AE168" s="98"/>
      <c r="AF168" s="277"/>
      <c r="AG168" s="277"/>
      <c r="AH168" s="277"/>
      <c r="AI168" s="277"/>
      <c r="AJ168" s="92"/>
    </row>
    <row r="169" spans="1:36" s="99" customFormat="1" ht="65.099999999999994" customHeight="1">
      <c r="A169" s="89"/>
      <c r="B169" s="89"/>
      <c r="C169" s="482"/>
      <c r="D169" s="91"/>
      <c r="E169" s="92"/>
      <c r="F169" s="92"/>
      <c r="G169" s="92"/>
      <c r="H169" s="92"/>
      <c r="I169" s="93"/>
      <c r="J169" s="94"/>
      <c r="K169" s="94"/>
      <c r="L169" s="95"/>
      <c r="M169" s="66"/>
      <c r="N169" s="96"/>
      <c r="O169" s="97"/>
      <c r="P169" s="58"/>
      <c r="Q169" s="69"/>
      <c r="R169" s="70"/>
      <c r="S169" s="66"/>
      <c r="T169" s="55"/>
      <c r="U169" s="55"/>
      <c r="V169" s="55"/>
      <c r="W169" s="98"/>
      <c r="X169" s="98"/>
      <c r="Y169" s="98"/>
      <c r="Z169" s="98"/>
      <c r="AA169" s="98"/>
      <c r="AB169" s="98"/>
      <c r="AC169" s="98"/>
      <c r="AD169" s="98"/>
      <c r="AE169" s="98"/>
      <c r="AF169" s="277"/>
      <c r="AG169" s="277"/>
      <c r="AH169" s="277"/>
      <c r="AI169" s="277"/>
      <c r="AJ169" s="92"/>
    </row>
    <row r="170" spans="1:36" s="99" customFormat="1" ht="65.099999999999994" customHeight="1">
      <c r="A170" s="89"/>
      <c r="B170" s="89"/>
      <c r="C170" s="482"/>
      <c r="D170" s="91"/>
      <c r="E170" s="92"/>
      <c r="F170" s="92"/>
      <c r="G170" s="92"/>
      <c r="H170" s="92"/>
      <c r="I170" s="93"/>
      <c r="J170" s="94"/>
      <c r="K170" s="94"/>
      <c r="L170" s="95"/>
      <c r="M170" s="66"/>
      <c r="N170" s="96"/>
      <c r="O170" s="97"/>
      <c r="P170" s="58"/>
      <c r="Q170" s="69"/>
      <c r="R170" s="70"/>
      <c r="S170" s="66"/>
      <c r="T170" s="55"/>
      <c r="U170" s="55"/>
      <c r="V170" s="55"/>
      <c r="W170" s="98"/>
      <c r="X170" s="98"/>
      <c r="Y170" s="98"/>
      <c r="Z170" s="98"/>
      <c r="AA170" s="98"/>
      <c r="AB170" s="98"/>
      <c r="AC170" s="98"/>
      <c r="AD170" s="98"/>
      <c r="AE170" s="98"/>
      <c r="AF170" s="277"/>
      <c r="AG170" s="277"/>
      <c r="AH170" s="277"/>
      <c r="AI170" s="277"/>
      <c r="AJ170" s="92"/>
    </row>
    <row r="171" spans="1:36" s="99" customFormat="1" ht="65.099999999999994" customHeight="1">
      <c r="A171" s="89"/>
      <c r="B171" s="89"/>
      <c r="C171" s="482"/>
      <c r="D171" s="91"/>
      <c r="E171" s="92"/>
      <c r="F171" s="92"/>
      <c r="G171" s="92"/>
      <c r="H171" s="92"/>
      <c r="I171" s="93"/>
      <c r="J171" s="94"/>
      <c r="K171" s="94"/>
      <c r="L171" s="95"/>
      <c r="M171" s="66"/>
      <c r="N171" s="96"/>
      <c r="O171" s="97"/>
      <c r="P171" s="58"/>
      <c r="Q171" s="69"/>
      <c r="R171" s="70"/>
      <c r="S171" s="66"/>
      <c r="T171" s="55"/>
      <c r="U171" s="55"/>
      <c r="V171" s="55"/>
      <c r="W171" s="98"/>
      <c r="X171" s="98"/>
      <c r="Y171" s="98"/>
      <c r="Z171" s="98"/>
      <c r="AA171" s="98"/>
      <c r="AB171" s="98"/>
      <c r="AC171" s="98"/>
      <c r="AD171" s="98"/>
      <c r="AE171" s="98"/>
      <c r="AF171" s="277"/>
      <c r="AG171" s="277"/>
      <c r="AH171" s="277"/>
      <c r="AI171" s="277"/>
      <c r="AJ171" s="92"/>
    </row>
    <row r="172" spans="1:36" s="99" customFormat="1" ht="65.099999999999994" customHeight="1">
      <c r="A172" s="89"/>
      <c r="B172" s="89"/>
      <c r="C172" s="482"/>
      <c r="D172" s="91"/>
      <c r="E172" s="92"/>
      <c r="F172" s="92"/>
      <c r="G172" s="92"/>
      <c r="H172" s="92"/>
      <c r="I172" s="93"/>
      <c r="J172" s="94"/>
      <c r="K172" s="94"/>
      <c r="L172" s="95"/>
      <c r="M172" s="66"/>
      <c r="N172" s="96"/>
      <c r="O172" s="97"/>
      <c r="P172" s="58"/>
      <c r="Q172" s="69"/>
      <c r="R172" s="70"/>
      <c r="S172" s="66"/>
      <c r="T172" s="55"/>
      <c r="U172" s="55"/>
      <c r="V172" s="55"/>
      <c r="W172" s="98"/>
      <c r="X172" s="98"/>
      <c r="Y172" s="98"/>
      <c r="Z172" s="98"/>
      <c r="AA172" s="98"/>
      <c r="AB172" s="98"/>
      <c r="AC172" s="98"/>
      <c r="AD172" s="98"/>
      <c r="AE172" s="98"/>
      <c r="AF172" s="277"/>
      <c r="AG172" s="277"/>
      <c r="AH172" s="277"/>
      <c r="AI172" s="277"/>
      <c r="AJ172" s="92"/>
    </row>
    <row r="173" spans="1:36" s="99" customFormat="1" ht="65.099999999999994" customHeight="1">
      <c r="A173" s="89"/>
      <c r="B173" s="89"/>
      <c r="C173" s="482"/>
      <c r="D173" s="91"/>
      <c r="E173" s="92"/>
      <c r="F173" s="92"/>
      <c r="G173" s="92"/>
      <c r="H173" s="92"/>
      <c r="I173" s="93"/>
      <c r="J173" s="94"/>
      <c r="K173" s="94"/>
      <c r="L173" s="95"/>
      <c r="M173" s="66"/>
      <c r="N173" s="96"/>
      <c r="O173" s="97"/>
      <c r="P173" s="58"/>
      <c r="Q173" s="69"/>
      <c r="R173" s="70"/>
      <c r="S173" s="66"/>
      <c r="T173" s="55"/>
      <c r="U173" s="55"/>
      <c r="V173" s="55"/>
      <c r="W173" s="98"/>
      <c r="X173" s="98"/>
      <c r="Y173" s="98"/>
      <c r="Z173" s="98"/>
      <c r="AA173" s="98"/>
      <c r="AB173" s="98"/>
      <c r="AC173" s="98"/>
      <c r="AD173" s="98"/>
      <c r="AE173" s="98"/>
      <c r="AF173" s="277"/>
      <c r="AG173" s="277"/>
      <c r="AH173" s="277"/>
      <c r="AI173" s="277"/>
      <c r="AJ173" s="92"/>
    </row>
    <row r="174" spans="1:36" s="99" customFormat="1" ht="65.099999999999994" customHeight="1">
      <c r="A174" s="89"/>
      <c r="B174" s="89"/>
      <c r="C174" s="482"/>
      <c r="D174" s="91"/>
      <c r="E174" s="92"/>
      <c r="F174" s="92"/>
      <c r="G174" s="92"/>
      <c r="H174" s="92"/>
      <c r="I174" s="93"/>
      <c r="J174" s="94"/>
      <c r="K174" s="94"/>
      <c r="L174" s="95"/>
      <c r="M174" s="66"/>
      <c r="N174" s="96"/>
      <c r="O174" s="97"/>
      <c r="P174" s="58"/>
      <c r="Q174" s="69"/>
      <c r="R174" s="70"/>
      <c r="S174" s="66"/>
      <c r="T174" s="55"/>
      <c r="U174" s="55"/>
      <c r="V174" s="55"/>
      <c r="W174" s="98"/>
      <c r="X174" s="98"/>
      <c r="Y174" s="98"/>
      <c r="Z174" s="98"/>
      <c r="AA174" s="98"/>
      <c r="AB174" s="98"/>
      <c r="AC174" s="98"/>
      <c r="AD174" s="98"/>
      <c r="AE174" s="98"/>
      <c r="AF174" s="277"/>
      <c r="AG174" s="277"/>
      <c r="AH174" s="277"/>
      <c r="AI174" s="277"/>
      <c r="AJ174" s="92"/>
    </row>
    <row r="175" spans="1:36" s="99" customFormat="1" ht="65.099999999999994" customHeight="1">
      <c r="A175" s="89"/>
      <c r="B175" s="89"/>
      <c r="C175" s="482"/>
      <c r="D175" s="91"/>
      <c r="E175" s="92"/>
      <c r="F175" s="92"/>
      <c r="G175" s="92"/>
      <c r="H175" s="92"/>
      <c r="I175" s="93"/>
      <c r="J175" s="94"/>
      <c r="K175" s="94"/>
      <c r="L175" s="95"/>
      <c r="M175" s="66"/>
      <c r="N175" s="96"/>
      <c r="O175" s="97"/>
      <c r="P175" s="58"/>
      <c r="Q175" s="69"/>
      <c r="R175" s="70"/>
      <c r="S175" s="66"/>
      <c r="T175" s="55"/>
      <c r="U175" s="55"/>
      <c r="V175" s="55"/>
      <c r="W175" s="98"/>
      <c r="X175" s="98"/>
      <c r="Y175" s="98"/>
      <c r="Z175" s="98"/>
      <c r="AA175" s="98"/>
      <c r="AB175" s="98"/>
      <c r="AC175" s="98"/>
      <c r="AD175" s="98"/>
      <c r="AE175" s="98"/>
      <c r="AF175" s="277"/>
      <c r="AG175" s="277"/>
      <c r="AH175" s="277"/>
      <c r="AI175" s="277"/>
      <c r="AJ175" s="92"/>
    </row>
    <row r="176" spans="1:36" s="99" customFormat="1" ht="65.099999999999994" customHeight="1">
      <c r="A176" s="89"/>
      <c r="B176" s="89"/>
      <c r="C176" s="482"/>
      <c r="D176" s="91"/>
      <c r="E176" s="92"/>
      <c r="F176" s="92"/>
      <c r="G176" s="92"/>
      <c r="H176" s="92"/>
      <c r="I176" s="93"/>
      <c r="J176" s="94"/>
      <c r="K176" s="94"/>
      <c r="L176" s="95"/>
      <c r="M176" s="66"/>
      <c r="N176" s="96"/>
      <c r="O176" s="97"/>
      <c r="P176" s="58"/>
      <c r="Q176" s="69"/>
      <c r="R176" s="70"/>
      <c r="S176" s="66"/>
      <c r="T176" s="55"/>
      <c r="U176" s="55"/>
      <c r="V176" s="55"/>
      <c r="W176" s="98"/>
      <c r="X176" s="98"/>
      <c r="Y176" s="98"/>
      <c r="Z176" s="98"/>
      <c r="AA176" s="98"/>
      <c r="AB176" s="98"/>
      <c r="AC176" s="98"/>
      <c r="AD176" s="98"/>
      <c r="AE176" s="98"/>
      <c r="AF176" s="277"/>
      <c r="AG176" s="277"/>
      <c r="AH176" s="277"/>
      <c r="AI176" s="277"/>
      <c r="AJ176" s="92"/>
    </row>
    <row r="177" spans="1:36" s="99" customFormat="1" ht="65.099999999999994" customHeight="1">
      <c r="A177" s="89"/>
      <c r="B177" s="89"/>
      <c r="C177" s="482"/>
      <c r="D177" s="91"/>
      <c r="E177" s="92"/>
      <c r="F177" s="92"/>
      <c r="G177" s="92"/>
      <c r="H177" s="92"/>
      <c r="I177" s="93"/>
      <c r="J177" s="94"/>
      <c r="K177" s="94"/>
      <c r="L177" s="95"/>
      <c r="M177" s="66"/>
      <c r="N177" s="96"/>
      <c r="O177" s="97"/>
      <c r="P177" s="58"/>
      <c r="Q177" s="69"/>
      <c r="R177" s="70"/>
      <c r="S177" s="66"/>
      <c r="T177" s="55"/>
      <c r="U177" s="55"/>
      <c r="V177" s="55"/>
      <c r="W177" s="98"/>
      <c r="X177" s="98"/>
      <c r="Y177" s="98"/>
      <c r="Z177" s="98"/>
      <c r="AA177" s="98"/>
      <c r="AB177" s="98"/>
      <c r="AC177" s="98"/>
      <c r="AD177" s="98"/>
      <c r="AE177" s="98"/>
      <c r="AF177" s="277"/>
      <c r="AG177" s="277"/>
      <c r="AH177" s="277"/>
      <c r="AI177" s="277"/>
      <c r="AJ177" s="92"/>
    </row>
    <row r="178" spans="1:36" s="99" customFormat="1" ht="65.099999999999994" customHeight="1">
      <c r="A178" s="89"/>
      <c r="B178" s="89"/>
      <c r="C178" s="482"/>
      <c r="D178" s="91"/>
      <c r="E178" s="92"/>
      <c r="F178" s="92"/>
      <c r="G178" s="92"/>
      <c r="H178" s="92"/>
      <c r="I178" s="93"/>
      <c r="J178" s="94"/>
      <c r="K178" s="94"/>
      <c r="L178" s="95"/>
      <c r="M178" s="66"/>
      <c r="N178" s="96"/>
      <c r="O178" s="97"/>
      <c r="P178" s="58"/>
      <c r="Q178" s="69"/>
      <c r="R178" s="70"/>
      <c r="S178" s="66"/>
      <c r="T178" s="55"/>
      <c r="U178" s="55"/>
      <c r="V178" s="55"/>
      <c r="W178" s="98"/>
      <c r="X178" s="98"/>
      <c r="Y178" s="98"/>
      <c r="Z178" s="98"/>
      <c r="AA178" s="98"/>
      <c r="AB178" s="98"/>
      <c r="AC178" s="98"/>
      <c r="AD178" s="98"/>
      <c r="AE178" s="98"/>
      <c r="AF178" s="277"/>
      <c r="AG178" s="277"/>
      <c r="AH178" s="277"/>
      <c r="AI178" s="277"/>
      <c r="AJ178" s="92"/>
    </row>
    <row r="179" spans="1:36" s="99" customFormat="1" ht="65.099999999999994" customHeight="1">
      <c r="A179" s="89"/>
      <c r="B179" s="89"/>
      <c r="C179" s="482"/>
      <c r="D179" s="91"/>
      <c r="E179" s="92"/>
      <c r="F179" s="92"/>
      <c r="G179" s="92"/>
      <c r="H179" s="92"/>
      <c r="I179" s="93"/>
      <c r="J179" s="94"/>
      <c r="K179" s="94"/>
      <c r="L179" s="95"/>
      <c r="M179" s="66"/>
      <c r="N179" s="96"/>
      <c r="O179" s="97"/>
      <c r="P179" s="58"/>
      <c r="Q179" s="69"/>
      <c r="R179" s="70"/>
      <c r="S179" s="66"/>
      <c r="T179" s="55"/>
      <c r="U179" s="55"/>
      <c r="V179" s="55"/>
      <c r="W179" s="98"/>
      <c r="X179" s="98"/>
      <c r="Y179" s="98"/>
      <c r="Z179" s="98"/>
      <c r="AA179" s="98"/>
      <c r="AB179" s="98"/>
      <c r="AC179" s="98"/>
      <c r="AD179" s="98"/>
      <c r="AE179" s="98"/>
      <c r="AF179" s="277"/>
      <c r="AG179" s="277"/>
      <c r="AH179" s="277"/>
      <c r="AI179" s="277"/>
      <c r="AJ179" s="92"/>
    </row>
    <row r="180" spans="1:36" s="99" customFormat="1" ht="65.099999999999994" customHeight="1">
      <c r="A180" s="89"/>
      <c r="B180" s="89"/>
      <c r="C180" s="482"/>
      <c r="D180" s="91"/>
      <c r="E180" s="92"/>
      <c r="F180" s="92"/>
      <c r="G180" s="92"/>
      <c r="H180" s="92"/>
      <c r="I180" s="93"/>
      <c r="J180" s="94"/>
      <c r="K180" s="94"/>
      <c r="L180" s="95"/>
      <c r="M180" s="66"/>
      <c r="N180" s="96"/>
      <c r="O180" s="97"/>
      <c r="P180" s="58"/>
      <c r="Q180" s="69"/>
      <c r="R180" s="70"/>
      <c r="S180" s="66"/>
      <c r="T180" s="55"/>
      <c r="U180" s="55"/>
      <c r="V180" s="55"/>
      <c r="W180" s="98"/>
      <c r="X180" s="98"/>
      <c r="Y180" s="98"/>
      <c r="Z180" s="98"/>
      <c r="AA180" s="98"/>
      <c r="AB180" s="98"/>
      <c r="AC180" s="98"/>
      <c r="AD180" s="98"/>
      <c r="AE180" s="98"/>
      <c r="AF180" s="277"/>
      <c r="AG180" s="277"/>
      <c r="AH180" s="277"/>
      <c r="AI180" s="277"/>
      <c r="AJ180" s="92"/>
    </row>
    <row r="181" spans="1:36" s="99" customFormat="1" ht="65.099999999999994" customHeight="1">
      <c r="A181" s="89"/>
      <c r="B181" s="89"/>
      <c r="C181" s="482"/>
      <c r="D181" s="91"/>
      <c r="E181" s="92"/>
      <c r="F181" s="92"/>
      <c r="G181" s="92"/>
      <c r="H181" s="92"/>
      <c r="I181" s="93"/>
      <c r="J181" s="94"/>
      <c r="K181" s="94"/>
      <c r="L181" s="95"/>
      <c r="M181" s="66"/>
      <c r="N181" s="96"/>
      <c r="O181" s="97"/>
      <c r="P181" s="58"/>
      <c r="Q181" s="69"/>
      <c r="R181" s="70"/>
      <c r="S181" s="66"/>
      <c r="T181" s="55"/>
      <c r="U181" s="55"/>
      <c r="V181" s="55"/>
      <c r="W181" s="98"/>
      <c r="X181" s="98"/>
      <c r="Y181" s="98"/>
      <c r="Z181" s="98"/>
      <c r="AA181" s="98"/>
      <c r="AB181" s="98"/>
      <c r="AC181" s="98"/>
      <c r="AD181" s="98"/>
      <c r="AE181" s="98"/>
      <c r="AF181" s="277"/>
      <c r="AG181" s="277"/>
      <c r="AH181" s="277"/>
      <c r="AI181" s="277"/>
      <c r="AJ181" s="92"/>
    </row>
    <row r="182" spans="1:36" s="99" customFormat="1" ht="65.099999999999994" customHeight="1">
      <c r="A182" s="89"/>
      <c r="B182" s="89"/>
      <c r="C182" s="482"/>
      <c r="D182" s="91"/>
      <c r="E182" s="92"/>
      <c r="F182" s="92"/>
      <c r="G182" s="92"/>
      <c r="H182" s="92"/>
      <c r="I182" s="93"/>
      <c r="J182" s="94"/>
      <c r="K182" s="94"/>
      <c r="L182" s="95"/>
      <c r="M182" s="66"/>
      <c r="N182" s="96"/>
      <c r="O182" s="97"/>
      <c r="P182" s="58"/>
      <c r="Q182" s="69"/>
      <c r="R182" s="70"/>
      <c r="S182" s="66"/>
      <c r="T182" s="55"/>
      <c r="U182" s="55"/>
      <c r="V182" s="55"/>
      <c r="W182" s="98"/>
      <c r="X182" s="98"/>
      <c r="Y182" s="98"/>
      <c r="Z182" s="98"/>
      <c r="AA182" s="98"/>
      <c r="AB182" s="98"/>
      <c r="AC182" s="98"/>
      <c r="AD182" s="98"/>
      <c r="AE182" s="98"/>
      <c r="AF182" s="277"/>
      <c r="AG182" s="277"/>
      <c r="AH182" s="277"/>
      <c r="AI182" s="277"/>
      <c r="AJ182" s="92"/>
    </row>
    <row r="183" spans="1:36" s="99" customFormat="1" ht="65.099999999999994" customHeight="1">
      <c r="A183" s="89"/>
      <c r="B183" s="89"/>
      <c r="C183" s="482"/>
      <c r="D183" s="91"/>
      <c r="E183" s="92"/>
      <c r="F183" s="92"/>
      <c r="G183" s="92"/>
      <c r="H183" s="92"/>
      <c r="I183" s="93"/>
      <c r="J183" s="94"/>
      <c r="K183" s="94"/>
      <c r="L183" s="95"/>
      <c r="M183" s="66"/>
      <c r="N183" s="96"/>
      <c r="O183" s="97"/>
      <c r="P183" s="58"/>
      <c r="Q183" s="69"/>
      <c r="R183" s="70"/>
      <c r="S183" s="66"/>
      <c r="T183" s="55"/>
      <c r="U183" s="55"/>
      <c r="V183" s="55"/>
      <c r="W183" s="98"/>
      <c r="X183" s="98"/>
      <c r="Y183" s="98"/>
      <c r="Z183" s="98"/>
      <c r="AA183" s="98"/>
      <c r="AB183" s="98"/>
      <c r="AC183" s="98"/>
      <c r="AD183" s="98"/>
      <c r="AE183" s="98"/>
      <c r="AF183" s="277"/>
      <c r="AG183" s="277"/>
      <c r="AH183" s="277"/>
      <c r="AI183" s="277"/>
      <c r="AJ183" s="92"/>
    </row>
    <row r="184" spans="1:36" s="99" customFormat="1" ht="65.099999999999994" customHeight="1">
      <c r="A184" s="89"/>
      <c r="B184" s="89"/>
      <c r="C184" s="482"/>
      <c r="D184" s="91"/>
      <c r="E184" s="92"/>
      <c r="F184" s="92"/>
      <c r="G184" s="92"/>
      <c r="H184" s="92"/>
      <c r="I184" s="93"/>
      <c r="J184" s="94"/>
      <c r="K184" s="94"/>
      <c r="L184" s="95"/>
      <c r="M184" s="66"/>
      <c r="N184" s="96"/>
      <c r="O184" s="97"/>
      <c r="P184" s="58"/>
      <c r="Q184" s="69"/>
      <c r="R184" s="70"/>
      <c r="S184" s="66"/>
      <c r="T184" s="55"/>
      <c r="U184" s="55"/>
      <c r="V184" s="55"/>
      <c r="W184" s="98"/>
      <c r="X184" s="98"/>
      <c r="Y184" s="98"/>
      <c r="Z184" s="98"/>
      <c r="AA184" s="98"/>
      <c r="AB184" s="98"/>
      <c r="AC184" s="98"/>
      <c r="AD184" s="98"/>
      <c r="AE184" s="98"/>
      <c r="AF184" s="277"/>
      <c r="AG184" s="277"/>
      <c r="AH184" s="277"/>
      <c r="AI184" s="277"/>
      <c r="AJ184" s="92"/>
    </row>
    <row r="185" spans="1:36" s="99" customFormat="1" ht="65.099999999999994" customHeight="1">
      <c r="A185" s="89"/>
      <c r="B185" s="89"/>
      <c r="C185" s="482"/>
      <c r="D185" s="91"/>
      <c r="E185" s="92"/>
      <c r="F185" s="92"/>
      <c r="G185" s="92"/>
      <c r="H185" s="92"/>
      <c r="I185" s="93"/>
      <c r="J185" s="94"/>
      <c r="K185" s="94"/>
      <c r="L185" s="95"/>
      <c r="M185" s="66"/>
      <c r="N185" s="96"/>
      <c r="O185" s="97"/>
      <c r="P185" s="58"/>
      <c r="Q185" s="69"/>
      <c r="R185" s="70"/>
      <c r="S185" s="66"/>
      <c r="T185" s="55"/>
      <c r="U185" s="55"/>
      <c r="V185" s="55"/>
      <c r="W185" s="98"/>
      <c r="X185" s="98"/>
      <c r="Y185" s="98"/>
      <c r="Z185" s="98"/>
      <c r="AA185" s="98"/>
      <c r="AB185" s="98"/>
      <c r="AC185" s="98"/>
      <c r="AD185" s="98"/>
      <c r="AE185" s="98"/>
      <c r="AF185" s="277"/>
      <c r="AG185" s="277"/>
      <c r="AH185" s="277"/>
      <c r="AI185" s="277"/>
      <c r="AJ185" s="92"/>
    </row>
    <row r="186" spans="1:36" s="99" customFormat="1" ht="65.099999999999994" customHeight="1">
      <c r="A186" s="89"/>
      <c r="B186" s="89"/>
      <c r="C186" s="482"/>
      <c r="D186" s="91"/>
      <c r="E186" s="92"/>
      <c r="F186" s="92"/>
      <c r="G186" s="92"/>
      <c r="H186" s="92"/>
      <c r="I186" s="93"/>
      <c r="J186" s="94"/>
      <c r="K186" s="94"/>
      <c r="L186" s="95"/>
      <c r="M186" s="66"/>
      <c r="N186" s="96"/>
      <c r="O186" s="97"/>
      <c r="P186" s="58"/>
      <c r="Q186" s="69"/>
      <c r="R186" s="70"/>
      <c r="S186" s="66"/>
      <c r="T186" s="55"/>
      <c r="U186" s="55"/>
      <c r="V186" s="55"/>
      <c r="W186" s="98"/>
      <c r="X186" s="98"/>
      <c r="Y186" s="98"/>
      <c r="Z186" s="98"/>
      <c r="AA186" s="98"/>
      <c r="AB186" s="98"/>
      <c r="AC186" s="98"/>
      <c r="AD186" s="98"/>
      <c r="AE186" s="98"/>
      <c r="AF186" s="277"/>
      <c r="AG186" s="277"/>
      <c r="AH186" s="277"/>
      <c r="AI186" s="277"/>
      <c r="AJ186" s="92"/>
    </row>
    <row r="187" spans="1:36" s="99" customFormat="1" ht="65.099999999999994" customHeight="1">
      <c r="A187" s="89"/>
      <c r="B187" s="89"/>
      <c r="C187" s="482"/>
      <c r="D187" s="91"/>
      <c r="E187" s="92"/>
      <c r="F187" s="92"/>
      <c r="G187" s="92"/>
      <c r="H187" s="92"/>
      <c r="I187" s="93"/>
      <c r="J187" s="94"/>
      <c r="K187" s="94"/>
      <c r="L187" s="95"/>
      <c r="M187" s="66"/>
      <c r="N187" s="96"/>
      <c r="O187" s="97"/>
      <c r="P187" s="58"/>
      <c r="Q187" s="69"/>
      <c r="R187" s="70"/>
      <c r="S187" s="66"/>
      <c r="T187" s="55"/>
      <c r="U187" s="55"/>
      <c r="V187" s="55"/>
      <c r="W187" s="98"/>
      <c r="X187" s="98"/>
      <c r="Y187" s="98"/>
      <c r="Z187" s="98"/>
      <c r="AA187" s="98"/>
      <c r="AB187" s="98"/>
      <c r="AC187" s="98"/>
      <c r="AD187" s="98"/>
      <c r="AE187" s="98"/>
      <c r="AF187" s="277"/>
      <c r="AG187" s="277"/>
      <c r="AH187" s="277"/>
      <c r="AI187" s="277"/>
      <c r="AJ187" s="92"/>
    </row>
    <row r="188" spans="1:36" s="99" customFormat="1" ht="65.099999999999994" customHeight="1">
      <c r="A188" s="89"/>
      <c r="B188" s="89"/>
      <c r="C188" s="482"/>
      <c r="D188" s="91"/>
      <c r="E188" s="92"/>
      <c r="F188" s="92"/>
      <c r="G188" s="92"/>
      <c r="H188" s="92"/>
      <c r="I188" s="93"/>
      <c r="J188" s="94"/>
      <c r="K188" s="94"/>
      <c r="L188" s="95"/>
      <c r="M188" s="66"/>
      <c r="N188" s="96"/>
      <c r="O188" s="97"/>
      <c r="P188" s="58"/>
      <c r="Q188" s="69"/>
      <c r="R188" s="70"/>
      <c r="S188" s="66"/>
      <c r="T188" s="55"/>
      <c r="U188" s="55"/>
      <c r="V188" s="55"/>
      <c r="W188" s="98"/>
      <c r="X188" s="98"/>
      <c r="Y188" s="98"/>
      <c r="Z188" s="98"/>
      <c r="AA188" s="98"/>
      <c r="AB188" s="98"/>
      <c r="AC188" s="98"/>
      <c r="AD188" s="98"/>
      <c r="AE188" s="98"/>
      <c r="AF188" s="277"/>
      <c r="AG188" s="277"/>
      <c r="AH188" s="277"/>
      <c r="AI188" s="277"/>
      <c r="AJ188" s="92"/>
    </row>
    <row r="189" spans="1:36" s="99" customFormat="1" ht="65.099999999999994" customHeight="1">
      <c r="A189" s="89"/>
      <c r="B189" s="89"/>
      <c r="C189" s="482"/>
      <c r="D189" s="91"/>
      <c r="E189" s="92"/>
      <c r="F189" s="92"/>
      <c r="G189" s="92"/>
      <c r="H189" s="92"/>
      <c r="I189" s="93"/>
      <c r="J189" s="94"/>
      <c r="K189" s="94"/>
      <c r="L189" s="95"/>
      <c r="M189" s="66"/>
      <c r="N189" s="96"/>
      <c r="O189" s="97"/>
      <c r="P189" s="58"/>
      <c r="Q189" s="69"/>
      <c r="R189" s="70"/>
      <c r="S189" s="66"/>
      <c r="T189" s="55"/>
      <c r="U189" s="55"/>
      <c r="V189" s="55"/>
      <c r="W189" s="98"/>
      <c r="X189" s="98"/>
      <c r="Y189" s="98"/>
      <c r="Z189" s="98"/>
      <c r="AA189" s="98"/>
      <c r="AB189" s="98"/>
      <c r="AC189" s="98"/>
      <c r="AD189" s="98"/>
      <c r="AE189" s="98"/>
      <c r="AF189" s="277"/>
      <c r="AG189" s="277"/>
      <c r="AH189" s="277"/>
      <c r="AI189" s="277"/>
      <c r="AJ189" s="92"/>
    </row>
    <row r="190" spans="1:36" s="99" customFormat="1" ht="65.099999999999994" customHeight="1">
      <c r="A190" s="89"/>
      <c r="B190" s="89"/>
      <c r="C190" s="482"/>
      <c r="D190" s="91"/>
      <c r="E190" s="92"/>
      <c r="F190" s="92"/>
      <c r="G190" s="92"/>
      <c r="H190" s="92"/>
      <c r="I190" s="93"/>
      <c r="J190" s="94"/>
      <c r="K190" s="94"/>
      <c r="L190" s="95"/>
      <c r="M190" s="66"/>
      <c r="N190" s="96"/>
      <c r="O190" s="97"/>
      <c r="P190" s="58"/>
      <c r="Q190" s="69"/>
      <c r="R190" s="70"/>
      <c r="S190" s="66"/>
      <c r="T190" s="55"/>
      <c r="U190" s="55"/>
      <c r="V190" s="55"/>
      <c r="W190" s="98"/>
      <c r="X190" s="98"/>
      <c r="Y190" s="98"/>
      <c r="Z190" s="98"/>
      <c r="AA190" s="98"/>
      <c r="AB190" s="98"/>
      <c r="AC190" s="98"/>
      <c r="AD190" s="98"/>
      <c r="AE190" s="98"/>
      <c r="AF190" s="277"/>
      <c r="AG190" s="277"/>
      <c r="AH190" s="277"/>
      <c r="AI190" s="277"/>
      <c r="AJ190" s="92"/>
    </row>
    <row r="191" spans="1:36" s="99" customFormat="1" ht="65.099999999999994" customHeight="1">
      <c r="A191" s="89"/>
      <c r="B191" s="89"/>
      <c r="C191" s="482"/>
      <c r="D191" s="91"/>
      <c r="E191" s="92"/>
      <c r="F191" s="92"/>
      <c r="G191" s="92"/>
      <c r="H191" s="92"/>
      <c r="I191" s="93"/>
      <c r="J191" s="94"/>
      <c r="K191" s="94"/>
      <c r="L191" s="95"/>
      <c r="M191" s="66"/>
      <c r="N191" s="96"/>
      <c r="O191" s="97"/>
      <c r="P191" s="58"/>
      <c r="Q191" s="69"/>
      <c r="R191" s="70"/>
      <c r="S191" s="66"/>
      <c r="T191" s="55"/>
      <c r="U191" s="55"/>
      <c r="V191" s="55"/>
      <c r="W191" s="98"/>
      <c r="X191" s="98"/>
      <c r="Y191" s="98"/>
      <c r="Z191" s="98"/>
      <c r="AA191" s="98"/>
      <c r="AB191" s="98"/>
      <c r="AC191" s="98"/>
      <c r="AD191" s="98"/>
      <c r="AE191" s="98"/>
      <c r="AF191" s="277"/>
      <c r="AG191" s="277"/>
      <c r="AH191" s="277"/>
      <c r="AI191" s="277"/>
      <c r="AJ191" s="92"/>
    </row>
    <row r="192" spans="1:36" s="99" customFormat="1" ht="65.099999999999994" customHeight="1">
      <c r="A192" s="89"/>
      <c r="B192" s="89"/>
      <c r="C192" s="482"/>
      <c r="D192" s="91"/>
      <c r="E192" s="92"/>
      <c r="F192" s="92"/>
      <c r="G192" s="92"/>
      <c r="H192" s="92"/>
      <c r="I192" s="93"/>
      <c r="J192" s="94"/>
      <c r="K192" s="94"/>
      <c r="L192" s="95"/>
      <c r="M192" s="66"/>
      <c r="N192" s="96"/>
      <c r="O192" s="97"/>
      <c r="P192" s="58"/>
      <c r="Q192" s="69"/>
      <c r="R192" s="70"/>
      <c r="S192" s="66"/>
      <c r="T192" s="55"/>
      <c r="U192" s="55"/>
      <c r="V192" s="55"/>
      <c r="W192" s="98"/>
      <c r="X192" s="98"/>
      <c r="Y192" s="98"/>
      <c r="Z192" s="98"/>
      <c r="AA192" s="98"/>
      <c r="AB192" s="98"/>
      <c r="AC192" s="98"/>
      <c r="AD192" s="98"/>
      <c r="AE192" s="98"/>
      <c r="AF192" s="277"/>
      <c r="AG192" s="277"/>
      <c r="AH192" s="277"/>
      <c r="AI192" s="277"/>
      <c r="AJ192" s="92"/>
    </row>
    <row r="193" spans="1:36" s="99" customFormat="1" ht="65.099999999999994" customHeight="1">
      <c r="A193" s="89"/>
      <c r="B193" s="89"/>
      <c r="C193" s="482"/>
      <c r="D193" s="91"/>
      <c r="E193" s="92"/>
      <c r="F193" s="92"/>
      <c r="G193" s="92"/>
      <c r="H193" s="92"/>
      <c r="I193" s="93"/>
      <c r="J193" s="94"/>
      <c r="K193" s="94"/>
      <c r="L193" s="95"/>
      <c r="M193" s="66"/>
      <c r="N193" s="96"/>
      <c r="O193" s="97"/>
      <c r="P193" s="58"/>
      <c r="Q193" s="69"/>
      <c r="R193" s="70"/>
      <c r="S193" s="66"/>
      <c r="T193" s="55"/>
      <c r="U193" s="55"/>
      <c r="V193" s="55"/>
      <c r="W193" s="98"/>
      <c r="X193" s="98"/>
      <c r="Y193" s="98"/>
      <c r="Z193" s="98"/>
      <c r="AA193" s="98"/>
      <c r="AB193" s="98"/>
      <c r="AC193" s="98"/>
      <c r="AD193" s="98"/>
      <c r="AE193" s="98"/>
      <c r="AF193" s="277"/>
      <c r="AG193" s="277"/>
      <c r="AH193" s="277"/>
      <c r="AI193" s="277"/>
      <c r="AJ193" s="92"/>
    </row>
    <row r="194" spans="1:36" s="99" customFormat="1" ht="65.099999999999994" customHeight="1">
      <c r="A194" s="89"/>
      <c r="B194" s="89"/>
      <c r="C194" s="482"/>
      <c r="D194" s="91"/>
      <c r="E194" s="92"/>
      <c r="F194" s="92"/>
      <c r="G194" s="92"/>
      <c r="H194" s="92"/>
      <c r="I194" s="93"/>
      <c r="J194" s="94"/>
      <c r="K194" s="94"/>
      <c r="L194" s="95"/>
      <c r="M194" s="66"/>
      <c r="N194" s="96"/>
      <c r="O194" s="97"/>
      <c r="P194" s="58"/>
      <c r="Q194" s="69"/>
      <c r="R194" s="70"/>
      <c r="S194" s="66"/>
      <c r="T194" s="55"/>
      <c r="U194" s="55"/>
      <c r="V194" s="55"/>
      <c r="W194" s="98"/>
      <c r="X194" s="98"/>
      <c r="Y194" s="98"/>
      <c r="Z194" s="98"/>
      <c r="AA194" s="98"/>
      <c r="AB194" s="98"/>
      <c r="AC194" s="98"/>
      <c r="AD194" s="98"/>
      <c r="AE194" s="98"/>
      <c r="AF194" s="277"/>
      <c r="AG194" s="277"/>
      <c r="AH194" s="277"/>
      <c r="AI194" s="277"/>
      <c r="AJ194" s="92"/>
    </row>
    <row r="195" spans="1:36" s="99" customFormat="1" ht="65.099999999999994" customHeight="1">
      <c r="A195" s="89"/>
      <c r="B195" s="89"/>
      <c r="C195" s="482"/>
      <c r="D195" s="91"/>
      <c r="E195" s="92"/>
      <c r="F195" s="92"/>
      <c r="G195" s="92"/>
      <c r="H195" s="92"/>
      <c r="I195" s="93"/>
      <c r="J195" s="94"/>
      <c r="K195" s="94"/>
      <c r="L195" s="95"/>
      <c r="M195" s="66"/>
      <c r="N195" s="96"/>
      <c r="O195" s="97"/>
      <c r="P195" s="58"/>
      <c r="Q195" s="69"/>
      <c r="R195" s="70"/>
      <c r="S195" s="66"/>
      <c r="T195" s="55"/>
      <c r="U195" s="55"/>
      <c r="V195" s="55"/>
      <c r="W195" s="98"/>
      <c r="X195" s="98"/>
      <c r="Y195" s="98"/>
      <c r="Z195" s="98"/>
      <c r="AA195" s="98"/>
      <c r="AB195" s="98"/>
      <c r="AC195" s="98"/>
      <c r="AD195" s="98"/>
      <c r="AE195" s="98"/>
      <c r="AF195" s="277"/>
      <c r="AG195" s="277"/>
      <c r="AH195" s="277"/>
      <c r="AI195" s="277"/>
      <c r="AJ195" s="92"/>
    </row>
    <row r="196" spans="1:36" s="99" customFormat="1" ht="65.099999999999994" customHeight="1">
      <c r="A196" s="89"/>
      <c r="B196" s="89"/>
      <c r="C196" s="482"/>
      <c r="D196" s="91"/>
      <c r="E196" s="92"/>
      <c r="F196" s="92"/>
      <c r="G196" s="92"/>
      <c r="H196" s="92"/>
      <c r="I196" s="93"/>
      <c r="J196" s="94"/>
      <c r="K196" s="94"/>
      <c r="L196" s="95"/>
      <c r="M196" s="66"/>
      <c r="N196" s="96"/>
      <c r="O196" s="97"/>
      <c r="P196" s="58"/>
      <c r="Q196" s="69"/>
      <c r="R196" s="70"/>
      <c r="S196" s="66"/>
      <c r="T196" s="55"/>
      <c r="U196" s="55"/>
      <c r="V196" s="55"/>
      <c r="W196" s="98"/>
      <c r="X196" s="98"/>
      <c r="Y196" s="98"/>
      <c r="Z196" s="98"/>
      <c r="AA196" s="98"/>
      <c r="AB196" s="98"/>
      <c r="AC196" s="98"/>
      <c r="AD196" s="98"/>
      <c r="AE196" s="98"/>
      <c r="AF196" s="277"/>
      <c r="AG196" s="277"/>
      <c r="AH196" s="277"/>
      <c r="AI196" s="277"/>
      <c r="AJ196" s="92"/>
    </row>
    <row r="197" spans="1:36" s="99" customFormat="1" ht="65.099999999999994" customHeight="1">
      <c r="A197" s="89"/>
      <c r="B197" s="89"/>
      <c r="C197" s="482"/>
      <c r="D197" s="91"/>
      <c r="E197" s="92"/>
      <c r="F197" s="92"/>
      <c r="G197" s="92"/>
      <c r="H197" s="92"/>
      <c r="I197" s="93"/>
      <c r="J197" s="94"/>
      <c r="K197" s="94"/>
      <c r="L197" s="95"/>
      <c r="M197" s="66"/>
      <c r="N197" s="96"/>
      <c r="O197" s="97"/>
      <c r="P197" s="58"/>
      <c r="Q197" s="69"/>
      <c r="R197" s="70"/>
      <c r="S197" s="66"/>
      <c r="T197" s="55"/>
      <c r="U197" s="55"/>
      <c r="V197" s="55"/>
      <c r="W197" s="98"/>
      <c r="X197" s="98"/>
      <c r="Y197" s="98"/>
      <c r="Z197" s="98"/>
      <c r="AA197" s="98"/>
      <c r="AB197" s="98"/>
      <c r="AC197" s="98"/>
      <c r="AD197" s="98"/>
      <c r="AE197" s="98"/>
      <c r="AF197" s="277"/>
      <c r="AG197" s="277"/>
      <c r="AH197" s="277"/>
      <c r="AI197" s="277"/>
      <c r="AJ197" s="92"/>
    </row>
    <row r="198" spans="1:36" s="99" customFormat="1" ht="65.099999999999994" customHeight="1">
      <c r="A198" s="89"/>
      <c r="B198" s="89"/>
      <c r="C198" s="482"/>
      <c r="D198" s="91"/>
      <c r="E198" s="92"/>
      <c r="F198" s="92"/>
      <c r="G198" s="92"/>
      <c r="H198" s="92"/>
      <c r="I198" s="93"/>
      <c r="J198" s="94"/>
      <c r="K198" s="94"/>
      <c r="L198" s="95"/>
      <c r="M198" s="66"/>
      <c r="N198" s="96"/>
      <c r="O198" s="97"/>
      <c r="P198" s="58"/>
      <c r="Q198" s="69"/>
      <c r="R198" s="70"/>
      <c r="S198" s="66"/>
      <c r="T198" s="55"/>
      <c r="U198" s="55"/>
      <c r="V198" s="55"/>
      <c r="W198" s="98"/>
      <c r="X198" s="98"/>
      <c r="Y198" s="98"/>
      <c r="Z198" s="98"/>
      <c r="AA198" s="98"/>
      <c r="AB198" s="98"/>
      <c r="AC198" s="98"/>
      <c r="AD198" s="98"/>
      <c r="AE198" s="98"/>
      <c r="AF198" s="277"/>
      <c r="AG198" s="277"/>
      <c r="AH198" s="277"/>
      <c r="AI198" s="277"/>
      <c r="AJ198" s="92"/>
    </row>
    <row r="199" spans="1:36" s="99" customFormat="1" ht="65.099999999999994" customHeight="1">
      <c r="A199" s="89"/>
      <c r="B199" s="89"/>
      <c r="C199" s="482"/>
      <c r="D199" s="91"/>
      <c r="E199" s="92"/>
      <c r="F199" s="92"/>
      <c r="G199" s="92"/>
      <c r="H199" s="92"/>
      <c r="I199" s="93"/>
      <c r="J199" s="94"/>
      <c r="K199" s="94"/>
      <c r="L199" s="95"/>
      <c r="M199" s="66"/>
      <c r="N199" s="96"/>
      <c r="O199" s="97"/>
      <c r="P199" s="58"/>
      <c r="Q199" s="69"/>
      <c r="R199" s="70"/>
      <c r="S199" s="66"/>
      <c r="T199" s="55"/>
      <c r="U199" s="55"/>
      <c r="V199" s="55"/>
      <c r="W199" s="98"/>
      <c r="X199" s="98"/>
      <c r="Y199" s="98"/>
      <c r="Z199" s="98"/>
      <c r="AA199" s="98"/>
      <c r="AB199" s="98"/>
      <c r="AC199" s="98"/>
      <c r="AD199" s="98"/>
      <c r="AE199" s="98"/>
      <c r="AF199" s="277"/>
      <c r="AG199" s="277"/>
      <c r="AH199" s="277"/>
      <c r="AI199" s="277"/>
      <c r="AJ199" s="92"/>
    </row>
    <row r="200" spans="1:36" s="99" customFormat="1" ht="65.099999999999994" customHeight="1">
      <c r="A200" s="89"/>
      <c r="B200" s="89"/>
      <c r="C200" s="482"/>
      <c r="D200" s="91"/>
      <c r="E200" s="92"/>
      <c r="F200" s="92"/>
      <c r="G200" s="92"/>
      <c r="H200" s="92"/>
      <c r="I200" s="93"/>
      <c r="J200" s="94"/>
      <c r="K200" s="94"/>
      <c r="L200" s="95"/>
      <c r="M200" s="66"/>
      <c r="N200" s="96"/>
      <c r="O200" s="97"/>
      <c r="P200" s="58"/>
      <c r="Q200" s="69"/>
      <c r="R200" s="70"/>
      <c r="S200" s="66"/>
      <c r="T200" s="55"/>
      <c r="U200" s="55"/>
      <c r="V200" s="55"/>
      <c r="W200" s="98"/>
      <c r="X200" s="98"/>
      <c r="Y200" s="98"/>
      <c r="Z200" s="98"/>
      <c r="AA200" s="98"/>
      <c r="AB200" s="98"/>
      <c r="AC200" s="98"/>
      <c r="AD200" s="98"/>
      <c r="AE200" s="98"/>
      <c r="AF200" s="277"/>
      <c r="AG200" s="277"/>
      <c r="AH200" s="277"/>
      <c r="AI200" s="277"/>
      <c r="AJ200" s="92"/>
    </row>
    <row r="201" spans="1:36" s="99" customFormat="1" ht="65.099999999999994" customHeight="1">
      <c r="A201" s="89"/>
      <c r="B201" s="89"/>
      <c r="C201" s="482"/>
      <c r="D201" s="91"/>
      <c r="E201" s="92"/>
      <c r="F201" s="92"/>
      <c r="G201" s="92"/>
      <c r="H201" s="92"/>
      <c r="I201" s="93"/>
      <c r="J201" s="94"/>
      <c r="K201" s="94"/>
      <c r="L201" s="95"/>
      <c r="M201" s="66"/>
      <c r="N201" s="96"/>
      <c r="O201" s="97"/>
      <c r="P201" s="58"/>
      <c r="Q201" s="69"/>
      <c r="R201" s="70"/>
      <c r="S201" s="66"/>
      <c r="T201" s="55"/>
      <c r="U201" s="55"/>
      <c r="V201" s="55"/>
      <c r="W201" s="98"/>
      <c r="X201" s="98"/>
      <c r="Y201" s="98"/>
      <c r="Z201" s="98"/>
      <c r="AA201" s="98"/>
      <c r="AB201" s="98"/>
      <c r="AC201" s="98"/>
      <c r="AD201" s="98"/>
      <c r="AE201" s="98"/>
      <c r="AF201" s="277"/>
      <c r="AG201" s="277"/>
      <c r="AH201" s="277"/>
      <c r="AI201" s="277"/>
      <c r="AJ201" s="92"/>
    </row>
    <row r="202" spans="1:36" s="99" customFormat="1" ht="65.099999999999994" customHeight="1">
      <c r="A202" s="89"/>
      <c r="B202" s="89"/>
      <c r="C202" s="482"/>
      <c r="D202" s="91"/>
      <c r="E202" s="92"/>
      <c r="F202" s="92"/>
      <c r="G202" s="92"/>
      <c r="H202" s="92"/>
      <c r="I202" s="93"/>
      <c r="J202" s="94"/>
      <c r="K202" s="94"/>
      <c r="L202" s="95"/>
      <c r="M202" s="66"/>
      <c r="N202" s="96"/>
      <c r="O202" s="97"/>
      <c r="P202" s="58"/>
      <c r="Q202" s="69"/>
      <c r="R202" s="70"/>
      <c r="S202" s="66"/>
      <c r="T202" s="55"/>
      <c r="U202" s="55"/>
      <c r="V202" s="55"/>
      <c r="W202" s="98"/>
      <c r="X202" s="98"/>
      <c r="Y202" s="98"/>
      <c r="Z202" s="98"/>
      <c r="AA202" s="98"/>
      <c r="AB202" s="98"/>
      <c r="AC202" s="98"/>
      <c r="AD202" s="98"/>
      <c r="AE202" s="98"/>
      <c r="AF202" s="277"/>
      <c r="AG202" s="277"/>
      <c r="AH202" s="277"/>
      <c r="AI202" s="277"/>
      <c r="AJ202" s="92"/>
    </row>
    <row r="203" spans="1:36" s="99" customFormat="1" ht="65.099999999999994" customHeight="1">
      <c r="A203" s="89"/>
      <c r="B203" s="89"/>
      <c r="C203" s="482"/>
      <c r="D203" s="91"/>
      <c r="E203" s="92"/>
      <c r="F203" s="92"/>
      <c r="G203" s="92"/>
      <c r="H203" s="92"/>
      <c r="I203" s="93"/>
      <c r="J203" s="94"/>
      <c r="K203" s="94"/>
      <c r="L203" s="95"/>
      <c r="M203" s="66"/>
      <c r="N203" s="96"/>
      <c r="O203" s="97"/>
      <c r="P203" s="58"/>
      <c r="Q203" s="69"/>
      <c r="R203" s="70"/>
      <c r="S203" s="66"/>
      <c r="T203" s="55"/>
      <c r="U203" s="55"/>
      <c r="V203" s="55"/>
      <c r="W203" s="98"/>
      <c r="X203" s="98"/>
      <c r="Y203" s="98"/>
      <c r="Z203" s="98"/>
      <c r="AA203" s="98"/>
      <c r="AB203" s="98"/>
      <c r="AC203" s="98"/>
      <c r="AD203" s="98"/>
      <c r="AE203" s="98"/>
      <c r="AF203" s="277"/>
      <c r="AG203" s="277"/>
      <c r="AH203" s="277"/>
      <c r="AI203" s="277"/>
      <c r="AJ203" s="92"/>
    </row>
    <row r="204" spans="1:36" s="99" customFormat="1" ht="65.099999999999994" customHeight="1">
      <c r="A204" s="89"/>
      <c r="B204" s="89"/>
      <c r="C204" s="482"/>
      <c r="D204" s="91"/>
      <c r="E204" s="92"/>
      <c r="F204" s="92"/>
      <c r="G204" s="92"/>
      <c r="H204" s="92"/>
      <c r="I204" s="93"/>
      <c r="J204" s="94"/>
      <c r="K204" s="94"/>
      <c r="L204" s="95"/>
      <c r="M204" s="66"/>
      <c r="N204" s="96"/>
      <c r="O204" s="97"/>
      <c r="P204" s="58"/>
      <c r="Q204" s="69"/>
      <c r="R204" s="70"/>
      <c r="S204" s="66"/>
      <c r="T204" s="55"/>
      <c r="U204" s="55"/>
      <c r="V204" s="55"/>
      <c r="W204" s="98"/>
      <c r="X204" s="98"/>
      <c r="Y204" s="98"/>
      <c r="Z204" s="98"/>
      <c r="AA204" s="98"/>
      <c r="AB204" s="98"/>
      <c r="AC204" s="98"/>
      <c r="AD204" s="98"/>
      <c r="AE204" s="98"/>
      <c r="AF204" s="277"/>
      <c r="AG204" s="277"/>
      <c r="AH204" s="277"/>
      <c r="AI204" s="277"/>
      <c r="AJ204" s="92"/>
    </row>
    <row r="205" spans="1:36" s="99" customFormat="1" ht="65.099999999999994" customHeight="1">
      <c r="A205" s="89"/>
      <c r="B205" s="89"/>
      <c r="C205" s="482"/>
      <c r="D205" s="91"/>
      <c r="E205" s="92"/>
      <c r="F205" s="92"/>
      <c r="G205" s="92"/>
      <c r="H205" s="92"/>
      <c r="I205" s="93"/>
      <c r="J205" s="94"/>
      <c r="K205" s="94"/>
      <c r="L205" s="95"/>
      <c r="M205" s="66"/>
      <c r="N205" s="96"/>
      <c r="O205" s="97"/>
      <c r="P205" s="58"/>
      <c r="Q205" s="69"/>
      <c r="R205" s="70"/>
      <c r="S205" s="66"/>
      <c r="T205" s="55"/>
      <c r="U205" s="55"/>
      <c r="V205" s="55"/>
      <c r="W205" s="98"/>
      <c r="X205" s="98"/>
      <c r="Y205" s="98"/>
      <c r="Z205" s="98"/>
      <c r="AA205" s="98"/>
      <c r="AB205" s="98"/>
      <c r="AC205" s="98"/>
      <c r="AD205" s="98"/>
      <c r="AE205" s="98"/>
      <c r="AF205" s="277"/>
      <c r="AG205" s="277"/>
      <c r="AH205" s="277"/>
      <c r="AI205" s="277"/>
      <c r="AJ205" s="92"/>
    </row>
    <row r="206" spans="1:36" s="99" customFormat="1" ht="65.099999999999994" customHeight="1">
      <c r="A206" s="89"/>
      <c r="B206" s="89"/>
      <c r="C206" s="482"/>
      <c r="D206" s="91"/>
      <c r="E206" s="92"/>
      <c r="F206" s="92"/>
      <c r="G206" s="92"/>
      <c r="H206" s="92"/>
      <c r="I206" s="93"/>
      <c r="J206" s="94"/>
      <c r="K206" s="94"/>
      <c r="L206" s="95"/>
      <c r="M206" s="66"/>
      <c r="N206" s="96"/>
      <c r="O206" s="97"/>
      <c r="P206" s="58"/>
      <c r="Q206" s="69"/>
      <c r="R206" s="70"/>
      <c r="S206" s="66"/>
      <c r="T206" s="55"/>
      <c r="U206" s="55"/>
      <c r="V206" s="55"/>
      <c r="W206" s="98"/>
      <c r="X206" s="98"/>
      <c r="Y206" s="98"/>
      <c r="Z206" s="98"/>
      <c r="AA206" s="98"/>
      <c r="AB206" s="98"/>
      <c r="AC206" s="98"/>
      <c r="AD206" s="98"/>
      <c r="AE206" s="98"/>
      <c r="AF206" s="277"/>
      <c r="AG206" s="277"/>
      <c r="AH206" s="277"/>
      <c r="AI206" s="277"/>
      <c r="AJ206" s="92"/>
    </row>
    <row r="207" spans="1:36" s="99" customFormat="1" ht="65.099999999999994" customHeight="1">
      <c r="A207" s="89"/>
      <c r="B207" s="89"/>
      <c r="C207" s="482"/>
      <c r="D207" s="91"/>
      <c r="E207" s="92"/>
      <c r="F207" s="92"/>
      <c r="G207" s="92"/>
      <c r="H207" s="92"/>
      <c r="I207" s="93"/>
      <c r="J207" s="94"/>
      <c r="K207" s="94"/>
      <c r="L207" s="95"/>
      <c r="M207" s="66"/>
      <c r="N207" s="96"/>
      <c r="O207" s="97"/>
      <c r="P207" s="58"/>
      <c r="Q207" s="69"/>
      <c r="R207" s="70"/>
      <c r="S207" s="66"/>
      <c r="T207" s="55"/>
      <c r="U207" s="55"/>
      <c r="V207" s="55"/>
      <c r="W207" s="98"/>
      <c r="X207" s="98"/>
      <c r="Y207" s="98"/>
      <c r="Z207" s="98"/>
      <c r="AA207" s="98"/>
      <c r="AB207" s="98"/>
      <c r="AC207" s="98"/>
      <c r="AD207" s="98"/>
      <c r="AE207" s="98"/>
      <c r="AF207" s="277"/>
      <c r="AG207" s="277"/>
      <c r="AH207" s="277"/>
      <c r="AI207" s="277"/>
      <c r="AJ207" s="92"/>
    </row>
    <row r="208" spans="1:36" s="99" customFormat="1" ht="65.099999999999994" customHeight="1">
      <c r="A208" s="89"/>
      <c r="B208" s="89"/>
      <c r="C208" s="482"/>
      <c r="D208" s="91"/>
      <c r="E208" s="92"/>
      <c r="F208" s="92"/>
      <c r="G208" s="92"/>
      <c r="H208" s="92"/>
      <c r="I208" s="93"/>
      <c r="J208" s="94"/>
      <c r="K208" s="94"/>
      <c r="L208" s="95"/>
      <c r="M208" s="66"/>
      <c r="N208" s="96"/>
      <c r="O208" s="97"/>
      <c r="P208" s="58"/>
      <c r="Q208" s="69"/>
      <c r="R208" s="70"/>
      <c r="S208" s="66"/>
      <c r="T208" s="55"/>
      <c r="U208" s="55"/>
      <c r="V208" s="55"/>
      <c r="W208" s="98"/>
      <c r="X208" s="98"/>
      <c r="Y208" s="98"/>
      <c r="Z208" s="98"/>
      <c r="AA208" s="98"/>
      <c r="AB208" s="98"/>
      <c r="AC208" s="98"/>
      <c r="AD208" s="98"/>
      <c r="AE208" s="98"/>
      <c r="AF208" s="277"/>
      <c r="AG208" s="277"/>
      <c r="AH208" s="277"/>
      <c r="AI208" s="277"/>
      <c r="AJ208" s="92"/>
    </row>
    <row r="209" spans="1:36" s="99" customFormat="1" ht="65.099999999999994" customHeight="1">
      <c r="A209" s="89"/>
      <c r="B209" s="89"/>
      <c r="C209" s="482"/>
      <c r="D209" s="91"/>
      <c r="E209" s="92"/>
      <c r="F209" s="92"/>
      <c r="G209" s="92"/>
      <c r="H209" s="92"/>
      <c r="I209" s="93"/>
      <c r="J209" s="94"/>
      <c r="K209" s="94"/>
      <c r="L209" s="95"/>
      <c r="M209" s="66"/>
      <c r="N209" s="96"/>
      <c r="O209" s="97"/>
      <c r="P209" s="58"/>
      <c r="Q209" s="69"/>
      <c r="R209" s="70"/>
      <c r="S209" s="66"/>
      <c r="T209" s="55"/>
      <c r="U209" s="55"/>
      <c r="V209" s="55"/>
      <c r="W209" s="98"/>
      <c r="X209" s="98"/>
      <c r="Y209" s="98"/>
      <c r="Z209" s="98"/>
      <c r="AA209" s="98"/>
      <c r="AB209" s="98"/>
      <c r="AC209" s="98"/>
      <c r="AD209" s="98"/>
      <c r="AE209" s="98"/>
      <c r="AF209" s="277"/>
      <c r="AG209" s="277"/>
      <c r="AH209" s="277"/>
      <c r="AI209" s="277"/>
      <c r="AJ209" s="92"/>
    </row>
    <row r="210" spans="1:36" s="99" customFormat="1" ht="65.099999999999994" customHeight="1">
      <c r="A210" s="89"/>
      <c r="B210" s="89"/>
      <c r="C210" s="482"/>
      <c r="D210" s="91"/>
      <c r="E210" s="92"/>
      <c r="F210" s="92"/>
      <c r="G210" s="92"/>
      <c r="H210" s="92"/>
      <c r="I210" s="93"/>
      <c r="J210" s="94"/>
      <c r="K210" s="94"/>
      <c r="L210" s="95"/>
      <c r="M210" s="66"/>
      <c r="N210" s="96"/>
      <c r="O210" s="97"/>
      <c r="P210" s="58"/>
      <c r="Q210" s="69"/>
      <c r="R210" s="70"/>
      <c r="S210" s="66"/>
      <c r="T210" s="55"/>
      <c r="U210" s="55"/>
      <c r="V210" s="55"/>
      <c r="W210" s="98"/>
      <c r="X210" s="98"/>
      <c r="Y210" s="98"/>
      <c r="Z210" s="98"/>
      <c r="AA210" s="98"/>
      <c r="AB210" s="98"/>
      <c r="AC210" s="98"/>
      <c r="AD210" s="98"/>
      <c r="AE210" s="98"/>
      <c r="AF210" s="277"/>
      <c r="AG210" s="277"/>
      <c r="AH210" s="277"/>
      <c r="AI210" s="277"/>
      <c r="AJ210" s="92"/>
    </row>
    <row r="211" spans="1:36" s="99" customFormat="1" ht="65.099999999999994" customHeight="1">
      <c r="A211" s="89"/>
      <c r="B211" s="89"/>
      <c r="C211" s="482"/>
      <c r="D211" s="91"/>
      <c r="E211" s="92"/>
      <c r="F211" s="92"/>
      <c r="G211" s="92"/>
      <c r="H211" s="92"/>
      <c r="I211" s="93"/>
      <c r="J211" s="94"/>
      <c r="K211" s="94"/>
      <c r="L211" s="95"/>
      <c r="M211" s="66"/>
      <c r="N211" s="96"/>
      <c r="O211" s="97"/>
      <c r="P211" s="58"/>
      <c r="Q211" s="69"/>
      <c r="R211" s="70"/>
      <c r="S211" s="66"/>
      <c r="T211" s="55"/>
      <c r="U211" s="55"/>
      <c r="V211" s="55"/>
      <c r="W211" s="98"/>
      <c r="X211" s="98"/>
      <c r="Y211" s="98"/>
      <c r="Z211" s="98"/>
      <c r="AA211" s="98"/>
      <c r="AB211" s="98"/>
      <c r="AC211" s="98"/>
      <c r="AD211" s="98"/>
      <c r="AE211" s="98"/>
      <c r="AF211" s="277"/>
      <c r="AG211" s="277"/>
      <c r="AH211" s="277"/>
      <c r="AI211" s="277"/>
      <c r="AJ211" s="92"/>
    </row>
    <row r="212" spans="1:36" s="99" customFormat="1" ht="65.099999999999994" customHeight="1">
      <c r="A212" s="89"/>
      <c r="B212" s="89"/>
      <c r="C212" s="482"/>
      <c r="D212" s="91"/>
      <c r="E212" s="92"/>
      <c r="F212" s="92"/>
      <c r="G212" s="92"/>
      <c r="H212" s="92"/>
      <c r="I212" s="93"/>
      <c r="J212" s="94"/>
      <c r="K212" s="94"/>
      <c r="L212" s="95"/>
      <c r="M212" s="66"/>
      <c r="N212" s="96"/>
      <c r="O212" s="97"/>
      <c r="P212" s="58"/>
      <c r="Q212" s="69"/>
      <c r="R212" s="70"/>
      <c r="S212" s="66"/>
      <c r="T212" s="55"/>
      <c r="U212" s="55"/>
      <c r="V212" s="55"/>
      <c r="W212" s="98"/>
      <c r="X212" s="98"/>
      <c r="Y212" s="98"/>
      <c r="Z212" s="98"/>
      <c r="AA212" s="98"/>
      <c r="AB212" s="98"/>
      <c r="AC212" s="98"/>
      <c r="AD212" s="98"/>
      <c r="AE212" s="98"/>
      <c r="AF212" s="277"/>
      <c r="AG212" s="277"/>
      <c r="AH212" s="277"/>
      <c r="AI212" s="277"/>
      <c r="AJ212" s="92"/>
    </row>
    <row r="213" spans="1:36" s="99" customFormat="1" ht="65.099999999999994" customHeight="1">
      <c r="A213" s="89"/>
      <c r="B213" s="89"/>
      <c r="C213" s="482"/>
      <c r="D213" s="91"/>
      <c r="E213" s="92"/>
      <c r="F213" s="92"/>
      <c r="G213" s="92"/>
      <c r="H213" s="92"/>
      <c r="I213" s="93"/>
      <c r="J213" s="94"/>
      <c r="K213" s="94"/>
      <c r="L213" s="95"/>
      <c r="M213" s="66"/>
      <c r="N213" s="96"/>
      <c r="O213" s="97"/>
      <c r="P213" s="58"/>
      <c r="Q213" s="69"/>
      <c r="R213" s="70"/>
      <c r="S213" s="66"/>
      <c r="T213" s="55"/>
      <c r="U213" s="55"/>
      <c r="V213" s="55"/>
      <c r="W213" s="98"/>
      <c r="X213" s="98"/>
      <c r="Y213" s="98"/>
      <c r="Z213" s="98"/>
      <c r="AA213" s="98"/>
      <c r="AB213" s="98"/>
      <c r="AC213" s="98"/>
      <c r="AD213" s="98"/>
      <c r="AE213" s="98"/>
      <c r="AF213" s="277"/>
      <c r="AG213" s="277"/>
      <c r="AH213" s="277"/>
      <c r="AI213" s="277"/>
      <c r="AJ213" s="92"/>
    </row>
    <row r="214" spans="1:36" s="99" customFormat="1" ht="65.099999999999994" customHeight="1">
      <c r="A214" s="89"/>
      <c r="B214" s="89"/>
      <c r="C214" s="482"/>
      <c r="D214" s="91"/>
      <c r="E214" s="92"/>
      <c r="F214" s="92"/>
      <c r="G214" s="92"/>
      <c r="H214" s="92"/>
      <c r="I214" s="93"/>
      <c r="J214" s="94"/>
      <c r="K214" s="94"/>
      <c r="L214" s="95"/>
      <c r="M214" s="66"/>
      <c r="N214" s="96"/>
      <c r="O214" s="97"/>
      <c r="P214" s="58"/>
      <c r="Q214" s="69"/>
      <c r="R214" s="70"/>
      <c r="S214" s="66"/>
      <c r="T214" s="55"/>
      <c r="U214" s="55"/>
      <c r="V214" s="55"/>
      <c r="W214" s="98"/>
      <c r="X214" s="98"/>
      <c r="Y214" s="98"/>
      <c r="Z214" s="98"/>
      <c r="AA214" s="98"/>
      <c r="AB214" s="98"/>
      <c r="AC214" s="98"/>
      <c r="AD214" s="98"/>
      <c r="AE214" s="98"/>
      <c r="AF214" s="277"/>
      <c r="AG214" s="277"/>
      <c r="AH214" s="277"/>
      <c r="AI214" s="277"/>
      <c r="AJ214" s="92"/>
    </row>
    <row r="215" spans="1:36" s="99" customFormat="1" ht="65.099999999999994" customHeight="1">
      <c r="A215" s="89"/>
      <c r="B215" s="89"/>
      <c r="C215" s="482"/>
      <c r="D215" s="91"/>
      <c r="E215" s="92"/>
      <c r="F215" s="92"/>
      <c r="G215" s="92"/>
      <c r="H215" s="92"/>
      <c r="I215" s="93"/>
      <c r="J215" s="94"/>
      <c r="K215" s="94"/>
      <c r="L215" s="95"/>
      <c r="M215" s="66"/>
      <c r="N215" s="96"/>
      <c r="O215" s="97"/>
      <c r="P215" s="58"/>
      <c r="Q215" s="69"/>
      <c r="R215" s="70"/>
      <c r="S215" s="66"/>
      <c r="T215" s="55"/>
      <c r="U215" s="55"/>
      <c r="V215" s="55"/>
      <c r="W215" s="98"/>
      <c r="X215" s="98"/>
      <c r="Y215" s="98"/>
      <c r="Z215" s="98"/>
      <c r="AA215" s="98"/>
      <c r="AB215" s="98"/>
      <c r="AC215" s="98"/>
      <c r="AD215" s="98"/>
      <c r="AE215" s="98"/>
      <c r="AF215" s="277"/>
      <c r="AG215" s="277"/>
      <c r="AH215" s="277"/>
      <c r="AI215" s="277"/>
      <c r="AJ215" s="92"/>
    </row>
    <row r="216" spans="1:36" s="99" customFormat="1" ht="65.099999999999994" customHeight="1">
      <c r="A216" s="89"/>
      <c r="B216" s="89"/>
      <c r="C216" s="482"/>
      <c r="D216" s="91"/>
      <c r="E216" s="92"/>
      <c r="F216" s="92"/>
      <c r="G216" s="92"/>
      <c r="H216" s="92"/>
      <c r="I216" s="93"/>
      <c r="J216" s="94"/>
      <c r="K216" s="94"/>
      <c r="L216" s="95"/>
      <c r="M216" s="66"/>
      <c r="N216" s="96"/>
      <c r="O216" s="97"/>
      <c r="P216" s="58"/>
      <c r="Q216" s="69"/>
      <c r="R216" s="70"/>
      <c r="S216" s="66"/>
      <c r="T216" s="55"/>
      <c r="U216" s="55"/>
      <c r="V216" s="55"/>
      <c r="W216" s="98"/>
      <c r="X216" s="98"/>
      <c r="Y216" s="98"/>
      <c r="Z216" s="98"/>
      <c r="AA216" s="98"/>
      <c r="AB216" s="98"/>
      <c r="AC216" s="98"/>
      <c r="AD216" s="98"/>
      <c r="AE216" s="98"/>
      <c r="AF216" s="277"/>
      <c r="AG216" s="277"/>
      <c r="AH216" s="277"/>
      <c r="AI216" s="277"/>
      <c r="AJ216" s="92"/>
    </row>
    <row r="217" spans="1:36" s="99" customFormat="1" ht="65.099999999999994" customHeight="1">
      <c r="A217" s="89"/>
      <c r="B217" s="89"/>
      <c r="C217" s="482"/>
      <c r="D217" s="91"/>
      <c r="E217" s="92"/>
      <c r="F217" s="92"/>
      <c r="G217" s="92"/>
      <c r="H217" s="92"/>
      <c r="I217" s="93"/>
      <c r="J217" s="94"/>
      <c r="K217" s="94"/>
      <c r="L217" s="95"/>
      <c r="M217" s="66"/>
      <c r="N217" s="96"/>
      <c r="O217" s="97"/>
      <c r="P217" s="58"/>
      <c r="Q217" s="69"/>
      <c r="R217" s="70"/>
      <c r="S217" s="66"/>
      <c r="T217" s="55"/>
      <c r="U217" s="55"/>
      <c r="V217" s="55"/>
      <c r="W217" s="98"/>
      <c r="X217" s="98"/>
      <c r="Y217" s="98"/>
      <c r="Z217" s="98"/>
      <c r="AA217" s="98"/>
      <c r="AB217" s="98"/>
      <c r="AC217" s="98"/>
      <c r="AD217" s="98"/>
      <c r="AE217" s="98"/>
      <c r="AF217" s="277"/>
      <c r="AG217" s="277"/>
      <c r="AH217" s="277"/>
      <c r="AI217" s="277"/>
      <c r="AJ217" s="92"/>
    </row>
    <row r="218" spans="1:36" s="99" customFormat="1" ht="65.099999999999994" customHeight="1">
      <c r="A218" s="89"/>
      <c r="B218" s="89"/>
      <c r="C218" s="482"/>
      <c r="D218" s="91"/>
      <c r="E218" s="92"/>
      <c r="F218" s="92"/>
      <c r="G218" s="92"/>
      <c r="H218" s="92"/>
      <c r="I218" s="93"/>
      <c r="J218" s="94"/>
      <c r="K218" s="94"/>
      <c r="L218" s="95"/>
      <c r="M218" s="66"/>
      <c r="N218" s="96"/>
      <c r="O218" s="97"/>
      <c r="P218" s="58"/>
      <c r="Q218" s="69"/>
      <c r="R218" s="70"/>
      <c r="S218" s="66"/>
      <c r="T218" s="55"/>
      <c r="U218" s="55"/>
      <c r="V218" s="55"/>
      <c r="W218" s="98"/>
      <c r="X218" s="98"/>
      <c r="Y218" s="98"/>
      <c r="Z218" s="98"/>
      <c r="AA218" s="98"/>
      <c r="AB218" s="98"/>
      <c r="AC218" s="98"/>
      <c r="AD218" s="98"/>
      <c r="AE218" s="98"/>
      <c r="AF218" s="277"/>
      <c r="AG218" s="277"/>
      <c r="AH218" s="277"/>
      <c r="AI218" s="277"/>
      <c r="AJ218" s="92"/>
    </row>
  </sheetData>
  <autoFilter ref="A1:AJ21">
    <filterColumn colId="22" showButton="0"/>
    <filterColumn colId="23" showButton="0"/>
    <filterColumn colId="25" showButton="0"/>
    <filterColumn colId="26" showButton="0"/>
    <filterColumn colId="28" showButton="0"/>
    <filterColumn colId="29" showButton="0"/>
  </autoFilter>
  <mergeCells count="285">
    <mergeCell ref="AG69:AG74"/>
    <mergeCell ref="AH69:AH74"/>
    <mergeCell ref="W70:Y70"/>
    <mergeCell ref="Z70:AB70"/>
    <mergeCell ref="AC70:AE70"/>
    <mergeCell ref="W71:Y71"/>
    <mergeCell ref="Z71:AB71"/>
    <mergeCell ref="AC71:AE71"/>
    <mergeCell ref="W72:Y72"/>
    <mergeCell ref="Z72:AB72"/>
    <mergeCell ref="A63:A68"/>
    <mergeCell ref="W63:Y63"/>
    <mergeCell ref="Z63:AB63"/>
    <mergeCell ref="AC63:AE63"/>
    <mergeCell ref="W68:Y68"/>
    <mergeCell ref="Z68:AB68"/>
    <mergeCell ref="AC68:AE68"/>
    <mergeCell ref="A69:A74"/>
    <mergeCell ref="W69:Y69"/>
    <mergeCell ref="Z69:AB69"/>
    <mergeCell ref="AC69:AE69"/>
    <mergeCell ref="AC72:AE72"/>
    <mergeCell ref="W73:Y73"/>
    <mergeCell ref="Z73:AB73"/>
    <mergeCell ref="AC73:AE73"/>
    <mergeCell ref="W74:Y74"/>
    <mergeCell ref="Z74:AB74"/>
    <mergeCell ref="AC74:AE74"/>
    <mergeCell ref="AC59:AE59"/>
    <mergeCell ref="W60:Y60"/>
    <mergeCell ref="Z60:AB60"/>
    <mergeCell ref="Z65:AB65"/>
    <mergeCell ref="AC65:AE65"/>
    <mergeCell ref="W66:Y66"/>
    <mergeCell ref="Z66:AB66"/>
    <mergeCell ref="AC66:AE66"/>
    <mergeCell ref="W67:Y67"/>
    <mergeCell ref="Z67:AB67"/>
    <mergeCell ref="AC67:AE67"/>
    <mergeCell ref="A57:A62"/>
    <mergeCell ref="W57:Y57"/>
    <mergeCell ref="Z57:AB57"/>
    <mergeCell ref="AC57:AE57"/>
    <mergeCell ref="AC60:AE60"/>
    <mergeCell ref="AG63:AG68"/>
    <mergeCell ref="AH63:AH68"/>
    <mergeCell ref="W64:Y64"/>
    <mergeCell ref="Z64:AB64"/>
    <mergeCell ref="AC64:AE64"/>
    <mergeCell ref="W65:Y65"/>
    <mergeCell ref="W61:Y61"/>
    <mergeCell ref="Z61:AB61"/>
    <mergeCell ref="AC61:AE61"/>
    <mergeCell ref="W62:Y62"/>
    <mergeCell ref="Z62:AB62"/>
    <mergeCell ref="AC62:AE62"/>
    <mergeCell ref="AG57:AG62"/>
    <mergeCell ref="AH57:AH62"/>
    <mergeCell ref="W58:Y58"/>
    <mergeCell ref="Z58:AB58"/>
    <mergeCell ref="AC58:AE58"/>
    <mergeCell ref="W59:Y59"/>
    <mergeCell ref="Z59:AB59"/>
    <mergeCell ref="A51:A56"/>
    <mergeCell ref="W51:Y51"/>
    <mergeCell ref="Z51:AB51"/>
    <mergeCell ref="AC51:AE51"/>
    <mergeCell ref="AC54:AE54"/>
    <mergeCell ref="W55:Y55"/>
    <mergeCell ref="AG51:AG56"/>
    <mergeCell ref="AH51:AH56"/>
    <mergeCell ref="W52:Y52"/>
    <mergeCell ref="Z52:AB52"/>
    <mergeCell ref="AC52:AE52"/>
    <mergeCell ref="W53:Y53"/>
    <mergeCell ref="Z53:AB53"/>
    <mergeCell ref="AC53:AE53"/>
    <mergeCell ref="W54:Y54"/>
    <mergeCell ref="Z54:AB54"/>
    <mergeCell ref="Z55:AB55"/>
    <mergeCell ref="AC55:AE55"/>
    <mergeCell ref="W56:Y56"/>
    <mergeCell ref="Z56:AB56"/>
    <mergeCell ref="AC56:AE56"/>
    <mergeCell ref="A45:A50"/>
    <mergeCell ref="W45:Y45"/>
    <mergeCell ref="Z45:AB45"/>
    <mergeCell ref="AC45:AE45"/>
    <mergeCell ref="AC48:AE48"/>
    <mergeCell ref="W49:Y49"/>
    <mergeCell ref="Z49:AB49"/>
    <mergeCell ref="AG45:AG50"/>
    <mergeCell ref="AH45:AH50"/>
    <mergeCell ref="W46:Y46"/>
    <mergeCell ref="Z46:AB46"/>
    <mergeCell ref="AC46:AE46"/>
    <mergeCell ref="W47:Y47"/>
    <mergeCell ref="Z47:AB47"/>
    <mergeCell ref="AC47:AE47"/>
    <mergeCell ref="W48:Y48"/>
    <mergeCell ref="Z48:AB48"/>
    <mergeCell ref="AC49:AE49"/>
    <mergeCell ref="W50:Y50"/>
    <mergeCell ref="Z50:AB50"/>
    <mergeCell ref="AC50:AE50"/>
    <mergeCell ref="Z42:AB42"/>
    <mergeCell ref="AC42:AE42"/>
    <mergeCell ref="W43:Y43"/>
    <mergeCell ref="Z43:AB43"/>
    <mergeCell ref="AC43:AE43"/>
    <mergeCell ref="A39:A44"/>
    <mergeCell ref="W39:Y39"/>
    <mergeCell ref="Z39:AB39"/>
    <mergeCell ref="AC39:AE39"/>
    <mergeCell ref="W44:Y44"/>
    <mergeCell ref="Z44:AB44"/>
    <mergeCell ref="AC44:AE44"/>
    <mergeCell ref="A35:A38"/>
    <mergeCell ref="W35:Y35"/>
    <mergeCell ref="Z35:AB35"/>
    <mergeCell ref="AC35:AE35"/>
    <mergeCell ref="AC38:AE38"/>
    <mergeCell ref="AG39:AG44"/>
    <mergeCell ref="AH39:AH44"/>
    <mergeCell ref="W40:Y40"/>
    <mergeCell ref="Z40:AB40"/>
    <mergeCell ref="AC40:AE40"/>
    <mergeCell ref="W41:Y41"/>
    <mergeCell ref="AG35:AG38"/>
    <mergeCell ref="AH35:AH38"/>
    <mergeCell ref="W36:Y36"/>
    <mergeCell ref="Z36:AB36"/>
    <mergeCell ref="AC36:AE36"/>
    <mergeCell ref="W37:Y37"/>
    <mergeCell ref="Z37:AB37"/>
    <mergeCell ref="AC37:AE37"/>
    <mergeCell ref="W38:Y38"/>
    <mergeCell ref="Z38:AB38"/>
    <mergeCell ref="Z41:AB41"/>
    <mergeCell ref="AC41:AE41"/>
    <mergeCell ref="W42:Y42"/>
    <mergeCell ref="AG29:AG34"/>
    <mergeCell ref="AH29:AH34"/>
    <mergeCell ref="W30:Y30"/>
    <mergeCell ref="Z30:AB30"/>
    <mergeCell ref="AC30:AE30"/>
    <mergeCell ref="W31:Y31"/>
    <mergeCell ref="Z31:AB31"/>
    <mergeCell ref="AC31:AE31"/>
    <mergeCell ref="W32:Y32"/>
    <mergeCell ref="Z32:AB32"/>
    <mergeCell ref="AC33:AE33"/>
    <mergeCell ref="W34:Y34"/>
    <mergeCell ref="Z34:AB34"/>
    <mergeCell ref="AC34:AE34"/>
    <mergeCell ref="A23:A28"/>
    <mergeCell ref="W23:Y23"/>
    <mergeCell ref="Z23:AB23"/>
    <mergeCell ref="AC23:AE23"/>
    <mergeCell ref="W28:Y28"/>
    <mergeCell ref="Z28:AB28"/>
    <mergeCell ref="AC28:AE28"/>
    <mergeCell ref="A29:A34"/>
    <mergeCell ref="W29:Y29"/>
    <mergeCell ref="Z29:AB29"/>
    <mergeCell ref="AC29:AE29"/>
    <mergeCell ref="AC32:AE32"/>
    <mergeCell ref="W33:Y33"/>
    <mergeCell ref="Z33:AB33"/>
    <mergeCell ref="AG23:AG28"/>
    <mergeCell ref="AH23:AH28"/>
    <mergeCell ref="W24:Y24"/>
    <mergeCell ref="Z24:AB24"/>
    <mergeCell ref="AC24:AE24"/>
    <mergeCell ref="W25:Y25"/>
    <mergeCell ref="AH19:AH22"/>
    <mergeCell ref="W20:Y20"/>
    <mergeCell ref="Z20:AB20"/>
    <mergeCell ref="AC20:AE20"/>
    <mergeCell ref="W21:Y21"/>
    <mergeCell ref="Z21:AB21"/>
    <mergeCell ref="AC21:AE21"/>
    <mergeCell ref="W22:Y22"/>
    <mergeCell ref="Z22:AB22"/>
    <mergeCell ref="AC22:AE22"/>
    <mergeCell ref="Z25:AB25"/>
    <mergeCell ref="AC25:AE25"/>
    <mergeCell ref="W26:Y26"/>
    <mergeCell ref="Z26:AB26"/>
    <mergeCell ref="AC26:AE26"/>
    <mergeCell ref="W27:Y27"/>
    <mergeCell ref="Z27:AB27"/>
    <mergeCell ref="AC27:AE27"/>
    <mergeCell ref="A19:A22"/>
    <mergeCell ref="W19:Y19"/>
    <mergeCell ref="Z19:AB19"/>
    <mergeCell ref="AC19:AE19"/>
    <mergeCell ref="AG19:AG22"/>
    <mergeCell ref="AG14:AG18"/>
    <mergeCell ref="AH14:AH18"/>
    <mergeCell ref="W15:Y15"/>
    <mergeCell ref="Z15:AB15"/>
    <mergeCell ref="AC15:AE15"/>
    <mergeCell ref="W16:Y16"/>
    <mergeCell ref="Z16:AB16"/>
    <mergeCell ref="AC16:AE16"/>
    <mergeCell ref="W17:Y17"/>
    <mergeCell ref="Z17:AB17"/>
    <mergeCell ref="A8:A13"/>
    <mergeCell ref="W8:Y8"/>
    <mergeCell ref="Z8:AB8"/>
    <mergeCell ref="AC8:AE8"/>
    <mergeCell ref="W13:Y13"/>
    <mergeCell ref="Z13:AB13"/>
    <mergeCell ref="AC13:AE13"/>
    <mergeCell ref="A14:A18"/>
    <mergeCell ref="W14:Y14"/>
    <mergeCell ref="Z14:AB14"/>
    <mergeCell ref="AC14:AE14"/>
    <mergeCell ref="AC17:AE17"/>
    <mergeCell ref="W18:Y18"/>
    <mergeCell ref="Z18:AB18"/>
    <mergeCell ref="AC18:AE18"/>
    <mergeCell ref="AG8:AG13"/>
    <mergeCell ref="AH8:AH13"/>
    <mergeCell ref="W9:Y9"/>
    <mergeCell ref="Z9:AB9"/>
    <mergeCell ref="AC9:AE9"/>
    <mergeCell ref="W10:Y10"/>
    <mergeCell ref="Z5:AB5"/>
    <mergeCell ref="AC5:AE5"/>
    <mergeCell ref="W6:Y6"/>
    <mergeCell ref="Z6:AB6"/>
    <mergeCell ref="AC6:AE6"/>
    <mergeCell ref="W7:Y7"/>
    <mergeCell ref="Z7:AB7"/>
    <mergeCell ref="AC7:AE7"/>
    <mergeCell ref="Z10:AB10"/>
    <mergeCell ref="AC10:AE10"/>
    <mergeCell ref="W11:Y11"/>
    <mergeCell ref="Z11:AB11"/>
    <mergeCell ref="AC11:AE11"/>
    <mergeCell ref="W12:Y12"/>
    <mergeCell ref="Z12:AB12"/>
    <mergeCell ref="AC12:AE12"/>
    <mergeCell ref="A3:A7"/>
    <mergeCell ref="W3:Y3"/>
    <mergeCell ref="Z3:AB3"/>
    <mergeCell ref="AC3:AE3"/>
    <mergeCell ref="AG3:AG7"/>
    <mergeCell ref="AH3:AH7"/>
    <mergeCell ref="W4:Y4"/>
    <mergeCell ref="Z4:AB4"/>
    <mergeCell ref="AC4:AE4"/>
    <mergeCell ref="W5:Y5"/>
    <mergeCell ref="AC1:AE1"/>
    <mergeCell ref="AF1:AF2"/>
    <mergeCell ref="AG1:AG2"/>
    <mergeCell ref="AH1:AH2"/>
    <mergeCell ref="AI1:AI2"/>
    <mergeCell ref="AJ1:AJ2"/>
    <mergeCell ref="S1:S2"/>
    <mergeCell ref="T1:T2"/>
    <mergeCell ref="U1:U2"/>
    <mergeCell ref="V1:V2"/>
    <mergeCell ref="W1:Y1"/>
    <mergeCell ref="Z1:AB1"/>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 ref="M1:M2"/>
    <mergeCell ref="N1:N2"/>
    <mergeCell ref="O1:O2"/>
  </mergeCells>
  <conditionalFormatting sqref="G3:H74 AF4:AF74">
    <cfRule type="containsText" dxfId="126" priority="2" operator="containsText" text="NO">
      <formula>NOT(ISERROR(SEARCH("NO",G3)))</formula>
    </cfRule>
  </conditionalFormatting>
  <conditionalFormatting sqref="AF3:AH3 AG8:AH8 AG14:AH14 AG19:AH19 AG23:AH23 AG29:AH29 AG35:AH35 AG39:AH39 AG45:AH45 AG51:AH51 AG57:AH57 AG63:AH63 AG69:AH69">
    <cfRule type="containsText" dxfId="125" priority="1" operator="containsText" text="NO">
      <formula>NOT(ISERROR(SEARCH("NO",AF3)))</formula>
    </cfRule>
  </conditionalFormatting>
  <dataValidations count="1">
    <dataValidation type="list" allowBlank="1" showInputMessage="1" showErrorMessage="1" sqref="W17:Y38 Z3:AE14 W3:Y12 G3:H74 AF3:AF74 Z17:AE74">
      <formula1>$AL$1:$AM$1</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94"/>
  <sheetViews>
    <sheetView topLeftCell="K28" zoomScale="60" zoomScaleNormal="60" zoomScalePageLayoutView="75" workbookViewId="0">
      <selection activeCell="Z14" sqref="Z14"/>
    </sheetView>
  </sheetViews>
  <sheetFormatPr baseColWidth="10" defaultColWidth="10.875" defaultRowHeight="15.75"/>
  <cols>
    <col min="1" max="1" width="10.875" style="89" bestFit="1" customWidth="1"/>
    <col min="2" max="2" width="8.875" style="89" customWidth="1"/>
    <col min="3" max="3" width="10.75" style="482" customWidth="1"/>
    <col min="4" max="4" width="15.25" style="92" customWidth="1"/>
    <col min="5" max="5" width="17.5" style="92" customWidth="1"/>
    <col min="6" max="6" width="66.125" style="101" customWidth="1"/>
    <col min="7" max="7" width="18.5" style="101" customWidth="1"/>
    <col min="8" max="8" width="27.75" style="101" customWidth="1"/>
    <col min="9" max="10" width="18.875" style="101" customWidth="1"/>
    <col min="11" max="11" width="13.625" style="102" customWidth="1"/>
    <col min="12" max="12" width="10.625"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bestFit="1" customWidth="1"/>
    <col min="19" max="19" width="12.5" style="68" customWidth="1"/>
    <col min="20" max="20" width="9.625" style="68" bestFit="1" customWidth="1"/>
    <col min="21" max="21" width="21" style="68" customWidth="1"/>
    <col min="22" max="22" width="15.5" style="68" customWidth="1"/>
    <col min="23" max="23" width="18.375" style="81" customWidth="1"/>
    <col min="24" max="24" width="19.5" style="58" customWidth="1"/>
    <col min="25" max="25" width="59.125" style="92" customWidth="1"/>
    <col min="26" max="28" width="10.875" style="108"/>
    <col min="29" max="30" width="15.125" style="108" bestFit="1" customWidth="1"/>
    <col min="31" max="16384" width="10.875" style="108"/>
  </cols>
  <sheetData>
    <row r="1" spans="1:28" s="56" customFormat="1" ht="15" customHeight="1">
      <c r="A1" s="776" t="s">
        <v>6</v>
      </c>
      <c r="B1" s="776" t="s">
        <v>5</v>
      </c>
      <c r="C1" s="776" t="s">
        <v>174</v>
      </c>
      <c r="D1" s="776" t="s">
        <v>12</v>
      </c>
      <c r="E1" s="776" t="s">
        <v>13</v>
      </c>
      <c r="F1" s="776" t="s">
        <v>14</v>
      </c>
      <c r="G1" s="780" t="s">
        <v>186</v>
      </c>
      <c r="H1" s="780" t="s">
        <v>483</v>
      </c>
      <c r="I1" s="781" t="s">
        <v>187</v>
      </c>
      <c r="J1" s="781" t="s">
        <v>484</v>
      </c>
      <c r="K1" s="782" t="s">
        <v>63</v>
      </c>
      <c r="L1" s="784" t="s">
        <v>15</v>
      </c>
      <c r="M1" s="784" t="s">
        <v>16</v>
      </c>
      <c r="N1" s="831" t="s">
        <v>69</v>
      </c>
      <c r="O1" s="776" t="s">
        <v>68</v>
      </c>
      <c r="P1" s="776" t="s">
        <v>17</v>
      </c>
      <c r="Q1" s="776" t="s">
        <v>18</v>
      </c>
      <c r="R1" s="780" t="s">
        <v>19</v>
      </c>
      <c r="S1" s="780" t="s">
        <v>20</v>
      </c>
      <c r="T1" s="780" t="s">
        <v>21</v>
      </c>
      <c r="U1" s="780" t="s">
        <v>22</v>
      </c>
      <c r="V1" s="776" t="s">
        <v>23</v>
      </c>
      <c r="W1" s="780" t="s">
        <v>485</v>
      </c>
      <c r="X1" s="780" t="s">
        <v>486</v>
      </c>
      <c r="Y1" s="791" t="s">
        <v>3</v>
      </c>
      <c r="AA1" s="57" t="s">
        <v>10</v>
      </c>
      <c r="AB1" s="57" t="s">
        <v>11</v>
      </c>
    </row>
    <row r="2" spans="1:28" s="56" customFormat="1" ht="133.5" customHeight="1" thickBot="1">
      <c r="A2" s="777"/>
      <c r="B2" s="777"/>
      <c r="C2" s="777"/>
      <c r="D2" s="777"/>
      <c r="E2" s="777"/>
      <c r="F2" s="777"/>
      <c r="G2" s="781"/>
      <c r="H2" s="781"/>
      <c r="I2" s="833"/>
      <c r="J2" s="833"/>
      <c r="K2" s="783"/>
      <c r="L2" s="785"/>
      <c r="M2" s="785"/>
      <c r="N2" s="832"/>
      <c r="O2" s="777"/>
      <c r="P2" s="777"/>
      <c r="Q2" s="777"/>
      <c r="R2" s="781"/>
      <c r="S2" s="781"/>
      <c r="T2" s="781"/>
      <c r="U2" s="781"/>
      <c r="V2" s="777"/>
      <c r="W2" s="781"/>
      <c r="X2" s="781"/>
      <c r="Y2" s="792"/>
    </row>
    <row r="3" spans="1:28" s="72" customFormat="1" ht="156" customHeight="1">
      <c r="A3" s="795" t="str">
        <f>+[2]CONSOLIDADO!A15</f>
        <v>CM001P06</v>
      </c>
      <c r="B3" s="123" t="str">
        <f>+[2]CONSOLIDADO!C17</f>
        <v>P06-03</v>
      </c>
      <c r="C3" s="124">
        <v>6</v>
      </c>
      <c r="D3" s="125" t="str">
        <f>+IFERROR(INDEX([2]CONSOLIDADO!$D$4:$D$89,MATCH('EXP ESPEC. 6-12'!B3,[2]CONSOLIDADO!$C$4:$C$89,0)),"")</f>
        <v>J FELIPE ARDILA V &amp; CIA S.A.S.</v>
      </c>
      <c r="E3" s="635" t="s">
        <v>386</v>
      </c>
      <c r="F3" s="636" t="s">
        <v>565</v>
      </c>
      <c r="G3" s="291" t="s">
        <v>10</v>
      </c>
      <c r="H3" s="291" t="s">
        <v>10</v>
      </c>
      <c r="I3" s="291" t="s">
        <v>10</v>
      </c>
      <c r="J3" s="291" t="s">
        <v>11</v>
      </c>
      <c r="K3" s="637">
        <v>0.5</v>
      </c>
      <c r="L3" s="638">
        <v>39595</v>
      </c>
      <c r="M3" s="639">
        <v>42370</v>
      </c>
      <c r="N3" s="130">
        <f>IF(M3="","",YEAR(M3))</f>
        <v>2016</v>
      </c>
      <c r="O3" s="131">
        <f>+IFERROR(INDEX([2]PARÁMETROS!$B$11:$B$37,MATCH(N3,[2]PARÁMETROS!$A$11:$A$37,0)),"")</f>
        <v>689554</v>
      </c>
      <c r="P3" s="132">
        <v>41325941530</v>
      </c>
      <c r="Q3" s="133" t="s">
        <v>25</v>
      </c>
      <c r="R3" s="123" t="s">
        <v>61</v>
      </c>
      <c r="S3" s="134" t="s">
        <v>61</v>
      </c>
      <c r="T3" s="135">
        <v>1</v>
      </c>
      <c r="U3" s="131">
        <f>IF(T3&lt;&gt;"",P3*T3,"")</f>
        <v>41325941530</v>
      </c>
      <c r="V3" s="136">
        <f>+IFERROR(U3/O3,"")</f>
        <v>59931.407155929774</v>
      </c>
      <c r="W3" s="136">
        <f>IFERROR(V3*K3,"")</f>
        <v>29965.703577964887</v>
      </c>
      <c r="X3" s="556" t="str">
        <f>+IF(W3="","",IF(W3&gt;=[2]PARÁMETROS!$J$5,"CUMPLE","NO CUMPLE"))</f>
        <v>CUMPLE</v>
      </c>
      <c r="Y3" s="138"/>
      <c r="Z3" s="109"/>
    </row>
    <row r="4" spans="1:28" s="72" customFormat="1" ht="72.75" customHeight="1">
      <c r="A4" s="796"/>
      <c r="B4" s="58" t="str">
        <f>+[2]CONSOLIDADO!C16</f>
        <v>P06-02</v>
      </c>
      <c r="C4" s="59">
        <v>16</v>
      </c>
      <c r="D4" s="60" t="str">
        <f>+IFERROR(INDEX([2]CONSOLIDADO!$D$4:$D$89,MATCH('EXP ESPEC. 6-12'!B4,[2]CONSOLIDADO!$C$4:$C$89,0)),"")</f>
        <v>CIVING INGENIEROS CONTRATISTAS S EN C</v>
      </c>
      <c r="E4" s="485" t="s">
        <v>566</v>
      </c>
      <c r="F4" s="486" t="s">
        <v>567</v>
      </c>
      <c r="G4" s="290" t="s">
        <v>10</v>
      </c>
      <c r="H4" s="290" t="s">
        <v>11</v>
      </c>
      <c r="I4" s="290" t="s">
        <v>10</v>
      </c>
      <c r="J4" s="290" t="s">
        <v>11</v>
      </c>
      <c r="K4" s="458">
        <v>1</v>
      </c>
      <c r="L4" s="487">
        <v>40190</v>
      </c>
      <c r="M4" s="488">
        <v>41240</v>
      </c>
      <c r="N4" s="65">
        <f t="shared" ref="N4:N50" si="0">IF(M4="","",YEAR(M4))</f>
        <v>2012</v>
      </c>
      <c r="O4" s="66">
        <f>+IFERROR(INDEX([2]PARÁMETROS!$B$11:$B$37,MATCH(N4,[2]PARÁMETROS!$A$11:$A$37,0)),"")</f>
        <v>566700</v>
      </c>
      <c r="P4" s="74">
        <v>3164576487</v>
      </c>
      <c r="Q4" s="66" t="s">
        <v>25</v>
      </c>
      <c r="R4" s="58" t="s">
        <v>61</v>
      </c>
      <c r="S4" s="69" t="s">
        <v>61</v>
      </c>
      <c r="T4" s="70">
        <v>1</v>
      </c>
      <c r="U4" s="66">
        <f t="shared" ref="U4:U50" si="1">IF(T4&lt;&gt;"",P4*T4,"")</f>
        <v>3164576487</v>
      </c>
      <c r="V4" s="55">
        <f t="shared" ref="V4:V50" si="2">+IFERROR(U4/O4,"")</f>
        <v>5584.2182583377453</v>
      </c>
      <c r="W4" s="55">
        <f t="shared" ref="W4:W50" si="3">IFERROR(V4*K4,"")</f>
        <v>5584.2182583377453</v>
      </c>
      <c r="X4" s="290" t="str">
        <f>+IF(W4="","",IF(W4&gt;=[2]PARÁMETROS!$J$5,"CUMPLE","NO CUMPLE"))</f>
        <v>CUMPLE</v>
      </c>
      <c r="Y4" s="139"/>
      <c r="Z4" s="109"/>
    </row>
    <row r="5" spans="1:28" s="72" customFormat="1" ht="65.099999999999994" customHeight="1">
      <c r="A5" s="796"/>
      <c r="B5" s="58" t="str">
        <f>+[2]CONSOLIDADO!C15</f>
        <v>P06-01</v>
      </c>
      <c r="C5" s="59">
        <v>20</v>
      </c>
      <c r="D5" s="60" t="str">
        <f>+IFERROR(INDEX([2]CONSOLIDADO!$D$4:$D$89,MATCH('EXP ESPEC. 6-12'!B5,[2]CONSOLIDADO!$C$4:$C$89,0)),"")</f>
        <v xml:space="preserve">INZETT S.A.S.  </v>
      </c>
      <c r="E5" s="483" t="s">
        <v>614</v>
      </c>
      <c r="F5" s="484" t="s">
        <v>563</v>
      </c>
      <c r="G5" s="290" t="s">
        <v>10</v>
      </c>
      <c r="H5" s="290" t="s">
        <v>11</v>
      </c>
      <c r="I5" s="290" t="s">
        <v>10</v>
      </c>
      <c r="J5" s="290" t="s">
        <v>11</v>
      </c>
      <c r="K5" s="458">
        <v>0.7</v>
      </c>
      <c r="L5" s="489">
        <v>40186</v>
      </c>
      <c r="M5" s="490">
        <v>40561</v>
      </c>
      <c r="N5" s="65">
        <f t="shared" si="0"/>
        <v>2011</v>
      </c>
      <c r="O5" s="66">
        <f>+IFERROR(INDEX([2]PARÁMETROS!$B$11:$B$37,MATCH(N5,[2]PARÁMETROS!$A$11:$A$37,0)),"")</f>
        <v>535600</v>
      </c>
      <c r="P5" s="67">
        <v>3104182180</v>
      </c>
      <c r="Q5" s="68" t="s">
        <v>25</v>
      </c>
      <c r="R5" s="58" t="s">
        <v>61</v>
      </c>
      <c r="S5" s="69" t="s">
        <v>61</v>
      </c>
      <c r="T5" s="70">
        <v>1</v>
      </c>
      <c r="U5" s="66">
        <f t="shared" si="1"/>
        <v>3104182180</v>
      </c>
      <c r="V5" s="55">
        <f t="shared" si="2"/>
        <v>5795.7098207617628</v>
      </c>
      <c r="W5" s="55">
        <f t="shared" si="3"/>
        <v>4056.9968745332335</v>
      </c>
      <c r="X5" s="290" t="str">
        <f>+IF(W5="","",IF(W5&gt;=[2]PARÁMETROS!$J$5,"CUMPLE","NO CUMPLE"))</f>
        <v>CUMPLE</v>
      </c>
      <c r="Y5" s="140"/>
      <c r="Z5" s="109"/>
    </row>
    <row r="6" spans="1:28" s="72" customFormat="1" ht="65.099999999999994" customHeight="1" thickBot="1">
      <c r="A6" s="806"/>
      <c r="B6" s="141" t="str">
        <f>+[2]CONSOLIDADO!C15</f>
        <v>P06-01</v>
      </c>
      <c r="C6" s="169">
        <v>25</v>
      </c>
      <c r="D6" s="143" t="str">
        <f>+IFERROR(INDEX([2]CONSOLIDADO!$D$4:$D$89,MATCH('EXP ESPEC. 6-12'!B6,[2]CONSOLIDADO!$C$4:$C$89,0)),"")</f>
        <v xml:space="preserve">INZETT S.A.S.  </v>
      </c>
      <c r="E6" s="640" t="s">
        <v>614</v>
      </c>
      <c r="F6" s="641" t="s">
        <v>563</v>
      </c>
      <c r="G6" s="289" t="s">
        <v>10</v>
      </c>
      <c r="H6" s="289" t="s">
        <v>11</v>
      </c>
      <c r="I6" s="289" t="s">
        <v>10</v>
      </c>
      <c r="J6" s="289" t="s">
        <v>11</v>
      </c>
      <c r="K6" s="642">
        <v>0.7</v>
      </c>
      <c r="L6" s="643">
        <v>40561</v>
      </c>
      <c r="M6" s="644">
        <v>41500</v>
      </c>
      <c r="N6" s="148">
        <f t="shared" si="0"/>
        <v>2013</v>
      </c>
      <c r="O6" s="149">
        <f>+IFERROR(INDEX([2]PARÁMETROS!$B$11:$B$37,MATCH(N6,[2]PARÁMETROS!$A$11:$A$37,0)),"")</f>
        <v>589500</v>
      </c>
      <c r="P6" s="150">
        <v>4481543752</v>
      </c>
      <c r="Q6" s="151" t="str">
        <f>+Q5</f>
        <v>COP</v>
      </c>
      <c r="R6" s="141" t="str">
        <f>+R5</f>
        <v>N/A</v>
      </c>
      <c r="S6" s="152" t="str">
        <f>+S5</f>
        <v>N/A</v>
      </c>
      <c r="T6" s="153">
        <v>1</v>
      </c>
      <c r="U6" s="149">
        <f t="shared" si="1"/>
        <v>4481543752</v>
      </c>
      <c r="V6" s="154">
        <f t="shared" si="2"/>
        <v>7602.2794775233251</v>
      </c>
      <c r="W6" s="154">
        <f t="shared" si="3"/>
        <v>5321.5956342663276</v>
      </c>
      <c r="X6" s="289" t="str">
        <f>+IF(W6="","",IF(W6&gt;=[2]PARÁMETROS!$J$5,"CUMPLE","NO CUMPLE"))</f>
        <v>CUMPLE</v>
      </c>
      <c r="Y6" s="170"/>
      <c r="Z6" s="109"/>
    </row>
    <row r="7" spans="1:28" s="72" customFormat="1" ht="54.75" customHeight="1">
      <c r="A7" s="795" t="str">
        <f>+[2]CONSOLIDADO!A18</f>
        <v>CM001P07</v>
      </c>
      <c r="B7" s="123" t="str">
        <f>+[2]CONSOLIDADO!C18</f>
        <v>P07-01</v>
      </c>
      <c r="C7" s="466">
        <v>4</v>
      </c>
      <c r="D7" s="125" t="str">
        <f>+IFERROR(INDEX([2]CONSOLIDADO!$D$4:$D$89,MATCH('EXP ESPEC. 6-12'!B7,[2]CONSOLIDADO!$C$4:$C$89,0)),"")</f>
        <v>GOMEZ CAJIAO Y ASOCIADOS S.A.</v>
      </c>
      <c r="E7" s="645" t="s">
        <v>570</v>
      </c>
      <c r="F7" s="646" t="s">
        <v>571</v>
      </c>
      <c r="G7" s="291" t="s">
        <v>10</v>
      </c>
      <c r="H7" s="291" t="s">
        <v>11</v>
      </c>
      <c r="I7" s="291" t="s">
        <v>10</v>
      </c>
      <c r="J7" s="291" t="s">
        <v>11</v>
      </c>
      <c r="K7" s="647">
        <v>1</v>
      </c>
      <c r="L7" s="648">
        <v>38366</v>
      </c>
      <c r="M7" s="648">
        <v>39071</v>
      </c>
      <c r="N7" s="130">
        <f t="shared" si="0"/>
        <v>2006</v>
      </c>
      <c r="O7" s="131">
        <f>+IFERROR(INDEX([2]PARÁMETROS!$B$11:$B$37,MATCH(N7,[2]PARÁMETROS!$A$11:$A$37,0)),"")</f>
        <v>408000</v>
      </c>
      <c r="P7" s="132">
        <v>1534302721</v>
      </c>
      <c r="Q7" s="133" t="s">
        <v>25</v>
      </c>
      <c r="R7" s="123" t="str">
        <f>+R6</f>
        <v>N/A</v>
      </c>
      <c r="S7" s="134" t="str">
        <f>+S6</f>
        <v>N/A</v>
      </c>
      <c r="T7" s="135">
        <v>1</v>
      </c>
      <c r="U7" s="131">
        <f t="shared" si="1"/>
        <v>1534302721</v>
      </c>
      <c r="V7" s="136">
        <f t="shared" si="2"/>
        <v>3760.5458848039216</v>
      </c>
      <c r="W7" s="136">
        <f t="shared" si="3"/>
        <v>3760.5458848039216</v>
      </c>
      <c r="X7" s="556" t="str">
        <f>+IF(W7="","",IF(W7&gt;=[2]PARÁMETROS!$J$5,"CUMPLE","NO CUMPLE"))</f>
        <v>CUMPLE</v>
      </c>
      <c r="Y7" s="138"/>
      <c r="Z7" s="109"/>
    </row>
    <row r="8" spans="1:28" s="72" customFormat="1" ht="60.75" customHeight="1">
      <c r="A8" s="796"/>
      <c r="B8" s="58" t="str">
        <f>+B7</f>
        <v>P07-01</v>
      </c>
      <c r="C8" s="464">
        <v>9</v>
      </c>
      <c r="D8" s="60" t="str">
        <f>+IFERROR(INDEX([2]CONSOLIDADO!$D$4:$D$89,MATCH('EXP ESPEC. 6-12'!B8,[2]CONSOLIDADO!$C$4:$C$89,0)),"")</f>
        <v>GOMEZ CAJIAO Y ASOCIADOS S.A.</v>
      </c>
      <c r="E8" s="461" t="s">
        <v>573</v>
      </c>
      <c r="F8" s="462" t="s">
        <v>574</v>
      </c>
      <c r="G8" s="290" t="s">
        <v>10</v>
      </c>
      <c r="H8" s="290" t="s">
        <v>10</v>
      </c>
      <c r="I8" s="290" t="s">
        <v>10</v>
      </c>
      <c r="J8" s="290" t="s">
        <v>11</v>
      </c>
      <c r="K8" s="492">
        <v>0.5</v>
      </c>
      <c r="L8" s="463">
        <v>38034</v>
      </c>
      <c r="M8" s="463">
        <v>40770</v>
      </c>
      <c r="N8" s="65">
        <f t="shared" si="0"/>
        <v>2011</v>
      </c>
      <c r="O8" s="66">
        <f>+IFERROR(INDEX([2]PARÁMETROS!$B$11:$B$37,MATCH(N8,[2]PARÁMETROS!$A$11:$A$37,0)),"")</f>
        <v>535600</v>
      </c>
      <c r="P8" s="67">
        <v>9131630030</v>
      </c>
      <c r="Q8" s="68" t="str">
        <f>+Q7</f>
        <v>COP</v>
      </c>
      <c r="R8" s="58" t="str">
        <f>+R7</f>
        <v>N/A</v>
      </c>
      <c r="S8" s="69" t="str">
        <f>+S7</f>
        <v>N/A</v>
      </c>
      <c r="T8" s="70">
        <v>1</v>
      </c>
      <c r="U8" s="66">
        <f t="shared" si="1"/>
        <v>9131630030</v>
      </c>
      <c r="V8" s="55">
        <f t="shared" si="2"/>
        <v>17049.346583271097</v>
      </c>
      <c r="W8" s="55">
        <f t="shared" si="3"/>
        <v>8524.6732916355486</v>
      </c>
      <c r="X8" s="290" t="str">
        <f>+IF(W8="","",IF(W8&gt;=[2]PARÁMETROS!$J$5,"CUMPLE","NO CUMPLE"))</f>
        <v>CUMPLE</v>
      </c>
      <c r="Y8" s="139"/>
      <c r="Z8" s="109"/>
    </row>
    <row r="9" spans="1:28" s="72" customFormat="1" ht="47.25" customHeight="1">
      <c r="A9" s="796"/>
      <c r="B9" s="58" t="str">
        <f>+[2]CONSOLIDADO!C19</f>
        <v>P07-02</v>
      </c>
      <c r="C9" s="464">
        <v>24</v>
      </c>
      <c r="D9" s="60" t="str">
        <f>+IFERROR(INDEX([2]CONSOLIDADO!$D$4:$D$89,MATCH('EXP ESPEC. 6-12'!B9,[2]CONSOLIDADO!$C$4:$C$89,0)),"")</f>
        <v>CONSULTORIA INTOK DE COLOMBIA Y ASOCIADOS S.A.S</v>
      </c>
      <c r="E9" s="461" t="s">
        <v>575</v>
      </c>
      <c r="F9" s="462" t="s">
        <v>576</v>
      </c>
      <c r="G9" s="290" t="s">
        <v>10</v>
      </c>
      <c r="H9" s="290" t="s">
        <v>11</v>
      </c>
      <c r="I9" s="290" t="s">
        <v>10</v>
      </c>
      <c r="J9" s="290" t="s">
        <v>11</v>
      </c>
      <c r="K9" s="493">
        <v>1</v>
      </c>
      <c r="L9" s="465">
        <v>38562</v>
      </c>
      <c r="M9" s="465">
        <v>39521</v>
      </c>
      <c r="N9" s="65">
        <f t="shared" si="0"/>
        <v>2008</v>
      </c>
      <c r="O9" s="66">
        <f>+IFERROR(INDEX([2]PARÁMETROS!$B$11:$B$37,MATCH(N9,[2]PARÁMETROS!$A$11:$A$37,0)),"")</f>
        <v>461500</v>
      </c>
      <c r="P9" s="67">
        <v>2838230</v>
      </c>
      <c r="Q9" s="68" t="s">
        <v>419</v>
      </c>
      <c r="R9" s="58">
        <v>1.56097</v>
      </c>
      <c r="S9" s="69">
        <f>+P9*R9</f>
        <v>4430391.8831000002</v>
      </c>
      <c r="T9" s="70">
        <v>1856.01</v>
      </c>
      <c r="U9" s="66">
        <f>IF(T9&lt;&gt;"",S9*T9,"")</f>
        <v>8222851638.9524317</v>
      </c>
      <c r="V9" s="55">
        <f t="shared" si="2"/>
        <v>17817.663356343299</v>
      </c>
      <c r="W9" s="55">
        <f t="shared" si="3"/>
        <v>17817.663356343299</v>
      </c>
      <c r="X9" s="290" t="str">
        <f>+IF(W9="","",IF(W9&gt;=[2]PARÁMETROS!$J$5,"CUMPLE","NO CUMPLE"))</f>
        <v>CUMPLE</v>
      </c>
      <c r="Y9" s="139"/>
      <c r="Z9" s="109"/>
    </row>
    <row r="10" spans="1:28" s="72" customFormat="1" ht="54" customHeight="1" thickBot="1">
      <c r="A10" s="806"/>
      <c r="B10" s="141" t="str">
        <f>+B9</f>
        <v>P07-02</v>
      </c>
      <c r="C10" s="404">
        <v>33</v>
      </c>
      <c r="D10" s="143" t="str">
        <f>+IFERROR(INDEX([2]CONSOLIDADO!$D$4:$D$89,MATCH('EXP ESPEC. 6-12'!B10,[2]CONSOLIDADO!$C$4:$C$89,0)),"")</f>
        <v>CONSULTORIA INTOK DE COLOMBIA Y ASOCIADOS S.A.S</v>
      </c>
      <c r="E10" s="649" t="s">
        <v>578</v>
      </c>
      <c r="F10" s="650" t="s">
        <v>579</v>
      </c>
      <c r="G10" s="289" t="s">
        <v>10</v>
      </c>
      <c r="H10" s="289" t="s">
        <v>11</v>
      </c>
      <c r="I10" s="289" t="s">
        <v>10</v>
      </c>
      <c r="J10" s="289" t="s">
        <v>11</v>
      </c>
      <c r="K10" s="651">
        <v>1</v>
      </c>
      <c r="L10" s="652">
        <v>38701</v>
      </c>
      <c r="M10" s="652">
        <v>40085</v>
      </c>
      <c r="N10" s="148">
        <f t="shared" si="0"/>
        <v>2009</v>
      </c>
      <c r="O10" s="149">
        <f>+IFERROR(INDEX([2]PARÁMETROS!$B$11:$B$37,MATCH(N10,[2]PARÁMETROS!$A$11:$A$37,0)),"")</f>
        <v>496900</v>
      </c>
      <c r="P10" s="150">
        <v>1183267.6000000001</v>
      </c>
      <c r="Q10" s="151" t="s">
        <v>419</v>
      </c>
      <c r="R10" s="141">
        <v>1.45905</v>
      </c>
      <c r="S10" s="152">
        <f>+P10*R10</f>
        <v>1726446.5917800001</v>
      </c>
      <c r="T10" s="153">
        <v>1921.64</v>
      </c>
      <c r="U10" s="149">
        <f>IF(T10&lt;&gt;"",S10*T10,"")</f>
        <v>3317608828.6281195</v>
      </c>
      <c r="V10" s="154">
        <f t="shared" si="2"/>
        <v>6676.612655721714</v>
      </c>
      <c r="W10" s="154">
        <f t="shared" si="3"/>
        <v>6676.612655721714</v>
      </c>
      <c r="X10" s="289" t="str">
        <f>+IF(W10="","",IF(W10&gt;=[2]PARÁMETROS!$J$5,"CUMPLE","NO CUMPLE"))</f>
        <v>CUMPLE</v>
      </c>
      <c r="Y10" s="155"/>
      <c r="Z10" s="109"/>
    </row>
    <row r="11" spans="1:28" s="72" customFormat="1" ht="51.75" customHeight="1">
      <c r="A11" s="834" t="str">
        <f>+[2]CONSOLIDADO!A20</f>
        <v>CM001P08</v>
      </c>
      <c r="B11" s="123" t="str">
        <f>+[2]CONSOLIDADO!C21</f>
        <v>P08-02</v>
      </c>
      <c r="C11" s="466">
        <v>5</v>
      </c>
      <c r="D11" s="125" t="str">
        <f>+IFERROR(INDEX([2]CONSOLIDADO!$D$4:$D$89,MATCH('EXP ESPEC. 6-12'!B11,[2]CONSOLIDADO!$C$4:$C$89,0)),"")</f>
        <v>INGENIERIA Y CONSULTORIA INGECON S.A.S.</v>
      </c>
      <c r="E11" s="126" t="s">
        <v>570</v>
      </c>
      <c r="F11" s="127" t="s">
        <v>615</v>
      </c>
      <c r="G11" s="291" t="s">
        <v>10</v>
      </c>
      <c r="H11" s="291" t="s">
        <v>11</v>
      </c>
      <c r="I11" s="291" t="s">
        <v>10</v>
      </c>
      <c r="J11" s="291" t="s">
        <v>11</v>
      </c>
      <c r="K11" s="128">
        <v>1</v>
      </c>
      <c r="L11" s="129">
        <v>39083</v>
      </c>
      <c r="M11" s="129">
        <v>40086</v>
      </c>
      <c r="N11" s="130">
        <f t="shared" si="0"/>
        <v>2009</v>
      </c>
      <c r="O11" s="131">
        <f>+IFERROR(INDEX([2]PARÁMETROS!$B$11:$B$37,MATCH(N11,[2]PARÁMETROS!$A$11:$A$37,0)),"")</f>
        <v>496900</v>
      </c>
      <c r="P11" s="132">
        <v>2052203069.46</v>
      </c>
      <c r="Q11" s="133" t="s">
        <v>25</v>
      </c>
      <c r="R11" s="123" t="s">
        <v>346</v>
      </c>
      <c r="S11" s="134" t="s">
        <v>346</v>
      </c>
      <c r="T11" s="135">
        <v>1</v>
      </c>
      <c r="U11" s="131">
        <f t="shared" si="1"/>
        <v>2052203069.46</v>
      </c>
      <c r="V11" s="136">
        <f t="shared" si="2"/>
        <v>4130.0122146508356</v>
      </c>
      <c r="W11" s="136">
        <f t="shared" si="3"/>
        <v>4130.0122146508356</v>
      </c>
      <c r="X11" s="556" t="str">
        <f>+IF(W11="","",IF(W11&gt;=[2]PARÁMETROS!$J$5,"CUMPLE","NO CUMPLE"))</f>
        <v>CUMPLE</v>
      </c>
      <c r="Y11" s="138"/>
      <c r="Z11" s="109"/>
    </row>
    <row r="12" spans="1:28" s="72" customFormat="1" ht="69" customHeight="1">
      <c r="A12" s="835"/>
      <c r="B12" s="58" t="str">
        <f>+B11</f>
        <v>P08-02</v>
      </c>
      <c r="C12" s="464">
        <v>28</v>
      </c>
      <c r="D12" s="60" t="str">
        <f>+IFERROR(INDEX([2]CONSOLIDADO!$D$4:$D$89,MATCH('EXP ESPEC. 6-12'!B12,[2]CONSOLIDADO!$C$4:$C$89,0)),"")</f>
        <v>INGENIERIA Y CONSULTORIA INGECON S.A.S.</v>
      </c>
      <c r="E12" s="61" t="s">
        <v>573</v>
      </c>
      <c r="F12" s="61" t="s">
        <v>616</v>
      </c>
      <c r="G12" s="290" t="s">
        <v>10</v>
      </c>
      <c r="H12" s="290" t="s">
        <v>10</v>
      </c>
      <c r="I12" s="290" t="s">
        <v>10</v>
      </c>
      <c r="J12" s="290" t="s">
        <v>11</v>
      </c>
      <c r="K12" s="73">
        <v>0.65</v>
      </c>
      <c r="L12" s="64">
        <v>37838</v>
      </c>
      <c r="M12" s="64">
        <v>38612</v>
      </c>
      <c r="N12" s="65">
        <f t="shared" si="0"/>
        <v>2005</v>
      </c>
      <c r="O12" s="66">
        <f>+IFERROR(INDEX([2]PARÁMETROS!$B$11:$B$37,MATCH(N12,[2]PARÁMETROS!$A$11:$A$37,0)),"")</f>
        <v>381500</v>
      </c>
      <c r="P12" s="74">
        <v>6190975758</v>
      </c>
      <c r="Q12" s="66" t="s">
        <v>25</v>
      </c>
      <c r="R12" s="58" t="s">
        <v>346</v>
      </c>
      <c r="S12" s="69" t="s">
        <v>346</v>
      </c>
      <c r="T12" s="70">
        <v>1</v>
      </c>
      <c r="U12" s="66">
        <f t="shared" si="1"/>
        <v>6190975758</v>
      </c>
      <c r="V12" s="55">
        <f t="shared" si="2"/>
        <v>16227.983638269987</v>
      </c>
      <c r="W12" s="55">
        <f t="shared" si="3"/>
        <v>10548.189364875492</v>
      </c>
      <c r="X12" s="290" t="str">
        <f>+IF(W12="","",IF(W12&gt;=[2]PARÁMETROS!$J$5,"CUMPLE","NO CUMPLE"))</f>
        <v>CUMPLE</v>
      </c>
      <c r="Y12" s="139"/>
      <c r="Z12" s="109"/>
    </row>
    <row r="13" spans="1:28" s="72" customFormat="1" ht="64.5" customHeight="1">
      <c r="A13" s="835"/>
      <c r="B13" s="58" t="str">
        <f>+[2]CONSOLIDADO!C20</f>
        <v>P08-01</v>
      </c>
      <c r="C13" s="464">
        <v>76</v>
      </c>
      <c r="D13" s="60" t="str">
        <f>+IFERROR(INDEX([2]CONSOLIDADO!$D$4:$D$89,MATCH('EXP ESPEC. 6-12'!B13,[2]CONSOLIDADO!$C$4:$C$89,0)),"")</f>
        <v>CONSULTORIA INTEGRAL EN INGENIERIA S.A. DE CV</v>
      </c>
      <c r="E13" s="61" t="s">
        <v>580</v>
      </c>
      <c r="F13" s="62" t="s">
        <v>617</v>
      </c>
      <c r="G13" s="290" t="s">
        <v>10</v>
      </c>
      <c r="H13" s="290" t="s">
        <v>11</v>
      </c>
      <c r="I13" s="290" t="s">
        <v>10</v>
      </c>
      <c r="J13" s="290" t="s">
        <v>11</v>
      </c>
      <c r="K13" s="63">
        <v>1</v>
      </c>
      <c r="L13" s="64">
        <v>38974</v>
      </c>
      <c r="M13" s="64">
        <v>39478</v>
      </c>
      <c r="N13" s="65">
        <f t="shared" si="0"/>
        <v>2008</v>
      </c>
      <c r="O13" s="66">
        <f>+IFERROR(INDEX([2]PARÁMETROS!$B$11:$B$37,MATCH(N13,[2]PARÁMETROS!$A$11:$A$37,0)),"")</f>
        <v>461500</v>
      </c>
      <c r="P13" s="67">
        <v>12952658.279999999</v>
      </c>
      <c r="Q13" s="68" t="s">
        <v>582</v>
      </c>
      <c r="R13" s="58">
        <v>9.2179999999999998E-2</v>
      </c>
      <c r="S13" s="69">
        <f>+P13*R13</f>
        <v>1193976.0402503998</v>
      </c>
      <c r="T13" s="70">
        <v>1939.6</v>
      </c>
      <c r="U13" s="66">
        <f>IF(T13&lt;&gt;"",S13*T13,"")</f>
        <v>2315835927.6696754</v>
      </c>
      <c r="V13" s="55">
        <f>+IFERROR(U13/O13,"")</f>
        <v>5018.0626818411165</v>
      </c>
      <c r="W13" s="55">
        <f>IFERROR(V13*K13,"")</f>
        <v>5018.0626818411165</v>
      </c>
      <c r="X13" s="290" t="str">
        <f>+IF(W13="","",IF(W13&gt;=[2]PARÁMETROS!$J$5,"CUMPLE","NO CUMPLE"))</f>
        <v>CUMPLE</v>
      </c>
      <c r="Y13" s="139"/>
      <c r="Z13" s="109"/>
    </row>
    <row r="14" spans="1:28" s="72" customFormat="1" ht="47.25" customHeight="1" thickBot="1">
      <c r="A14" s="836"/>
      <c r="B14" s="141" t="str">
        <f>+B13</f>
        <v>P08-01</v>
      </c>
      <c r="C14" s="404">
        <v>87</v>
      </c>
      <c r="D14" s="143" t="str">
        <f>+IFERROR(INDEX([2]CONSOLIDADO!$D$4:$D$89,MATCH('EXP ESPEC. 6-12'!B14,[2]CONSOLIDADO!$C$4:$C$89,0)),"")</f>
        <v>CONSULTORIA INTEGRAL EN INGENIERIA S.A. DE CV</v>
      </c>
      <c r="E14" s="144" t="s">
        <v>580</v>
      </c>
      <c r="F14" s="657" t="s">
        <v>618</v>
      </c>
      <c r="G14" s="289" t="s">
        <v>10</v>
      </c>
      <c r="H14" s="289" t="s">
        <v>11</v>
      </c>
      <c r="I14" s="289" t="s">
        <v>10</v>
      </c>
      <c r="J14" s="289" t="s">
        <v>11</v>
      </c>
      <c r="K14" s="146">
        <v>1</v>
      </c>
      <c r="L14" s="147">
        <v>37495</v>
      </c>
      <c r="M14" s="147">
        <v>37863</v>
      </c>
      <c r="N14" s="148">
        <f t="shared" si="0"/>
        <v>2003</v>
      </c>
      <c r="O14" s="149">
        <f>+IFERROR(INDEX([2]PARÁMETROS!$B$11:$B$37,MATCH(N14,[2]PARÁMETROS!$A$11:$A$37,0)),"")</f>
        <v>332000</v>
      </c>
      <c r="P14" s="150">
        <v>23799200.760000002</v>
      </c>
      <c r="Q14" s="151" t="str">
        <f>+Q13</f>
        <v>MX</v>
      </c>
      <c r="R14" s="141">
        <v>9.0289999999999995E-2</v>
      </c>
      <c r="S14" s="152">
        <f>+P14*R14</f>
        <v>2148829.8366204002</v>
      </c>
      <c r="T14" s="153">
        <v>2832.94</v>
      </c>
      <c r="U14" s="149">
        <f>IF(T14&lt;&gt;"",S14*T14,"")</f>
        <v>6087505997.3553963</v>
      </c>
      <c r="V14" s="154">
        <f t="shared" si="2"/>
        <v>18335.861437817457</v>
      </c>
      <c r="W14" s="154">
        <f t="shared" si="3"/>
        <v>18335.861437817457</v>
      </c>
      <c r="X14" s="289" t="str">
        <f>+IF(W14="","",IF(W14&gt;=[2]PARÁMETROS!$J$5,"CUMPLE","NO CUMPLE"))</f>
        <v>CUMPLE</v>
      </c>
      <c r="Y14" s="155" t="s">
        <v>619</v>
      </c>
      <c r="Z14" s="109"/>
    </row>
    <row r="15" spans="1:28" s="72" customFormat="1" ht="63.75" customHeight="1">
      <c r="A15" s="795" t="str">
        <f>+[2]CONSOLIDADO!A22</f>
        <v>CM001P09</v>
      </c>
      <c r="B15" s="123" t="str">
        <f>+[2]CONSOLIDADO!C23</f>
        <v>P09-02</v>
      </c>
      <c r="C15" s="466">
        <v>3</v>
      </c>
      <c r="D15" s="125" t="str">
        <f>+IFERROR(INDEX([2]CONSOLIDADO!$D$4:$D$89,MATCH('EXP ESPEC. 6-12'!B15,[2]CONSOLIDADO!$C$4:$C$89,0)),"")</f>
        <v>ECOVIAS S.A.S.</v>
      </c>
      <c r="E15" s="645" t="s">
        <v>587</v>
      </c>
      <c r="F15" s="653" t="s">
        <v>588</v>
      </c>
      <c r="G15" s="556" t="s">
        <v>10</v>
      </c>
      <c r="H15" s="556" t="s">
        <v>10</v>
      </c>
      <c r="I15" s="556" t="s">
        <v>10</v>
      </c>
      <c r="J15" s="291" t="s">
        <v>11</v>
      </c>
      <c r="K15" s="654">
        <v>0.5</v>
      </c>
      <c r="L15" s="620">
        <v>36752</v>
      </c>
      <c r="M15" s="620">
        <v>42111</v>
      </c>
      <c r="N15" s="130">
        <f t="shared" si="0"/>
        <v>2015</v>
      </c>
      <c r="O15" s="131">
        <f>+IFERROR(INDEX([2]PARÁMETROS!$B$11:$B$37,MATCH(N15,[2]PARÁMETROS!$A$11:$A$37,0)),"")</f>
        <v>644350</v>
      </c>
      <c r="P15" s="132">
        <v>5014683563</v>
      </c>
      <c r="Q15" s="133" t="s">
        <v>25</v>
      </c>
      <c r="R15" s="123"/>
      <c r="S15" s="134" t="s">
        <v>346</v>
      </c>
      <c r="T15" s="135">
        <v>1</v>
      </c>
      <c r="U15" s="131">
        <f t="shared" si="1"/>
        <v>5014683563</v>
      </c>
      <c r="V15" s="136">
        <f t="shared" si="2"/>
        <v>7782.546074338481</v>
      </c>
      <c r="W15" s="136">
        <f t="shared" si="3"/>
        <v>3891.2730371692405</v>
      </c>
      <c r="X15" s="556" t="str">
        <f>+IF(W15="","",IF(W15&gt;=[2]PARÁMETROS!$J$5,"CUMPLE","NO CUMPLE"))</f>
        <v>CUMPLE</v>
      </c>
      <c r="Y15" s="138"/>
      <c r="Z15" s="109"/>
    </row>
    <row r="16" spans="1:28" s="72" customFormat="1" ht="96" customHeight="1">
      <c r="A16" s="796"/>
      <c r="B16" s="58" t="str">
        <f>+B15</f>
        <v>P09-02</v>
      </c>
      <c r="C16" s="464">
        <v>6</v>
      </c>
      <c r="D16" s="60" t="str">
        <f>+IFERROR(INDEX([2]CONSOLIDADO!$D$4:$D$89,MATCH('EXP ESPEC. 6-12'!B16,[2]CONSOLIDADO!$C$4:$C$89,0)),"")</f>
        <v>ECOVIAS S.A.S.</v>
      </c>
      <c r="E16" s="461" t="s">
        <v>589</v>
      </c>
      <c r="F16" s="494" t="s">
        <v>590</v>
      </c>
      <c r="G16" s="290" t="s">
        <v>10</v>
      </c>
      <c r="H16" s="290" t="s">
        <v>11</v>
      </c>
      <c r="I16" s="290" t="s">
        <v>10</v>
      </c>
      <c r="J16" s="290" t="s">
        <v>11</v>
      </c>
      <c r="K16" s="495">
        <v>0.5</v>
      </c>
      <c r="L16" s="470">
        <v>40099</v>
      </c>
      <c r="M16" s="470">
        <v>40558</v>
      </c>
      <c r="N16" s="65">
        <f t="shared" si="0"/>
        <v>2011</v>
      </c>
      <c r="O16" s="66">
        <f>+IFERROR(INDEX([2]PARÁMETROS!$B$11:$B$37,MATCH(N16,[2]PARÁMETROS!$A$11:$A$37,0)),"")</f>
        <v>535600</v>
      </c>
      <c r="P16" s="67">
        <v>4561047955</v>
      </c>
      <c r="Q16" s="68" t="str">
        <f t="shared" ref="Q16:Q22" si="4">+Q15</f>
        <v>COP</v>
      </c>
      <c r="R16" s="58"/>
      <c r="S16" s="69" t="str">
        <f t="shared" ref="S16:S22" si="5">+S15</f>
        <v>NA</v>
      </c>
      <c r="T16" s="70">
        <v>1</v>
      </c>
      <c r="U16" s="66">
        <f t="shared" si="1"/>
        <v>4561047955</v>
      </c>
      <c r="V16" s="55">
        <f t="shared" si="2"/>
        <v>8515.7728808812553</v>
      </c>
      <c r="W16" s="55">
        <f t="shared" si="3"/>
        <v>4257.8864404406277</v>
      </c>
      <c r="X16" s="290" t="str">
        <f>+IF(W16="","",IF(W16&gt;=[2]PARÁMETROS!$J$5,"CUMPLE","NO CUMPLE"))</f>
        <v>CUMPLE</v>
      </c>
      <c r="Y16" s="139"/>
      <c r="Z16" s="109"/>
    </row>
    <row r="17" spans="1:26" s="72" customFormat="1" ht="87.75" customHeight="1">
      <c r="A17" s="796"/>
      <c r="B17" s="58" t="str">
        <f>+B16</f>
        <v>P09-02</v>
      </c>
      <c r="C17" s="464">
        <v>25</v>
      </c>
      <c r="D17" s="60" t="str">
        <f>+IFERROR(INDEX([2]CONSOLIDADO!$D$4:$D$89,MATCH('EXP ESPEC. 6-12'!B17,[2]CONSOLIDADO!$C$4:$C$89,0)),"")</f>
        <v>ECOVIAS S.A.S.</v>
      </c>
      <c r="E17" s="461" t="s">
        <v>371</v>
      </c>
      <c r="F17" s="494" t="s">
        <v>591</v>
      </c>
      <c r="G17" s="290" t="s">
        <v>10</v>
      </c>
      <c r="H17" s="290" t="s">
        <v>11</v>
      </c>
      <c r="I17" s="290" t="s">
        <v>10</v>
      </c>
      <c r="J17" s="290" t="s">
        <v>11</v>
      </c>
      <c r="K17" s="495">
        <v>1</v>
      </c>
      <c r="L17" s="470">
        <v>34541</v>
      </c>
      <c r="M17" s="470">
        <v>35002</v>
      </c>
      <c r="N17" s="65">
        <f t="shared" si="0"/>
        <v>1995</v>
      </c>
      <c r="O17" s="66">
        <f>+IFERROR(INDEX([2]PARÁMETROS!$B$11:$B$37,MATCH(N17,[2]PARÁMETROS!$A$11:$A$37,0)),"")</f>
        <v>118933.5</v>
      </c>
      <c r="P17" s="67">
        <v>418334254</v>
      </c>
      <c r="Q17" s="68" t="str">
        <f t="shared" si="4"/>
        <v>COP</v>
      </c>
      <c r="R17" s="58"/>
      <c r="S17" s="69" t="str">
        <f t="shared" si="5"/>
        <v>NA</v>
      </c>
      <c r="T17" s="70">
        <v>1</v>
      </c>
      <c r="U17" s="66">
        <f t="shared" si="1"/>
        <v>418334254</v>
      </c>
      <c r="V17" s="55">
        <f t="shared" si="2"/>
        <v>3517.3794935825481</v>
      </c>
      <c r="W17" s="55">
        <f t="shared" si="3"/>
        <v>3517.3794935825481</v>
      </c>
      <c r="X17" s="290" t="str">
        <f>+IF(W17="","",IF(W17&gt;=[2]PARÁMETROS!$J$5,"CUMPLE","NO CUMPLE"))</f>
        <v>CUMPLE</v>
      </c>
      <c r="Y17" s="139"/>
      <c r="Z17" s="109"/>
    </row>
    <row r="18" spans="1:26" s="72" customFormat="1" ht="48" customHeight="1" thickBot="1">
      <c r="A18" s="806"/>
      <c r="B18" s="141" t="str">
        <f>+[2]CONSOLIDADO!C22</f>
        <v>P09-01</v>
      </c>
      <c r="C18" s="404">
        <v>27</v>
      </c>
      <c r="D18" s="143" t="str">
        <f>+IFERROR(INDEX([2]CONSOLIDADO!$D$4:$D$89,MATCH('EXP ESPEC. 6-12'!B18,[2]CONSOLIDADO!$C$4:$C$89,0)),"")</f>
        <v>ESTRUCTURADOR COLOMBIA S.A.S.</v>
      </c>
      <c r="E18" s="649" t="s">
        <v>371</v>
      </c>
      <c r="F18" s="655" t="s">
        <v>592</v>
      </c>
      <c r="G18" s="559" t="s">
        <v>10</v>
      </c>
      <c r="H18" s="559" t="s">
        <v>11</v>
      </c>
      <c r="I18" s="559" t="s">
        <v>10</v>
      </c>
      <c r="J18" s="289" t="s">
        <v>11</v>
      </c>
      <c r="K18" s="656">
        <v>0.15</v>
      </c>
      <c r="L18" s="623">
        <v>40487</v>
      </c>
      <c r="M18" s="623">
        <v>42339</v>
      </c>
      <c r="N18" s="148">
        <f t="shared" si="0"/>
        <v>2015</v>
      </c>
      <c r="O18" s="149">
        <f>+IFERROR(INDEX([2]PARÁMETROS!$B$11:$B$37,MATCH(N18,[2]PARÁMETROS!$A$11:$A$37,0)),"")</f>
        <v>644350</v>
      </c>
      <c r="P18" s="150">
        <v>25305101612</v>
      </c>
      <c r="Q18" s="151" t="str">
        <f t="shared" si="4"/>
        <v>COP</v>
      </c>
      <c r="R18" s="141"/>
      <c r="S18" s="152" t="str">
        <f t="shared" si="5"/>
        <v>NA</v>
      </c>
      <c r="T18" s="153">
        <v>1</v>
      </c>
      <c r="U18" s="149">
        <f t="shared" si="1"/>
        <v>25305101612</v>
      </c>
      <c r="V18" s="154">
        <f t="shared" si="2"/>
        <v>39272.292406300927</v>
      </c>
      <c r="W18" s="154">
        <f t="shared" si="3"/>
        <v>5890.8438609451387</v>
      </c>
      <c r="X18" s="289" t="str">
        <f>+IF(W18="","",IF(W18&gt;=[2]PARÁMETROS!$J$5,"CUMPLE","NO CUMPLE"))</f>
        <v>CUMPLE</v>
      </c>
      <c r="Y18" s="155"/>
      <c r="Z18" s="109"/>
    </row>
    <row r="19" spans="1:26" s="72" customFormat="1" ht="86.25" customHeight="1">
      <c r="A19" s="795" t="str">
        <f>+[2]CONSOLIDADO!A24</f>
        <v>CM001P10</v>
      </c>
      <c r="B19" s="123" t="str">
        <f>+[2]CONSOLIDADO!C24</f>
        <v>P10-01</v>
      </c>
      <c r="C19" s="466">
        <v>5</v>
      </c>
      <c r="D19" s="125" t="str">
        <f>+IFERROR(INDEX([2]CONSOLIDADO!$D$4:$D$89,MATCH('EXP ESPEC. 6-12'!B19,[2]CONSOLIDADO!$C$4:$C$89,0)),"")</f>
        <v>JOYCO</v>
      </c>
      <c r="E19" s="659" t="s">
        <v>489</v>
      </c>
      <c r="F19" s="660" t="s">
        <v>593</v>
      </c>
      <c r="G19" s="291" t="s">
        <v>10</v>
      </c>
      <c r="H19" s="291" t="s">
        <v>10</v>
      </c>
      <c r="I19" s="556" t="s">
        <v>10</v>
      </c>
      <c r="J19" s="291" t="s">
        <v>11</v>
      </c>
      <c r="K19" s="661">
        <v>1</v>
      </c>
      <c r="L19" s="662">
        <v>38321</v>
      </c>
      <c r="M19" s="662">
        <v>39901</v>
      </c>
      <c r="N19" s="130">
        <f t="shared" si="0"/>
        <v>2009</v>
      </c>
      <c r="O19" s="131">
        <f>+IFERROR(INDEX([2]PARÁMETROS!$B$11:$B$37,MATCH(N19,[2]PARÁMETROS!$A$11:$A$37,0)),"")</f>
        <v>496900</v>
      </c>
      <c r="P19" s="132">
        <v>1676200327</v>
      </c>
      <c r="Q19" s="133" t="str">
        <f t="shared" si="4"/>
        <v>COP</v>
      </c>
      <c r="R19" s="123"/>
      <c r="S19" s="134" t="str">
        <f t="shared" si="5"/>
        <v>NA</v>
      </c>
      <c r="T19" s="135">
        <v>1</v>
      </c>
      <c r="U19" s="131">
        <f t="shared" si="1"/>
        <v>1676200327</v>
      </c>
      <c r="V19" s="136">
        <f t="shared" si="2"/>
        <v>3373.3152082914066</v>
      </c>
      <c r="W19" s="136">
        <f t="shared" si="3"/>
        <v>3373.3152082914066</v>
      </c>
      <c r="X19" s="556" t="str">
        <f>+IF(W19="","",IF(W19&gt;=[2]PARÁMETROS!$J$5,"CUMPLE","NO CUMPLE"))</f>
        <v>CUMPLE</v>
      </c>
      <c r="Y19" s="138"/>
      <c r="Z19" s="109"/>
    </row>
    <row r="20" spans="1:26" s="72" customFormat="1" ht="84.75" customHeight="1">
      <c r="A20" s="796"/>
      <c r="B20" s="58" t="str">
        <f>+B19</f>
        <v>P10-01</v>
      </c>
      <c r="C20" s="464">
        <v>15</v>
      </c>
      <c r="D20" s="60" t="str">
        <f>+IFERROR(INDEX([2]CONSOLIDADO!$D$4:$D$89,MATCH('EXP ESPEC. 6-12'!B20,[2]CONSOLIDADO!$C$4:$C$89,0)),"")</f>
        <v>JOYCO</v>
      </c>
      <c r="E20" s="496" t="s">
        <v>371</v>
      </c>
      <c r="F20" s="497" t="s">
        <v>594</v>
      </c>
      <c r="G20" s="290" t="s">
        <v>10</v>
      </c>
      <c r="H20" s="290" t="s">
        <v>11</v>
      </c>
      <c r="I20" s="290" t="s">
        <v>10</v>
      </c>
      <c r="J20" s="290" t="s">
        <v>11</v>
      </c>
      <c r="K20" s="498">
        <v>1</v>
      </c>
      <c r="L20" s="499">
        <v>38658</v>
      </c>
      <c r="M20" s="499">
        <v>39813</v>
      </c>
      <c r="N20" s="65">
        <f t="shared" si="0"/>
        <v>2008</v>
      </c>
      <c r="O20" s="66">
        <f>+IFERROR(INDEX([2]PARÁMETROS!$B$11:$B$37,MATCH(N20,[2]PARÁMETROS!$A$11:$A$37,0)),"")</f>
        <v>461500</v>
      </c>
      <c r="P20" s="67">
        <v>2904906735</v>
      </c>
      <c r="Q20" s="68" t="str">
        <f t="shared" si="4"/>
        <v>COP</v>
      </c>
      <c r="R20" s="58"/>
      <c r="S20" s="69" t="str">
        <f t="shared" si="5"/>
        <v>NA</v>
      </c>
      <c r="T20" s="70">
        <v>1</v>
      </c>
      <c r="U20" s="66">
        <f t="shared" si="1"/>
        <v>2904906735</v>
      </c>
      <c r="V20" s="55">
        <f t="shared" si="2"/>
        <v>6294.4891332611051</v>
      </c>
      <c r="W20" s="55">
        <f t="shared" si="3"/>
        <v>6294.4891332611051</v>
      </c>
      <c r="X20" s="290" t="str">
        <f>+IF(W20="","",IF(W20&gt;=[2]PARÁMETROS!$J$5,"CUMPLE","NO CUMPLE"))</f>
        <v>CUMPLE</v>
      </c>
      <c r="Y20" s="139"/>
      <c r="Z20" s="109"/>
    </row>
    <row r="21" spans="1:26" s="72" customFormat="1" ht="111" customHeight="1">
      <c r="A21" s="796"/>
      <c r="B21" s="58" t="str">
        <f>+B20</f>
        <v>P10-01</v>
      </c>
      <c r="C21" s="464">
        <v>26</v>
      </c>
      <c r="D21" s="60" t="str">
        <f>+IFERROR(INDEX([2]CONSOLIDADO!$D$4:$D$89,MATCH('EXP ESPEC. 6-12'!B21,[2]CONSOLIDADO!$C$4:$C$89,0)),"")</f>
        <v>JOYCO</v>
      </c>
      <c r="E21" s="496" t="s">
        <v>371</v>
      </c>
      <c r="F21" s="497" t="s">
        <v>598</v>
      </c>
      <c r="G21" s="290" t="s">
        <v>10</v>
      </c>
      <c r="H21" s="290" t="s">
        <v>11</v>
      </c>
      <c r="I21" s="290" t="s">
        <v>10</v>
      </c>
      <c r="J21" s="290" t="s">
        <v>11</v>
      </c>
      <c r="K21" s="498">
        <v>1</v>
      </c>
      <c r="L21" s="500">
        <v>38673</v>
      </c>
      <c r="M21" s="500">
        <v>39675</v>
      </c>
      <c r="N21" s="65">
        <f t="shared" si="0"/>
        <v>2008</v>
      </c>
      <c r="O21" s="66">
        <f>+IFERROR(INDEX([2]PARÁMETROS!$B$11:$B$37,MATCH(N21,[2]PARÁMETROS!$A$11:$A$37,0)),"")</f>
        <v>461500</v>
      </c>
      <c r="P21" s="67">
        <v>2904906735</v>
      </c>
      <c r="Q21" s="68" t="str">
        <f t="shared" si="4"/>
        <v>COP</v>
      </c>
      <c r="R21" s="58"/>
      <c r="S21" s="69" t="str">
        <f t="shared" si="5"/>
        <v>NA</v>
      </c>
      <c r="T21" s="70">
        <v>1</v>
      </c>
      <c r="U21" s="66">
        <v>2205036734</v>
      </c>
      <c r="V21" s="55">
        <f t="shared" si="2"/>
        <v>4777.9777551462621</v>
      </c>
      <c r="W21" s="55">
        <f t="shared" si="3"/>
        <v>4777.9777551462621</v>
      </c>
      <c r="X21" s="290" t="str">
        <f>+IF(W21="","",IF(W21&gt;=[2]PARÁMETROS!$J$5,"CUMPLE","NO CUMPLE"))</f>
        <v>CUMPLE</v>
      </c>
      <c r="Y21" s="166"/>
      <c r="Z21" s="109"/>
    </row>
    <row r="22" spans="1:26" s="82" customFormat="1" ht="103.5" customHeight="1" thickBot="1">
      <c r="A22" s="806"/>
      <c r="B22" s="141" t="str">
        <f>+B21</f>
        <v>P10-01</v>
      </c>
      <c r="C22" s="404">
        <v>37</v>
      </c>
      <c r="D22" s="143" t="str">
        <f>+IFERROR(INDEX([2]CONSOLIDADO!$D$4:$D$89,MATCH('EXP ESPEC. 6-12'!B22,[2]CONSOLIDADO!$C$4:$C$89,0)),"")</f>
        <v>JOYCO</v>
      </c>
      <c r="E22" s="663" t="s">
        <v>371</v>
      </c>
      <c r="F22" s="664" t="s">
        <v>596</v>
      </c>
      <c r="G22" s="289" t="s">
        <v>10</v>
      </c>
      <c r="H22" s="289" t="s">
        <v>11</v>
      </c>
      <c r="I22" s="559" t="s">
        <v>10</v>
      </c>
      <c r="J22" s="289" t="s">
        <v>11</v>
      </c>
      <c r="K22" s="665">
        <v>0.5</v>
      </c>
      <c r="L22" s="666">
        <v>39778</v>
      </c>
      <c r="M22" s="666">
        <v>41374</v>
      </c>
      <c r="N22" s="148">
        <f t="shared" si="0"/>
        <v>2013</v>
      </c>
      <c r="O22" s="149">
        <f>+IFERROR(INDEX([2]PARÁMETROS!$B$11:$B$37,MATCH(N22,[2]PARÁMETROS!$A$11:$A$37,0)),"")</f>
        <v>589500</v>
      </c>
      <c r="P22" s="151">
        <v>5413375107</v>
      </c>
      <c r="Q22" s="151" t="str">
        <f t="shared" si="4"/>
        <v>COP</v>
      </c>
      <c r="R22" s="151"/>
      <c r="S22" s="151" t="str">
        <f t="shared" si="5"/>
        <v>NA</v>
      </c>
      <c r="T22" s="153">
        <v>1</v>
      </c>
      <c r="U22" s="149">
        <v>5413567912</v>
      </c>
      <c r="V22" s="154">
        <f t="shared" si="2"/>
        <v>9183.321309584393</v>
      </c>
      <c r="W22" s="154">
        <f t="shared" si="3"/>
        <v>4591.6606547921965</v>
      </c>
      <c r="X22" s="289" t="str">
        <f>+IF(W22="","",IF(W22&gt;=[2]PARÁMETROS!$J$5,"CUMPLE","NO CUMPLE"))</f>
        <v>CUMPLE</v>
      </c>
      <c r="Y22" s="155"/>
      <c r="Z22" s="158"/>
    </row>
    <row r="23" spans="1:26" s="72" customFormat="1" ht="116.25" customHeight="1">
      <c r="A23" s="795" t="str">
        <f>+[2]CONSOLIDADO!A25</f>
        <v>CM001P11</v>
      </c>
      <c r="B23" s="123" t="str">
        <f>+[2]CONSOLIDADO!C25</f>
        <v>P11-01</v>
      </c>
      <c r="C23" s="466">
        <v>9</v>
      </c>
      <c r="D23" s="125" t="str">
        <f>+IFERROR(INDEX([2]CONSOLIDADO!$D$4:$D$89,MATCH('EXP ESPEC. 6-12'!B23,[2]CONSOLIDADO!$C$4:$C$89,0)),"")</f>
        <v>GIC GERENCIA INTERVENTORIA Y CONSULTORIA S.A.S.</v>
      </c>
      <c r="E23" s="126" t="s">
        <v>599</v>
      </c>
      <c r="F23" s="127" t="s">
        <v>602</v>
      </c>
      <c r="G23" s="556" t="s">
        <v>10</v>
      </c>
      <c r="H23" s="291" t="s">
        <v>11</v>
      </c>
      <c r="I23" s="291" t="s">
        <v>10</v>
      </c>
      <c r="J23" s="291" t="s">
        <v>11</v>
      </c>
      <c r="K23" s="128">
        <v>1</v>
      </c>
      <c r="L23" s="129">
        <v>39839</v>
      </c>
      <c r="M23" s="129">
        <v>40339</v>
      </c>
      <c r="N23" s="130">
        <f t="shared" si="0"/>
        <v>2010</v>
      </c>
      <c r="O23" s="131">
        <f>+IFERROR(INDEX([2]PARÁMETROS!$B$11:$B$37,MATCH(N23,[2]PARÁMETROS!$A$11:$A$37,0)),"")</f>
        <v>515000</v>
      </c>
      <c r="P23" s="132">
        <v>864969.84</v>
      </c>
      <c r="Q23" s="133" t="s">
        <v>601</v>
      </c>
      <c r="R23" s="123">
        <v>1.1988799999999999</v>
      </c>
      <c r="S23" s="134">
        <f>+P23*R23</f>
        <v>1036995.0417792</v>
      </c>
      <c r="T23" s="135">
        <v>1943</v>
      </c>
      <c r="U23" s="131">
        <f>IF(T23&lt;&gt;"",S23*T23,"")</f>
        <v>2014881366.1769855</v>
      </c>
      <c r="V23" s="136">
        <f t="shared" si="2"/>
        <v>3912.3910022854088</v>
      </c>
      <c r="W23" s="136">
        <f t="shared" si="3"/>
        <v>3912.3910022854088</v>
      </c>
      <c r="X23" s="556" t="str">
        <f>+IF(W23="","",IF(W23&gt;=[2]PARÁMETROS!$J$5,"CUMPLE","NO CUMPLE"))</f>
        <v>CUMPLE</v>
      </c>
      <c r="Y23" s="138"/>
      <c r="Z23" s="109"/>
    </row>
    <row r="24" spans="1:26" s="72" customFormat="1" ht="120" customHeight="1">
      <c r="A24" s="796"/>
      <c r="B24" s="58" t="str">
        <f>+B23</f>
        <v>P11-01</v>
      </c>
      <c r="C24" s="464">
        <v>18</v>
      </c>
      <c r="D24" s="60" t="str">
        <f>+IFERROR(INDEX([2]CONSOLIDADO!$D$4:$D$89,MATCH('EXP ESPEC. 6-12'!B24,[2]CONSOLIDADO!$C$4:$C$89,0)),"")</f>
        <v>GIC GERENCIA INTERVENTORIA Y CONSULTORIA S.A.S.</v>
      </c>
      <c r="E24" s="61" t="str">
        <f>+E23</f>
        <v>REGIÒN DE MURCIA CONSEJERIA DE OBRAS PÙBLICAS Y ORDENACIÒN DEL TERRITORIO DIRECCIÒN GENERAL DE CARRETERAS</v>
      </c>
      <c r="F24" s="62" t="s">
        <v>604</v>
      </c>
      <c r="G24" s="290" t="s">
        <v>10</v>
      </c>
      <c r="H24" s="290" t="s">
        <v>11</v>
      </c>
      <c r="I24" s="290" t="s">
        <v>10</v>
      </c>
      <c r="J24" s="290" t="s">
        <v>11</v>
      </c>
      <c r="K24" s="63">
        <v>1</v>
      </c>
      <c r="L24" s="64">
        <v>37572</v>
      </c>
      <c r="M24" s="64">
        <v>38330</v>
      </c>
      <c r="N24" s="65">
        <f t="shared" si="0"/>
        <v>2004</v>
      </c>
      <c r="O24" s="66">
        <f>+IFERROR(INDEX([2]PARÁMETROS!$B$11:$B$37,MATCH(N24,[2]PARÁMETROS!$A$11:$A$37,0)),"")</f>
        <v>358000</v>
      </c>
      <c r="P24" s="67">
        <v>610050.4</v>
      </c>
      <c r="Q24" s="68" t="str">
        <f>+Q23</f>
        <v>EUROS</v>
      </c>
      <c r="R24" s="58">
        <v>1.29247</v>
      </c>
      <c r="S24" s="69">
        <f>+P24*R24</f>
        <v>788471.84048800007</v>
      </c>
      <c r="T24" s="70">
        <v>2455.12</v>
      </c>
      <c r="U24" s="66">
        <f>IF(T24&lt;&gt;"",S24*T24,"")</f>
        <v>1935792985.0188987</v>
      </c>
      <c r="V24" s="55">
        <f t="shared" si="2"/>
        <v>5407.2429749131252</v>
      </c>
      <c r="W24" s="55">
        <f t="shared" si="3"/>
        <v>5407.2429749131252</v>
      </c>
      <c r="X24" s="290" t="str">
        <f>+IF(W24="","",IF(W24&gt;=[2]PARÁMETROS!$J$5,"CUMPLE","NO CUMPLE"))</f>
        <v>CUMPLE</v>
      </c>
      <c r="Y24" s="139"/>
      <c r="Z24" s="109"/>
    </row>
    <row r="25" spans="1:26" s="72" customFormat="1" ht="83.25" customHeight="1">
      <c r="A25" s="796"/>
      <c r="B25" s="58" t="str">
        <f>+[2]CONSOLIDADO!C26</f>
        <v>P11-02</v>
      </c>
      <c r="C25" s="464">
        <v>22</v>
      </c>
      <c r="D25" s="60" t="str">
        <f>+IFERROR(INDEX([2]CONSOLIDADO!$D$4:$D$89,MATCH('EXP ESPEC. 6-12'!B25,[2]CONSOLIDADO!$C$4:$C$89,0)),"")</f>
        <v>CONSULTORES UNIDOS S.A.</v>
      </c>
      <c r="E25" s="61" t="s">
        <v>573</v>
      </c>
      <c r="F25" s="62" t="s">
        <v>606</v>
      </c>
      <c r="G25" s="290" t="s">
        <v>10</v>
      </c>
      <c r="H25" s="290" t="s">
        <v>11</v>
      </c>
      <c r="I25" s="290" t="s">
        <v>10</v>
      </c>
      <c r="J25" s="290" t="s">
        <v>11</v>
      </c>
      <c r="K25" s="63">
        <v>0.55000000000000004</v>
      </c>
      <c r="L25" s="64">
        <v>39860</v>
      </c>
      <c r="M25" s="64">
        <v>41213</v>
      </c>
      <c r="N25" s="65">
        <f t="shared" si="0"/>
        <v>2012</v>
      </c>
      <c r="O25" s="66">
        <f>+IFERROR(INDEX([2]PARÁMETROS!$B$11:$B$37,MATCH(N25,[2]PARÁMETROS!$A$11:$A$37,0)),"")</f>
        <v>566700</v>
      </c>
      <c r="P25" s="67">
        <v>8291206645</v>
      </c>
      <c r="Q25" s="68" t="s">
        <v>25</v>
      </c>
      <c r="R25" s="58"/>
      <c r="S25" s="69" t="s">
        <v>346</v>
      </c>
      <c r="T25" s="70">
        <v>1</v>
      </c>
      <c r="U25" s="66">
        <f t="shared" si="1"/>
        <v>8291206645</v>
      </c>
      <c r="V25" s="55">
        <f t="shared" si="2"/>
        <v>14630.680509970001</v>
      </c>
      <c r="W25" s="55">
        <f t="shared" si="3"/>
        <v>8046.874280483501</v>
      </c>
      <c r="X25" s="290" t="str">
        <f>+IF(W25="","",IF(W25&gt;=[2]PARÁMETROS!$J$5,"CUMPLE","NO CUMPLE"))</f>
        <v>CUMPLE</v>
      </c>
      <c r="Y25" s="139"/>
      <c r="Z25" s="109"/>
    </row>
    <row r="26" spans="1:26" s="72" customFormat="1" ht="108" customHeight="1" thickBot="1">
      <c r="A26" s="806"/>
      <c r="B26" s="141" t="str">
        <f>+B25</f>
        <v>P11-02</v>
      </c>
      <c r="C26" s="404">
        <v>27</v>
      </c>
      <c r="D26" s="143" t="str">
        <f>+IFERROR(INDEX([2]CONSOLIDADO!$D$4:$D$89,MATCH('EXP ESPEC. 6-12'!B26,[2]CONSOLIDADO!$C$4:$C$89,0)),"")</f>
        <v>CONSULTORES UNIDOS S.A.</v>
      </c>
      <c r="E26" s="658" t="s">
        <v>386</v>
      </c>
      <c r="F26" s="634" t="s">
        <v>605</v>
      </c>
      <c r="G26" s="559" t="s">
        <v>10</v>
      </c>
      <c r="H26" s="289" t="s">
        <v>10</v>
      </c>
      <c r="I26" s="289" t="s">
        <v>10</v>
      </c>
      <c r="J26" s="289" t="s">
        <v>11</v>
      </c>
      <c r="K26" s="285">
        <v>0.6</v>
      </c>
      <c r="L26" s="286">
        <v>41649</v>
      </c>
      <c r="M26" s="286">
        <v>42417</v>
      </c>
      <c r="N26" s="148">
        <f t="shared" si="0"/>
        <v>2016</v>
      </c>
      <c r="O26" s="149">
        <f>+IFERROR(INDEX([2]PARÁMETROS!$B$11:$B$37,MATCH(N26,[2]PARÁMETROS!$A$11:$A$37,0)),"")</f>
        <v>689554</v>
      </c>
      <c r="P26" s="287">
        <v>7329927363</v>
      </c>
      <c r="Q26" s="288" t="s">
        <v>25</v>
      </c>
      <c r="R26" s="141"/>
      <c r="S26" s="152" t="s">
        <v>346</v>
      </c>
      <c r="T26" s="153">
        <v>1</v>
      </c>
      <c r="U26" s="149">
        <f t="shared" si="1"/>
        <v>7329927363</v>
      </c>
      <c r="V26" s="154">
        <f t="shared" si="2"/>
        <v>10629.954090615092</v>
      </c>
      <c r="W26" s="154">
        <f t="shared" si="3"/>
        <v>6377.9724543690554</v>
      </c>
      <c r="X26" s="289" t="str">
        <f>+IF(W26="","",IF(W26&gt;=[2]PARÁMETROS!$J$5,"CUMPLE","NO CUMPLE"))</f>
        <v>CUMPLE</v>
      </c>
      <c r="Y26" s="170"/>
      <c r="Z26" s="109"/>
    </row>
    <row r="27" spans="1:26" s="72" customFormat="1" ht="66" customHeight="1">
      <c r="A27" s="808" t="str">
        <f>+[2]CONSOLIDADO!A27</f>
        <v>CM001P12</v>
      </c>
      <c r="B27" s="110" t="str">
        <f>+[2]CONSOLIDADO!C27</f>
        <v>P12-01</v>
      </c>
      <c r="C27" s="491">
        <v>12</v>
      </c>
      <c r="D27" s="112" t="str">
        <f>+IFERROR(INDEX([2]CONSOLIDADO!$D$4:$D$89,MATCH('EXP ESPEC. 6-12'!B27,[2]CONSOLIDADO!$C$4:$C$89,0)),"")</f>
        <v>INGEANDINA CONSULTORES DE INGENIERIA S.A.S.</v>
      </c>
      <c r="E27" s="113" t="s">
        <v>607</v>
      </c>
      <c r="F27" s="114" t="s">
        <v>608</v>
      </c>
      <c r="G27" s="292" t="s">
        <v>10</v>
      </c>
      <c r="H27" s="292" t="s">
        <v>11</v>
      </c>
      <c r="I27" s="292" t="s">
        <v>10</v>
      </c>
      <c r="J27" s="292" t="s">
        <v>11</v>
      </c>
      <c r="K27" s="115">
        <v>1</v>
      </c>
      <c r="L27" s="116">
        <v>38049</v>
      </c>
      <c r="M27" s="116">
        <v>40545</v>
      </c>
      <c r="N27" s="160">
        <f t="shared" si="0"/>
        <v>2011</v>
      </c>
      <c r="O27" s="117">
        <f>+IFERROR(INDEX([2]PARÁMETROS!$B$11:$B$37,MATCH(N27,[2]PARÁMETROS!$A$11:$A$37,0)),"")</f>
        <v>535600</v>
      </c>
      <c r="P27" s="118">
        <v>4478229438</v>
      </c>
      <c r="Q27" s="119" t="s">
        <v>609</v>
      </c>
      <c r="R27" s="110">
        <v>2.1199999999999999E-3</v>
      </c>
      <c r="S27" s="120">
        <f>+P27*R27</f>
        <v>9493846.4085600004</v>
      </c>
      <c r="T27" s="121">
        <f>+'[2]EXP GEN. 6-12'!R35</f>
        <v>1913.98</v>
      </c>
      <c r="U27" s="117">
        <f>IF(T27&lt;&gt;"",S27*T27,"")</f>
        <v>18171032149.055668</v>
      </c>
      <c r="V27" s="122">
        <f>+IFERROR(U27/O27,"")</f>
        <v>33926.497664405651</v>
      </c>
      <c r="W27" s="122">
        <f t="shared" si="3"/>
        <v>33926.497664405651</v>
      </c>
      <c r="X27" s="557" t="str">
        <f>+IF(W27="","",IF(W27&gt;=[2]PARÁMETROS!$J$5,"CUMPLE","NO CUMPLE"))</f>
        <v>CUMPLE</v>
      </c>
      <c r="Y27" s="167"/>
      <c r="Z27" s="109"/>
    </row>
    <row r="28" spans="1:26" s="72" customFormat="1" ht="70.5" customHeight="1">
      <c r="A28" s="796"/>
      <c r="B28" s="58" t="str">
        <f>+B27</f>
        <v>P12-01</v>
      </c>
      <c r="C28" s="464">
        <v>24</v>
      </c>
      <c r="D28" s="60" t="str">
        <f>+IFERROR(INDEX([2]CONSOLIDADO!$D$4:$D$89,MATCH('EXP ESPEC. 6-12'!B28,[2]CONSOLIDADO!$C$4:$C$89,0)),"")</f>
        <v>INGEANDINA CONSULTORES DE INGENIERIA S.A.S.</v>
      </c>
      <c r="E28" s="61" t="s">
        <v>607</v>
      </c>
      <c r="F28" s="62" t="s">
        <v>610</v>
      </c>
      <c r="G28" s="277" t="s">
        <v>10</v>
      </c>
      <c r="H28" s="277" t="s">
        <v>11</v>
      </c>
      <c r="I28" s="277" t="s">
        <v>10</v>
      </c>
      <c r="J28" s="277" t="s">
        <v>11</v>
      </c>
      <c r="K28" s="63">
        <v>0.25</v>
      </c>
      <c r="L28" s="64">
        <v>36363</v>
      </c>
      <c r="M28" s="64">
        <v>37874</v>
      </c>
      <c r="N28" s="65">
        <f t="shared" si="0"/>
        <v>2003</v>
      </c>
      <c r="O28" s="66">
        <f>+IFERROR(INDEX([2]PARÁMETROS!$B$11:$B$37,MATCH(N28,[2]PARÁMETROS!$A$11:$A$37,0)),"")</f>
        <v>332000</v>
      </c>
      <c r="P28" s="67">
        <v>6541364.1500000004</v>
      </c>
      <c r="Q28" s="68" t="s">
        <v>520</v>
      </c>
      <c r="R28" s="58"/>
      <c r="S28" s="69"/>
      <c r="T28" s="70">
        <f>+'[2]EXP GEN. 6-12'!R36</f>
        <v>2875.18</v>
      </c>
      <c r="U28" s="66">
        <f t="shared" si="1"/>
        <v>18807599376.797001</v>
      </c>
      <c r="V28" s="55">
        <f t="shared" si="2"/>
        <v>56649.395713243975</v>
      </c>
      <c r="W28" s="55">
        <f t="shared" si="3"/>
        <v>14162.348928310994</v>
      </c>
      <c r="X28" s="277" t="str">
        <f>+IF(W28="","",IF(W28&gt;=[2]PARÁMETROS!$J$5,"CUMPLE","NO CUMPLE"))</f>
        <v>CUMPLE</v>
      </c>
      <c r="Y28" s="139"/>
      <c r="Z28" s="109"/>
    </row>
    <row r="29" spans="1:26" s="72" customFormat="1" ht="75.75" customHeight="1">
      <c r="A29" s="796"/>
      <c r="B29" s="58" t="str">
        <f>+[2]CONSOLIDADO!C27</f>
        <v>P12-01</v>
      </c>
      <c r="C29" s="464">
        <v>33</v>
      </c>
      <c r="D29" s="60" t="str">
        <f>+IFERROR(INDEX([2]CONSOLIDADO!$D$4:$D$89,MATCH('EXP ESPEC. 6-12'!B29,[2]CONSOLIDADO!$C$4:$C$89,0)),"")</f>
        <v>INGEANDINA CONSULTORES DE INGENIERIA S.A.S.</v>
      </c>
      <c r="E29" s="61" t="s">
        <v>508</v>
      </c>
      <c r="F29" s="62" t="s">
        <v>620</v>
      </c>
      <c r="G29" s="277" t="s">
        <v>10</v>
      </c>
      <c r="H29" s="277" t="s">
        <v>10</v>
      </c>
      <c r="I29" s="277" t="s">
        <v>10</v>
      </c>
      <c r="J29" s="277" t="s">
        <v>11</v>
      </c>
      <c r="K29" s="63">
        <v>0.6</v>
      </c>
      <c r="L29" s="64">
        <v>41187</v>
      </c>
      <c r="M29" s="64">
        <v>42709</v>
      </c>
      <c r="N29" s="65">
        <f t="shared" si="0"/>
        <v>2016</v>
      </c>
      <c r="O29" s="501">
        <f>+IFERROR(INDEX([2]PARÁMETROS!$B$11:$B$37,MATCH(N29,[2]PARÁMETROS!$A$11:$A$37,0)),"")</f>
        <v>689554</v>
      </c>
      <c r="P29" s="67">
        <v>8056734037</v>
      </c>
      <c r="Q29" s="68" t="s">
        <v>25</v>
      </c>
      <c r="R29" s="58"/>
      <c r="S29" s="69" t="s">
        <v>346</v>
      </c>
      <c r="T29" s="70">
        <v>1</v>
      </c>
      <c r="U29" s="66">
        <f t="shared" si="1"/>
        <v>8056734037</v>
      </c>
      <c r="V29" s="55">
        <f>+IFERROR(U29/O29,"")</f>
        <v>11683.978393280295</v>
      </c>
      <c r="W29" s="55">
        <f t="shared" si="3"/>
        <v>7010.3870359681769</v>
      </c>
      <c r="X29" s="277" t="str">
        <f>+IF(W29="","",IF(W29&gt;=[2]PARÁMETROS!$J$5,"CUMPLE","NO CUMPLE"))</f>
        <v>CUMPLE</v>
      </c>
      <c r="Y29" s="139"/>
      <c r="Z29" s="109"/>
    </row>
    <row r="30" spans="1:26" s="72" customFormat="1" ht="71.25" customHeight="1" thickBot="1">
      <c r="A30" s="796"/>
      <c r="B30" s="58" t="str">
        <f>+B29</f>
        <v>P12-01</v>
      </c>
      <c r="C30" s="464">
        <v>38</v>
      </c>
      <c r="D30" s="60" t="str">
        <f>+IFERROR(INDEX([2]CONSOLIDADO!$D$4:$D$89,MATCH('EXP ESPEC. 6-12'!B30,[2]CONSOLIDADO!$C$4:$C$89,0)),"")</f>
        <v>INGEANDINA CONSULTORES DE INGENIERIA S.A.S.</v>
      </c>
      <c r="E30" s="61" t="s">
        <v>607</v>
      </c>
      <c r="F30" s="62" t="s">
        <v>621</v>
      </c>
      <c r="G30" s="277" t="s">
        <v>10</v>
      </c>
      <c r="H30" s="277" t="s">
        <v>11</v>
      </c>
      <c r="I30" s="277" t="s">
        <v>10</v>
      </c>
      <c r="J30" s="277" t="s">
        <v>11</v>
      </c>
      <c r="K30" s="63">
        <v>1</v>
      </c>
      <c r="L30" s="64">
        <v>37211</v>
      </c>
      <c r="M30" s="64">
        <v>38122</v>
      </c>
      <c r="N30" s="65">
        <f t="shared" si="0"/>
        <v>2004</v>
      </c>
      <c r="O30" s="66">
        <f>+IFERROR(INDEX([2]PARÁMETROS!$B$11:$B$37,MATCH(N30,[2]PARÁMETROS!$A$11:$A$37,0)),"")</f>
        <v>358000</v>
      </c>
      <c r="P30" s="67">
        <v>1728499075</v>
      </c>
      <c r="Q30" s="68" t="s">
        <v>609</v>
      </c>
      <c r="R30" s="58">
        <v>1.5499999999999999E-3</v>
      </c>
      <c r="S30" s="69">
        <f>+P30*R30</f>
        <v>2679173.5662499997</v>
      </c>
      <c r="T30" s="70">
        <v>2719.89</v>
      </c>
      <c r="U30" s="66">
        <f>IF(T30&lt;&gt;"",S30*T30,"")</f>
        <v>7287057391.1077108</v>
      </c>
      <c r="V30" s="55">
        <f t="shared" si="2"/>
        <v>20354.908913708688</v>
      </c>
      <c r="W30" s="55">
        <f t="shared" si="3"/>
        <v>20354.908913708688</v>
      </c>
      <c r="X30" s="278" t="str">
        <f>+IF(W30="","",IF(W30&gt;=[2]PARÁMETROS!$J$5,"CUMPLE","NO CUMPLE"))</f>
        <v>CUMPLE</v>
      </c>
      <c r="Y30" s="139"/>
      <c r="Z30" s="109"/>
    </row>
    <row r="31" spans="1:26" s="72" customFormat="1" ht="30" customHeight="1">
      <c r="A31" s="795"/>
      <c r="B31" s="123"/>
      <c r="C31" s="466"/>
      <c r="D31" s="125" t="str">
        <f>+IFERROR(INDEX([2]CONSOLIDADO!$D$4:$D$89,MATCH('EXP ESPEC. 6-12'!B31,[2]CONSOLIDADO!$C$4:$C$89,0)),"")</f>
        <v/>
      </c>
      <c r="E31" s="126"/>
      <c r="F31" s="126"/>
      <c r="G31" s="279"/>
      <c r="H31" s="279"/>
      <c r="I31" s="279"/>
      <c r="J31" s="279"/>
      <c r="K31" s="162"/>
      <c r="L31" s="129"/>
      <c r="M31" s="129"/>
      <c r="N31" s="130" t="str">
        <f t="shared" si="0"/>
        <v/>
      </c>
      <c r="O31" s="131" t="str">
        <f>+IFERROR(INDEX([2]PARÁMETROS!$B$11:$B$37,MATCH(N31,[2]PARÁMETROS!$A$11:$A$37,0)),"")</f>
        <v/>
      </c>
      <c r="P31" s="163"/>
      <c r="Q31" s="131"/>
      <c r="R31" s="123"/>
      <c r="S31" s="134"/>
      <c r="T31" s="135"/>
      <c r="U31" s="131" t="str">
        <f t="shared" si="1"/>
        <v/>
      </c>
      <c r="V31" s="136" t="str">
        <f t="shared" si="2"/>
        <v/>
      </c>
      <c r="W31" s="136" t="str">
        <f t="shared" si="3"/>
        <v/>
      </c>
      <c r="X31" s="168" t="str">
        <f>+IF(W31="","",IF(W31&gt;=[2]PARÁMETROS!$D$5,"CUMPLE","NO CUMPLE"))</f>
        <v/>
      </c>
      <c r="Y31" s="138"/>
      <c r="Z31" s="109"/>
    </row>
    <row r="32" spans="1:26" s="72" customFormat="1" ht="30" customHeight="1">
      <c r="A32" s="796"/>
      <c r="B32" s="58"/>
      <c r="C32" s="464"/>
      <c r="D32" s="60" t="str">
        <f>+IFERROR(INDEX([2]CONSOLIDADO!$D$4:$D$89,MATCH('EXP ESPEC. 6-12'!B32,[2]CONSOLIDADO!$C$4:$C$89,0)),"")</f>
        <v/>
      </c>
      <c r="E32" s="61"/>
      <c r="F32" s="61"/>
      <c r="G32" s="277"/>
      <c r="H32" s="277"/>
      <c r="I32" s="277"/>
      <c r="J32" s="277"/>
      <c r="K32" s="73"/>
      <c r="L32" s="64"/>
      <c r="M32" s="64"/>
      <c r="N32" s="65" t="str">
        <f t="shared" si="0"/>
        <v/>
      </c>
      <c r="O32" s="66" t="str">
        <f>+IFERROR(INDEX([2]PARÁMETROS!$B$11:$B$37,MATCH(N32,[2]PARÁMETROS!$A$11:$A$37,0)),"")</f>
        <v/>
      </c>
      <c r="P32" s="74"/>
      <c r="Q32" s="66"/>
      <c r="R32" s="58"/>
      <c r="S32" s="69"/>
      <c r="T32" s="70"/>
      <c r="U32" s="66" t="str">
        <f t="shared" si="1"/>
        <v/>
      </c>
      <c r="V32" s="55" t="str">
        <f t="shared" si="2"/>
        <v/>
      </c>
      <c r="W32" s="55" t="str">
        <f t="shared" si="3"/>
        <v/>
      </c>
      <c r="X32" s="277" t="str">
        <f>+IF(W32="","",IF(W32&gt;=[2]PARÁMETROS!$D$5,"CUMPLE","NO CUMPLE"))</f>
        <v/>
      </c>
      <c r="Y32" s="139"/>
      <c r="Z32" s="109"/>
    </row>
    <row r="33" spans="1:26" s="72" customFormat="1" ht="30" customHeight="1">
      <c r="A33" s="796"/>
      <c r="B33" s="58"/>
      <c r="C33" s="464"/>
      <c r="D33" s="60" t="str">
        <f>+IFERROR(INDEX([2]CONSOLIDADO!$D$4:$D$89,MATCH('EXP ESPEC. 6-12'!B33,[2]CONSOLIDADO!$C$4:$C$89,0)),"")</f>
        <v/>
      </c>
      <c r="E33" s="61"/>
      <c r="F33" s="61"/>
      <c r="G33" s="277"/>
      <c r="H33" s="277"/>
      <c r="I33" s="277"/>
      <c r="J33" s="277"/>
      <c r="K33" s="73"/>
      <c r="L33" s="64"/>
      <c r="M33" s="64"/>
      <c r="N33" s="65" t="str">
        <f t="shared" si="0"/>
        <v/>
      </c>
      <c r="O33" s="66" t="str">
        <f>+IFERROR(INDEX([2]PARÁMETROS!$B$11:$B$37,MATCH(N33,[2]PARÁMETROS!$A$11:$A$37,0)),"")</f>
        <v/>
      </c>
      <c r="P33" s="74"/>
      <c r="Q33" s="66"/>
      <c r="R33" s="58"/>
      <c r="S33" s="69"/>
      <c r="T33" s="70"/>
      <c r="U33" s="66" t="str">
        <f t="shared" si="1"/>
        <v/>
      </c>
      <c r="V33" s="55" t="str">
        <f t="shared" si="2"/>
        <v/>
      </c>
      <c r="W33" s="55" t="str">
        <f t="shared" si="3"/>
        <v/>
      </c>
      <c r="X33" s="277" t="str">
        <f>+IF(W33="","",IF(W33&gt;=[2]PARÁMETROS!$D$5,"CUMPLE","NO CUMPLE"))</f>
        <v/>
      </c>
      <c r="Y33" s="139"/>
      <c r="Z33" s="109"/>
    </row>
    <row r="34" spans="1:26" s="72" customFormat="1" ht="30" customHeight="1" thickBot="1">
      <c r="A34" s="796"/>
      <c r="B34" s="58"/>
      <c r="C34" s="464"/>
      <c r="D34" s="60" t="str">
        <f>+IFERROR(INDEX([2]CONSOLIDADO!$D$4:$D$89,MATCH('EXP ESPEC. 6-12'!B34,[2]CONSOLIDADO!$C$4:$C$89,0)),"")</f>
        <v/>
      </c>
      <c r="E34" s="61"/>
      <c r="F34" s="61"/>
      <c r="G34" s="277"/>
      <c r="H34" s="277"/>
      <c r="I34" s="277"/>
      <c r="J34" s="277"/>
      <c r="K34" s="73"/>
      <c r="L34" s="64"/>
      <c r="M34" s="64"/>
      <c r="N34" s="65" t="str">
        <f t="shared" si="0"/>
        <v/>
      </c>
      <c r="O34" s="66" t="str">
        <f>+IFERROR(INDEX([2]PARÁMETROS!$B$11:$B$37,MATCH(N34,[2]PARÁMETROS!$A$11:$A$37,0)),"")</f>
        <v/>
      </c>
      <c r="P34" s="74"/>
      <c r="Q34" s="66"/>
      <c r="R34" s="58"/>
      <c r="S34" s="69"/>
      <c r="T34" s="70"/>
      <c r="U34" s="66" t="str">
        <f t="shared" si="1"/>
        <v/>
      </c>
      <c r="V34" s="55" t="str">
        <f t="shared" si="2"/>
        <v/>
      </c>
      <c r="W34" s="55" t="str">
        <f t="shared" si="3"/>
        <v/>
      </c>
      <c r="X34" s="278" t="str">
        <f>+IF(W34="","",IF(W34&gt;=[2]PARÁMETROS!$D$5,"CUMPLE","NO CUMPLE"))</f>
        <v/>
      </c>
      <c r="Y34" s="139"/>
      <c r="Z34" s="109"/>
    </row>
    <row r="35" spans="1:26" s="72" customFormat="1" ht="30" customHeight="1">
      <c r="A35" s="795" t="s">
        <v>182</v>
      </c>
      <c r="B35" s="123"/>
      <c r="C35" s="466"/>
      <c r="D35" s="125" t="str">
        <f>+IFERROR(INDEX([2]CONSOLIDADO!$D$4:$D$89,MATCH('EXP ESPEC. 6-12'!B35,[2]CONSOLIDADO!$C$4:$C$89,0)),"")</f>
        <v/>
      </c>
      <c r="E35" s="126"/>
      <c r="F35" s="126"/>
      <c r="G35" s="279"/>
      <c r="H35" s="279"/>
      <c r="I35" s="279"/>
      <c r="J35" s="279"/>
      <c r="K35" s="162"/>
      <c r="L35" s="129"/>
      <c r="M35" s="129"/>
      <c r="N35" s="130" t="str">
        <f t="shared" si="0"/>
        <v/>
      </c>
      <c r="O35" s="131" t="str">
        <f>+IFERROR(INDEX([2]PARÁMETROS!$B$11:$B$37,MATCH(N35,[2]PARÁMETROS!$A$11:$A$37,0)),"")</f>
        <v/>
      </c>
      <c r="P35" s="163"/>
      <c r="Q35" s="131"/>
      <c r="R35" s="123"/>
      <c r="S35" s="134"/>
      <c r="T35" s="135"/>
      <c r="U35" s="131" t="str">
        <f t="shared" si="1"/>
        <v/>
      </c>
      <c r="V35" s="136" t="str">
        <f t="shared" si="2"/>
        <v/>
      </c>
      <c r="W35" s="136" t="str">
        <f t="shared" si="3"/>
        <v/>
      </c>
      <c r="X35" s="168" t="str">
        <f>+IF(W35="","",IF(W35&gt;=[2]PARÁMETROS!$D$5,"CUMPLE","NO CUMPLE"))</f>
        <v/>
      </c>
      <c r="Y35" s="138"/>
      <c r="Z35" s="109"/>
    </row>
    <row r="36" spans="1:26" s="72" customFormat="1" ht="30" customHeight="1">
      <c r="A36" s="796"/>
      <c r="B36" s="58"/>
      <c r="C36" s="464"/>
      <c r="D36" s="60" t="str">
        <f>+IFERROR(INDEX([2]CONSOLIDADO!$D$4:$D$89,MATCH('EXP ESPEC. 6-12'!B36,[2]CONSOLIDADO!$C$4:$C$89,0)),"")</f>
        <v/>
      </c>
      <c r="E36" s="61"/>
      <c r="F36" s="61"/>
      <c r="G36" s="277"/>
      <c r="H36" s="277"/>
      <c r="I36" s="277"/>
      <c r="J36" s="277"/>
      <c r="K36" s="73"/>
      <c r="L36" s="64"/>
      <c r="M36" s="64"/>
      <c r="N36" s="65" t="str">
        <f t="shared" si="0"/>
        <v/>
      </c>
      <c r="O36" s="66" t="str">
        <f>+IFERROR(INDEX([2]PARÁMETROS!$B$11:$B$37,MATCH(N36,[2]PARÁMETROS!$A$11:$A$37,0)),"")</f>
        <v/>
      </c>
      <c r="P36" s="74"/>
      <c r="Q36" s="66"/>
      <c r="R36" s="58"/>
      <c r="S36" s="69"/>
      <c r="T36" s="70"/>
      <c r="U36" s="66" t="str">
        <f t="shared" si="1"/>
        <v/>
      </c>
      <c r="V36" s="55" t="str">
        <f t="shared" si="2"/>
        <v/>
      </c>
      <c r="W36" s="55" t="str">
        <f t="shared" si="3"/>
        <v/>
      </c>
      <c r="X36" s="277" t="str">
        <f>+IF(W36="","",IF(W36&gt;=[2]PARÁMETROS!$D$5,"CUMPLE","NO CUMPLE"))</f>
        <v/>
      </c>
      <c r="Y36" s="139"/>
      <c r="Z36" s="109"/>
    </row>
    <row r="37" spans="1:26" s="72" customFormat="1" ht="30" customHeight="1">
      <c r="A37" s="796"/>
      <c r="B37" s="58"/>
      <c r="C37" s="464"/>
      <c r="D37" s="60" t="str">
        <f>+IFERROR(INDEX([2]CONSOLIDADO!$D$4:$D$89,MATCH('EXP ESPEC. 6-12'!B37,[2]CONSOLIDADO!$C$4:$C$89,0)),"")</f>
        <v/>
      </c>
      <c r="E37" s="61"/>
      <c r="F37" s="61"/>
      <c r="G37" s="277"/>
      <c r="H37" s="277"/>
      <c r="I37" s="277"/>
      <c r="J37" s="277"/>
      <c r="K37" s="73"/>
      <c r="L37" s="64"/>
      <c r="M37" s="64"/>
      <c r="N37" s="65" t="str">
        <f t="shared" si="0"/>
        <v/>
      </c>
      <c r="O37" s="66" t="str">
        <f>+IFERROR(INDEX([2]PARÁMETROS!$B$11:$B$37,MATCH(N37,[2]PARÁMETROS!$A$11:$A$37,0)),"")</f>
        <v/>
      </c>
      <c r="P37" s="74"/>
      <c r="Q37" s="66"/>
      <c r="R37" s="58"/>
      <c r="S37" s="69"/>
      <c r="T37" s="70"/>
      <c r="U37" s="66" t="str">
        <f t="shared" si="1"/>
        <v/>
      </c>
      <c r="V37" s="55" t="str">
        <f t="shared" si="2"/>
        <v/>
      </c>
      <c r="W37" s="55" t="str">
        <f t="shared" si="3"/>
        <v/>
      </c>
      <c r="X37" s="277" t="str">
        <f>+IF(W37="","",IF(W37&gt;=[2]PARÁMETROS!$D$5,"CUMPLE","NO CUMPLE"))</f>
        <v/>
      </c>
      <c r="Y37" s="139"/>
      <c r="Z37" s="109"/>
    </row>
    <row r="38" spans="1:26" s="72" customFormat="1" ht="30" customHeight="1" thickBot="1">
      <c r="A38" s="796"/>
      <c r="B38" s="58"/>
      <c r="C38" s="464"/>
      <c r="D38" s="60" t="str">
        <f>+IFERROR(INDEX([2]CONSOLIDADO!$D$4:$D$89,MATCH('EXP ESPEC. 6-12'!B38,[2]CONSOLIDADO!$C$4:$C$89,0)),"")</f>
        <v/>
      </c>
      <c r="E38" s="61"/>
      <c r="F38" s="61"/>
      <c r="G38" s="277"/>
      <c r="H38" s="277"/>
      <c r="I38" s="277"/>
      <c r="J38" s="277"/>
      <c r="K38" s="73"/>
      <c r="L38" s="64"/>
      <c r="M38" s="64"/>
      <c r="N38" s="65" t="str">
        <f t="shared" si="0"/>
        <v/>
      </c>
      <c r="O38" s="66" t="str">
        <f>+IFERROR(INDEX([2]PARÁMETROS!$B$11:$B$37,MATCH(N38,[2]PARÁMETROS!$A$11:$A$37,0)),"")</f>
        <v/>
      </c>
      <c r="P38" s="74"/>
      <c r="Q38" s="66"/>
      <c r="R38" s="58"/>
      <c r="S38" s="69"/>
      <c r="T38" s="70"/>
      <c r="U38" s="66" t="str">
        <f t="shared" si="1"/>
        <v/>
      </c>
      <c r="V38" s="55" t="str">
        <f t="shared" si="2"/>
        <v/>
      </c>
      <c r="W38" s="55" t="str">
        <f t="shared" si="3"/>
        <v/>
      </c>
      <c r="X38" s="278" t="str">
        <f>+IF(W38="","",IF(W38&gt;=[2]PARÁMETROS!$D$5,"CUMPLE","NO CUMPLE"))</f>
        <v/>
      </c>
      <c r="Y38" s="139"/>
      <c r="Z38" s="109"/>
    </row>
    <row r="39" spans="1:26" s="72" customFormat="1" ht="30" customHeight="1">
      <c r="A39" s="795" t="s">
        <v>183</v>
      </c>
      <c r="B39" s="123"/>
      <c r="C39" s="466"/>
      <c r="D39" s="125" t="str">
        <f>+IFERROR(INDEX([2]CONSOLIDADO!$D$4:$D$89,MATCH('EXP ESPEC. 6-12'!B39,[2]CONSOLIDADO!$C$4:$C$89,0)),"")</f>
        <v/>
      </c>
      <c r="E39" s="126"/>
      <c r="F39" s="126"/>
      <c r="G39" s="279"/>
      <c r="H39" s="279"/>
      <c r="I39" s="279"/>
      <c r="J39" s="279"/>
      <c r="K39" s="162"/>
      <c r="L39" s="129"/>
      <c r="M39" s="129"/>
      <c r="N39" s="130" t="str">
        <f t="shared" si="0"/>
        <v/>
      </c>
      <c r="O39" s="131" t="str">
        <f>+IFERROR(INDEX([2]PARÁMETROS!$B$11:$B$37,MATCH(N39,[2]PARÁMETROS!$A$11:$A$37,0)),"")</f>
        <v/>
      </c>
      <c r="P39" s="163"/>
      <c r="Q39" s="131"/>
      <c r="R39" s="123"/>
      <c r="S39" s="134"/>
      <c r="T39" s="135"/>
      <c r="U39" s="131" t="str">
        <f t="shared" si="1"/>
        <v/>
      </c>
      <c r="V39" s="136" t="str">
        <f t="shared" si="2"/>
        <v/>
      </c>
      <c r="W39" s="136" t="str">
        <f t="shared" si="3"/>
        <v/>
      </c>
      <c r="X39" s="168" t="str">
        <f>+IF(W39="","",IF(W39&gt;=[2]PARÁMETROS!$D$5,"CUMPLE","NO CUMPLE"))</f>
        <v/>
      </c>
      <c r="Y39" s="138"/>
      <c r="Z39" s="109"/>
    </row>
    <row r="40" spans="1:26" s="72" customFormat="1" ht="30" customHeight="1">
      <c r="A40" s="796"/>
      <c r="B40" s="58"/>
      <c r="C40" s="464"/>
      <c r="D40" s="60" t="str">
        <f>+IFERROR(INDEX([2]CONSOLIDADO!$D$4:$D$89,MATCH('EXP ESPEC. 6-12'!B40,[2]CONSOLIDADO!$C$4:$C$89,0)),"")</f>
        <v/>
      </c>
      <c r="E40" s="61"/>
      <c r="F40" s="61"/>
      <c r="G40" s="277"/>
      <c r="H40" s="277"/>
      <c r="I40" s="277"/>
      <c r="J40" s="277"/>
      <c r="K40" s="73"/>
      <c r="L40" s="64"/>
      <c r="M40" s="64"/>
      <c r="N40" s="65" t="str">
        <f t="shared" si="0"/>
        <v/>
      </c>
      <c r="O40" s="66" t="str">
        <f>+IFERROR(INDEX([2]PARÁMETROS!$B$11:$B$37,MATCH(N40,[2]PARÁMETROS!$A$11:$A$37,0)),"")</f>
        <v/>
      </c>
      <c r="P40" s="74"/>
      <c r="Q40" s="66"/>
      <c r="R40" s="58"/>
      <c r="S40" s="69"/>
      <c r="T40" s="70"/>
      <c r="U40" s="66" t="str">
        <f t="shared" si="1"/>
        <v/>
      </c>
      <c r="V40" s="55" t="str">
        <f t="shared" si="2"/>
        <v/>
      </c>
      <c r="W40" s="55" t="str">
        <f t="shared" si="3"/>
        <v/>
      </c>
      <c r="X40" s="277" t="str">
        <f>+IF(W40="","",IF(W40&gt;=[2]PARÁMETROS!$D$5,"CUMPLE","NO CUMPLE"))</f>
        <v/>
      </c>
      <c r="Y40" s="139"/>
      <c r="Z40" s="109"/>
    </row>
    <row r="41" spans="1:26" s="72" customFormat="1" ht="30" customHeight="1">
      <c r="A41" s="796"/>
      <c r="B41" s="58"/>
      <c r="C41" s="464"/>
      <c r="D41" s="60" t="str">
        <f>+IFERROR(INDEX([2]CONSOLIDADO!$D$4:$D$89,MATCH('EXP ESPEC. 6-12'!B41,[2]CONSOLIDADO!$C$4:$C$89,0)),"")</f>
        <v/>
      </c>
      <c r="E41" s="61"/>
      <c r="F41" s="61"/>
      <c r="G41" s="277"/>
      <c r="H41" s="277"/>
      <c r="I41" s="277"/>
      <c r="J41" s="277"/>
      <c r="K41" s="73"/>
      <c r="L41" s="64"/>
      <c r="M41" s="64"/>
      <c r="N41" s="65" t="str">
        <f t="shared" si="0"/>
        <v/>
      </c>
      <c r="O41" s="66" t="str">
        <f>+IFERROR(INDEX([2]PARÁMETROS!$B$11:$B$37,MATCH(N41,[2]PARÁMETROS!$A$11:$A$37,0)),"")</f>
        <v/>
      </c>
      <c r="P41" s="74"/>
      <c r="Q41" s="66"/>
      <c r="R41" s="58"/>
      <c r="S41" s="69"/>
      <c r="T41" s="70"/>
      <c r="U41" s="66" t="str">
        <f t="shared" si="1"/>
        <v/>
      </c>
      <c r="V41" s="55" t="str">
        <f t="shared" si="2"/>
        <v/>
      </c>
      <c r="W41" s="55" t="str">
        <f t="shared" si="3"/>
        <v/>
      </c>
      <c r="X41" s="277" t="str">
        <f>+IF(W41="","",IF(W41&gt;=[2]PARÁMETROS!$D$5,"CUMPLE","NO CUMPLE"))</f>
        <v/>
      </c>
      <c r="Y41" s="139"/>
      <c r="Z41" s="109"/>
    </row>
    <row r="42" spans="1:26" s="72" customFormat="1" ht="30" customHeight="1" thickBot="1">
      <c r="A42" s="796"/>
      <c r="B42" s="58"/>
      <c r="C42" s="464"/>
      <c r="D42" s="60" t="str">
        <f>+IFERROR(INDEX([2]CONSOLIDADO!$D$4:$D$89,MATCH('EXP ESPEC. 6-12'!B42,[2]CONSOLIDADO!$C$4:$C$89,0)),"")</f>
        <v/>
      </c>
      <c r="E42" s="61"/>
      <c r="F42" s="61"/>
      <c r="G42" s="277"/>
      <c r="H42" s="277"/>
      <c r="I42" s="277"/>
      <c r="J42" s="277"/>
      <c r="K42" s="73"/>
      <c r="L42" s="64"/>
      <c r="M42" s="64"/>
      <c r="N42" s="65" t="str">
        <f t="shared" si="0"/>
        <v/>
      </c>
      <c r="O42" s="66" t="str">
        <f>+IFERROR(INDEX([2]PARÁMETROS!$B$11:$B$37,MATCH(N42,[2]PARÁMETROS!$A$11:$A$37,0)),"")</f>
        <v/>
      </c>
      <c r="P42" s="74"/>
      <c r="Q42" s="66"/>
      <c r="R42" s="58"/>
      <c r="S42" s="69"/>
      <c r="T42" s="70"/>
      <c r="U42" s="66" t="str">
        <f t="shared" si="1"/>
        <v/>
      </c>
      <c r="V42" s="55" t="str">
        <f t="shared" si="2"/>
        <v/>
      </c>
      <c r="W42" s="55" t="str">
        <f t="shared" si="3"/>
        <v/>
      </c>
      <c r="X42" s="278" t="str">
        <f>+IF(W42="","",IF(W42&gt;=[2]PARÁMETROS!$D$5,"CUMPLE","NO CUMPLE"))</f>
        <v/>
      </c>
      <c r="Y42" s="139"/>
      <c r="Z42" s="109"/>
    </row>
    <row r="43" spans="1:26" s="72" customFormat="1" ht="30" customHeight="1">
      <c r="A43" s="795" t="s">
        <v>184</v>
      </c>
      <c r="B43" s="123"/>
      <c r="C43" s="466"/>
      <c r="D43" s="125" t="str">
        <f>+IFERROR(INDEX([2]CONSOLIDADO!$D$4:$D$89,MATCH('EXP ESPEC. 6-12'!B43,[2]CONSOLIDADO!$C$4:$C$89,0)),"")</f>
        <v/>
      </c>
      <c r="E43" s="126"/>
      <c r="F43" s="126"/>
      <c r="G43" s="279"/>
      <c r="H43" s="279"/>
      <c r="I43" s="279"/>
      <c r="J43" s="279"/>
      <c r="K43" s="162"/>
      <c r="L43" s="129"/>
      <c r="M43" s="129"/>
      <c r="N43" s="130" t="str">
        <f t="shared" si="0"/>
        <v/>
      </c>
      <c r="O43" s="131" t="str">
        <f>+IFERROR(INDEX([2]PARÁMETROS!$B$11:$B$37,MATCH(N43,[2]PARÁMETROS!$A$11:$A$37,0)),"")</f>
        <v/>
      </c>
      <c r="P43" s="163"/>
      <c r="Q43" s="131"/>
      <c r="R43" s="123"/>
      <c r="S43" s="134"/>
      <c r="T43" s="135"/>
      <c r="U43" s="131" t="str">
        <f t="shared" si="1"/>
        <v/>
      </c>
      <c r="V43" s="136" t="str">
        <f t="shared" si="2"/>
        <v/>
      </c>
      <c r="W43" s="136" t="str">
        <f t="shared" si="3"/>
        <v/>
      </c>
      <c r="X43" s="168" t="str">
        <f>+IF(W43="","",IF(W43&gt;=[2]PARÁMETROS!$D$5,"CUMPLE","NO CUMPLE"))</f>
        <v/>
      </c>
      <c r="Y43" s="138"/>
      <c r="Z43" s="109"/>
    </row>
    <row r="44" spans="1:26" s="72" customFormat="1" ht="30" customHeight="1">
      <c r="A44" s="796"/>
      <c r="B44" s="58"/>
      <c r="C44" s="464"/>
      <c r="D44" s="60" t="str">
        <f>+IFERROR(INDEX([2]CONSOLIDADO!$D$4:$D$89,MATCH('EXP ESPEC. 6-12'!B44,[2]CONSOLIDADO!$C$4:$C$89,0)),"")</f>
        <v/>
      </c>
      <c r="E44" s="61"/>
      <c r="F44" s="61"/>
      <c r="G44" s="277"/>
      <c r="H44" s="277"/>
      <c r="I44" s="277"/>
      <c r="J44" s="277"/>
      <c r="K44" s="73"/>
      <c r="L44" s="64"/>
      <c r="M44" s="64"/>
      <c r="N44" s="65" t="str">
        <f t="shared" si="0"/>
        <v/>
      </c>
      <c r="O44" s="66" t="str">
        <f>+IFERROR(INDEX([2]PARÁMETROS!$B$11:$B$37,MATCH(N44,[2]PARÁMETROS!$A$11:$A$37,0)),"")</f>
        <v/>
      </c>
      <c r="P44" s="74"/>
      <c r="Q44" s="66"/>
      <c r="R44" s="58"/>
      <c r="S44" s="69"/>
      <c r="T44" s="70"/>
      <c r="U44" s="66" t="str">
        <f t="shared" si="1"/>
        <v/>
      </c>
      <c r="V44" s="55" t="str">
        <f t="shared" si="2"/>
        <v/>
      </c>
      <c r="W44" s="55" t="str">
        <f t="shared" si="3"/>
        <v/>
      </c>
      <c r="X44" s="277" t="str">
        <f>+IF(W44="","",IF(W44&gt;=[2]PARÁMETROS!$D$5,"CUMPLE","NO CUMPLE"))</f>
        <v/>
      </c>
      <c r="Y44" s="139"/>
      <c r="Z44" s="109"/>
    </row>
    <row r="45" spans="1:26" s="72" customFormat="1" ht="30" customHeight="1">
      <c r="A45" s="796"/>
      <c r="B45" s="58"/>
      <c r="C45" s="464"/>
      <c r="D45" s="60" t="str">
        <f>+IFERROR(INDEX([2]CONSOLIDADO!$D$4:$D$89,MATCH('EXP ESPEC. 6-12'!B45,[2]CONSOLIDADO!$C$4:$C$89,0)),"")</f>
        <v/>
      </c>
      <c r="E45" s="61"/>
      <c r="F45" s="61"/>
      <c r="G45" s="277"/>
      <c r="H45" s="277"/>
      <c r="I45" s="277"/>
      <c r="J45" s="277"/>
      <c r="K45" s="73"/>
      <c r="L45" s="64"/>
      <c r="M45" s="64"/>
      <c r="N45" s="65" t="str">
        <f t="shared" si="0"/>
        <v/>
      </c>
      <c r="O45" s="66" t="str">
        <f>+IFERROR(INDEX([2]PARÁMETROS!$B$11:$B$37,MATCH(N45,[2]PARÁMETROS!$A$11:$A$37,0)),"")</f>
        <v/>
      </c>
      <c r="P45" s="74"/>
      <c r="Q45" s="66"/>
      <c r="R45" s="58"/>
      <c r="S45" s="69"/>
      <c r="T45" s="70"/>
      <c r="U45" s="66" t="str">
        <f t="shared" si="1"/>
        <v/>
      </c>
      <c r="V45" s="55" t="str">
        <f t="shared" si="2"/>
        <v/>
      </c>
      <c r="W45" s="55" t="str">
        <f t="shared" si="3"/>
        <v/>
      </c>
      <c r="X45" s="277" t="str">
        <f>+IF(W45="","",IF(W45&gt;=[2]PARÁMETROS!$D$5,"CUMPLE","NO CUMPLE"))</f>
        <v/>
      </c>
      <c r="Y45" s="139"/>
      <c r="Z45" s="109"/>
    </row>
    <row r="46" spans="1:26" s="72" customFormat="1" ht="30" customHeight="1" thickBot="1">
      <c r="A46" s="796"/>
      <c r="B46" s="58"/>
      <c r="C46" s="464"/>
      <c r="D46" s="60" t="str">
        <f>+IFERROR(INDEX([2]CONSOLIDADO!$D$4:$D$89,MATCH('EXP ESPEC. 6-12'!B46,[2]CONSOLIDADO!$C$4:$C$89,0)),"")</f>
        <v/>
      </c>
      <c r="E46" s="61"/>
      <c r="F46" s="61"/>
      <c r="G46" s="277"/>
      <c r="H46" s="277"/>
      <c r="I46" s="277"/>
      <c r="J46" s="277"/>
      <c r="K46" s="73"/>
      <c r="L46" s="64"/>
      <c r="M46" s="64"/>
      <c r="N46" s="65" t="str">
        <f t="shared" si="0"/>
        <v/>
      </c>
      <c r="O46" s="66" t="str">
        <f>+IFERROR(INDEX([2]PARÁMETROS!$B$11:$B$37,MATCH(N46,[2]PARÁMETROS!$A$11:$A$37,0)),"")</f>
        <v/>
      </c>
      <c r="P46" s="74"/>
      <c r="Q46" s="66"/>
      <c r="R46" s="58"/>
      <c r="S46" s="69"/>
      <c r="T46" s="70"/>
      <c r="U46" s="66" t="str">
        <f t="shared" si="1"/>
        <v/>
      </c>
      <c r="V46" s="55" t="str">
        <f t="shared" si="2"/>
        <v/>
      </c>
      <c r="W46" s="55" t="str">
        <f t="shared" si="3"/>
        <v/>
      </c>
      <c r="X46" s="278" t="str">
        <f>+IF(W46="","",IF(W46&gt;=[2]PARÁMETROS!$D$5,"CUMPLE","NO CUMPLE"))</f>
        <v/>
      </c>
      <c r="Y46" s="139"/>
      <c r="Z46" s="109"/>
    </row>
    <row r="47" spans="1:26" s="72" customFormat="1" ht="30" customHeight="1">
      <c r="A47" s="795" t="s">
        <v>185</v>
      </c>
      <c r="B47" s="123"/>
      <c r="C47" s="466"/>
      <c r="D47" s="125" t="str">
        <f>+IFERROR(INDEX([2]CONSOLIDADO!$D$4:$D$89,MATCH('EXP ESPEC. 6-12'!B47,[2]CONSOLIDADO!$C$4:$C$89,0)),"")</f>
        <v/>
      </c>
      <c r="E47" s="126"/>
      <c r="F47" s="126"/>
      <c r="G47" s="279"/>
      <c r="H47" s="279"/>
      <c r="I47" s="279"/>
      <c r="J47" s="279"/>
      <c r="K47" s="162"/>
      <c r="L47" s="129"/>
      <c r="M47" s="129"/>
      <c r="N47" s="130" t="str">
        <f t="shared" si="0"/>
        <v/>
      </c>
      <c r="O47" s="131" t="str">
        <f>+IFERROR(INDEX([2]PARÁMETROS!$B$11:$B$37,MATCH(N47,[2]PARÁMETROS!$A$11:$A$37,0)),"")</f>
        <v/>
      </c>
      <c r="P47" s="163"/>
      <c r="Q47" s="131"/>
      <c r="R47" s="123"/>
      <c r="S47" s="134"/>
      <c r="T47" s="135"/>
      <c r="U47" s="131" t="str">
        <f t="shared" si="1"/>
        <v/>
      </c>
      <c r="V47" s="136" t="str">
        <f t="shared" si="2"/>
        <v/>
      </c>
      <c r="W47" s="136" t="str">
        <f t="shared" si="3"/>
        <v/>
      </c>
      <c r="X47" s="168" t="str">
        <f>+IF(W47="","",IF(W47&gt;=[2]PARÁMETROS!$D$5,"CUMPLE","NO CUMPLE"))</f>
        <v/>
      </c>
      <c r="Y47" s="138"/>
      <c r="Z47" s="109"/>
    </row>
    <row r="48" spans="1:26" s="72" customFormat="1" ht="30" customHeight="1">
      <c r="A48" s="796"/>
      <c r="B48" s="58"/>
      <c r="C48" s="464"/>
      <c r="D48" s="60" t="str">
        <f>+IFERROR(INDEX([2]CONSOLIDADO!$D$4:$D$89,MATCH('EXP ESPEC. 6-12'!B48,[2]CONSOLIDADO!$C$4:$C$89,0)),"")</f>
        <v/>
      </c>
      <c r="E48" s="61"/>
      <c r="F48" s="61"/>
      <c r="G48" s="277"/>
      <c r="H48" s="277"/>
      <c r="I48" s="277"/>
      <c r="J48" s="277"/>
      <c r="K48" s="73"/>
      <c r="L48" s="64"/>
      <c r="M48" s="64"/>
      <c r="N48" s="65" t="str">
        <f t="shared" si="0"/>
        <v/>
      </c>
      <c r="O48" s="66" t="str">
        <f>+IFERROR(INDEX([2]PARÁMETROS!$B$11:$B$37,MATCH(N48,[2]PARÁMETROS!$A$11:$A$37,0)),"")</f>
        <v/>
      </c>
      <c r="P48" s="74"/>
      <c r="Q48" s="66"/>
      <c r="R48" s="58"/>
      <c r="S48" s="69"/>
      <c r="T48" s="70"/>
      <c r="U48" s="66" t="str">
        <f t="shared" si="1"/>
        <v/>
      </c>
      <c r="V48" s="55" t="str">
        <f t="shared" si="2"/>
        <v/>
      </c>
      <c r="W48" s="55" t="str">
        <f t="shared" si="3"/>
        <v/>
      </c>
      <c r="X48" s="277" t="str">
        <f>+IF(W48="","",IF(W48&gt;=[2]PARÁMETROS!$D$5,"CUMPLE","NO CUMPLE"))</f>
        <v/>
      </c>
      <c r="Y48" s="139"/>
      <c r="Z48" s="109"/>
    </row>
    <row r="49" spans="1:26" s="72" customFormat="1" ht="30" customHeight="1">
      <c r="A49" s="796"/>
      <c r="B49" s="58"/>
      <c r="C49" s="464"/>
      <c r="D49" s="60" t="str">
        <f>+IFERROR(INDEX([2]CONSOLIDADO!$D$4:$D$89,MATCH('EXP ESPEC. 6-12'!B49,[2]CONSOLIDADO!$C$4:$C$89,0)),"")</f>
        <v/>
      </c>
      <c r="E49" s="61"/>
      <c r="F49" s="61"/>
      <c r="G49" s="277"/>
      <c r="H49" s="277"/>
      <c r="I49" s="277"/>
      <c r="J49" s="277"/>
      <c r="K49" s="73"/>
      <c r="L49" s="64"/>
      <c r="M49" s="64"/>
      <c r="N49" s="65" t="str">
        <f t="shared" si="0"/>
        <v/>
      </c>
      <c r="O49" s="66" t="str">
        <f>+IFERROR(INDEX([2]PARÁMETROS!$B$11:$B$37,MATCH(N49,[2]PARÁMETROS!$A$11:$A$37,0)),"")</f>
        <v/>
      </c>
      <c r="P49" s="74"/>
      <c r="Q49" s="66"/>
      <c r="R49" s="58"/>
      <c r="S49" s="69"/>
      <c r="T49" s="70"/>
      <c r="U49" s="66" t="str">
        <f t="shared" si="1"/>
        <v/>
      </c>
      <c r="V49" s="55" t="str">
        <f t="shared" si="2"/>
        <v/>
      </c>
      <c r="W49" s="55" t="str">
        <f t="shared" si="3"/>
        <v/>
      </c>
      <c r="X49" s="277" t="str">
        <f>+IF(W49="","",IF(W49&gt;=[2]PARÁMETROS!$D$5,"CUMPLE","NO CUMPLE"))</f>
        <v/>
      </c>
      <c r="Y49" s="139"/>
      <c r="Z49" s="109"/>
    </row>
    <row r="50" spans="1:26" s="72" customFormat="1" ht="30" customHeight="1" thickBot="1">
      <c r="A50" s="806"/>
      <c r="B50" s="141"/>
      <c r="C50" s="404"/>
      <c r="D50" s="143" t="str">
        <f>+IFERROR(INDEX([2]CONSOLIDADO!$D$4:$D$89,MATCH('EXP ESPEC. 6-12'!B50,[2]CONSOLIDADO!$C$4:$C$89,0)),"")</f>
        <v/>
      </c>
      <c r="E50" s="144"/>
      <c r="F50" s="144"/>
      <c r="G50" s="278"/>
      <c r="H50" s="278"/>
      <c r="I50" s="278"/>
      <c r="J50" s="278"/>
      <c r="K50" s="164"/>
      <c r="L50" s="147"/>
      <c r="M50" s="147"/>
      <c r="N50" s="148" t="str">
        <f t="shared" si="0"/>
        <v/>
      </c>
      <c r="O50" s="149" t="str">
        <f>+IFERROR(INDEX([2]PARÁMETROS!$B$11:$B$37,MATCH(N50,[2]PARÁMETROS!$A$11:$A$37,0)),"")</f>
        <v/>
      </c>
      <c r="P50" s="165"/>
      <c r="Q50" s="149"/>
      <c r="R50" s="141"/>
      <c r="S50" s="152"/>
      <c r="T50" s="153"/>
      <c r="U50" s="149" t="str">
        <f t="shared" si="1"/>
        <v/>
      </c>
      <c r="V50" s="154" t="str">
        <f t="shared" si="2"/>
        <v/>
      </c>
      <c r="W50" s="154" t="str">
        <f t="shared" si="3"/>
        <v/>
      </c>
      <c r="X50" s="278" t="str">
        <f>+IF(W50="","",IF(W50&gt;=[2]PARÁMETROS!$D$5,"CUMPLE","NO CUMPLE"))</f>
        <v/>
      </c>
      <c r="Y50" s="155"/>
      <c r="Z50" s="109"/>
    </row>
    <row r="51" spans="1:26" s="72" customFormat="1" ht="30" customHeight="1">
      <c r="A51" s="110"/>
      <c r="B51" s="110"/>
      <c r="C51" s="491"/>
      <c r="D51" s="112"/>
      <c r="E51" s="113"/>
      <c r="F51" s="113"/>
      <c r="G51" s="113"/>
      <c r="H51" s="113"/>
      <c r="I51" s="113"/>
      <c r="J51" s="113"/>
      <c r="K51" s="159"/>
      <c r="L51" s="116"/>
      <c r="M51" s="116"/>
      <c r="N51" s="160"/>
      <c r="O51" s="117"/>
      <c r="P51" s="161"/>
      <c r="Q51" s="117"/>
      <c r="R51" s="110"/>
      <c r="S51" s="120"/>
      <c r="T51" s="121"/>
      <c r="U51" s="117"/>
      <c r="V51" s="122"/>
      <c r="W51" s="122"/>
      <c r="X51" s="280"/>
      <c r="Y51" s="113"/>
    </row>
    <row r="52" spans="1:26" s="72" customFormat="1" ht="30" customHeight="1">
      <c r="A52" s="58"/>
      <c r="B52" s="58"/>
      <c r="C52" s="464"/>
      <c r="D52" s="60"/>
      <c r="E52" s="61"/>
      <c r="F52" s="61"/>
      <c r="G52" s="61"/>
      <c r="H52" s="61"/>
      <c r="I52" s="61"/>
      <c r="J52" s="61"/>
      <c r="K52" s="73"/>
      <c r="L52" s="64"/>
      <c r="M52" s="64"/>
      <c r="N52" s="65"/>
      <c r="O52" s="66"/>
      <c r="P52" s="74"/>
      <c r="Q52" s="66"/>
      <c r="R52" s="58"/>
      <c r="S52" s="69"/>
      <c r="T52" s="70"/>
      <c r="U52" s="66"/>
      <c r="V52" s="55"/>
      <c r="W52" s="55"/>
      <c r="X52" s="277"/>
      <c r="Y52" s="61"/>
    </row>
    <row r="53" spans="1:26" s="72" customFormat="1" ht="30" customHeight="1">
      <c r="A53" s="58"/>
      <c r="B53" s="58"/>
      <c r="C53" s="464"/>
      <c r="D53" s="60"/>
      <c r="E53" s="61"/>
      <c r="F53" s="61"/>
      <c r="G53" s="61"/>
      <c r="H53" s="61"/>
      <c r="I53" s="61"/>
      <c r="J53" s="61"/>
      <c r="K53" s="73"/>
      <c r="L53" s="64"/>
      <c r="M53" s="64"/>
      <c r="N53" s="65"/>
      <c r="O53" s="66"/>
      <c r="P53" s="74"/>
      <c r="Q53" s="66"/>
      <c r="R53" s="58"/>
      <c r="S53" s="69"/>
      <c r="T53" s="70"/>
      <c r="U53" s="66"/>
      <c r="V53" s="55"/>
      <c r="W53" s="55"/>
      <c r="X53" s="277"/>
      <c r="Y53" s="61"/>
    </row>
    <row r="54" spans="1:26" s="72" customFormat="1" ht="30" customHeight="1">
      <c r="A54" s="58"/>
      <c r="B54" s="58"/>
      <c r="C54" s="464"/>
      <c r="D54" s="60"/>
      <c r="E54" s="61"/>
      <c r="F54" s="61"/>
      <c r="G54" s="61"/>
      <c r="H54" s="61"/>
      <c r="I54" s="61"/>
      <c r="J54" s="61"/>
      <c r="K54" s="73"/>
      <c r="L54" s="64"/>
      <c r="M54" s="64"/>
      <c r="N54" s="65"/>
      <c r="O54" s="66"/>
      <c r="P54" s="74"/>
      <c r="Q54" s="66"/>
      <c r="R54" s="58"/>
      <c r="S54" s="69"/>
      <c r="T54" s="70"/>
      <c r="U54" s="66"/>
      <c r="V54" s="55"/>
      <c r="W54" s="55"/>
      <c r="X54" s="277"/>
      <c r="Y54" s="61"/>
    </row>
    <row r="55" spans="1:26" s="72" customFormat="1" ht="30" customHeight="1">
      <c r="A55" s="58"/>
      <c r="B55" s="58"/>
      <c r="C55" s="464"/>
      <c r="D55" s="60"/>
      <c r="E55" s="61"/>
      <c r="F55" s="61"/>
      <c r="G55" s="61"/>
      <c r="H55" s="61"/>
      <c r="I55" s="61"/>
      <c r="J55" s="61"/>
      <c r="K55" s="73"/>
      <c r="L55" s="64"/>
      <c r="M55" s="64"/>
      <c r="N55" s="65"/>
      <c r="O55" s="66"/>
      <c r="P55" s="74"/>
      <c r="Q55" s="66"/>
      <c r="R55" s="58"/>
      <c r="S55" s="69"/>
      <c r="T55" s="70"/>
      <c r="U55" s="66"/>
      <c r="V55" s="55"/>
      <c r="W55" s="55"/>
      <c r="X55" s="277"/>
      <c r="Y55" s="61"/>
    </row>
    <row r="56" spans="1:26" s="72" customFormat="1" ht="30" customHeight="1">
      <c r="A56" s="58"/>
      <c r="B56" s="58"/>
      <c r="C56" s="464"/>
      <c r="D56" s="60"/>
      <c r="E56" s="61"/>
      <c r="F56" s="61"/>
      <c r="G56" s="61"/>
      <c r="H56" s="61"/>
      <c r="I56" s="61"/>
      <c r="J56" s="61"/>
      <c r="K56" s="73"/>
      <c r="L56" s="64"/>
      <c r="M56" s="64"/>
      <c r="N56" s="65"/>
      <c r="O56" s="66"/>
      <c r="P56" s="74"/>
      <c r="Q56" s="66"/>
      <c r="R56" s="58"/>
      <c r="S56" s="69"/>
      <c r="T56" s="70"/>
      <c r="U56" s="66"/>
      <c r="V56" s="55"/>
      <c r="W56" s="55"/>
      <c r="X56" s="277"/>
      <c r="Y56" s="61"/>
    </row>
    <row r="57" spans="1:26" s="72" customFormat="1" ht="30" customHeight="1">
      <c r="A57" s="58"/>
      <c r="B57" s="58"/>
      <c r="C57" s="464"/>
      <c r="D57" s="60"/>
      <c r="E57" s="61"/>
      <c r="F57" s="61"/>
      <c r="G57" s="61"/>
      <c r="H57" s="61"/>
      <c r="I57" s="61"/>
      <c r="J57" s="61"/>
      <c r="K57" s="73"/>
      <c r="L57" s="64"/>
      <c r="M57" s="64"/>
      <c r="N57" s="65"/>
      <c r="O57" s="66"/>
      <c r="P57" s="74"/>
      <c r="Q57" s="66"/>
      <c r="R57" s="58"/>
      <c r="S57" s="69"/>
      <c r="T57" s="70"/>
      <c r="U57" s="66"/>
      <c r="V57" s="55"/>
      <c r="W57" s="55"/>
      <c r="X57" s="277"/>
      <c r="Y57" s="61"/>
    </row>
    <row r="58" spans="1:26" s="72" customFormat="1" ht="30" customHeight="1">
      <c r="A58" s="58"/>
      <c r="B58" s="58"/>
      <c r="C58" s="464"/>
      <c r="D58" s="60"/>
      <c r="E58" s="61"/>
      <c r="F58" s="61"/>
      <c r="G58" s="61"/>
      <c r="H58" s="61"/>
      <c r="I58" s="61"/>
      <c r="J58" s="61"/>
      <c r="K58" s="73"/>
      <c r="L58" s="64"/>
      <c r="M58" s="64"/>
      <c r="N58" s="65"/>
      <c r="O58" s="66"/>
      <c r="P58" s="74"/>
      <c r="Q58" s="66"/>
      <c r="R58" s="58"/>
      <c r="S58" s="69"/>
      <c r="T58" s="70"/>
      <c r="U58" s="66"/>
      <c r="V58" s="55"/>
      <c r="W58" s="55"/>
      <c r="X58" s="277"/>
      <c r="Y58" s="61"/>
    </row>
    <row r="59" spans="1:26" s="72" customFormat="1" ht="30" customHeight="1">
      <c r="A59" s="58"/>
      <c r="B59" s="58"/>
      <c r="C59" s="464"/>
      <c r="D59" s="60"/>
      <c r="E59" s="61"/>
      <c r="F59" s="61"/>
      <c r="G59" s="61"/>
      <c r="H59" s="61"/>
      <c r="I59" s="61"/>
      <c r="J59" s="61"/>
      <c r="K59" s="73"/>
      <c r="L59" s="64"/>
      <c r="M59" s="64"/>
      <c r="N59" s="65"/>
      <c r="O59" s="66"/>
      <c r="P59" s="74"/>
      <c r="Q59" s="66"/>
      <c r="R59" s="58"/>
      <c r="S59" s="69"/>
      <c r="T59" s="70"/>
      <c r="U59" s="66"/>
      <c r="V59" s="55"/>
      <c r="W59" s="55"/>
      <c r="X59" s="277"/>
      <c r="Y59" s="61"/>
    </row>
    <row r="60" spans="1:26" s="72" customFormat="1" ht="30" customHeight="1">
      <c r="A60" s="58"/>
      <c r="B60" s="58"/>
      <c r="C60" s="464"/>
      <c r="D60" s="60"/>
      <c r="E60" s="61"/>
      <c r="F60" s="61"/>
      <c r="G60" s="61"/>
      <c r="H60" s="61"/>
      <c r="I60" s="61"/>
      <c r="J60" s="61"/>
      <c r="K60" s="73"/>
      <c r="L60" s="64"/>
      <c r="M60" s="64"/>
      <c r="N60" s="65"/>
      <c r="O60" s="66"/>
      <c r="P60" s="74"/>
      <c r="Q60" s="66"/>
      <c r="R60" s="58"/>
      <c r="S60" s="69"/>
      <c r="T60" s="70"/>
      <c r="U60" s="66"/>
      <c r="V60" s="55"/>
      <c r="W60" s="55"/>
      <c r="X60" s="277"/>
      <c r="Y60" s="61"/>
    </row>
    <row r="61" spans="1:26" s="72" customFormat="1" ht="30" customHeight="1">
      <c r="A61" s="58"/>
      <c r="B61" s="58"/>
      <c r="C61" s="464"/>
      <c r="D61" s="60"/>
      <c r="E61" s="61"/>
      <c r="F61" s="61"/>
      <c r="G61" s="61"/>
      <c r="H61" s="61"/>
      <c r="I61" s="61"/>
      <c r="J61" s="61"/>
      <c r="K61" s="73"/>
      <c r="L61" s="64"/>
      <c r="M61" s="64"/>
      <c r="N61" s="65"/>
      <c r="O61" s="66"/>
      <c r="P61" s="74"/>
      <c r="Q61" s="66"/>
      <c r="R61" s="58"/>
      <c r="S61" s="69"/>
      <c r="T61" s="70"/>
      <c r="U61" s="66"/>
      <c r="V61" s="55"/>
      <c r="W61" s="55"/>
      <c r="X61" s="277"/>
      <c r="Y61" s="61"/>
    </row>
    <row r="62" spans="1:26" s="72" customFormat="1" ht="30" customHeight="1">
      <c r="A62" s="58"/>
      <c r="B62" s="58"/>
      <c r="C62" s="464"/>
      <c r="D62" s="60"/>
      <c r="E62" s="61"/>
      <c r="F62" s="61"/>
      <c r="G62" s="61"/>
      <c r="H62" s="61"/>
      <c r="I62" s="61"/>
      <c r="J62" s="61"/>
      <c r="K62" s="73"/>
      <c r="L62" s="64"/>
      <c r="M62" s="64"/>
      <c r="N62" s="65"/>
      <c r="O62" s="66"/>
      <c r="P62" s="74"/>
      <c r="Q62" s="66"/>
      <c r="R62" s="58"/>
      <c r="S62" s="69"/>
      <c r="T62" s="70"/>
      <c r="U62" s="66"/>
      <c r="V62" s="55"/>
      <c r="W62" s="55"/>
      <c r="X62" s="277"/>
      <c r="Y62" s="61"/>
    </row>
    <row r="63" spans="1:26" s="99" customFormat="1" ht="30" customHeight="1">
      <c r="A63" s="89"/>
      <c r="B63" s="89"/>
      <c r="C63" s="482"/>
      <c r="D63" s="91"/>
      <c r="E63" s="92"/>
      <c r="F63" s="92"/>
      <c r="G63" s="92"/>
      <c r="H63" s="92"/>
      <c r="I63" s="92"/>
      <c r="J63" s="92"/>
      <c r="K63" s="93"/>
      <c r="L63" s="94"/>
      <c r="M63" s="94"/>
      <c r="N63" s="95"/>
      <c r="O63" s="66"/>
      <c r="P63" s="96"/>
      <c r="Q63" s="97"/>
      <c r="R63" s="58"/>
      <c r="S63" s="69"/>
      <c r="T63" s="70"/>
      <c r="U63" s="66"/>
      <c r="V63" s="55"/>
      <c r="W63" s="55"/>
      <c r="X63" s="277"/>
      <c r="Y63" s="92"/>
    </row>
    <row r="64" spans="1:26" s="99" customFormat="1" ht="30" customHeight="1">
      <c r="A64" s="89"/>
      <c r="B64" s="89"/>
      <c r="C64" s="482"/>
      <c r="D64" s="91"/>
      <c r="E64" s="92"/>
      <c r="F64" s="92"/>
      <c r="G64" s="92"/>
      <c r="H64" s="92"/>
      <c r="I64" s="92"/>
      <c r="J64" s="92"/>
      <c r="K64" s="93"/>
      <c r="L64" s="94"/>
      <c r="M64" s="94"/>
      <c r="N64" s="95"/>
      <c r="O64" s="66"/>
      <c r="P64" s="96"/>
      <c r="Q64" s="97"/>
      <c r="R64" s="58"/>
      <c r="S64" s="69"/>
      <c r="T64" s="70"/>
      <c r="U64" s="66"/>
      <c r="V64" s="55"/>
      <c r="W64" s="55"/>
      <c r="X64" s="277"/>
      <c r="Y64" s="92"/>
    </row>
    <row r="65" spans="1:25" s="99" customFormat="1" ht="30" customHeight="1">
      <c r="A65" s="89"/>
      <c r="B65" s="89"/>
      <c r="C65" s="482"/>
      <c r="D65" s="91"/>
      <c r="E65" s="92"/>
      <c r="F65" s="92"/>
      <c r="G65" s="92"/>
      <c r="H65" s="92"/>
      <c r="I65" s="92"/>
      <c r="J65" s="92"/>
      <c r="K65" s="93"/>
      <c r="L65" s="94"/>
      <c r="M65" s="94"/>
      <c r="N65" s="95"/>
      <c r="O65" s="66"/>
      <c r="P65" s="96"/>
      <c r="Q65" s="97"/>
      <c r="R65" s="58"/>
      <c r="S65" s="69"/>
      <c r="T65" s="70"/>
      <c r="U65" s="66"/>
      <c r="V65" s="55"/>
      <c r="W65" s="55"/>
      <c r="X65" s="277"/>
      <c r="Y65" s="92"/>
    </row>
    <row r="66" spans="1:25" s="99" customFormat="1" ht="30" customHeight="1">
      <c r="A66" s="89"/>
      <c r="B66" s="89"/>
      <c r="C66" s="482"/>
      <c r="D66" s="91"/>
      <c r="E66" s="92"/>
      <c r="F66" s="92"/>
      <c r="G66" s="92"/>
      <c r="H66" s="92"/>
      <c r="I66" s="92"/>
      <c r="J66" s="92"/>
      <c r="K66" s="93"/>
      <c r="L66" s="94"/>
      <c r="M66" s="94"/>
      <c r="N66" s="95"/>
      <c r="O66" s="66"/>
      <c r="P66" s="96"/>
      <c r="Q66" s="97"/>
      <c r="R66" s="58"/>
      <c r="S66" s="69"/>
      <c r="T66" s="70"/>
      <c r="U66" s="66"/>
      <c r="V66" s="55"/>
      <c r="W66" s="55"/>
      <c r="X66" s="277"/>
      <c r="Y66" s="92"/>
    </row>
    <row r="67" spans="1:25" s="99" customFormat="1" ht="30" customHeight="1">
      <c r="A67" s="89"/>
      <c r="B67" s="89"/>
      <c r="C67" s="482"/>
      <c r="D67" s="91"/>
      <c r="E67" s="92"/>
      <c r="F67" s="92"/>
      <c r="G67" s="92"/>
      <c r="H67" s="92"/>
      <c r="I67" s="92"/>
      <c r="J67" s="92"/>
      <c r="K67" s="93"/>
      <c r="L67" s="94"/>
      <c r="M67" s="94"/>
      <c r="N67" s="95"/>
      <c r="O67" s="66"/>
      <c r="P67" s="96"/>
      <c r="Q67" s="97"/>
      <c r="R67" s="58"/>
      <c r="S67" s="69"/>
      <c r="T67" s="70"/>
      <c r="U67" s="66"/>
      <c r="V67" s="55"/>
      <c r="W67" s="55"/>
      <c r="X67" s="277"/>
      <c r="Y67" s="92"/>
    </row>
    <row r="68" spans="1:25" s="99" customFormat="1" ht="30" customHeight="1">
      <c r="A68" s="89"/>
      <c r="B68" s="89"/>
      <c r="C68" s="482"/>
      <c r="D68" s="91"/>
      <c r="E68" s="92"/>
      <c r="F68" s="92"/>
      <c r="G68" s="92"/>
      <c r="H68" s="92"/>
      <c r="I68" s="92"/>
      <c r="J68" s="92"/>
      <c r="K68" s="93"/>
      <c r="L68" s="94"/>
      <c r="M68" s="94"/>
      <c r="N68" s="95"/>
      <c r="O68" s="66"/>
      <c r="P68" s="96"/>
      <c r="Q68" s="97"/>
      <c r="R68" s="58"/>
      <c r="S68" s="69"/>
      <c r="T68" s="70"/>
      <c r="U68" s="66"/>
      <c r="V68" s="55"/>
      <c r="W68" s="55"/>
      <c r="X68" s="277"/>
      <c r="Y68" s="92"/>
    </row>
    <row r="69" spans="1:25" s="99" customFormat="1" ht="30" customHeight="1">
      <c r="A69" s="89"/>
      <c r="B69" s="89"/>
      <c r="C69" s="482"/>
      <c r="D69" s="91"/>
      <c r="E69" s="92"/>
      <c r="F69" s="92"/>
      <c r="G69" s="92"/>
      <c r="H69" s="92"/>
      <c r="I69" s="92"/>
      <c r="J69" s="92"/>
      <c r="K69" s="93"/>
      <c r="L69" s="94"/>
      <c r="M69" s="94"/>
      <c r="N69" s="95"/>
      <c r="O69" s="66"/>
      <c r="P69" s="96"/>
      <c r="Q69" s="97"/>
      <c r="R69" s="58"/>
      <c r="S69" s="69"/>
      <c r="T69" s="70"/>
      <c r="U69" s="66"/>
      <c r="V69" s="55"/>
      <c r="W69" s="55"/>
      <c r="X69" s="277"/>
      <c r="Y69" s="92"/>
    </row>
    <row r="70" spans="1:25" s="99" customFormat="1" ht="30" customHeight="1">
      <c r="A70" s="89"/>
      <c r="B70" s="89"/>
      <c r="C70" s="482"/>
      <c r="D70" s="91"/>
      <c r="E70" s="92"/>
      <c r="F70" s="92"/>
      <c r="G70" s="92"/>
      <c r="H70" s="92"/>
      <c r="I70" s="92"/>
      <c r="J70" s="92"/>
      <c r="K70" s="93"/>
      <c r="L70" s="94"/>
      <c r="M70" s="94"/>
      <c r="N70" s="95"/>
      <c r="O70" s="66"/>
      <c r="P70" s="96"/>
      <c r="Q70" s="97"/>
      <c r="R70" s="58"/>
      <c r="S70" s="69"/>
      <c r="T70" s="70"/>
      <c r="U70" s="66"/>
      <c r="V70" s="55"/>
      <c r="W70" s="55"/>
      <c r="X70" s="277"/>
      <c r="Y70" s="92"/>
    </row>
    <row r="71" spans="1:25" s="99" customFormat="1" ht="30" customHeight="1">
      <c r="A71" s="89"/>
      <c r="B71" s="89"/>
      <c r="C71" s="482"/>
      <c r="D71" s="91"/>
      <c r="E71" s="92"/>
      <c r="F71" s="92"/>
      <c r="G71" s="92"/>
      <c r="H71" s="92"/>
      <c r="I71" s="92"/>
      <c r="J71" s="92"/>
      <c r="K71" s="93"/>
      <c r="L71" s="94"/>
      <c r="M71" s="94"/>
      <c r="N71" s="95"/>
      <c r="O71" s="66"/>
      <c r="P71" s="96"/>
      <c r="Q71" s="97"/>
      <c r="R71" s="58"/>
      <c r="S71" s="69"/>
      <c r="T71" s="70"/>
      <c r="U71" s="66"/>
      <c r="V71" s="55"/>
      <c r="W71" s="55"/>
      <c r="X71" s="277"/>
      <c r="Y71" s="92"/>
    </row>
    <row r="72" spans="1:25" s="99" customFormat="1" ht="30" customHeight="1">
      <c r="A72" s="89"/>
      <c r="B72" s="89"/>
      <c r="C72" s="482"/>
      <c r="D72" s="91"/>
      <c r="E72" s="92"/>
      <c r="F72" s="92"/>
      <c r="G72" s="92"/>
      <c r="H72" s="92"/>
      <c r="I72" s="92"/>
      <c r="J72" s="92"/>
      <c r="K72" s="93"/>
      <c r="L72" s="94"/>
      <c r="M72" s="94"/>
      <c r="N72" s="95"/>
      <c r="O72" s="66"/>
      <c r="P72" s="96"/>
      <c r="Q72" s="97"/>
      <c r="R72" s="58"/>
      <c r="S72" s="69"/>
      <c r="T72" s="70"/>
      <c r="U72" s="66"/>
      <c r="V72" s="55"/>
      <c r="W72" s="55"/>
      <c r="X72" s="277"/>
      <c r="Y72" s="92"/>
    </row>
    <row r="73" spans="1:25" s="99" customFormat="1" ht="30" customHeight="1">
      <c r="A73" s="89"/>
      <c r="B73" s="89"/>
      <c r="C73" s="482"/>
      <c r="D73" s="91"/>
      <c r="E73" s="92"/>
      <c r="F73" s="92"/>
      <c r="G73" s="92"/>
      <c r="H73" s="92"/>
      <c r="I73" s="92"/>
      <c r="J73" s="92"/>
      <c r="K73" s="93"/>
      <c r="L73" s="94"/>
      <c r="M73" s="94"/>
      <c r="N73" s="95"/>
      <c r="O73" s="66"/>
      <c r="P73" s="96"/>
      <c r="Q73" s="97"/>
      <c r="R73" s="58"/>
      <c r="S73" s="69"/>
      <c r="T73" s="70"/>
      <c r="U73" s="66"/>
      <c r="V73" s="55"/>
      <c r="W73" s="55"/>
      <c r="X73" s="277"/>
      <c r="Y73" s="92"/>
    </row>
    <row r="74" spans="1:25" s="99" customFormat="1" ht="30" customHeight="1">
      <c r="A74" s="89"/>
      <c r="B74" s="89"/>
      <c r="C74" s="482"/>
      <c r="D74" s="91"/>
      <c r="E74" s="92"/>
      <c r="F74" s="92"/>
      <c r="G74" s="92"/>
      <c r="H74" s="92"/>
      <c r="I74" s="92"/>
      <c r="J74" s="92"/>
      <c r="K74" s="93"/>
      <c r="L74" s="94"/>
      <c r="M74" s="94"/>
      <c r="N74" s="95"/>
      <c r="O74" s="66"/>
      <c r="P74" s="96"/>
      <c r="Q74" s="97"/>
      <c r="R74" s="58"/>
      <c r="S74" s="69"/>
      <c r="T74" s="70"/>
      <c r="U74" s="66"/>
      <c r="V74" s="55"/>
      <c r="W74" s="55"/>
      <c r="X74" s="277"/>
      <c r="Y74" s="92"/>
    </row>
    <row r="75" spans="1:25" s="99" customFormat="1" ht="30" customHeight="1">
      <c r="A75" s="89"/>
      <c r="B75" s="89"/>
      <c r="C75" s="482"/>
      <c r="D75" s="91"/>
      <c r="E75" s="92"/>
      <c r="F75" s="92"/>
      <c r="G75" s="92"/>
      <c r="H75" s="92"/>
      <c r="I75" s="92"/>
      <c r="J75" s="92"/>
      <c r="K75" s="93"/>
      <c r="L75" s="94"/>
      <c r="M75" s="94"/>
      <c r="N75" s="95"/>
      <c r="O75" s="66"/>
      <c r="P75" s="96"/>
      <c r="Q75" s="97"/>
      <c r="R75" s="58"/>
      <c r="S75" s="69"/>
      <c r="T75" s="70"/>
      <c r="U75" s="66"/>
      <c r="V75" s="55"/>
      <c r="W75" s="55"/>
      <c r="X75" s="277"/>
      <c r="Y75" s="92"/>
    </row>
    <row r="76" spans="1:25" s="99" customFormat="1" ht="30" customHeight="1">
      <c r="A76" s="89"/>
      <c r="B76" s="89"/>
      <c r="C76" s="482"/>
      <c r="D76" s="91"/>
      <c r="E76" s="92"/>
      <c r="F76" s="92"/>
      <c r="G76" s="92"/>
      <c r="H76" s="92"/>
      <c r="I76" s="92"/>
      <c r="J76" s="92"/>
      <c r="K76" s="93"/>
      <c r="L76" s="94"/>
      <c r="M76" s="94"/>
      <c r="N76" s="95"/>
      <c r="O76" s="66"/>
      <c r="P76" s="96"/>
      <c r="Q76" s="97"/>
      <c r="R76" s="58"/>
      <c r="S76" s="69"/>
      <c r="T76" s="70"/>
      <c r="U76" s="66"/>
      <c r="V76" s="55"/>
      <c r="W76" s="55"/>
      <c r="X76" s="277"/>
      <c r="Y76" s="92"/>
    </row>
    <row r="77" spans="1:25" s="99" customFormat="1" ht="30" customHeight="1">
      <c r="A77" s="89"/>
      <c r="B77" s="89"/>
      <c r="C77" s="482"/>
      <c r="D77" s="91"/>
      <c r="E77" s="92"/>
      <c r="F77" s="92"/>
      <c r="G77" s="92"/>
      <c r="H77" s="92"/>
      <c r="I77" s="92"/>
      <c r="J77" s="92"/>
      <c r="K77" s="93"/>
      <c r="L77" s="94"/>
      <c r="M77" s="94"/>
      <c r="N77" s="95"/>
      <c r="O77" s="66"/>
      <c r="P77" s="96"/>
      <c r="Q77" s="97"/>
      <c r="R77" s="58"/>
      <c r="S77" s="69"/>
      <c r="T77" s="70"/>
      <c r="U77" s="66"/>
      <c r="V77" s="55"/>
      <c r="W77" s="55"/>
      <c r="X77" s="277"/>
      <c r="Y77" s="92"/>
    </row>
    <row r="78" spans="1:25" s="99" customFormat="1" ht="30" customHeight="1">
      <c r="A78" s="89"/>
      <c r="B78" s="89"/>
      <c r="C78" s="482"/>
      <c r="D78" s="91"/>
      <c r="E78" s="92"/>
      <c r="F78" s="92"/>
      <c r="G78" s="92"/>
      <c r="H78" s="92"/>
      <c r="I78" s="92"/>
      <c r="J78" s="92"/>
      <c r="K78" s="93"/>
      <c r="L78" s="94"/>
      <c r="M78" s="94"/>
      <c r="N78" s="95"/>
      <c r="O78" s="66"/>
      <c r="P78" s="96"/>
      <c r="Q78" s="97"/>
      <c r="R78" s="58"/>
      <c r="S78" s="69"/>
      <c r="T78" s="70"/>
      <c r="U78" s="66"/>
      <c r="V78" s="55"/>
      <c r="W78" s="55"/>
      <c r="X78" s="277"/>
      <c r="Y78" s="92"/>
    </row>
    <row r="79" spans="1:25" s="99" customFormat="1" ht="30" customHeight="1">
      <c r="A79" s="89"/>
      <c r="B79" s="89"/>
      <c r="C79" s="482"/>
      <c r="D79" s="91"/>
      <c r="E79" s="92"/>
      <c r="F79" s="92"/>
      <c r="G79" s="92"/>
      <c r="H79" s="92"/>
      <c r="I79" s="92"/>
      <c r="J79" s="92"/>
      <c r="K79" s="93"/>
      <c r="L79" s="94"/>
      <c r="M79" s="94"/>
      <c r="N79" s="95"/>
      <c r="O79" s="66"/>
      <c r="P79" s="96"/>
      <c r="Q79" s="97"/>
      <c r="R79" s="58"/>
      <c r="S79" s="69"/>
      <c r="T79" s="70"/>
      <c r="U79" s="66"/>
      <c r="V79" s="55"/>
      <c r="W79" s="55"/>
      <c r="X79" s="277"/>
      <c r="Y79" s="92"/>
    </row>
    <row r="80" spans="1:25" s="99" customFormat="1" ht="30" customHeight="1">
      <c r="A80" s="89"/>
      <c r="B80" s="89"/>
      <c r="C80" s="482"/>
      <c r="D80" s="91"/>
      <c r="E80" s="92"/>
      <c r="F80" s="92"/>
      <c r="G80" s="92"/>
      <c r="H80" s="92"/>
      <c r="I80" s="92"/>
      <c r="J80" s="92"/>
      <c r="K80" s="93"/>
      <c r="L80" s="94"/>
      <c r="M80" s="94"/>
      <c r="N80" s="95"/>
      <c r="O80" s="66"/>
      <c r="P80" s="96"/>
      <c r="Q80" s="97"/>
      <c r="R80" s="58"/>
      <c r="S80" s="69"/>
      <c r="T80" s="70"/>
      <c r="U80" s="66"/>
      <c r="V80" s="55"/>
      <c r="W80" s="55"/>
      <c r="X80" s="277"/>
      <c r="Y80" s="92"/>
    </row>
    <row r="81" spans="1:25" s="99" customFormat="1" ht="30" customHeight="1">
      <c r="A81" s="89"/>
      <c r="B81" s="89"/>
      <c r="C81" s="482"/>
      <c r="D81" s="91"/>
      <c r="E81" s="92"/>
      <c r="F81" s="92"/>
      <c r="G81" s="92"/>
      <c r="H81" s="92"/>
      <c r="I81" s="92"/>
      <c r="J81" s="92"/>
      <c r="K81" s="93"/>
      <c r="L81" s="94"/>
      <c r="M81" s="94"/>
      <c r="N81" s="95"/>
      <c r="O81" s="66"/>
      <c r="P81" s="96"/>
      <c r="Q81" s="97"/>
      <c r="R81" s="58"/>
      <c r="S81" s="69"/>
      <c r="T81" s="70"/>
      <c r="U81" s="66"/>
      <c r="V81" s="55"/>
      <c r="W81" s="55"/>
      <c r="X81" s="277"/>
      <c r="Y81" s="92"/>
    </row>
    <row r="82" spans="1:25" s="99" customFormat="1" ht="30" customHeight="1">
      <c r="A82" s="89"/>
      <c r="B82" s="89"/>
      <c r="C82" s="482"/>
      <c r="D82" s="91"/>
      <c r="E82" s="92"/>
      <c r="F82" s="92"/>
      <c r="G82" s="92"/>
      <c r="H82" s="92"/>
      <c r="I82" s="92"/>
      <c r="J82" s="92"/>
      <c r="K82" s="93"/>
      <c r="L82" s="94"/>
      <c r="M82" s="94"/>
      <c r="N82" s="95"/>
      <c r="O82" s="66"/>
      <c r="P82" s="96"/>
      <c r="Q82" s="97"/>
      <c r="R82" s="58"/>
      <c r="S82" s="69"/>
      <c r="T82" s="70"/>
      <c r="U82" s="66"/>
      <c r="V82" s="55"/>
      <c r="W82" s="55"/>
      <c r="X82" s="277"/>
      <c r="Y82" s="92"/>
    </row>
    <row r="83" spans="1:25" s="99" customFormat="1" ht="30" customHeight="1">
      <c r="A83" s="89"/>
      <c r="B83" s="89"/>
      <c r="C83" s="482"/>
      <c r="D83" s="91"/>
      <c r="E83" s="92"/>
      <c r="F83" s="92"/>
      <c r="G83" s="92"/>
      <c r="H83" s="92"/>
      <c r="I83" s="92"/>
      <c r="J83" s="92"/>
      <c r="K83" s="93"/>
      <c r="L83" s="94"/>
      <c r="M83" s="94"/>
      <c r="N83" s="95"/>
      <c r="O83" s="66"/>
      <c r="P83" s="96"/>
      <c r="Q83" s="97"/>
      <c r="R83" s="58"/>
      <c r="S83" s="69"/>
      <c r="T83" s="70"/>
      <c r="U83" s="66"/>
      <c r="V83" s="55"/>
      <c r="W83" s="55"/>
      <c r="X83" s="277"/>
      <c r="Y83" s="92"/>
    </row>
    <row r="84" spans="1:25" s="99" customFormat="1" ht="30" customHeight="1">
      <c r="A84" s="89"/>
      <c r="B84" s="89"/>
      <c r="C84" s="482"/>
      <c r="D84" s="91"/>
      <c r="E84" s="92"/>
      <c r="F84" s="92"/>
      <c r="G84" s="92"/>
      <c r="H84" s="92"/>
      <c r="I84" s="92"/>
      <c r="J84" s="92"/>
      <c r="K84" s="93"/>
      <c r="L84" s="94"/>
      <c r="M84" s="94"/>
      <c r="N84" s="95"/>
      <c r="O84" s="66"/>
      <c r="P84" s="96"/>
      <c r="Q84" s="97"/>
      <c r="R84" s="58"/>
      <c r="S84" s="69"/>
      <c r="T84" s="70"/>
      <c r="U84" s="66"/>
      <c r="V84" s="55"/>
      <c r="W84" s="55"/>
      <c r="X84" s="277"/>
      <c r="Y84" s="92"/>
    </row>
    <row r="85" spans="1:25" s="99" customFormat="1" ht="30" customHeight="1">
      <c r="A85" s="89"/>
      <c r="B85" s="89"/>
      <c r="C85" s="482"/>
      <c r="D85" s="91"/>
      <c r="E85" s="92"/>
      <c r="F85" s="92"/>
      <c r="G85" s="92"/>
      <c r="H85" s="92"/>
      <c r="I85" s="92"/>
      <c r="J85" s="92"/>
      <c r="K85" s="93"/>
      <c r="L85" s="94"/>
      <c r="M85" s="94"/>
      <c r="N85" s="95"/>
      <c r="O85" s="66"/>
      <c r="P85" s="96"/>
      <c r="Q85" s="97"/>
      <c r="R85" s="58"/>
      <c r="S85" s="69"/>
      <c r="T85" s="70"/>
      <c r="U85" s="66"/>
      <c r="V85" s="55"/>
      <c r="W85" s="55"/>
      <c r="X85" s="277"/>
      <c r="Y85" s="92"/>
    </row>
    <row r="86" spans="1:25" s="99" customFormat="1" ht="30" customHeight="1">
      <c r="A86" s="89"/>
      <c r="B86" s="89"/>
      <c r="C86" s="482"/>
      <c r="D86" s="91"/>
      <c r="E86" s="92"/>
      <c r="F86" s="92"/>
      <c r="G86" s="92"/>
      <c r="H86" s="92"/>
      <c r="I86" s="92"/>
      <c r="J86" s="92"/>
      <c r="K86" s="93"/>
      <c r="L86" s="94"/>
      <c r="M86" s="94"/>
      <c r="N86" s="95"/>
      <c r="O86" s="66"/>
      <c r="P86" s="96"/>
      <c r="Q86" s="97"/>
      <c r="R86" s="58"/>
      <c r="S86" s="69"/>
      <c r="T86" s="70"/>
      <c r="U86" s="66"/>
      <c r="V86" s="55"/>
      <c r="W86" s="55"/>
      <c r="X86" s="277"/>
      <c r="Y86" s="92"/>
    </row>
    <row r="87" spans="1:25" s="99" customFormat="1" ht="30" customHeight="1">
      <c r="A87" s="89"/>
      <c r="B87" s="89"/>
      <c r="C87" s="482"/>
      <c r="D87" s="91"/>
      <c r="E87" s="92"/>
      <c r="F87" s="92"/>
      <c r="G87" s="92"/>
      <c r="H87" s="92"/>
      <c r="I87" s="92"/>
      <c r="J87" s="92"/>
      <c r="K87" s="93"/>
      <c r="L87" s="94"/>
      <c r="M87" s="94"/>
      <c r="N87" s="95"/>
      <c r="O87" s="66"/>
      <c r="P87" s="96"/>
      <c r="Q87" s="97"/>
      <c r="R87" s="58"/>
      <c r="S87" s="69"/>
      <c r="T87" s="70"/>
      <c r="U87" s="66"/>
      <c r="V87" s="55"/>
      <c r="W87" s="55"/>
      <c r="X87" s="277"/>
      <c r="Y87" s="92"/>
    </row>
    <row r="88" spans="1:25" s="99" customFormat="1" ht="30" customHeight="1">
      <c r="A88" s="89"/>
      <c r="B88" s="89"/>
      <c r="C88" s="482"/>
      <c r="D88" s="91"/>
      <c r="E88" s="92"/>
      <c r="F88" s="92"/>
      <c r="G88" s="92"/>
      <c r="H88" s="92"/>
      <c r="I88" s="92"/>
      <c r="J88" s="92"/>
      <c r="K88" s="93"/>
      <c r="L88" s="94"/>
      <c r="M88" s="94"/>
      <c r="N88" s="95"/>
      <c r="O88" s="66"/>
      <c r="P88" s="96"/>
      <c r="Q88" s="97"/>
      <c r="R88" s="58"/>
      <c r="S88" s="69"/>
      <c r="T88" s="70"/>
      <c r="U88" s="66"/>
      <c r="V88" s="55"/>
      <c r="W88" s="55"/>
      <c r="X88" s="277"/>
      <c r="Y88" s="92"/>
    </row>
    <row r="89" spans="1:25" s="99" customFormat="1" ht="30" customHeight="1">
      <c r="A89" s="89"/>
      <c r="B89" s="89"/>
      <c r="C89" s="482"/>
      <c r="D89" s="91"/>
      <c r="E89" s="92"/>
      <c r="F89" s="92"/>
      <c r="G89" s="92"/>
      <c r="H89" s="92"/>
      <c r="I89" s="92"/>
      <c r="J89" s="92"/>
      <c r="K89" s="93"/>
      <c r="L89" s="94"/>
      <c r="M89" s="94"/>
      <c r="N89" s="95"/>
      <c r="O89" s="66"/>
      <c r="P89" s="96"/>
      <c r="Q89" s="97"/>
      <c r="R89" s="58"/>
      <c r="S89" s="69"/>
      <c r="T89" s="70"/>
      <c r="U89" s="66"/>
      <c r="V89" s="55"/>
      <c r="W89" s="55"/>
      <c r="X89" s="277"/>
      <c r="Y89" s="92"/>
    </row>
    <row r="90" spans="1:25" s="99" customFormat="1" ht="30" customHeight="1">
      <c r="A90" s="89"/>
      <c r="B90" s="89"/>
      <c r="C90" s="482"/>
      <c r="D90" s="91"/>
      <c r="E90" s="92"/>
      <c r="F90" s="92"/>
      <c r="G90" s="92"/>
      <c r="H90" s="92"/>
      <c r="I90" s="92"/>
      <c r="J90" s="92"/>
      <c r="K90" s="93"/>
      <c r="L90" s="94"/>
      <c r="M90" s="94"/>
      <c r="N90" s="95"/>
      <c r="O90" s="66"/>
      <c r="P90" s="96"/>
      <c r="Q90" s="97"/>
      <c r="R90" s="58"/>
      <c r="S90" s="69"/>
      <c r="T90" s="70"/>
      <c r="U90" s="66"/>
      <c r="V90" s="55"/>
      <c r="W90" s="55"/>
      <c r="X90" s="277"/>
      <c r="Y90" s="92"/>
    </row>
    <row r="91" spans="1:25" s="99" customFormat="1" ht="30" customHeight="1">
      <c r="A91" s="89"/>
      <c r="B91" s="89"/>
      <c r="C91" s="482"/>
      <c r="D91" s="91"/>
      <c r="E91" s="92"/>
      <c r="F91" s="92"/>
      <c r="G91" s="92"/>
      <c r="H91" s="92"/>
      <c r="I91" s="92"/>
      <c r="J91" s="92"/>
      <c r="K91" s="93"/>
      <c r="L91" s="94"/>
      <c r="M91" s="94"/>
      <c r="N91" s="95"/>
      <c r="O91" s="66"/>
      <c r="P91" s="96"/>
      <c r="Q91" s="97"/>
      <c r="R91" s="58"/>
      <c r="S91" s="69"/>
      <c r="T91" s="70"/>
      <c r="U91" s="66"/>
      <c r="V91" s="55"/>
      <c r="W91" s="55"/>
      <c r="X91" s="277"/>
      <c r="Y91" s="92"/>
    </row>
    <row r="92" spans="1:25" s="99" customFormat="1" ht="30" customHeight="1">
      <c r="A92" s="89"/>
      <c r="B92" s="89"/>
      <c r="C92" s="482"/>
      <c r="D92" s="91"/>
      <c r="E92" s="92"/>
      <c r="F92" s="92"/>
      <c r="G92" s="92"/>
      <c r="H92" s="92"/>
      <c r="I92" s="92"/>
      <c r="J92" s="92"/>
      <c r="K92" s="93"/>
      <c r="L92" s="94"/>
      <c r="M92" s="94"/>
      <c r="N92" s="95"/>
      <c r="O92" s="66"/>
      <c r="P92" s="96"/>
      <c r="Q92" s="97"/>
      <c r="R92" s="58"/>
      <c r="S92" s="69"/>
      <c r="T92" s="70"/>
      <c r="U92" s="66"/>
      <c r="V92" s="55"/>
      <c r="W92" s="55"/>
      <c r="X92" s="277"/>
      <c r="Y92" s="92"/>
    </row>
    <row r="93" spans="1:25" s="99" customFormat="1" ht="30" customHeight="1">
      <c r="A93" s="89"/>
      <c r="B93" s="89"/>
      <c r="C93" s="482"/>
      <c r="D93" s="91"/>
      <c r="E93" s="92"/>
      <c r="F93" s="92"/>
      <c r="G93" s="92"/>
      <c r="H93" s="92"/>
      <c r="I93" s="92"/>
      <c r="J93" s="92"/>
      <c r="K93" s="93"/>
      <c r="L93" s="94"/>
      <c r="M93" s="94"/>
      <c r="N93" s="95"/>
      <c r="O93" s="66"/>
      <c r="P93" s="96"/>
      <c r="Q93" s="97"/>
      <c r="R93" s="58"/>
      <c r="S93" s="69"/>
      <c r="T93" s="70"/>
      <c r="U93" s="66"/>
      <c r="V93" s="55"/>
      <c r="W93" s="55"/>
      <c r="X93" s="277"/>
      <c r="Y93" s="92"/>
    </row>
    <row r="94" spans="1:25" s="99" customFormat="1" ht="30" customHeight="1">
      <c r="A94" s="89"/>
      <c r="B94" s="89"/>
      <c r="C94" s="482"/>
      <c r="D94" s="91"/>
      <c r="E94" s="92"/>
      <c r="F94" s="92"/>
      <c r="G94" s="92"/>
      <c r="H94" s="92"/>
      <c r="I94" s="92"/>
      <c r="J94" s="92"/>
      <c r="K94" s="93"/>
      <c r="L94" s="94"/>
      <c r="M94" s="94"/>
      <c r="N94" s="95"/>
      <c r="O94" s="66"/>
      <c r="P94" s="96"/>
      <c r="Q94" s="97"/>
      <c r="R94" s="58"/>
      <c r="S94" s="69"/>
      <c r="T94" s="70"/>
      <c r="U94" s="66"/>
      <c r="V94" s="55"/>
      <c r="W94" s="55"/>
      <c r="X94" s="277"/>
      <c r="Y94" s="92"/>
    </row>
    <row r="95" spans="1:25" s="99" customFormat="1" ht="30" customHeight="1">
      <c r="A95" s="89"/>
      <c r="B95" s="89"/>
      <c r="C95" s="482"/>
      <c r="D95" s="91"/>
      <c r="E95" s="92"/>
      <c r="F95" s="92"/>
      <c r="G95" s="92"/>
      <c r="H95" s="92"/>
      <c r="I95" s="92"/>
      <c r="J95" s="92"/>
      <c r="K95" s="93"/>
      <c r="L95" s="94"/>
      <c r="M95" s="94"/>
      <c r="N95" s="95"/>
      <c r="O95" s="66"/>
      <c r="P95" s="96"/>
      <c r="Q95" s="97"/>
      <c r="R95" s="58"/>
      <c r="S95" s="69"/>
      <c r="T95" s="70"/>
      <c r="U95" s="66"/>
      <c r="V95" s="55"/>
      <c r="W95" s="55"/>
      <c r="X95" s="277"/>
      <c r="Y95" s="92"/>
    </row>
    <row r="96" spans="1:25" s="99" customFormat="1" ht="30" customHeight="1">
      <c r="A96" s="89"/>
      <c r="B96" s="89"/>
      <c r="C96" s="482"/>
      <c r="D96" s="91"/>
      <c r="E96" s="92"/>
      <c r="F96" s="92"/>
      <c r="G96" s="92"/>
      <c r="H96" s="92"/>
      <c r="I96" s="92"/>
      <c r="J96" s="92"/>
      <c r="K96" s="93"/>
      <c r="L96" s="94"/>
      <c r="M96" s="94"/>
      <c r="N96" s="95"/>
      <c r="O96" s="66"/>
      <c r="P96" s="96"/>
      <c r="Q96" s="97"/>
      <c r="R96" s="58"/>
      <c r="S96" s="69"/>
      <c r="T96" s="70"/>
      <c r="U96" s="66"/>
      <c r="V96" s="55"/>
      <c r="W96" s="55"/>
      <c r="X96" s="277"/>
      <c r="Y96" s="92"/>
    </row>
    <row r="97" spans="1:25" s="99" customFormat="1" ht="30" customHeight="1">
      <c r="A97" s="89"/>
      <c r="B97" s="89"/>
      <c r="C97" s="482"/>
      <c r="D97" s="91"/>
      <c r="E97" s="92"/>
      <c r="F97" s="92"/>
      <c r="G97" s="92"/>
      <c r="H97" s="92"/>
      <c r="I97" s="92"/>
      <c r="J97" s="92"/>
      <c r="K97" s="93"/>
      <c r="L97" s="94"/>
      <c r="M97" s="94"/>
      <c r="N97" s="95"/>
      <c r="O97" s="66"/>
      <c r="P97" s="96"/>
      <c r="Q97" s="97"/>
      <c r="R97" s="58"/>
      <c r="S97" s="69"/>
      <c r="T97" s="70"/>
      <c r="U97" s="66"/>
      <c r="V97" s="55"/>
      <c r="W97" s="55"/>
      <c r="X97" s="277"/>
      <c r="Y97" s="92"/>
    </row>
    <row r="98" spans="1:25" s="99" customFormat="1" ht="30" customHeight="1">
      <c r="A98" s="89"/>
      <c r="B98" s="89"/>
      <c r="C98" s="482"/>
      <c r="D98" s="91"/>
      <c r="E98" s="92"/>
      <c r="F98" s="92"/>
      <c r="G98" s="92"/>
      <c r="H98" s="92"/>
      <c r="I98" s="92"/>
      <c r="J98" s="92"/>
      <c r="K98" s="93"/>
      <c r="L98" s="94"/>
      <c r="M98" s="94"/>
      <c r="N98" s="95"/>
      <c r="O98" s="66"/>
      <c r="P98" s="96"/>
      <c r="Q98" s="97"/>
      <c r="R98" s="58"/>
      <c r="S98" s="69"/>
      <c r="T98" s="70"/>
      <c r="U98" s="66"/>
      <c r="V98" s="55"/>
      <c r="W98" s="55"/>
      <c r="X98" s="277"/>
      <c r="Y98" s="92"/>
    </row>
    <row r="99" spans="1:25" s="99" customFormat="1" ht="30" customHeight="1">
      <c r="A99" s="89"/>
      <c r="B99" s="89"/>
      <c r="C99" s="482"/>
      <c r="D99" s="91"/>
      <c r="E99" s="92"/>
      <c r="F99" s="92"/>
      <c r="G99" s="92"/>
      <c r="H99" s="92"/>
      <c r="I99" s="92"/>
      <c r="J99" s="92"/>
      <c r="K99" s="93"/>
      <c r="L99" s="94"/>
      <c r="M99" s="94"/>
      <c r="N99" s="95"/>
      <c r="O99" s="66"/>
      <c r="P99" s="96"/>
      <c r="Q99" s="97"/>
      <c r="R99" s="58"/>
      <c r="S99" s="69"/>
      <c r="T99" s="70"/>
      <c r="U99" s="66"/>
      <c r="V99" s="55"/>
      <c r="W99" s="55"/>
      <c r="X99" s="277"/>
      <c r="Y99" s="92"/>
    </row>
    <row r="100" spans="1:25" s="99" customFormat="1" ht="30" customHeight="1">
      <c r="A100" s="89"/>
      <c r="B100" s="89"/>
      <c r="C100" s="482"/>
      <c r="D100" s="91"/>
      <c r="E100" s="92"/>
      <c r="F100" s="92"/>
      <c r="G100" s="92"/>
      <c r="H100" s="92"/>
      <c r="I100" s="92"/>
      <c r="J100" s="92"/>
      <c r="K100" s="93"/>
      <c r="L100" s="94"/>
      <c r="M100" s="94"/>
      <c r="N100" s="95"/>
      <c r="O100" s="66"/>
      <c r="P100" s="96"/>
      <c r="Q100" s="97"/>
      <c r="R100" s="58"/>
      <c r="S100" s="69"/>
      <c r="T100" s="70"/>
      <c r="U100" s="66"/>
      <c r="V100" s="55"/>
      <c r="W100" s="55"/>
      <c r="X100" s="277"/>
      <c r="Y100" s="92"/>
    </row>
    <row r="101" spans="1:25" s="99" customFormat="1" ht="30" customHeight="1">
      <c r="A101" s="89"/>
      <c r="B101" s="89"/>
      <c r="C101" s="482"/>
      <c r="D101" s="91"/>
      <c r="E101" s="92"/>
      <c r="F101" s="92"/>
      <c r="G101" s="92"/>
      <c r="H101" s="92"/>
      <c r="I101" s="92"/>
      <c r="J101" s="92"/>
      <c r="K101" s="93"/>
      <c r="L101" s="94"/>
      <c r="M101" s="94"/>
      <c r="N101" s="95"/>
      <c r="O101" s="66"/>
      <c r="P101" s="96"/>
      <c r="Q101" s="97"/>
      <c r="R101" s="58"/>
      <c r="S101" s="69"/>
      <c r="T101" s="70"/>
      <c r="U101" s="66"/>
      <c r="V101" s="55"/>
      <c r="W101" s="55"/>
      <c r="X101" s="277"/>
      <c r="Y101" s="92"/>
    </row>
    <row r="102" spans="1:25" s="99" customFormat="1" ht="30" customHeight="1">
      <c r="A102" s="89"/>
      <c r="B102" s="89"/>
      <c r="C102" s="482"/>
      <c r="D102" s="91"/>
      <c r="E102" s="92"/>
      <c r="F102" s="92"/>
      <c r="G102" s="92"/>
      <c r="H102" s="92"/>
      <c r="I102" s="92"/>
      <c r="J102" s="92"/>
      <c r="K102" s="93"/>
      <c r="L102" s="94"/>
      <c r="M102" s="94"/>
      <c r="N102" s="95"/>
      <c r="O102" s="66"/>
      <c r="P102" s="96"/>
      <c r="Q102" s="97"/>
      <c r="R102" s="58"/>
      <c r="S102" s="69"/>
      <c r="T102" s="70"/>
      <c r="U102" s="66"/>
      <c r="V102" s="55"/>
      <c r="W102" s="55"/>
      <c r="X102" s="277"/>
      <c r="Y102" s="92"/>
    </row>
    <row r="103" spans="1:25" s="99" customFormat="1" ht="30" customHeight="1">
      <c r="A103" s="89"/>
      <c r="B103" s="89"/>
      <c r="C103" s="482"/>
      <c r="D103" s="91"/>
      <c r="E103" s="92"/>
      <c r="F103" s="92"/>
      <c r="G103" s="92"/>
      <c r="H103" s="92"/>
      <c r="I103" s="92"/>
      <c r="J103" s="92"/>
      <c r="K103" s="93"/>
      <c r="L103" s="94"/>
      <c r="M103" s="94"/>
      <c r="N103" s="95"/>
      <c r="O103" s="66"/>
      <c r="P103" s="96"/>
      <c r="Q103" s="97"/>
      <c r="R103" s="58"/>
      <c r="S103" s="69"/>
      <c r="T103" s="70"/>
      <c r="U103" s="66"/>
      <c r="V103" s="55"/>
      <c r="W103" s="55"/>
      <c r="X103" s="277"/>
      <c r="Y103" s="92"/>
    </row>
    <row r="104" spans="1:25" s="99" customFormat="1" ht="30" customHeight="1">
      <c r="A104" s="89"/>
      <c r="B104" s="89"/>
      <c r="C104" s="482"/>
      <c r="D104" s="91"/>
      <c r="E104" s="92"/>
      <c r="F104" s="92"/>
      <c r="G104" s="92"/>
      <c r="H104" s="92"/>
      <c r="I104" s="92"/>
      <c r="J104" s="92"/>
      <c r="K104" s="93"/>
      <c r="L104" s="94"/>
      <c r="M104" s="94"/>
      <c r="N104" s="95"/>
      <c r="O104" s="66"/>
      <c r="P104" s="96"/>
      <c r="Q104" s="97"/>
      <c r="R104" s="58"/>
      <c r="S104" s="69"/>
      <c r="T104" s="70"/>
      <c r="U104" s="66"/>
      <c r="V104" s="55"/>
      <c r="W104" s="55"/>
      <c r="X104" s="277"/>
      <c r="Y104" s="92"/>
    </row>
    <row r="105" spans="1:25" s="99" customFormat="1" ht="30" customHeight="1">
      <c r="A105" s="89"/>
      <c r="B105" s="89"/>
      <c r="C105" s="482"/>
      <c r="D105" s="91"/>
      <c r="E105" s="92"/>
      <c r="F105" s="92"/>
      <c r="G105" s="92"/>
      <c r="H105" s="92"/>
      <c r="I105" s="92"/>
      <c r="J105" s="92"/>
      <c r="K105" s="93"/>
      <c r="L105" s="94"/>
      <c r="M105" s="94"/>
      <c r="N105" s="95"/>
      <c r="O105" s="66"/>
      <c r="P105" s="96"/>
      <c r="Q105" s="97"/>
      <c r="R105" s="58"/>
      <c r="S105" s="69"/>
      <c r="T105" s="70"/>
      <c r="U105" s="66"/>
      <c r="V105" s="55"/>
      <c r="W105" s="55"/>
      <c r="X105" s="277"/>
      <c r="Y105" s="92"/>
    </row>
    <row r="106" spans="1:25" s="99" customFormat="1" ht="65.099999999999994" customHeight="1">
      <c r="A106" s="89"/>
      <c r="B106" s="89"/>
      <c r="C106" s="482"/>
      <c r="D106" s="91"/>
      <c r="E106" s="92"/>
      <c r="F106" s="92"/>
      <c r="G106" s="92"/>
      <c r="H106" s="92"/>
      <c r="I106" s="92"/>
      <c r="J106" s="92"/>
      <c r="K106" s="93"/>
      <c r="L106" s="94"/>
      <c r="M106" s="94"/>
      <c r="N106" s="95"/>
      <c r="O106" s="66"/>
      <c r="P106" s="96"/>
      <c r="Q106" s="97"/>
      <c r="R106" s="58"/>
      <c r="S106" s="69"/>
      <c r="T106" s="70"/>
      <c r="U106" s="66"/>
      <c r="V106" s="55"/>
      <c r="W106" s="55"/>
      <c r="X106" s="277"/>
      <c r="Y106" s="92"/>
    </row>
    <row r="107" spans="1:25" s="99" customFormat="1" ht="65.099999999999994" customHeight="1">
      <c r="A107" s="89"/>
      <c r="B107" s="89"/>
      <c r="C107" s="482"/>
      <c r="D107" s="91"/>
      <c r="E107" s="92"/>
      <c r="F107" s="92"/>
      <c r="G107" s="92"/>
      <c r="H107" s="92"/>
      <c r="I107" s="92"/>
      <c r="J107" s="92"/>
      <c r="K107" s="93"/>
      <c r="L107" s="94"/>
      <c r="M107" s="94"/>
      <c r="N107" s="95"/>
      <c r="O107" s="66"/>
      <c r="P107" s="96"/>
      <c r="Q107" s="97"/>
      <c r="R107" s="58"/>
      <c r="S107" s="69"/>
      <c r="T107" s="70"/>
      <c r="U107" s="66"/>
      <c r="V107" s="55"/>
      <c r="W107" s="55"/>
      <c r="X107" s="277"/>
      <c r="Y107" s="92"/>
    </row>
    <row r="108" spans="1:25" s="99" customFormat="1" ht="65.099999999999994" customHeight="1">
      <c r="A108" s="89"/>
      <c r="B108" s="89"/>
      <c r="C108" s="482"/>
      <c r="D108" s="91"/>
      <c r="E108" s="92"/>
      <c r="F108" s="92"/>
      <c r="G108" s="92"/>
      <c r="H108" s="92"/>
      <c r="I108" s="92"/>
      <c r="J108" s="92"/>
      <c r="K108" s="93"/>
      <c r="L108" s="94"/>
      <c r="M108" s="94"/>
      <c r="N108" s="95"/>
      <c r="O108" s="66"/>
      <c r="P108" s="96"/>
      <c r="Q108" s="97"/>
      <c r="R108" s="58"/>
      <c r="S108" s="69"/>
      <c r="T108" s="70"/>
      <c r="U108" s="66"/>
      <c r="V108" s="55"/>
      <c r="W108" s="55"/>
      <c r="X108" s="277"/>
      <c r="Y108" s="92"/>
    </row>
    <row r="109" spans="1:25" s="99" customFormat="1" ht="65.099999999999994" customHeight="1">
      <c r="A109" s="89"/>
      <c r="B109" s="89"/>
      <c r="C109" s="482"/>
      <c r="D109" s="91"/>
      <c r="E109" s="92"/>
      <c r="F109" s="92"/>
      <c r="G109" s="92"/>
      <c r="H109" s="92"/>
      <c r="I109" s="92"/>
      <c r="J109" s="92"/>
      <c r="K109" s="93"/>
      <c r="L109" s="94"/>
      <c r="M109" s="94"/>
      <c r="N109" s="95"/>
      <c r="O109" s="66"/>
      <c r="P109" s="96"/>
      <c r="Q109" s="97"/>
      <c r="R109" s="58"/>
      <c r="S109" s="69"/>
      <c r="T109" s="70"/>
      <c r="U109" s="66"/>
      <c r="V109" s="55"/>
      <c r="W109" s="55"/>
      <c r="X109" s="277"/>
      <c r="Y109" s="92"/>
    </row>
    <row r="110" spans="1:25" s="99" customFormat="1" ht="65.099999999999994" customHeight="1">
      <c r="A110" s="89"/>
      <c r="B110" s="89"/>
      <c r="C110" s="482"/>
      <c r="D110" s="91"/>
      <c r="E110" s="92"/>
      <c r="F110" s="92"/>
      <c r="G110" s="92"/>
      <c r="H110" s="92"/>
      <c r="I110" s="92"/>
      <c r="J110" s="92"/>
      <c r="K110" s="93"/>
      <c r="L110" s="94"/>
      <c r="M110" s="94"/>
      <c r="N110" s="95"/>
      <c r="O110" s="66"/>
      <c r="P110" s="96"/>
      <c r="Q110" s="97"/>
      <c r="R110" s="58"/>
      <c r="S110" s="69"/>
      <c r="T110" s="70"/>
      <c r="U110" s="66"/>
      <c r="V110" s="55"/>
      <c r="W110" s="55"/>
      <c r="X110" s="277"/>
      <c r="Y110" s="92"/>
    </row>
    <row r="111" spans="1:25" s="99" customFormat="1" ht="65.099999999999994" customHeight="1">
      <c r="A111" s="89"/>
      <c r="B111" s="89"/>
      <c r="C111" s="482"/>
      <c r="D111" s="91"/>
      <c r="E111" s="92"/>
      <c r="F111" s="92"/>
      <c r="G111" s="92"/>
      <c r="H111" s="92"/>
      <c r="I111" s="92"/>
      <c r="J111" s="92"/>
      <c r="K111" s="93"/>
      <c r="L111" s="94"/>
      <c r="M111" s="94"/>
      <c r="N111" s="95"/>
      <c r="O111" s="66"/>
      <c r="P111" s="96"/>
      <c r="Q111" s="97"/>
      <c r="R111" s="58"/>
      <c r="S111" s="69"/>
      <c r="T111" s="70"/>
      <c r="U111" s="66"/>
      <c r="V111" s="55"/>
      <c r="W111" s="55"/>
      <c r="X111" s="277"/>
      <c r="Y111" s="92"/>
    </row>
    <row r="112" spans="1:25" s="99" customFormat="1" ht="65.099999999999994" customHeight="1">
      <c r="A112" s="89"/>
      <c r="B112" s="89"/>
      <c r="C112" s="482"/>
      <c r="D112" s="91"/>
      <c r="E112" s="92"/>
      <c r="F112" s="92"/>
      <c r="G112" s="92"/>
      <c r="H112" s="92"/>
      <c r="I112" s="92"/>
      <c r="J112" s="92"/>
      <c r="K112" s="93"/>
      <c r="L112" s="94"/>
      <c r="M112" s="94"/>
      <c r="N112" s="95"/>
      <c r="O112" s="66"/>
      <c r="P112" s="96"/>
      <c r="Q112" s="97"/>
      <c r="R112" s="58"/>
      <c r="S112" s="69"/>
      <c r="T112" s="70"/>
      <c r="U112" s="66"/>
      <c r="V112" s="55"/>
      <c r="W112" s="55"/>
      <c r="X112" s="277"/>
      <c r="Y112" s="92"/>
    </row>
    <row r="113" spans="1:25" s="99" customFormat="1" ht="65.099999999999994" customHeight="1">
      <c r="A113" s="89"/>
      <c r="B113" s="89"/>
      <c r="C113" s="482"/>
      <c r="D113" s="91"/>
      <c r="E113" s="92"/>
      <c r="F113" s="92"/>
      <c r="G113" s="92"/>
      <c r="H113" s="92"/>
      <c r="I113" s="92"/>
      <c r="J113" s="92"/>
      <c r="K113" s="93"/>
      <c r="L113" s="94"/>
      <c r="M113" s="94"/>
      <c r="N113" s="95"/>
      <c r="O113" s="66"/>
      <c r="P113" s="96"/>
      <c r="Q113" s="97"/>
      <c r="R113" s="58"/>
      <c r="S113" s="69"/>
      <c r="T113" s="70"/>
      <c r="U113" s="66"/>
      <c r="V113" s="55"/>
      <c r="W113" s="55"/>
      <c r="X113" s="277"/>
      <c r="Y113" s="92"/>
    </row>
    <row r="114" spans="1:25" s="99" customFormat="1" ht="65.099999999999994" customHeight="1">
      <c r="A114" s="89"/>
      <c r="B114" s="89"/>
      <c r="C114" s="482"/>
      <c r="D114" s="91"/>
      <c r="E114" s="92"/>
      <c r="F114" s="92"/>
      <c r="G114" s="92"/>
      <c r="H114" s="92"/>
      <c r="I114" s="92"/>
      <c r="J114" s="92"/>
      <c r="K114" s="93"/>
      <c r="L114" s="94"/>
      <c r="M114" s="94"/>
      <c r="N114" s="95"/>
      <c r="O114" s="66"/>
      <c r="P114" s="96"/>
      <c r="Q114" s="97"/>
      <c r="R114" s="58"/>
      <c r="S114" s="69"/>
      <c r="T114" s="70"/>
      <c r="U114" s="66"/>
      <c r="V114" s="55"/>
      <c r="W114" s="55"/>
      <c r="X114" s="277"/>
      <c r="Y114" s="92"/>
    </row>
    <row r="115" spans="1:25" s="99" customFormat="1" ht="65.099999999999994" customHeight="1">
      <c r="A115" s="89"/>
      <c r="B115" s="89"/>
      <c r="C115" s="482"/>
      <c r="D115" s="91"/>
      <c r="E115" s="92"/>
      <c r="F115" s="92"/>
      <c r="G115" s="92"/>
      <c r="H115" s="92"/>
      <c r="I115" s="92"/>
      <c r="J115" s="92"/>
      <c r="K115" s="93"/>
      <c r="L115" s="94"/>
      <c r="M115" s="94"/>
      <c r="N115" s="95"/>
      <c r="O115" s="66"/>
      <c r="P115" s="96"/>
      <c r="Q115" s="97"/>
      <c r="R115" s="58"/>
      <c r="S115" s="69"/>
      <c r="T115" s="70"/>
      <c r="U115" s="66"/>
      <c r="V115" s="55"/>
      <c r="W115" s="55"/>
      <c r="X115" s="277"/>
      <c r="Y115" s="92"/>
    </row>
    <row r="116" spans="1:25" s="99" customFormat="1" ht="65.099999999999994" customHeight="1">
      <c r="A116" s="89"/>
      <c r="B116" s="89"/>
      <c r="C116" s="482"/>
      <c r="D116" s="91"/>
      <c r="E116" s="92"/>
      <c r="F116" s="92"/>
      <c r="G116" s="92"/>
      <c r="H116" s="92"/>
      <c r="I116" s="92"/>
      <c r="J116" s="92"/>
      <c r="K116" s="93"/>
      <c r="L116" s="94"/>
      <c r="M116" s="94"/>
      <c r="N116" s="95"/>
      <c r="O116" s="66"/>
      <c r="P116" s="96"/>
      <c r="Q116" s="97"/>
      <c r="R116" s="58"/>
      <c r="S116" s="69"/>
      <c r="T116" s="70"/>
      <c r="U116" s="66"/>
      <c r="V116" s="55"/>
      <c r="W116" s="55"/>
      <c r="X116" s="277"/>
      <c r="Y116" s="92"/>
    </row>
    <row r="117" spans="1:25" s="99" customFormat="1" ht="65.099999999999994" customHeight="1">
      <c r="A117" s="89"/>
      <c r="B117" s="89"/>
      <c r="C117" s="482"/>
      <c r="D117" s="91"/>
      <c r="E117" s="92"/>
      <c r="F117" s="92"/>
      <c r="G117" s="92"/>
      <c r="H117" s="92"/>
      <c r="I117" s="92"/>
      <c r="J117" s="92"/>
      <c r="K117" s="93"/>
      <c r="L117" s="94"/>
      <c r="M117" s="94"/>
      <c r="N117" s="95"/>
      <c r="O117" s="66"/>
      <c r="P117" s="96"/>
      <c r="Q117" s="97"/>
      <c r="R117" s="58"/>
      <c r="S117" s="69"/>
      <c r="T117" s="70"/>
      <c r="U117" s="66"/>
      <c r="V117" s="55"/>
      <c r="W117" s="55"/>
      <c r="X117" s="277"/>
      <c r="Y117" s="92"/>
    </row>
    <row r="118" spans="1:25" s="99" customFormat="1" ht="65.099999999999994" customHeight="1">
      <c r="A118" s="89"/>
      <c r="B118" s="89"/>
      <c r="C118" s="482"/>
      <c r="D118" s="91"/>
      <c r="E118" s="92"/>
      <c r="F118" s="92"/>
      <c r="G118" s="92"/>
      <c r="H118" s="92"/>
      <c r="I118" s="92"/>
      <c r="J118" s="92"/>
      <c r="K118" s="93"/>
      <c r="L118" s="94"/>
      <c r="M118" s="94"/>
      <c r="N118" s="95"/>
      <c r="O118" s="66"/>
      <c r="P118" s="96"/>
      <c r="Q118" s="97"/>
      <c r="R118" s="58"/>
      <c r="S118" s="69"/>
      <c r="T118" s="70"/>
      <c r="U118" s="66"/>
      <c r="V118" s="55"/>
      <c r="W118" s="55"/>
      <c r="X118" s="277"/>
      <c r="Y118" s="92"/>
    </row>
    <row r="119" spans="1:25" s="99" customFormat="1" ht="65.099999999999994" customHeight="1">
      <c r="A119" s="89"/>
      <c r="B119" s="89"/>
      <c r="C119" s="482"/>
      <c r="D119" s="91"/>
      <c r="E119" s="92"/>
      <c r="F119" s="92"/>
      <c r="G119" s="92"/>
      <c r="H119" s="92"/>
      <c r="I119" s="92"/>
      <c r="J119" s="92"/>
      <c r="K119" s="93"/>
      <c r="L119" s="94"/>
      <c r="M119" s="94"/>
      <c r="N119" s="95"/>
      <c r="O119" s="66"/>
      <c r="P119" s="96"/>
      <c r="Q119" s="97"/>
      <c r="R119" s="58"/>
      <c r="S119" s="69"/>
      <c r="T119" s="70"/>
      <c r="U119" s="66"/>
      <c r="V119" s="55"/>
      <c r="W119" s="55"/>
      <c r="X119" s="277"/>
      <c r="Y119" s="92"/>
    </row>
    <row r="120" spans="1:25" s="99" customFormat="1" ht="65.099999999999994" customHeight="1">
      <c r="A120" s="89"/>
      <c r="B120" s="89"/>
      <c r="C120" s="482"/>
      <c r="D120" s="91"/>
      <c r="E120" s="92"/>
      <c r="F120" s="92"/>
      <c r="G120" s="92"/>
      <c r="H120" s="92"/>
      <c r="I120" s="92"/>
      <c r="J120" s="92"/>
      <c r="K120" s="93"/>
      <c r="L120" s="94"/>
      <c r="M120" s="94"/>
      <c r="N120" s="95"/>
      <c r="O120" s="66"/>
      <c r="P120" s="96"/>
      <c r="Q120" s="97"/>
      <c r="R120" s="58"/>
      <c r="S120" s="69"/>
      <c r="T120" s="70"/>
      <c r="U120" s="66"/>
      <c r="V120" s="55"/>
      <c r="W120" s="55"/>
      <c r="X120" s="277"/>
      <c r="Y120" s="92"/>
    </row>
    <row r="121" spans="1:25" s="99" customFormat="1" ht="65.099999999999994" customHeight="1">
      <c r="A121" s="89"/>
      <c r="B121" s="89"/>
      <c r="C121" s="482"/>
      <c r="D121" s="91"/>
      <c r="E121" s="92"/>
      <c r="F121" s="92"/>
      <c r="G121" s="92"/>
      <c r="H121" s="92"/>
      <c r="I121" s="92"/>
      <c r="J121" s="92"/>
      <c r="K121" s="93"/>
      <c r="L121" s="94"/>
      <c r="M121" s="94"/>
      <c r="N121" s="95"/>
      <c r="O121" s="66"/>
      <c r="P121" s="96"/>
      <c r="Q121" s="97"/>
      <c r="R121" s="58"/>
      <c r="S121" s="69"/>
      <c r="T121" s="70"/>
      <c r="U121" s="66"/>
      <c r="V121" s="55"/>
      <c r="W121" s="55"/>
      <c r="X121" s="277"/>
      <c r="Y121" s="92"/>
    </row>
    <row r="122" spans="1:25" s="99" customFormat="1" ht="65.099999999999994" customHeight="1">
      <c r="A122" s="89"/>
      <c r="B122" s="89"/>
      <c r="C122" s="482"/>
      <c r="D122" s="91"/>
      <c r="E122" s="92"/>
      <c r="F122" s="92"/>
      <c r="G122" s="92"/>
      <c r="H122" s="92"/>
      <c r="I122" s="92"/>
      <c r="J122" s="92"/>
      <c r="K122" s="93"/>
      <c r="L122" s="94"/>
      <c r="M122" s="94"/>
      <c r="N122" s="95"/>
      <c r="O122" s="66"/>
      <c r="P122" s="96"/>
      <c r="Q122" s="97"/>
      <c r="R122" s="58"/>
      <c r="S122" s="69"/>
      <c r="T122" s="70"/>
      <c r="U122" s="66"/>
      <c r="V122" s="55"/>
      <c r="W122" s="55"/>
      <c r="X122" s="277"/>
      <c r="Y122" s="92"/>
    </row>
    <row r="123" spans="1:25" s="99" customFormat="1" ht="65.099999999999994" customHeight="1">
      <c r="A123" s="89"/>
      <c r="B123" s="89"/>
      <c r="C123" s="482"/>
      <c r="D123" s="91"/>
      <c r="E123" s="92"/>
      <c r="F123" s="92"/>
      <c r="G123" s="92"/>
      <c r="H123" s="92"/>
      <c r="I123" s="92"/>
      <c r="J123" s="92"/>
      <c r="K123" s="93"/>
      <c r="L123" s="94"/>
      <c r="M123" s="94"/>
      <c r="N123" s="95"/>
      <c r="O123" s="66"/>
      <c r="P123" s="96"/>
      <c r="Q123" s="97"/>
      <c r="R123" s="58"/>
      <c r="S123" s="69"/>
      <c r="T123" s="70"/>
      <c r="U123" s="66"/>
      <c r="V123" s="55"/>
      <c r="W123" s="55"/>
      <c r="X123" s="277"/>
      <c r="Y123" s="92"/>
    </row>
    <row r="124" spans="1:25" s="99" customFormat="1" ht="65.099999999999994" customHeight="1">
      <c r="A124" s="89"/>
      <c r="B124" s="89"/>
      <c r="C124" s="482"/>
      <c r="D124" s="91"/>
      <c r="E124" s="92"/>
      <c r="F124" s="92"/>
      <c r="G124" s="92"/>
      <c r="H124" s="92"/>
      <c r="I124" s="92"/>
      <c r="J124" s="92"/>
      <c r="K124" s="93"/>
      <c r="L124" s="94"/>
      <c r="M124" s="94"/>
      <c r="N124" s="95"/>
      <c r="O124" s="66"/>
      <c r="P124" s="96"/>
      <c r="Q124" s="97"/>
      <c r="R124" s="58"/>
      <c r="S124" s="69"/>
      <c r="T124" s="70"/>
      <c r="U124" s="66"/>
      <c r="V124" s="55"/>
      <c r="W124" s="55"/>
      <c r="X124" s="277"/>
      <c r="Y124" s="92"/>
    </row>
    <row r="125" spans="1:25" s="99" customFormat="1" ht="65.099999999999994" customHeight="1">
      <c r="A125" s="89"/>
      <c r="B125" s="89"/>
      <c r="C125" s="482"/>
      <c r="D125" s="91"/>
      <c r="E125" s="92"/>
      <c r="F125" s="92"/>
      <c r="G125" s="92"/>
      <c r="H125" s="92"/>
      <c r="I125" s="92"/>
      <c r="J125" s="92"/>
      <c r="K125" s="93"/>
      <c r="L125" s="94"/>
      <c r="M125" s="94"/>
      <c r="N125" s="95"/>
      <c r="O125" s="66"/>
      <c r="P125" s="96"/>
      <c r="Q125" s="97"/>
      <c r="R125" s="58"/>
      <c r="S125" s="69"/>
      <c r="T125" s="70"/>
      <c r="U125" s="66"/>
      <c r="V125" s="55"/>
      <c r="W125" s="55"/>
      <c r="X125" s="277"/>
      <c r="Y125" s="92"/>
    </row>
    <row r="126" spans="1:25" s="99" customFormat="1" ht="65.099999999999994" customHeight="1">
      <c r="A126" s="89"/>
      <c r="B126" s="89"/>
      <c r="C126" s="482"/>
      <c r="D126" s="91"/>
      <c r="E126" s="92"/>
      <c r="F126" s="92"/>
      <c r="G126" s="92"/>
      <c r="H126" s="92"/>
      <c r="I126" s="92"/>
      <c r="J126" s="92"/>
      <c r="K126" s="93"/>
      <c r="L126" s="94"/>
      <c r="M126" s="94"/>
      <c r="N126" s="95"/>
      <c r="O126" s="66"/>
      <c r="P126" s="96"/>
      <c r="Q126" s="97"/>
      <c r="R126" s="58"/>
      <c r="S126" s="69"/>
      <c r="T126" s="70"/>
      <c r="U126" s="66"/>
      <c r="V126" s="55"/>
      <c r="W126" s="55"/>
      <c r="X126" s="277"/>
      <c r="Y126" s="92"/>
    </row>
    <row r="127" spans="1:25" s="99" customFormat="1" ht="65.099999999999994" customHeight="1">
      <c r="A127" s="89"/>
      <c r="B127" s="89"/>
      <c r="C127" s="482"/>
      <c r="D127" s="91"/>
      <c r="E127" s="92"/>
      <c r="F127" s="92"/>
      <c r="G127" s="92"/>
      <c r="H127" s="92"/>
      <c r="I127" s="92"/>
      <c r="J127" s="92"/>
      <c r="K127" s="93"/>
      <c r="L127" s="94"/>
      <c r="M127" s="94"/>
      <c r="N127" s="95"/>
      <c r="O127" s="66"/>
      <c r="P127" s="96"/>
      <c r="Q127" s="97"/>
      <c r="R127" s="58"/>
      <c r="S127" s="69"/>
      <c r="T127" s="70"/>
      <c r="U127" s="66"/>
      <c r="V127" s="55"/>
      <c r="W127" s="55"/>
      <c r="X127" s="277"/>
      <c r="Y127" s="92"/>
    </row>
    <row r="128" spans="1:25" s="99" customFormat="1" ht="65.099999999999994" customHeight="1">
      <c r="A128" s="89"/>
      <c r="B128" s="89"/>
      <c r="C128" s="482"/>
      <c r="D128" s="91"/>
      <c r="E128" s="92"/>
      <c r="F128" s="92"/>
      <c r="G128" s="92"/>
      <c r="H128" s="92"/>
      <c r="I128" s="92"/>
      <c r="J128" s="92"/>
      <c r="K128" s="93"/>
      <c r="L128" s="94"/>
      <c r="M128" s="94"/>
      <c r="N128" s="95"/>
      <c r="O128" s="66"/>
      <c r="P128" s="96"/>
      <c r="Q128" s="97"/>
      <c r="R128" s="58"/>
      <c r="S128" s="69"/>
      <c r="T128" s="70"/>
      <c r="U128" s="66"/>
      <c r="V128" s="55"/>
      <c r="W128" s="55"/>
      <c r="X128" s="277"/>
      <c r="Y128" s="92"/>
    </row>
    <row r="129" spans="1:25" s="99" customFormat="1" ht="65.099999999999994" customHeight="1">
      <c r="A129" s="89"/>
      <c r="B129" s="89"/>
      <c r="C129" s="482"/>
      <c r="D129" s="91"/>
      <c r="E129" s="92"/>
      <c r="F129" s="92"/>
      <c r="G129" s="92"/>
      <c r="H129" s="92"/>
      <c r="I129" s="92"/>
      <c r="J129" s="92"/>
      <c r="K129" s="93"/>
      <c r="L129" s="94"/>
      <c r="M129" s="94"/>
      <c r="N129" s="95"/>
      <c r="O129" s="66"/>
      <c r="P129" s="96"/>
      <c r="Q129" s="97"/>
      <c r="R129" s="58"/>
      <c r="S129" s="69"/>
      <c r="T129" s="70"/>
      <c r="U129" s="66"/>
      <c r="V129" s="55"/>
      <c r="W129" s="55"/>
      <c r="X129" s="277"/>
      <c r="Y129" s="92"/>
    </row>
    <row r="130" spans="1:25" s="99" customFormat="1" ht="65.099999999999994" customHeight="1">
      <c r="A130" s="89"/>
      <c r="B130" s="89"/>
      <c r="C130" s="482"/>
      <c r="D130" s="91"/>
      <c r="E130" s="92"/>
      <c r="F130" s="92"/>
      <c r="G130" s="92"/>
      <c r="H130" s="92"/>
      <c r="I130" s="92"/>
      <c r="J130" s="92"/>
      <c r="K130" s="93"/>
      <c r="L130" s="94"/>
      <c r="M130" s="94"/>
      <c r="N130" s="95"/>
      <c r="O130" s="66"/>
      <c r="P130" s="96"/>
      <c r="Q130" s="97"/>
      <c r="R130" s="58"/>
      <c r="S130" s="69"/>
      <c r="T130" s="70"/>
      <c r="U130" s="66"/>
      <c r="V130" s="55"/>
      <c r="W130" s="55"/>
      <c r="X130" s="277"/>
      <c r="Y130" s="92"/>
    </row>
    <row r="131" spans="1:25" s="99" customFormat="1" ht="65.099999999999994" customHeight="1">
      <c r="A131" s="89"/>
      <c r="B131" s="89"/>
      <c r="C131" s="482"/>
      <c r="D131" s="91"/>
      <c r="E131" s="92"/>
      <c r="F131" s="92"/>
      <c r="G131" s="92"/>
      <c r="H131" s="92"/>
      <c r="I131" s="92"/>
      <c r="J131" s="92"/>
      <c r="K131" s="93"/>
      <c r="L131" s="94"/>
      <c r="M131" s="94"/>
      <c r="N131" s="95"/>
      <c r="O131" s="66"/>
      <c r="P131" s="96"/>
      <c r="Q131" s="97"/>
      <c r="R131" s="58"/>
      <c r="S131" s="69"/>
      <c r="T131" s="70"/>
      <c r="U131" s="66"/>
      <c r="V131" s="55"/>
      <c r="W131" s="55"/>
      <c r="X131" s="277"/>
      <c r="Y131" s="92"/>
    </row>
    <row r="132" spans="1:25" s="99" customFormat="1" ht="65.099999999999994" customHeight="1">
      <c r="A132" s="89"/>
      <c r="B132" s="89"/>
      <c r="C132" s="482"/>
      <c r="D132" s="91"/>
      <c r="E132" s="92"/>
      <c r="F132" s="92"/>
      <c r="G132" s="92"/>
      <c r="H132" s="92"/>
      <c r="I132" s="92"/>
      <c r="J132" s="92"/>
      <c r="K132" s="93"/>
      <c r="L132" s="94"/>
      <c r="M132" s="94"/>
      <c r="N132" s="95"/>
      <c r="O132" s="66"/>
      <c r="P132" s="96"/>
      <c r="Q132" s="97"/>
      <c r="R132" s="58"/>
      <c r="S132" s="69"/>
      <c r="T132" s="70"/>
      <c r="U132" s="66"/>
      <c r="V132" s="55"/>
      <c r="W132" s="55"/>
      <c r="X132" s="277"/>
      <c r="Y132" s="92"/>
    </row>
    <row r="133" spans="1:25" s="99" customFormat="1" ht="65.099999999999994" customHeight="1">
      <c r="A133" s="89"/>
      <c r="B133" s="89"/>
      <c r="C133" s="482"/>
      <c r="D133" s="91"/>
      <c r="E133" s="92"/>
      <c r="F133" s="92"/>
      <c r="G133" s="92"/>
      <c r="H133" s="92"/>
      <c r="I133" s="92"/>
      <c r="J133" s="92"/>
      <c r="K133" s="93"/>
      <c r="L133" s="94"/>
      <c r="M133" s="94"/>
      <c r="N133" s="95"/>
      <c r="O133" s="66"/>
      <c r="P133" s="96"/>
      <c r="Q133" s="97"/>
      <c r="R133" s="58"/>
      <c r="S133" s="69"/>
      <c r="T133" s="70"/>
      <c r="U133" s="66"/>
      <c r="V133" s="55"/>
      <c r="W133" s="55"/>
      <c r="X133" s="277"/>
      <c r="Y133" s="92"/>
    </row>
    <row r="134" spans="1:25" s="99" customFormat="1" ht="65.099999999999994" customHeight="1">
      <c r="A134" s="89"/>
      <c r="B134" s="89"/>
      <c r="C134" s="482"/>
      <c r="D134" s="91"/>
      <c r="E134" s="92"/>
      <c r="F134" s="92"/>
      <c r="G134" s="92"/>
      <c r="H134" s="92"/>
      <c r="I134" s="92"/>
      <c r="J134" s="92"/>
      <c r="K134" s="93"/>
      <c r="L134" s="94"/>
      <c r="M134" s="94"/>
      <c r="N134" s="95"/>
      <c r="O134" s="66"/>
      <c r="P134" s="96"/>
      <c r="Q134" s="97"/>
      <c r="R134" s="58"/>
      <c r="S134" s="69"/>
      <c r="T134" s="70"/>
      <c r="U134" s="66"/>
      <c r="V134" s="55"/>
      <c r="W134" s="55"/>
      <c r="X134" s="277"/>
      <c r="Y134" s="92"/>
    </row>
    <row r="135" spans="1:25" s="99" customFormat="1" ht="65.099999999999994" customHeight="1">
      <c r="A135" s="89"/>
      <c r="B135" s="89"/>
      <c r="C135" s="482"/>
      <c r="D135" s="91"/>
      <c r="E135" s="92"/>
      <c r="F135" s="92"/>
      <c r="G135" s="92"/>
      <c r="H135" s="92"/>
      <c r="I135" s="92"/>
      <c r="J135" s="92"/>
      <c r="K135" s="93"/>
      <c r="L135" s="94"/>
      <c r="M135" s="94"/>
      <c r="N135" s="95"/>
      <c r="O135" s="66"/>
      <c r="P135" s="96"/>
      <c r="Q135" s="97"/>
      <c r="R135" s="58"/>
      <c r="S135" s="69"/>
      <c r="T135" s="70"/>
      <c r="U135" s="66"/>
      <c r="V135" s="55"/>
      <c r="W135" s="55"/>
      <c r="X135" s="277"/>
      <c r="Y135" s="92"/>
    </row>
    <row r="136" spans="1:25" s="99" customFormat="1" ht="65.099999999999994" customHeight="1">
      <c r="A136" s="89"/>
      <c r="B136" s="89"/>
      <c r="C136" s="482"/>
      <c r="D136" s="91"/>
      <c r="E136" s="92"/>
      <c r="F136" s="92"/>
      <c r="G136" s="92"/>
      <c r="H136" s="92"/>
      <c r="I136" s="92"/>
      <c r="J136" s="92"/>
      <c r="K136" s="93"/>
      <c r="L136" s="94"/>
      <c r="M136" s="94"/>
      <c r="N136" s="95"/>
      <c r="O136" s="66"/>
      <c r="P136" s="96"/>
      <c r="Q136" s="97"/>
      <c r="R136" s="58"/>
      <c r="S136" s="69"/>
      <c r="T136" s="70"/>
      <c r="U136" s="66"/>
      <c r="V136" s="55"/>
      <c r="W136" s="55"/>
      <c r="X136" s="277"/>
      <c r="Y136" s="92"/>
    </row>
    <row r="137" spans="1:25" s="99" customFormat="1" ht="65.099999999999994" customHeight="1">
      <c r="A137" s="89"/>
      <c r="B137" s="89"/>
      <c r="C137" s="482"/>
      <c r="D137" s="91"/>
      <c r="E137" s="92"/>
      <c r="F137" s="92"/>
      <c r="G137" s="92"/>
      <c r="H137" s="92"/>
      <c r="I137" s="92"/>
      <c r="J137" s="92"/>
      <c r="K137" s="93"/>
      <c r="L137" s="94"/>
      <c r="M137" s="94"/>
      <c r="N137" s="95"/>
      <c r="O137" s="66"/>
      <c r="P137" s="96"/>
      <c r="Q137" s="97"/>
      <c r="R137" s="58"/>
      <c r="S137" s="69"/>
      <c r="T137" s="70"/>
      <c r="U137" s="66"/>
      <c r="V137" s="55"/>
      <c r="W137" s="55"/>
      <c r="X137" s="277"/>
      <c r="Y137" s="92"/>
    </row>
    <row r="138" spans="1:25" s="99" customFormat="1" ht="65.099999999999994" customHeight="1">
      <c r="A138" s="89"/>
      <c r="B138" s="89"/>
      <c r="C138" s="482"/>
      <c r="D138" s="91"/>
      <c r="E138" s="92"/>
      <c r="F138" s="92"/>
      <c r="G138" s="92"/>
      <c r="H138" s="92"/>
      <c r="I138" s="92"/>
      <c r="J138" s="92"/>
      <c r="K138" s="93"/>
      <c r="L138" s="94"/>
      <c r="M138" s="94"/>
      <c r="N138" s="95"/>
      <c r="O138" s="66"/>
      <c r="P138" s="96"/>
      <c r="Q138" s="97"/>
      <c r="R138" s="58"/>
      <c r="S138" s="69"/>
      <c r="T138" s="70"/>
      <c r="U138" s="66"/>
      <c r="V138" s="55"/>
      <c r="W138" s="55"/>
      <c r="X138" s="277"/>
      <c r="Y138" s="92"/>
    </row>
    <row r="139" spans="1:25" s="99" customFormat="1" ht="65.099999999999994" customHeight="1">
      <c r="A139" s="89"/>
      <c r="B139" s="89"/>
      <c r="C139" s="482"/>
      <c r="D139" s="91"/>
      <c r="E139" s="92"/>
      <c r="F139" s="92"/>
      <c r="G139" s="92"/>
      <c r="H139" s="92"/>
      <c r="I139" s="92"/>
      <c r="J139" s="92"/>
      <c r="K139" s="93"/>
      <c r="L139" s="94"/>
      <c r="M139" s="94"/>
      <c r="N139" s="95"/>
      <c r="O139" s="66"/>
      <c r="P139" s="96"/>
      <c r="Q139" s="97"/>
      <c r="R139" s="58"/>
      <c r="S139" s="69"/>
      <c r="T139" s="70"/>
      <c r="U139" s="66"/>
      <c r="V139" s="55"/>
      <c r="W139" s="55"/>
      <c r="X139" s="277"/>
      <c r="Y139" s="92"/>
    </row>
    <row r="140" spans="1:25" s="99" customFormat="1" ht="65.099999999999994" customHeight="1">
      <c r="A140" s="89"/>
      <c r="B140" s="89"/>
      <c r="C140" s="482"/>
      <c r="D140" s="91"/>
      <c r="E140" s="92"/>
      <c r="F140" s="92"/>
      <c r="G140" s="92"/>
      <c r="H140" s="92"/>
      <c r="I140" s="92"/>
      <c r="J140" s="92"/>
      <c r="K140" s="93"/>
      <c r="L140" s="94"/>
      <c r="M140" s="94"/>
      <c r="N140" s="95"/>
      <c r="O140" s="66"/>
      <c r="P140" s="96"/>
      <c r="Q140" s="97"/>
      <c r="R140" s="58"/>
      <c r="S140" s="69"/>
      <c r="T140" s="70"/>
      <c r="U140" s="66"/>
      <c r="V140" s="55"/>
      <c r="W140" s="55"/>
      <c r="X140" s="277"/>
      <c r="Y140" s="92"/>
    </row>
    <row r="141" spans="1:25" s="99" customFormat="1" ht="65.099999999999994" customHeight="1">
      <c r="A141" s="89"/>
      <c r="B141" s="89"/>
      <c r="C141" s="482"/>
      <c r="D141" s="91"/>
      <c r="E141" s="92"/>
      <c r="F141" s="92"/>
      <c r="G141" s="92"/>
      <c r="H141" s="92"/>
      <c r="I141" s="92"/>
      <c r="J141" s="92"/>
      <c r="K141" s="93"/>
      <c r="L141" s="94"/>
      <c r="M141" s="94"/>
      <c r="N141" s="95"/>
      <c r="O141" s="66"/>
      <c r="P141" s="96"/>
      <c r="Q141" s="97"/>
      <c r="R141" s="58"/>
      <c r="S141" s="69"/>
      <c r="T141" s="70"/>
      <c r="U141" s="66"/>
      <c r="V141" s="55"/>
      <c r="W141" s="55"/>
      <c r="X141" s="277"/>
      <c r="Y141" s="92"/>
    </row>
    <row r="142" spans="1:25" s="99" customFormat="1" ht="65.099999999999994" customHeight="1">
      <c r="A142" s="89"/>
      <c r="B142" s="89"/>
      <c r="C142" s="482"/>
      <c r="D142" s="91"/>
      <c r="E142" s="92"/>
      <c r="F142" s="92"/>
      <c r="G142" s="92"/>
      <c r="H142" s="92"/>
      <c r="I142" s="92"/>
      <c r="J142" s="92"/>
      <c r="K142" s="93"/>
      <c r="L142" s="94"/>
      <c r="M142" s="94"/>
      <c r="N142" s="95"/>
      <c r="O142" s="66"/>
      <c r="P142" s="96"/>
      <c r="Q142" s="97"/>
      <c r="R142" s="58"/>
      <c r="S142" s="69"/>
      <c r="T142" s="70"/>
      <c r="U142" s="66"/>
      <c r="V142" s="55"/>
      <c r="W142" s="55"/>
      <c r="X142" s="277"/>
      <c r="Y142" s="92"/>
    </row>
    <row r="143" spans="1:25" s="99" customFormat="1" ht="65.099999999999994" customHeight="1">
      <c r="A143" s="89"/>
      <c r="B143" s="89"/>
      <c r="C143" s="482"/>
      <c r="D143" s="91"/>
      <c r="E143" s="92"/>
      <c r="F143" s="92"/>
      <c r="G143" s="92"/>
      <c r="H143" s="92"/>
      <c r="I143" s="92"/>
      <c r="J143" s="92"/>
      <c r="K143" s="93"/>
      <c r="L143" s="94"/>
      <c r="M143" s="94"/>
      <c r="N143" s="95"/>
      <c r="O143" s="66"/>
      <c r="P143" s="96"/>
      <c r="Q143" s="97"/>
      <c r="R143" s="58"/>
      <c r="S143" s="69"/>
      <c r="T143" s="70"/>
      <c r="U143" s="66"/>
      <c r="V143" s="55"/>
      <c r="W143" s="55"/>
      <c r="X143" s="277"/>
      <c r="Y143" s="92"/>
    </row>
    <row r="144" spans="1:25" s="99" customFormat="1" ht="65.099999999999994" customHeight="1">
      <c r="A144" s="89"/>
      <c r="B144" s="89"/>
      <c r="C144" s="482"/>
      <c r="D144" s="91"/>
      <c r="E144" s="92"/>
      <c r="F144" s="92"/>
      <c r="G144" s="92"/>
      <c r="H144" s="92"/>
      <c r="I144" s="92"/>
      <c r="J144" s="92"/>
      <c r="K144" s="93"/>
      <c r="L144" s="94"/>
      <c r="M144" s="94"/>
      <c r="N144" s="95"/>
      <c r="O144" s="66"/>
      <c r="P144" s="96"/>
      <c r="Q144" s="97"/>
      <c r="R144" s="58"/>
      <c r="S144" s="69"/>
      <c r="T144" s="70"/>
      <c r="U144" s="66"/>
      <c r="V144" s="55"/>
      <c r="W144" s="55"/>
      <c r="X144" s="277"/>
      <c r="Y144" s="92"/>
    </row>
    <row r="145" spans="1:25" s="99" customFormat="1" ht="65.099999999999994" customHeight="1">
      <c r="A145" s="89"/>
      <c r="B145" s="89"/>
      <c r="C145" s="482"/>
      <c r="D145" s="91"/>
      <c r="E145" s="92"/>
      <c r="F145" s="92"/>
      <c r="G145" s="92"/>
      <c r="H145" s="92"/>
      <c r="I145" s="92"/>
      <c r="J145" s="92"/>
      <c r="K145" s="93"/>
      <c r="L145" s="94"/>
      <c r="M145" s="94"/>
      <c r="N145" s="95"/>
      <c r="O145" s="66"/>
      <c r="P145" s="96"/>
      <c r="Q145" s="97"/>
      <c r="R145" s="58"/>
      <c r="S145" s="69"/>
      <c r="T145" s="70"/>
      <c r="U145" s="66"/>
      <c r="V145" s="55"/>
      <c r="W145" s="55"/>
      <c r="X145" s="277"/>
      <c r="Y145" s="92"/>
    </row>
    <row r="146" spans="1:25" s="99" customFormat="1" ht="65.099999999999994" customHeight="1">
      <c r="A146" s="89"/>
      <c r="B146" s="89"/>
      <c r="C146" s="482"/>
      <c r="D146" s="91"/>
      <c r="E146" s="92"/>
      <c r="F146" s="92"/>
      <c r="G146" s="92"/>
      <c r="H146" s="92"/>
      <c r="I146" s="92"/>
      <c r="J146" s="92"/>
      <c r="K146" s="93"/>
      <c r="L146" s="94"/>
      <c r="M146" s="94"/>
      <c r="N146" s="95"/>
      <c r="O146" s="66"/>
      <c r="P146" s="96"/>
      <c r="Q146" s="97"/>
      <c r="R146" s="58"/>
      <c r="S146" s="69"/>
      <c r="T146" s="70"/>
      <c r="U146" s="66"/>
      <c r="V146" s="55"/>
      <c r="W146" s="55"/>
      <c r="X146" s="277"/>
      <c r="Y146" s="92"/>
    </row>
    <row r="147" spans="1:25" s="99" customFormat="1" ht="65.099999999999994" customHeight="1">
      <c r="A147" s="89"/>
      <c r="B147" s="89"/>
      <c r="C147" s="482"/>
      <c r="D147" s="91"/>
      <c r="E147" s="92"/>
      <c r="F147" s="92"/>
      <c r="G147" s="92"/>
      <c r="H147" s="92"/>
      <c r="I147" s="92"/>
      <c r="J147" s="92"/>
      <c r="K147" s="93"/>
      <c r="L147" s="94"/>
      <c r="M147" s="94"/>
      <c r="N147" s="95"/>
      <c r="O147" s="66"/>
      <c r="P147" s="96"/>
      <c r="Q147" s="97"/>
      <c r="R147" s="58"/>
      <c r="S147" s="69"/>
      <c r="T147" s="70"/>
      <c r="U147" s="66"/>
      <c r="V147" s="55"/>
      <c r="W147" s="55"/>
      <c r="X147" s="277"/>
      <c r="Y147" s="92"/>
    </row>
    <row r="148" spans="1:25" s="99" customFormat="1" ht="65.099999999999994" customHeight="1">
      <c r="A148" s="89"/>
      <c r="B148" s="89"/>
      <c r="C148" s="482"/>
      <c r="D148" s="91"/>
      <c r="E148" s="92"/>
      <c r="F148" s="92"/>
      <c r="G148" s="92"/>
      <c r="H148" s="92"/>
      <c r="I148" s="92"/>
      <c r="J148" s="92"/>
      <c r="K148" s="93"/>
      <c r="L148" s="94"/>
      <c r="M148" s="94"/>
      <c r="N148" s="95"/>
      <c r="O148" s="66"/>
      <c r="P148" s="96"/>
      <c r="Q148" s="97"/>
      <c r="R148" s="58"/>
      <c r="S148" s="69"/>
      <c r="T148" s="70"/>
      <c r="U148" s="66"/>
      <c r="V148" s="55"/>
      <c r="W148" s="55"/>
      <c r="X148" s="277"/>
      <c r="Y148" s="92"/>
    </row>
    <row r="149" spans="1:25" s="99" customFormat="1" ht="65.099999999999994" customHeight="1">
      <c r="A149" s="89"/>
      <c r="B149" s="89"/>
      <c r="C149" s="482"/>
      <c r="D149" s="91"/>
      <c r="E149" s="92"/>
      <c r="F149" s="92"/>
      <c r="G149" s="92"/>
      <c r="H149" s="92"/>
      <c r="I149" s="92"/>
      <c r="J149" s="92"/>
      <c r="K149" s="93"/>
      <c r="L149" s="94"/>
      <c r="M149" s="94"/>
      <c r="N149" s="95"/>
      <c r="O149" s="66"/>
      <c r="P149" s="96"/>
      <c r="Q149" s="97"/>
      <c r="R149" s="58"/>
      <c r="S149" s="69"/>
      <c r="T149" s="70"/>
      <c r="U149" s="66"/>
      <c r="V149" s="55"/>
      <c r="W149" s="55"/>
      <c r="X149" s="277"/>
      <c r="Y149" s="92"/>
    </row>
    <row r="150" spans="1:25" s="99" customFormat="1" ht="65.099999999999994" customHeight="1">
      <c r="A150" s="89"/>
      <c r="B150" s="89"/>
      <c r="C150" s="482"/>
      <c r="D150" s="91"/>
      <c r="E150" s="92"/>
      <c r="F150" s="92"/>
      <c r="G150" s="92"/>
      <c r="H150" s="92"/>
      <c r="I150" s="92"/>
      <c r="J150" s="92"/>
      <c r="K150" s="93"/>
      <c r="L150" s="94"/>
      <c r="M150" s="94"/>
      <c r="N150" s="95"/>
      <c r="O150" s="66"/>
      <c r="P150" s="96"/>
      <c r="Q150" s="97"/>
      <c r="R150" s="58"/>
      <c r="S150" s="69"/>
      <c r="T150" s="70"/>
      <c r="U150" s="66"/>
      <c r="V150" s="55"/>
      <c r="W150" s="55"/>
      <c r="X150" s="277"/>
      <c r="Y150" s="92"/>
    </row>
    <row r="151" spans="1:25" s="99" customFormat="1" ht="65.099999999999994" customHeight="1">
      <c r="A151" s="89"/>
      <c r="B151" s="89"/>
      <c r="C151" s="482"/>
      <c r="D151" s="91"/>
      <c r="E151" s="92"/>
      <c r="F151" s="92"/>
      <c r="G151" s="92"/>
      <c r="H151" s="92"/>
      <c r="I151" s="92"/>
      <c r="J151" s="92"/>
      <c r="K151" s="93"/>
      <c r="L151" s="94"/>
      <c r="M151" s="94"/>
      <c r="N151" s="95"/>
      <c r="O151" s="66"/>
      <c r="P151" s="96"/>
      <c r="Q151" s="97"/>
      <c r="R151" s="58"/>
      <c r="S151" s="69"/>
      <c r="T151" s="70"/>
      <c r="U151" s="66"/>
      <c r="V151" s="55"/>
      <c r="W151" s="55"/>
      <c r="X151" s="277"/>
      <c r="Y151" s="92"/>
    </row>
    <row r="152" spans="1:25" s="99" customFormat="1" ht="65.099999999999994" customHeight="1">
      <c r="A152" s="89"/>
      <c r="B152" s="89"/>
      <c r="C152" s="482"/>
      <c r="D152" s="91"/>
      <c r="E152" s="92"/>
      <c r="F152" s="92"/>
      <c r="G152" s="92"/>
      <c r="H152" s="92"/>
      <c r="I152" s="92"/>
      <c r="J152" s="92"/>
      <c r="K152" s="93"/>
      <c r="L152" s="94"/>
      <c r="M152" s="94"/>
      <c r="N152" s="95"/>
      <c r="O152" s="66"/>
      <c r="P152" s="96"/>
      <c r="Q152" s="97"/>
      <c r="R152" s="58"/>
      <c r="S152" s="69"/>
      <c r="T152" s="70"/>
      <c r="U152" s="66"/>
      <c r="V152" s="55"/>
      <c r="W152" s="55"/>
      <c r="X152" s="277"/>
      <c r="Y152" s="92"/>
    </row>
    <row r="153" spans="1:25" s="99" customFormat="1" ht="65.099999999999994" customHeight="1">
      <c r="A153" s="89"/>
      <c r="B153" s="89"/>
      <c r="C153" s="482"/>
      <c r="D153" s="91"/>
      <c r="E153" s="92"/>
      <c r="F153" s="92"/>
      <c r="G153" s="92"/>
      <c r="H153" s="92"/>
      <c r="I153" s="92"/>
      <c r="J153" s="92"/>
      <c r="K153" s="93"/>
      <c r="L153" s="94"/>
      <c r="M153" s="94"/>
      <c r="N153" s="95"/>
      <c r="O153" s="66"/>
      <c r="P153" s="96"/>
      <c r="Q153" s="97"/>
      <c r="R153" s="58"/>
      <c r="S153" s="69"/>
      <c r="T153" s="70"/>
      <c r="U153" s="66"/>
      <c r="V153" s="55"/>
      <c r="W153" s="55"/>
      <c r="X153" s="277"/>
      <c r="Y153" s="92"/>
    </row>
    <row r="154" spans="1:25" s="99" customFormat="1" ht="65.099999999999994" customHeight="1">
      <c r="A154" s="89"/>
      <c r="B154" s="89"/>
      <c r="C154" s="482"/>
      <c r="D154" s="91"/>
      <c r="E154" s="92"/>
      <c r="F154" s="92"/>
      <c r="G154" s="92"/>
      <c r="H154" s="92"/>
      <c r="I154" s="92"/>
      <c r="J154" s="92"/>
      <c r="K154" s="93"/>
      <c r="L154" s="94"/>
      <c r="M154" s="94"/>
      <c r="N154" s="95"/>
      <c r="O154" s="66"/>
      <c r="P154" s="96"/>
      <c r="Q154" s="97"/>
      <c r="R154" s="58"/>
      <c r="S154" s="69"/>
      <c r="T154" s="70"/>
      <c r="U154" s="66"/>
      <c r="V154" s="55"/>
      <c r="W154" s="55"/>
      <c r="X154" s="277"/>
      <c r="Y154" s="92"/>
    </row>
    <row r="155" spans="1:25" s="99" customFormat="1" ht="65.099999999999994" customHeight="1">
      <c r="A155" s="89"/>
      <c r="B155" s="89"/>
      <c r="C155" s="482"/>
      <c r="D155" s="91"/>
      <c r="E155" s="92"/>
      <c r="F155" s="92"/>
      <c r="G155" s="92"/>
      <c r="H155" s="92"/>
      <c r="I155" s="92"/>
      <c r="J155" s="92"/>
      <c r="K155" s="93"/>
      <c r="L155" s="94"/>
      <c r="M155" s="94"/>
      <c r="N155" s="95"/>
      <c r="O155" s="66"/>
      <c r="P155" s="96"/>
      <c r="Q155" s="97"/>
      <c r="R155" s="58"/>
      <c r="S155" s="69"/>
      <c r="T155" s="70"/>
      <c r="U155" s="66"/>
      <c r="V155" s="55"/>
      <c r="W155" s="55"/>
      <c r="X155" s="277"/>
      <c r="Y155" s="92"/>
    </row>
    <row r="156" spans="1:25" s="99" customFormat="1" ht="65.099999999999994" customHeight="1">
      <c r="A156" s="89"/>
      <c r="B156" s="89"/>
      <c r="C156" s="482"/>
      <c r="D156" s="91"/>
      <c r="E156" s="92"/>
      <c r="F156" s="92"/>
      <c r="G156" s="92"/>
      <c r="H156" s="92"/>
      <c r="I156" s="92"/>
      <c r="J156" s="92"/>
      <c r="K156" s="93"/>
      <c r="L156" s="94"/>
      <c r="M156" s="94"/>
      <c r="N156" s="95"/>
      <c r="O156" s="66"/>
      <c r="P156" s="96"/>
      <c r="Q156" s="97"/>
      <c r="R156" s="58"/>
      <c r="S156" s="69"/>
      <c r="T156" s="70"/>
      <c r="U156" s="66"/>
      <c r="V156" s="55"/>
      <c r="W156" s="55"/>
      <c r="X156" s="277"/>
      <c r="Y156" s="92"/>
    </row>
    <row r="157" spans="1:25" s="99" customFormat="1" ht="65.099999999999994" customHeight="1">
      <c r="A157" s="89"/>
      <c r="B157" s="89"/>
      <c r="C157" s="482"/>
      <c r="D157" s="91"/>
      <c r="E157" s="92"/>
      <c r="F157" s="92"/>
      <c r="G157" s="92"/>
      <c r="H157" s="92"/>
      <c r="I157" s="92"/>
      <c r="J157" s="92"/>
      <c r="K157" s="93"/>
      <c r="L157" s="94"/>
      <c r="M157" s="94"/>
      <c r="N157" s="95"/>
      <c r="O157" s="66"/>
      <c r="P157" s="96"/>
      <c r="Q157" s="97"/>
      <c r="R157" s="58"/>
      <c r="S157" s="69"/>
      <c r="T157" s="70"/>
      <c r="U157" s="66"/>
      <c r="V157" s="55"/>
      <c r="W157" s="55"/>
      <c r="X157" s="277"/>
      <c r="Y157" s="92"/>
    </row>
    <row r="158" spans="1:25" s="99" customFormat="1" ht="65.099999999999994" customHeight="1">
      <c r="A158" s="89"/>
      <c r="B158" s="89"/>
      <c r="C158" s="482"/>
      <c r="D158" s="91"/>
      <c r="E158" s="92"/>
      <c r="F158" s="92"/>
      <c r="G158" s="92"/>
      <c r="H158" s="92"/>
      <c r="I158" s="92"/>
      <c r="J158" s="92"/>
      <c r="K158" s="93"/>
      <c r="L158" s="94"/>
      <c r="M158" s="94"/>
      <c r="N158" s="95"/>
      <c r="O158" s="66"/>
      <c r="P158" s="96"/>
      <c r="Q158" s="97"/>
      <c r="R158" s="58"/>
      <c r="S158" s="69"/>
      <c r="T158" s="70"/>
      <c r="U158" s="66"/>
      <c r="V158" s="55"/>
      <c r="W158" s="55"/>
      <c r="X158" s="277"/>
      <c r="Y158" s="92"/>
    </row>
    <row r="159" spans="1:25" s="99" customFormat="1" ht="65.099999999999994" customHeight="1">
      <c r="A159" s="89"/>
      <c r="B159" s="89"/>
      <c r="C159" s="482"/>
      <c r="D159" s="91"/>
      <c r="E159" s="92"/>
      <c r="F159" s="92"/>
      <c r="G159" s="92"/>
      <c r="H159" s="92"/>
      <c r="I159" s="92"/>
      <c r="J159" s="92"/>
      <c r="K159" s="93"/>
      <c r="L159" s="94"/>
      <c r="M159" s="94"/>
      <c r="N159" s="95"/>
      <c r="O159" s="66"/>
      <c r="P159" s="96"/>
      <c r="Q159" s="97"/>
      <c r="R159" s="58"/>
      <c r="S159" s="69"/>
      <c r="T159" s="70"/>
      <c r="U159" s="66"/>
      <c r="V159" s="55"/>
      <c r="W159" s="55"/>
      <c r="X159" s="277"/>
      <c r="Y159" s="92"/>
    </row>
    <row r="160" spans="1:25" s="99" customFormat="1" ht="65.099999999999994" customHeight="1">
      <c r="A160" s="89"/>
      <c r="B160" s="89"/>
      <c r="C160" s="482"/>
      <c r="D160" s="91"/>
      <c r="E160" s="92"/>
      <c r="F160" s="92"/>
      <c r="G160" s="92"/>
      <c r="H160" s="92"/>
      <c r="I160" s="92"/>
      <c r="J160" s="92"/>
      <c r="K160" s="93"/>
      <c r="L160" s="94"/>
      <c r="M160" s="94"/>
      <c r="N160" s="95"/>
      <c r="O160" s="66"/>
      <c r="P160" s="96"/>
      <c r="Q160" s="97"/>
      <c r="R160" s="58"/>
      <c r="S160" s="69"/>
      <c r="T160" s="70"/>
      <c r="U160" s="66"/>
      <c r="V160" s="55"/>
      <c r="W160" s="55"/>
      <c r="X160" s="277"/>
      <c r="Y160" s="92"/>
    </row>
    <row r="161" spans="1:25" s="99" customFormat="1" ht="65.099999999999994" customHeight="1">
      <c r="A161" s="89"/>
      <c r="B161" s="89"/>
      <c r="C161" s="482"/>
      <c r="D161" s="91"/>
      <c r="E161" s="92"/>
      <c r="F161" s="92"/>
      <c r="G161" s="92"/>
      <c r="H161" s="92"/>
      <c r="I161" s="92"/>
      <c r="J161" s="92"/>
      <c r="K161" s="93"/>
      <c r="L161" s="94"/>
      <c r="M161" s="94"/>
      <c r="N161" s="95"/>
      <c r="O161" s="66"/>
      <c r="P161" s="96"/>
      <c r="Q161" s="97"/>
      <c r="R161" s="58"/>
      <c r="S161" s="69"/>
      <c r="T161" s="70"/>
      <c r="U161" s="66"/>
      <c r="V161" s="55"/>
      <c r="W161" s="55"/>
      <c r="X161" s="277"/>
      <c r="Y161" s="92"/>
    </row>
    <row r="162" spans="1:25" s="99" customFormat="1" ht="65.099999999999994" customHeight="1">
      <c r="A162" s="89"/>
      <c r="B162" s="89"/>
      <c r="C162" s="482"/>
      <c r="D162" s="91"/>
      <c r="E162" s="92"/>
      <c r="F162" s="92"/>
      <c r="G162" s="92"/>
      <c r="H162" s="92"/>
      <c r="I162" s="92"/>
      <c r="J162" s="92"/>
      <c r="K162" s="93"/>
      <c r="L162" s="94"/>
      <c r="M162" s="94"/>
      <c r="N162" s="95"/>
      <c r="O162" s="66"/>
      <c r="P162" s="96"/>
      <c r="Q162" s="97"/>
      <c r="R162" s="58"/>
      <c r="S162" s="69"/>
      <c r="T162" s="70"/>
      <c r="U162" s="66"/>
      <c r="V162" s="55"/>
      <c r="W162" s="55"/>
      <c r="X162" s="277"/>
      <c r="Y162" s="92"/>
    </row>
    <row r="163" spans="1:25" s="99" customFormat="1" ht="65.099999999999994" customHeight="1">
      <c r="A163" s="89"/>
      <c r="B163" s="89"/>
      <c r="C163" s="482"/>
      <c r="D163" s="91"/>
      <c r="E163" s="92"/>
      <c r="F163" s="92"/>
      <c r="G163" s="92"/>
      <c r="H163" s="92"/>
      <c r="I163" s="92"/>
      <c r="J163" s="92"/>
      <c r="K163" s="93"/>
      <c r="L163" s="94"/>
      <c r="M163" s="94"/>
      <c r="N163" s="95"/>
      <c r="O163" s="66"/>
      <c r="P163" s="96"/>
      <c r="Q163" s="97"/>
      <c r="R163" s="58"/>
      <c r="S163" s="69"/>
      <c r="T163" s="70"/>
      <c r="U163" s="66"/>
      <c r="V163" s="55"/>
      <c r="W163" s="55"/>
      <c r="X163" s="277"/>
      <c r="Y163" s="92"/>
    </row>
    <row r="164" spans="1:25" s="99" customFormat="1" ht="65.099999999999994" customHeight="1">
      <c r="A164" s="89"/>
      <c r="B164" s="89"/>
      <c r="C164" s="482"/>
      <c r="D164" s="91"/>
      <c r="E164" s="92"/>
      <c r="F164" s="92"/>
      <c r="G164" s="92"/>
      <c r="H164" s="92"/>
      <c r="I164" s="92"/>
      <c r="J164" s="92"/>
      <c r="K164" s="93"/>
      <c r="L164" s="94"/>
      <c r="M164" s="94"/>
      <c r="N164" s="95"/>
      <c r="O164" s="66"/>
      <c r="P164" s="96"/>
      <c r="Q164" s="97"/>
      <c r="R164" s="58"/>
      <c r="S164" s="69"/>
      <c r="T164" s="70"/>
      <c r="U164" s="66"/>
      <c r="V164" s="55"/>
      <c r="W164" s="55"/>
      <c r="X164" s="277"/>
      <c r="Y164" s="92"/>
    </row>
    <row r="165" spans="1:25" s="99" customFormat="1" ht="65.099999999999994" customHeight="1">
      <c r="A165" s="89"/>
      <c r="B165" s="89"/>
      <c r="C165" s="482"/>
      <c r="D165" s="91"/>
      <c r="E165" s="92"/>
      <c r="F165" s="92"/>
      <c r="G165" s="92"/>
      <c r="H165" s="92"/>
      <c r="I165" s="92"/>
      <c r="J165" s="92"/>
      <c r="K165" s="93"/>
      <c r="L165" s="94"/>
      <c r="M165" s="94"/>
      <c r="N165" s="95"/>
      <c r="O165" s="66"/>
      <c r="P165" s="96"/>
      <c r="Q165" s="97"/>
      <c r="R165" s="58"/>
      <c r="S165" s="69"/>
      <c r="T165" s="70"/>
      <c r="U165" s="66"/>
      <c r="V165" s="55"/>
      <c r="W165" s="55"/>
      <c r="X165" s="277"/>
      <c r="Y165" s="92"/>
    </row>
    <row r="166" spans="1:25" s="99" customFormat="1" ht="65.099999999999994" customHeight="1">
      <c r="A166" s="89"/>
      <c r="B166" s="89"/>
      <c r="C166" s="482"/>
      <c r="D166" s="91"/>
      <c r="E166" s="92"/>
      <c r="F166" s="92"/>
      <c r="G166" s="92"/>
      <c r="H166" s="92"/>
      <c r="I166" s="92"/>
      <c r="J166" s="92"/>
      <c r="K166" s="93"/>
      <c r="L166" s="94"/>
      <c r="M166" s="94"/>
      <c r="N166" s="95"/>
      <c r="O166" s="66"/>
      <c r="P166" s="96"/>
      <c r="Q166" s="97"/>
      <c r="R166" s="58"/>
      <c r="S166" s="69"/>
      <c r="T166" s="70"/>
      <c r="U166" s="66"/>
      <c r="V166" s="55"/>
      <c r="W166" s="55"/>
      <c r="X166" s="277"/>
      <c r="Y166" s="92"/>
    </row>
    <row r="167" spans="1:25" s="99" customFormat="1" ht="65.099999999999994" customHeight="1">
      <c r="A167" s="89"/>
      <c r="B167" s="89"/>
      <c r="C167" s="482"/>
      <c r="D167" s="91"/>
      <c r="E167" s="92"/>
      <c r="F167" s="92"/>
      <c r="G167" s="92"/>
      <c r="H167" s="92"/>
      <c r="I167" s="92"/>
      <c r="J167" s="92"/>
      <c r="K167" s="93"/>
      <c r="L167" s="94"/>
      <c r="M167" s="94"/>
      <c r="N167" s="95"/>
      <c r="O167" s="66"/>
      <c r="P167" s="96"/>
      <c r="Q167" s="97"/>
      <c r="R167" s="58"/>
      <c r="S167" s="69"/>
      <c r="T167" s="70"/>
      <c r="U167" s="66"/>
      <c r="V167" s="55"/>
      <c r="W167" s="55"/>
      <c r="X167" s="277"/>
      <c r="Y167" s="92"/>
    </row>
    <row r="168" spans="1:25" s="99" customFormat="1" ht="65.099999999999994" customHeight="1">
      <c r="A168" s="89"/>
      <c r="B168" s="89"/>
      <c r="C168" s="482"/>
      <c r="D168" s="91"/>
      <c r="E168" s="92"/>
      <c r="F168" s="92"/>
      <c r="G168" s="92"/>
      <c r="H168" s="92"/>
      <c r="I168" s="92"/>
      <c r="J168" s="92"/>
      <c r="K168" s="93"/>
      <c r="L168" s="94"/>
      <c r="M168" s="94"/>
      <c r="N168" s="95"/>
      <c r="O168" s="66"/>
      <c r="P168" s="96"/>
      <c r="Q168" s="97"/>
      <c r="R168" s="58"/>
      <c r="S168" s="69"/>
      <c r="T168" s="70"/>
      <c r="U168" s="66"/>
      <c r="V168" s="55"/>
      <c r="W168" s="55"/>
      <c r="X168" s="277"/>
      <c r="Y168" s="92"/>
    </row>
    <row r="169" spans="1:25" s="99" customFormat="1" ht="65.099999999999994" customHeight="1">
      <c r="A169" s="89"/>
      <c r="B169" s="89"/>
      <c r="C169" s="482"/>
      <c r="D169" s="91"/>
      <c r="E169" s="92"/>
      <c r="F169" s="92"/>
      <c r="G169" s="92"/>
      <c r="H169" s="92"/>
      <c r="I169" s="92"/>
      <c r="J169" s="92"/>
      <c r="K169" s="93"/>
      <c r="L169" s="94"/>
      <c r="M169" s="94"/>
      <c r="N169" s="95"/>
      <c r="O169" s="66"/>
      <c r="P169" s="96"/>
      <c r="Q169" s="97"/>
      <c r="R169" s="58"/>
      <c r="S169" s="69"/>
      <c r="T169" s="70"/>
      <c r="U169" s="66"/>
      <c r="V169" s="55"/>
      <c r="W169" s="55"/>
      <c r="X169" s="277"/>
      <c r="Y169" s="92"/>
    </row>
    <row r="170" spans="1:25" s="99" customFormat="1" ht="65.099999999999994" customHeight="1">
      <c r="A170" s="89"/>
      <c r="B170" s="89"/>
      <c r="C170" s="482"/>
      <c r="D170" s="91"/>
      <c r="E170" s="92"/>
      <c r="F170" s="92"/>
      <c r="G170" s="92"/>
      <c r="H170" s="92"/>
      <c r="I170" s="92"/>
      <c r="J170" s="92"/>
      <c r="K170" s="93"/>
      <c r="L170" s="94"/>
      <c r="M170" s="94"/>
      <c r="N170" s="95"/>
      <c r="O170" s="66"/>
      <c r="P170" s="96"/>
      <c r="Q170" s="97"/>
      <c r="R170" s="58"/>
      <c r="S170" s="69"/>
      <c r="T170" s="70"/>
      <c r="U170" s="66"/>
      <c r="V170" s="55"/>
      <c r="W170" s="55"/>
      <c r="X170" s="277"/>
      <c r="Y170" s="92"/>
    </row>
    <row r="171" spans="1:25" s="99" customFormat="1" ht="65.099999999999994" customHeight="1">
      <c r="A171" s="89"/>
      <c r="B171" s="89"/>
      <c r="C171" s="482"/>
      <c r="D171" s="91"/>
      <c r="E171" s="92"/>
      <c r="F171" s="92"/>
      <c r="G171" s="92"/>
      <c r="H171" s="92"/>
      <c r="I171" s="92"/>
      <c r="J171" s="92"/>
      <c r="K171" s="93"/>
      <c r="L171" s="94"/>
      <c r="M171" s="94"/>
      <c r="N171" s="95"/>
      <c r="O171" s="66"/>
      <c r="P171" s="96"/>
      <c r="Q171" s="97"/>
      <c r="R171" s="58"/>
      <c r="S171" s="69"/>
      <c r="T171" s="70"/>
      <c r="U171" s="66"/>
      <c r="V171" s="55"/>
      <c r="W171" s="55"/>
      <c r="X171" s="277"/>
      <c r="Y171" s="92"/>
    </row>
    <row r="172" spans="1:25" s="99" customFormat="1" ht="65.099999999999994" customHeight="1">
      <c r="A172" s="89"/>
      <c r="B172" s="89"/>
      <c r="C172" s="482"/>
      <c r="D172" s="91"/>
      <c r="E172" s="92"/>
      <c r="F172" s="92"/>
      <c r="G172" s="92"/>
      <c r="H172" s="92"/>
      <c r="I172" s="92"/>
      <c r="J172" s="92"/>
      <c r="K172" s="93"/>
      <c r="L172" s="94"/>
      <c r="M172" s="94"/>
      <c r="N172" s="95"/>
      <c r="O172" s="66"/>
      <c r="P172" s="96"/>
      <c r="Q172" s="97"/>
      <c r="R172" s="58"/>
      <c r="S172" s="69"/>
      <c r="T172" s="70"/>
      <c r="U172" s="66"/>
      <c r="V172" s="55"/>
      <c r="W172" s="55"/>
      <c r="X172" s="277"/>
      <c r="Y172" s="92"/>
    </row>
    <row r="173" spans="1:25" s="99" customFormat="1" ht="65.099999999999994" customHeight="1">
      <c r="A173" s="89"/>
      <c r="B173" s="89"/>
      <c r="C173" s="482"/>
      <c r="D173" s="91"/>
      <c r="E173" s="92"/>
      <c r="F173" s="92"/>
      <c r="G173" s="92"/>
      <c r="H173" s="92"/>
      <c r="I173" s="92"/>
      <c r="J173" s="92"/>
      <c r="K173" s="93"/>
      <c r="L173" s="94"/>
      <c r="M173" s="94"/>
      <c r="N173" s="95"/>
      <c r="O173" s="66"/>
      <c r="P173" s="96"/>
      <c r="Q173" s="97"/>
      <c r="R173" s="58"/>
      <c r="S173" s="69"/>
      <c r="T173" s="70"/>
      <c r="U173" s="66"/>
      <c r="V173" s="55"/>
      <c r="W173" s="55"/>
      <c r="X173" s="277"/>
      <c r="Y173" s="92"/>
    </row>
    <row r="174" spans="1:25" s="99" customFormat="1" ht="65.099999999999994" customHeight="1">
      <c r="A174" s="89"/>
      <c r="B174" s="89"/>
      <c r="C174" s="482"/>
      <c r="D174" s="91"/>
      <c r="E174" s="92"/>
      <c r="F174" s="92"/>
      <c r="G174" s="92"/>
      <c r="H174" s="92"/>
      <c r="I174" s="92"/>
      <c r="J174" s="92"/>
      <c r="K174" s="93"/>
      <c r="L174" s="94"/>
      <c r="M174" s="94"/>
      <c r="N174" s="95"/>
      <c r="O174" s="66"/>
      <c r="P174" s="96"/>
      <c r="Q174" s="97"/>
      <c r="R174" s="58"/>
      <c r="S174" s="69"/>
      <c r="T174" s="70"/>
      <c r="U174" s="66"/>
      <c r="V174" s="55"/>
      <c r="W174" s="55"/>
      <c r="X174" s="277"/>
      <c r="Y174" s="92"/>
    </row>
    <row r="175" spans="1:25" s="99" customFormat="1" ht="65.099999999999994" customHeight="1">
      <c r="A175" s="89"/>
      <c r="B175" s="89"/>
      <c r="C175" s="482"/>
      <c r="D175" s="91"/>
      <c r="E175" s="92"/>
      <c r="F175" s="92"/>
      <c r="G175" s="92"/>
      <c r="H175" s="92"/>
      <c r="I175" s="92"/>
      <c r="J175" s="92"/>
      <c r="K175" s="93"/>
      <c r="L175" s="94"/>
      <c r="M175" s="94"/>
      <c r="N175" s="95"/>
      <c r="O175" s="66"/>
      <c r="P175" s="96"/>
      <c r="Q175" s="97"/>
      <c r="R175" s="58"/>
      <c r="S175" s="69"/>
      <c r="T175" s="70"/>
      <c r="U175" s="66"/>
      <c r="V175" s="55"/>
      <c r="W175" s="55"/>
      <c r="X175" s="277"/>
      <c r="Y175" s="92"/>
    </row>
    <row r="176" spans="1:25" s="99" customFormat="1" ht="65.099999999999994" customHeight="1">
      <c r="A176" s="89"/>
      <c r="B176" s="89"/>
      <c r="C176" s="482"/>
      <c r="D176" s="91"/>
      <c r="E176" s="92"/>
      <c r="F176" s="92"/>
      <c r="G176" s="92"/>
      <c r="H176" s="92"/>
      <c r="I176" s="92"/>
      <c r="J176" s="92"/>
      <c r="K176" s="93"/>
      <c r="L176" s="94"/>
      <c r="M176" s="94"/>
      <c r="N176" s="95"/>
      <c r="O176" s="66"/>
      <c r="P176" s="96"/>
      <c r="Q176" s="97"/>
      <c r="R176" s="58"/>
      <c r="S176" s="69"/>
      <c r="T176" s="70"/>
      <c r="U176" s="66"/>
      <c r="V176" s="55"/>
      <c r="W176" s="55"/>
      <c r="X176" s="277"/>
      <c r="Y176" s="92"/>
    </row>
    <row r="177" spans="1:25" s="99" customFormat="1" ht="65.099999999999994" customHeight="1">
      <c r="A177" s="89"/>
      <c r="B177" s="89"/>
      <c r="C177" s="482"/>
      <c r="D177" s="91"/>
      <c r="E177" s="92"/>
      <c r="F177" s="92"/>
      <c r="G177" s="92"/>
      <c r="H177" s="92"/>
      <c r="I177" s="92"/>
      <c r="J177" s="92"/>
      <c r="K177" s="93"/>
      <c r="L177" s="94"/>
      <c r="M177" s="94"/>
      <c r="N177" s="95"/>
      <c r="O177" s="66"/>
      <c r="P177" s="96"/>
      <c r="Q177" s="97"/>
      <c r="R177" s="58"/>
      <c r="S177" s="69"/>
      <c r="T177" s="70"/>
      <c r="U177" s="66"/>
      <c r="V177" s="55"/>
      <c r="W177" s="55"/>
      <c r="X177" s="277"/>
      <c r="Y177" s="92"/>
    </row>
    <row r="178" spans="1:25" s="99" customFormat="1" ht="65.099999999999994" customHeight="1">
      <c r="A178" s="89"/>
      <c r="B178" s="89"/>
      <c r="C178" s="482"/>
      <c r="D178" s="91"/>
      <c r="E178" s="92"/>
      <c r="F178" s="92"/>
      <c r="G178" s="92"/>
      <c r="H178" s="92"/>
      <c r="I178" s="92"/>
      <c r="J178" s="92"/>
      <c r="K178" s="93"/>
      <c r="L178" s="94"/>
      <c r="M178" s="94"/>
      <c r="N178" s="95"/>
      <c r="O178" s="66"/>
      <c r="P178" s="96"/>
      <c r="Q178" s="97"/>
      <c r="R178" s="58"/>
      <c r="S178" s="69"/>
      <c r="T178" s="70"/>
      <c r="U178" s="66"/>
      <c r="V178" s="55"/>
      <c r="W178" s="55"/>
      <c r="X178" s="277"/>
      <c r="Y178" s="92"/>
    </row>
    <row r="179" spans="1:25" s="99" customFormat="1" ht="65.099999999999994" customHeight="1">
      <c r="A179" s="89"/>
      <c r="B179" s="89"/>
      <c r="C179" s="482"/>
      <c r="D179" s="91"/>
      <c r="E179" s="92"/>
      <c r="F179" s="92"/>
      <c r="G179" s="92"/>
      <c r="H179" s="92"/>
      <c r="I179" s="92"/>
      <c r="J179" s="92"/>
      <c r="K179" s="93"/>
      <c r="L179" s="94"/>
      <c r="M179" s="94"/>
      <c r="N179" s="95"/>
      <c r="O179" s="66"/>
      <c r="P179" s="96"/>
      <c r="Q179" s="97"/>
      <c r="R179" s="58"/>
      <c r="S179" s="69"/>
      <c r="T179" s="70"/>
      <c r="U179" s="66"/>
      <c r="V179" s="55"/>
      <c r="W179" s="55"/>
      <c r="X179" s="277"/>
      <c r="Y179" s="92"/>
    </row>
    <row r="180" spans="1:25" s="99" customFormat="1" ht="65.099999999999994" customHeight="1">
      <c r="A180" s="89"/>
      <c r="B180" s="89"/>
      <c r="C180" s="482"/>
      <c r="D180" s="91"/>
      <c r="E180" s="92"/>
      <c r="F180" s="92"/>
      <c r="G180" s="92"/>
      <c r="H180" s="92"/>
      <c r="I180" s="92"/>
      <c r="J180" s="92"/>
      <c r="K180" s="93"/>
      <c r="L180" s="94"/>
      <c r="M180" s="94"/>
      <c r="N180" s="95"/>
      <c r="O180" s="66"/>
      <c r="P180" s="96"/>
      <c r="Q180" s="97"/>
      <c r="R180" s="58"/>
      <c r="S180" s="69"/>
      <c r="T180" s="70"/>
      <c r="U180" s="66"/>
      <c r="V180" s="55"/>
      <c r="W180" s="55"/>
      <c r="X180" s="277"/>
      <c r="Y180" s="92"/>
    </row>
    <row r="181" spans="1:25" s="99" customFormat="1" ht="65.099999999999994" customHeight="1">
      <c r="A181" s="89"/>
      <c r="B181" s="89"/>
      <c r="C181" s="482"/>
      <c r="D181" s="91"/>
      <c r="E181" s="92"/>
      <c r="F181" s="92"/>
      <c r="G181" s="92"/>
      <c r="H181" s="92"/>
      <c r="I181" s="92"/>
      <c r="J181" s="92"/>
      <c r="K181" s="93"/>
      <c r="L181" s="94"/>
      <c r="M181" s="94"/>
      <c r="N181" s="95"/>
      <c r="O181" s="66"/>
      <c r="P181" s="96"/>
      <c r="Q181" s="97"/>
      <c r="R181" s="58"/>
      <c r="S181" s="69"/>
      <c r="T181" s="70"/>
      <c r="U181" s="66"/>
      <c r="V181" s="55"/>
      <c r="W181" s="55"/>
      <c r="X181" s="277"/>
      <c r="Y181" s="92"/>
    </row>
    <row r="182" spans="1:25" s="99" customFormat="1" ht="65.099999999999994" customHeight="1">
      <c r="A182" s="89"/>
      <c r="B182" s="89"/>
      <c r="C182" s="482"/>
      <c r="D182" s="91"/>
      <c r="E182" s="92"/>
      <c r="F182" s="92"/>
      <c r="G182" s="92"/>
      <c r="H182" s="92"/>
      <c r="I182" s="92"/>
      <c r="J182" s="92"/>
      <c r="K182" s="93"/>
      <c r="L182" s="94"/>
      <c r="M182" s="94"/>
      <c r="N182" s="95"/>
      <c r="O182" s="66"/>
      <c r="P182" s="96"/>
      <c r="Q182" s="97"/>
      <c r="R182" s="58"/>
      <c r="S182" s="69"/>
      <c r="T182" s="70"/>
      <c r="U182" s="66"/>
      <c r="V182" s="55"/>
      <c r="W182" s="55"/>
      <c r="X182" s="277"/>
      <c r="Y182" s="92"/>
    </row>
    <row r="183" spans="1:25" s="99" customFormat="1" ht="65.099999999999994" customHeight="1">
      <c r="A183" s="89"/>
      <c r="B183" s="89"/>
      <c r="C183" s="482"/>
      <c r="D183" s="91"/>
      <c r="E183" s="92"/>
      <c r="F183" s="92"/>
      <c r="G183" s="92"/>
      <c r="H183" s="92"/>
      <c r="I183" s="92"/>
      <c r="J183" s="92"/>
      <c r="K183" s="93"/>
      <c r="L183" s="94"/>
      <c r="M183" s="94"/>
      <c r="N183" s="95"/>
      <c r="O183" s="66"/>
      <c r="P183" s="96"/>
      <c r="Q183" s="97"/>
      <c r="R183" s="58"/>
      <c r="S183" s="69"/>
      <c r="T183" s="70"/>
      <c r="U183" s="66"/>
      <c r="V183" s="55"/>
      <c r="W183" s="55"/>
      <c r="X183" s="277"/>
      <c r="Y183" s="92"/>
    </row>
    <row r="184" spans="1:25" s="99" customFormat="1" ht="65.099999999999994" customHeight="1">
      <c r="A184" s="89"/>
      <c r="B184" s="89"/>
      <c r="C184" s="482"/>
      <c r="D184" s="91"/>
      <c r="E184" s="92"/>
      <c r="F184" s="92"/>
      <c r="G184" s="92"/>
      <c r="H184" s="92"/>
      <c r="I184" s="92"/>
      <c r="J184" s="92"/>
      <c r="K184" s="93"/>
      <c r="L184" s="94"/>
      <c r="M184" s="94"/>
      <c r="N184" s="95"/>
      <c r="O184" s="66"/>
      <c r="P184" s="96"/>
      <c r="Q184" s="97"/>
      <c r="R184" s="58"/>
      <c r="S184" s="69"/>
      <c r="T184" s="70"/>
      <c r="U184" s="66"/>
      <c r="V184" s="55"/>
      <c r="W184" s="55"/>
      <c r="X184" s="277"/>
      <c r="Y184" s="92"/>
    </row>
    <row r="185" spans="1:25" s="99" customFormat="1" ht="65.099999999999994" customHeight="1">
      <c r="A185" s="89"/>
      <c r="B185" s="89"/>
      <c r="C185" s="482"/>
      <c r="D185" s="91"/>
      <c r="E185" s="92"/>
      <c r="F185" s="92"/>
      <c r="G185" s="92"/>
      <c r="H185" s="92"/>
      <c r="I185" s="92"/>
      <c r="J185" s="92"/>
      <c r="K185" s="93"/>
      <c r="L185" s="94"/>
      <c r="M185" s="94"/>
      <c r="N185" s="95"/>
      <c r="O185" s="66"/>
      <c r="P185" s="96"/>
      <c r="Q185" s="97"/>
      <c r="R185" s="58"/>
      <c r="S185" s="69"/>
      <c r="T185" s="70"/>
      <c r="U185" s="66"/>
      <c r="V185" s="55"/>
      <c r="W185" s="55"/>
      <c r="X185" s="277"/>
      <c r="Y185" s="92"/>
    </row>
    <row r="186" spans="1:25" s="99" customFormat="1" ht="65.099999999999994" customHeight="1">
      <c r="A186" s="89"/>
      <c r="B186" s="89"/>
      <c r="C186" s="482"/>
      <c r="D186" s="91"/>
      <c r="E186" s="92"/>
      <c r="F186" s="92"/>
      <c r="G186" s="92"/>
      <c r="H186" s="92"/>
      <c r="I186" s="92"/>
      <c r="J186" s="92"/>
      <c r="K186" s="93"/>
      <c r="L186" s="94"/>
      <c r="M186" s="94"/>
      <c r="N186" s="95"/>
      <c r="O186" s="66"/>
      <c r="P186" s="96"/>
      <c r="Q186" s="97"/>
      <c r="R186" s="58"/>
      <c r="S186" s="69"/>
      <c r="T186" s="70"/>
      <c r="U186" s="66"/>
      <c r="V186" s="55"/>
      <c r="W186" s="55"/>
      <c r="X186" s="277"/>
      <c r="Y186" s="92"/>
    </row>
    <row r="187" spans="1:25" s="99" customFormat="1" ht="65.099999999999994" customHeight="1">
      <c r="A187" s="89"/>
      <c r="B187" s="89"/>
      <c r="C187" s="482"/>
      <c r="D187" s="91"/>
      <c r="E187" s="92"/>
      <c r="F187" s="92"/>
      <c r="G187" s="92"/>
      <c r="H187" s="92"/>
      <c r="I187" s="92"/>
      <c r="J187" s="92"/>
      <c r="K187" s="93"/>
      <c r="L187" s="94"/>
      <c r="M187" s="94"/>
      <c r="N187" s="95"/>
      <c r="O187" s="66"/>
      <c r="P187" s="96"/>
      <c r="Q187" s="97"/>
      <c r="R187" s="58"/>
      <c r="S187" s="69"/>
      <c r="T187" s="70"/>
      <c r="U187" s="66"/>
      <c r="V187" s="55"/>
      <c r="W187" s="55"/>
      <c r="X187" s="277"/>
      <c r="Y187" s="92"/>
    </row>
    <row r="188" spans="1:25" s="99" customFormat="1" ht="65.099999999999994" customHeight="1">
      <c r="A188" s="89"/>
      <c r="B188" s="89"/>
      <c r="C188" s="482"/>
      <c r="D188" s="91"/>
      <c r="E188" s="92"/>
      <c r="F188" s="92"/>
      <c r="G188" s="92"/>
      <c r="H188" s="92"/>
      <c r="I188" s="92"/>
      <c r="J188" s="92"/>
      <c r="K188" s="93"/>
      <c r="L188" s="94"/>
      <c r="M188" s="94"/>
      <c r="N188" s="95"/>
      <c r="O188" s="66"/>
      <c r="P188" s="96"/>
      <c r="Q188" s="97"/>
      <c r="R188" s="58"/>
      <c r="S188" s="69"/>
      <c r="T188" s="70"/>
      <c r="U188" s="66"/>
      <c r="V188" s="55"/>
      <c r="W188" s="55"/>
      <c r="X188" s="277"/>
      <c r="Y188" s="92"/>
    </row>
    <row r="189" spans="1:25" s="99" customFormat="1" ht="65.099999999999994" customHeight="1">
      <c r="A189" s="89"/>
      <c r="B189" s="89"/>
      <c r="C189" s="482"/>
      <c r="D189" s="91"/>
      <c r="E189" s="92"/>
      <c r="F189" s="92"/>
      <c r="G189" s="92"/>
      <c r="H189" s="92"/>
      <c r="I189" s="92"/>
      <c r="J189" s="92"/>
      <c r="K189" s="93"/>
      <c r="L189" s="94"/>
      <c r="M189" s="94"/>
      <c r="N189" s="95"/>
      <c r="O189" s="66"/>
      <c r="P189" s="96"/>
      <c r="Q189" s="97"/>
      <c r="R189" s="58"/>
      <c r="S189" s="69"/>
      <c r="T189" s="70"/>
      <c r="U189" s="66"/>
      <c r="V189" s="55"/>
      <c r="W189" s="55"/>
      <c r="X189" s="277"/>
      <c r="Y189" s="92"/>
    </row>
    <row r="190" spans="1:25" s="99" customFormat="1" ht="65.099999999999994" customHeight="1">
      <c r="A190" s="89"/>
      <c r="B190" s="89"/>
      <c r="C190" s="482"/>
      <c r="D190" s="91"/>
      <c r="E190" s="92"/>
      <c r="F190" s="92"/>
      <c r="G190" s="92"/>
      <c r="H190" s="92"/>
      <c r="I190" s="92"/>
      <c r="J190" s="92"/>
      <c r="K190" s="93"/>
      <c r="L190" s="94"/>
      <c r="M190" s="94"/>
      <c r="N190" s="95"/>
      <c r="O190" s="66"/>
      <c r="P190" s="96"/>
      <c r="Q190" s="97"/>
      <c r="R190" s="58"/>
      <c r="S190" s="69"/>
      <c r="T190" s="70"/>
      <c r="U190" s="66"/>
      <c r="V190" s="55"/>
      <c r="W190" s="55"/>
      <c r="X190" s="277"/>
      <c r="Y190" s="92"/>
    </row>
    <row r="191" spans="1:25" s="99" customFormat="1" ht="65.099999999999994" customHeight="1">
      <c r="A191" s="89"/>
      <c r="B191" s="89"/>
      <c r="C191" s="482"/>
      <c r="D191" s="91"/>
      <c r="E191" s="92"/>
      <c r="F191" s="92"/>
      <c r="G191" s="92"/>
      <c r="H191" s="92"/>
      <c r="I191" s="92"/>
      <c r="J191" s="92"/>
      <c r="K191" s="93"/>
      <c r="L191" s="94"/>
      <c r="M191" s="94"/>
      <c r="N191" s="95"/>
      <c r="O191" s="66"/>
      <c r="P191" s="96"/>
      <c r="Q191" s="97"/>
      <c r="R191" s="58"/>
      <c r="S191" s="69"/>
      <c r="T191" s="70"/>
      <c r="U191" s="66"/>
      <c r="V191" s="55"/>
      <c r="W191" s="55"/>
      <c r="X191" s="277"/>
      <c r="Y191" s="92"/>
    </row>
    <row r="192" spans="1:25" s="99" customFormat="1" ht="65.099999999999994" customHeight="1">
      <c r="A192" s="89"/>
      <c r="B192" s="89"/>
      <c r="C192" s="482"/>
      <c r="D192" s="91"/>
      <c r="E192" s="92"/>
      <c r="F192" s="92"/>
      <c r="G192" s="92"/>
      <c r="H192" s="92"/>
      <c r="I192" s="92"/>
      <c r="J192" s="92"/>
      <c r="K192" s="93"/>
      <c r="L192" s="94"/>
      <c r="M192" s="94"/>
      <c r="N192" s="95"/>
      <c r="O192" s="66"/>
      <c r="P192" s="96"/>
      <c r="Q192" s="97"/>
      <c r="R192" s="58"/>
      <c r="S192" s="69"/>
      <c r="T192" s="70"/>
      <c r="U192" s="66"/>
      <c r="V192" s="55"/>
      <c r="W192" s="55"/>
      <c r="X192" s="277"/>
      <c r="Y192" s="92"/>
    </row>
    <row r="193" spans="1:25" s="99" customFormat="1" ht="65.099999999999994" customHeight="1">
      <c r="A193" s="89"/>
      <c r="B193" s="89"/>
      <c r="C193" s="482"/>
      <c r="D193" s="91"/>
      <c r="E193" s="92"/>
      <c r="F193" s="92"/>
      <c r="G193" s="92"/>
      <c r="H193" s="92"/>
      <c r="I193" s="92"/>
      <c r="J193" s="92"/>
      <c r="K193" s="93"/>
      <c r="L193" s="94"/>
      <c r="M193" s="94"/>
      <c r="N193" s="95"/>
      <c r="O193" s="66"/>
      <c r="P193" s="96"/>
      <c r="Q193" s="97"/>
      <c r="R193" s="58"/>
      <c r="S193" s="69"/>
      <c r="T193" s="70"/>
      <c r="U193" s="66"/>
      <c r="V193" s="55"/>
      <c r="W193" s="55"/>
      <c r="X193" s="277"/>
      <c r="Y193" s="92"/>
    </row>
    <row r="194" spans="1:25" s="99" customFormat="1" ht="65.099999999999994" customHeight="1">
      <c r="A194" s="89"/>
      <c r="B194" s="89"/>
      <c r="C194" s="482"/>
      <c r="D194" s="91"/>
      <c r="E194" s="92"/>
      <c r="F194" s="92"/>
      <c r="G194" s="92"/>
      <c r="H194" s="92"/>
      <c r="I194" s="92"/>
      <c r="J194" s="92"/>
      <c r="K194" s="93"/>
      <c r="L194" s="94"/>
      <c r="M194" s="94"/>
      <c r="N194" s="95"/>
      <c r="O194" s="66"/>
      <c r="P194" s="96"/>
      <c r="Q194" s="97"/>
      <c r="R194" s="58"/>
      <c r="S194" s="69"/>
      <c r="T194" s="70"/>
      <c r="U194" s="66"/>
      <c r="V194" s="55"/>
      <c r="W194" s="55"/>
      <c r="X194" s="277"/>
      <c r="Y194" s="92"/>
    </row>
  </sheetData>
  <autoFilter ref="A1:Y17"/>
  <mergeCells count="37">
    <mergeCell ref="A47:A50"/>
    <mergeCell ref="A23:A26"/>
    <mergeCell ref="A27:A30"/>
    <mergeCell ref="A31:A34"/>
    <mergeCell ref="A35:A38"/>
    <mergeCell ref="A39:A42"/>
    <mergeCell ref="A43:A46"/>
    <mergeCell ref="Y1:Y2"/>
    <mergeCell ref="A3:A6"/>
    <mergeCell ref="A7:A10"/>
    <mergeCell ref="A11:A14"/>
    <mergeCell ref="A15:A18"/>
    <mergeCell ref="W1:W2"/>
    <mergeCell ref="X1:X2"/>
    <mergeCell ref="L1:L2"/>
    <mergeCell ref="A1:A2"/>
    <mergeCell ref="B1:B2"/>
    <mergeCell ref="C1:C2"/>
    <mergeCell ref="D1:D2"/>
    <mergeCell ref="E1:E2"/>
    <mergeCell ref="F1:F2"/>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s>
  <conditionalFormatting sqref="G3:J50">
    <cfRule type="containsText" dxfId="124" priority="8" operator="containsText" text="NO">
      <formula>NOT(ISERROR(SEARCH("NO",G3)))</formula>
    </cfRule>
  </conditionalFormatting>
  <conditionalFormatting sqref="X3 X14">
    <cfRule type="containsText" dxfId="123" priority="7" operator="containsText" text="NO CUMPLE">
      <formula>NOT(ISERROR(SEARCH("NO CUMPLE",X3)))</formula>
    </cfRule>
  </conditionalFormatting>
  <conditionalFormatting sqref="X4">
    <cfRule type="containsText" dxfId="122" priority="6" operator="containsText" text="NO CUMPLE">
      <formula>NOT(ISERROR(SEARCH("NO CUMPLE",X4)))</formula>
    </cfRule>
  </conditionalFormatting>
  <conditionalFormatting sqref="X5">
    <cfRule type="containsText" dxfId="121" priority="5" operator="containsText" text="NO CUMPLE">
      <formula>NOT(ISERROR(SEARCH("NO CUMPLE",X5)))</formula>
    </cfRule>
  </conditionalFormatting>
  <conditionalFormatting sqref="X6">
    <cfRule type="containsText" dxfId="120" priority="4" operator="containsText" text="NO CUMPLE">
      <formula>NOT(ISERROR(SEARCH("NO CUMPLE",X6)))</formula>
    </cfRule>
  </conditionalFormatting>
  <conditionalFormatting sqref="X10 X18 X22 X26 X30 X34 X38 X42 X46 X50">
    <cfRule type="containsText" dxfId="119" priority="3" operator="containsText" text="NO CUMPLE">
      <formula>NOT(ISERROR(SEARCH("NO CUMPLE",X10)))</formula>
    </cfRule>
  </conditionalFormatting>
  <conditionalFormatting sqref="X8:X9 X12:X13 X16:X17 X20:X21 X24:X25 X28:X29 X32:X33 X36:X37 X40:X41 X44:X45 X48:X49">
    <cfRule type="containsText" dxfId="118" priority="2" operator="containsText" text="NO CUMPLE">
      <formula>NOT(ISERROR(SEARCH("NO CUMPLE",X8)))</formula>
    </cfRule>
  </conditionalFormatting>
  <conditionalFormatting sqref="X7 X11 X15 X19 X23 X27 X31 X35 X39 X43 X47">
    <cfRule type="containsText" dxfId="117" priority="1" operator="containsText" text="NO CUMPLE">
      <formula>NOT(ISERROR(SEARCH("NO CUMPLE",X7)))</formula>
    </cfRule>
  </conditionalFormatting>
  <dataValidations count="1">
    <dataValidation type="list" allowBlank="1" showInputMessage="1" showErrorMessage="1" sqref="G3:J50">
      <formula1>$AA$1:$AB$1</formula1>
    </dataValidation>
  </dataValidations>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M212"/>
  <sheetViews>
    <sheetView zoomScale="40" zoomScaleNormal="40" zoomScalePageLayoutView="75" workbookViewId="0">
      <pane xSplit="1" ySplit="2" topLeftCell="T36" activePane="bottomRight" state="frozen"/>
      <selection activeCell="A17" sqref="A17"/>
      <selection pane="topRight" activeCell="A17" sqref="A17"/>
      <selection pane="bottomLeft" activeCell="A17" sqref="A17"/>
      <selection pane="bottomRight" activeCell="AJ20" sqref="AJ20"/>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12.5" style="101" customWidth="1"/>
    <col min="9" max="9" width="13.625" style="102" customWidth="1"/>
    <col min="10" max="10" width="13" style="103" customWidth="1"/>
    <col min="11" max="11" width="11" style="104" customWidth="1"/>
    <col min="12" max="12" width="11" style="105" customWidth="1"/>
    <col min="13" max="13" width="11" style="68" customWidth="1"/>
    <col min="14" max="14" width="18.5" style="106" customWidth="1"/>
    <col min="15" max="15" width="8.75" style="106" customWidth="1"/>
    <col min="16" max="16" width="9.5" style="68" bestFit="1" customWidth="1"/>
    <col min="17" max="17" width="12.5" style="68" customWidth="1"/>
    <col min="18" max="18" width="9.625" style="68" bestFit="1" customWidth="1"/>
    <col min="19"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107" bestFit="1" customWidth="1"/>
    <col min="30" max="30" width="7.375" style="107" bestFit="1" customWidth="1"/>
    <col min="31" max="31" width="6.375" style="107" customWidth="1"/>
    <col min="32" max="35" width="19.5" style="58" customWidth="1"/>
    <col min="36" max="36" width="59.125" style="92" customWidth="1"/>
    <col min="37" max="39" width="10.875" style="108"/>
    <col min="40" max="41" width="15.125" style="108" bestFit="1" customWidth="1"/>
    <col min="42" max="16384" width="10.875" style="108"/>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845" t="s">
        <v>17</v>
      </c>
      <c r="O1" s="776" t="s">
        <v>18</v>
      </c>
      <c r="P1" s="780" t="s">
        <v>19</v>
      </c>
      <c r="Q1" s="780" t="s">
        <v>20</v>
      </c>
      <c r="R1" s="780" t="s">
        <v>21</v>
      </c>
      <c r="S1" s="778" t="s">
        <v>22</v>
      </c>
      <c r="T1" s="778" t="s">
        <v>23</v>
      </c>
      <c r="U1" s="778" t="s">
        <v>482</v>
      </c>
      <c r="V1" s="776" t="s">
        <v>62</v>
      </c>
      <c r="W1" s="776" t="s">
        <v>28</v>
      </c>
      <c r="X1" s="776"/>
      <c r="Y1" s="776"/>
      <c r="Z1" s="776" t="s">
        <v>29</v>
      </c>
      <c r="AA1" s="776"/>
      <c r="AB1" s="776"/>
      <c r="AC1" s="776" t="s">
        <v>30</v>
      </c>
      <c r="AD1" s="776"/>
      <c r="AE1" s="776"/>
      <c r="AF1" s="780" t="s">
        <v>31</v>
      </c>
      <c r="AG1" s="778" t="s">
        <v>339</v>
      </c>
      <c r="AH1" s="779" t="s">
        <v>175</v>
      </c>
      <c r="AI1" s="778" t="s">
        <v>736</v>
      </c>
      <c r="AJ1" s="776" t="s">
        <v>3</v>
      </c>
      <c r="AL1" s="57" t="s">
        <v>10</v>
      </c>
      <c r="AM1" s="57" t="s">
        <v>11</v>
      </c>
    </row>
    <row r="2" spans="1:39" s="56" customFormat="1" ht="62.25" customHeight="1" thickBot="1">
      <c r="A2" s="777"/>
      <c r="B2" s="777"/>
      <c r="C2" s="777"/>
      <c r="D2" s="779"/>
      <c r="E2" s="777"/>
      <c r="F2" s="777"/>
      <c r="G2" s="781"/>
      <c r="H2" s="781"/>
      <c r="I2" s="783"/>
      <c r="J2" s="785"/>
      <c r="K2" s="785"/>
      <c r="L2" s="787"/>
      <c r="M2" s="779"/>
      <c r="N2" s="846"/>
      <c r="O2" s="777"/>
      <c r="P2" s="781"/>
      <c r="Q2" s="781"/>
      <c r="R2" s="781"/>
      <c r="S2" s="779"/>
      <c r="T2" s="779"/>
      <c r="U2" s="779"/>
      <c r="V2" s="777"/>
      <c r="W2" s="281" t="s">
        <v>32</v>
      </c>
      <c r="X2" s="281" t="s">
        <v>33</v>
      </c>
      <c r="Y2" s="281" t="s">
        <v>34</v>
      </c>
      <c r="Z2" s="281" t="s">
        <v>35</v>
      </c>
      <c r="AA2" s="281" t="s">
        <v>33</v>
      </c>
      <c r="AB2" s="281" t="s">
        <v>36</v>
      </c>
      <c r="AC2" s="281" t="s">
        <v>35</v>
      </c>
      <c r="AD2" s="281" t="s">
        <v>33</v>
      </c>
      <c r="AE2" s="281" t="s">
        <v>37</v>
      </c>
      <c r="AF2" s="781"/>
      <c r="AG2" s="779"/>
      <c r="AH2" s="844"/>
      <c r="AI2" s="779"/>
      <c r="AJ2" s="777"/>
    </row>
    <row r="3" spans="1:39" s="72" customFormat="1" ht="75.75" customHeight="1">
      <c r="A3" s="765" t="s">
        <v>228</v>
      </c>
      <c r="B3" s="217" t="s">
        <v>120</v>
      </c>
      <c r="C3" s="124">
        <v>130</v>
      </c>
      <c r="D3" s="125" t="str">
        <f>+IFERROR(INDEX(CONSOLIDADO!$D$4:$D$89,MATCH('EXP GEN. 13-19'!B3,CONSOLIDADO!$C$4:$C$89,0)),"")</f>
        <v>VELNEC S.A</v>
      </c>
      <c r="E3" s="126" t="s">
        <v>340</v>
      </c>
      <c r="F3" s="127" t="s">
        <v>342</v>
      </c>
      <c r="G3" s="223" t="s">
        <v>10</v>
      </c>
      <c r="H3" s="223" t="s">
        <v>10</v>
      </c>
      <c r="I3" s="128">
        <v>0.4</v>
      </c>
      <c r="J3" s="129">
        <v>37432</v>
      </c>
      <c r="K3" s="129">
        <v>38216</v>
      </c>
      <c r="L3" s="130">
        <f>IF(K3="","",YEAR(K3))</f>
        <v>2004</v>
      </c>
      <c r="M3" s="131">
        <f>+IFERROR(INDEX(PARÁMETROS!$B$11:$B$37,MATCH(L3,PARÁMETROS!$A$11:$A$37,0)),"")</f>
        <v>358000</v>
      </c>
      <c r="N3" s="132">
        <v>2083130366</v>
      </c>
      <c r="O3" s="133" t="s">
        <v>25</v>
      </c>
      <c r="P3" s="123" t="s">
        <v>346</v>
      </c>
      <c r="Q3" s="134" t="s">
        <v>346</v>
      </c>
      <c r="R3" s="135">
        <v>1</v>
      </c>
      <c r="S3" s="131">
        <f>IF(R3&lt;&gt;"",N3*R3,"")</f>
        <v>2083130366</v>
      </c>
      <c r="T3" s="136">
        <f>+IFERROR(S3/M3,"")</f>
        <v>5818.7999050279332</v>
      </c>
      <c r="U3" s="136">
        <f>IFERROR(T3*I3,"")</f>
        <v>2327.5199620111734</v>
      </c>
      <c r="V3" s="137">
        <v>5</v>
      </c>
      <c r="W3" s="798" t="s">
        <v>10</v>
      </c>
      <c r="X3" s="798"/>
      <c r="Y3" s="798"/>
      <c r="Z3" s="798" t="s">
        <v>10</v>
      </c>
      <c r="AA3" s="798"/>
      <c r="AB3" s="798"/>
      <c r="AC3" s="798" t="s">
        <v>10</v>
      </c>
      <c r="AD3" s="798"/>
      <c r="AE3" s="798"/>
      <c r="AF3" s="223" t="s">
        <v>10</v>
      </c>
      <c r="AG3" s="837" t="str">
        <f>IF(U3:U7="","",IF(SUM(U3:U7)&gt;=PARÁMETROS!$D$5,"HÁBIL","NO HÁBIL"))</f>
        <v>HÁBIL</v>
      </c>
      <c r="AH3" s="837" t="str">
        <f>IF(U3+U4="","",IF(U3+U4&gt;=PARÁMETROS!$H$5,"HÁBIL","NO HÁBIL"))</f>
        <v>HÁBIL</v>
      </c>
      <c r="AI3" s="222" t="str">
        <f>+IF(U3="","",IF(U3&gt;=PARÁMETROS!$F$5,"CUMPLE","NO CUMPLE"))</f>
        <v>CUMPLE</v>
      </c>
      <c r="AJ3" s="138"/>
      <c r="AK3" s="109"/>
    </row>
    <row r="4" spans="1:39" s="72" customFormat="1" ht="64.5" customHeight="1">
      <c r="A4" s="766"/>
      <c r="B4" s="209" t="s">
        <v>120</v>
      </c>
      <c r="C4" s="59">
        <v>136</v>
      </c>
      <c r="D4" s="60" t="str">
        <f>+IFERROR(INDEX(CONSOLIDADO!$D$4:$D$89,MATCH('EXP GEN. 13-19'!B4,CONSOLIDADO!$C$4:$C$89,0)),"")</f>
        <v>VELNEC S.A</v>
      </c>
      <c r="E4" s="61" t="s">
        <v>341</v>
      </c>
      <c r="F4" s="61" t="s">
        <v>343</v>
      </c>
      <c r="G4" s="224" t="s">
        <v>10</v>
      </c>
      <c r="H4" s="220" t="s">
        <v>10</v>
      </c>
      <c r="I4" s="73">
        <v>0.51</v>
      </c>
      <c r="J4" s="64">
        <v>39114</v>
      </c>
      <c r="K4" s="64">
        <v>40116</v>
      </c>
      <c r="L4" s="65">
        <f t="shared" ref="L4:L55" si="0">IF(K4="","",YEAR(K4))</f>
        <v>2009</v>
      </c>
      <c r="M4" s="66">
        <f>+IFERROR(INDEX(PARÁMETROS!$B$11:$B$37,MATCH(L4,PARÁMETROS!$A$11:$A$37,0)),"")</f>
        <v>496900</v>
      </c>
      <c r="N4" s="74">
        <v>2632793549</v>
      </c>
      <c r="O4" s="66" t="s">
        <v>25</v>
      </c>
      <c r="P4" s="58" t="s">
        <v>346</v>
      </c>
      <c r="Q4" s="69" t="s">
        <v>346</v>
      </c>
      <c r="R4" s="70">
        <v>1</v>
      </c>
      <c r="S4" s="66">
        <f>IF(R4&lt;&gt;"",N4*R4,"")</f>
        <v>2632793549</v>
      </c>
      <c r="T4" s="55">
        <f t="shared" ref="T4:T55" si="1">+IFERROR(S4/M4,"")</f>
        <v>5298.4374099416382</v>
      </c>
      <c r="U4" s="55">
        <f t="shared" ref="U4:U55" si="2">IFERROR(T4*I4,"")</f>
        <v>2702.2030790702356</v>
      </c>
      <c r="V4" s="71">
        <v>3</v>
      </c>
      <c r="W4" s="799" t="s">
        <v>10</v>
      </c>
      <c r="X4" s="799"/>
      <c r="Y4" s="799"/>
      <c r="Z4" s="799" t="s">
        <v>10</v>
      </c>
      <c r="AA4" s="799"/>
      <c r="AB4" s="799"/>
      <c r="AC4" s="799" t="s">
        <v>10</v>
      </c>
      <c r="AD4" s="799"/>
      <c r="AE4" s="799"/>
      <c r="AF4" s="220" t="s">
        <v>10</v>
      </c>
      <c r="AG4" s="838"/>
      <c r="AH4" s="838"/>
      <c r="AI4" s="220" t="str">
        <f>+IF(U4="","",IF(U4&gt;=PARÁMETROS!$F$5,"CUMPLE","NO CUMPLE"))</f>
        <v>CUMPLE</v>
      </c>
      <c r="AJ4" s="139"/>
      <c r="AK4" s="109"/>
    </row>
    <row r="5" spans="1:39" s="72" customFormat="1" ht="84" customHeight="1">
      <c r="A5" s="766"/>
      <c r="B5" s="209" t="s">
        <v>121</v>
      </c>
      <c r="C5" s="59">
        <v>139</v>
      </c>
      <c r="D5" s="60" t="str">
        <f>+IFERROR(INDEX(CONSOLIDADO!$D$4:$D$89,MATCH('EXP GEN. 13-19'!B5,CONSOLIDADO!$C$4:$C$89,0)),"")</f>
        <v>GNC INGENIERIA S.A.S.</v>
      </c>
      <c r="E5" s="61" t="s">
        <v>340</v>
      </c>
      <c r="F5" s="62" t="s">
        <v>347</v>
      </c>
      <c r="G5" s="224" t="s">
        <v>10</v>
      </c>
      <c r="H5" s="220" t="s">
        <v>10</v>
      </c>
      <c r="I5" s="63">
        <v>1</v>
      </c>
      <c r="J5" s="64">
        <v>41686</v>
      </c>
      <c r="K5" s="64">
        <v>42160</v>
      </c>
      <c r="L5" s="65">
        <f t="shared" si="0"/>
        <v>2015</v>
      </c>
      <c r="M5" s="66">
        <f>+IFERROR(INDEX(PARÁMETROS!$B$11:$B$37,MATCH(L5,PARÁMETROS!$A$11:$A$37,0)),"")</f>
        <v>644350</v>
      </c>
      <c r="N5" s="67">
        <v>1686799414</v>
      </c>
      <c r="O5" s="66" t="s">
        <v>25</v>
      </c>
      <c r="P5" s="58" t="s">
        <v>346</v>
      </c>
      <c r="Q5" s="69" t="s">
        <v>346</v>
      </c>
      <c r="R5" s="70">
        <v>1</v>
      </c>
      <c r="S5" s="66">
        <f t="shared" ref="S5:S55" si="3">IF(R5&lt;&gt;"",N5*R5,"")</f>
        <v>1686799414</v>
      </c>
      <c r="T5" s="55">
        <f t="shared" si="1"/>
        <v>2617.831014200357</v>
      </c>
      <c r="U5" s="55">
        <f t="shared" si="2"/>
        <v>2617.831014200357</v>
      </c>
      <c r="V5" s="71">
        <v>158</v>
      </c>
      <c r="W5" s="799" t="s">
        <v>10</v>
      </c>
      <c r="X5" s="799"/>
      <c r="Y5" s="799"/>
      <c r="Z5" s="799" t="s">
        <v>10</v>
      </c>
      <c r="AA5" s="799"/>
      <c r="AB5" s="799"/>
      <c r="AC5" s="799" t="s">
        <v>10</v>
      </c>
      <c r="AD5" s="799"/>
      <c r="AE5" s="799"/>
      <c r="AF5" s="220" t="s">
        <v>10</v>
      </c>
      <c r="AG5" s="838"/>
      <c r="AH5" s="838"/>
      <c r="AI5" s="220" t="str">
        <f>+IF(U5="","",IF(U5&gt;=PARÁMETROS!$F$5,"CUMPLE","NO CUMPLE"))</f>
        <v>CUMPLE</v>
      </c>
      <c r="AJ5" s="140"/>
      <c r="AK5" s="109"/>
    </row>
    <row r="6" spans="1:39" s="72" customFormat="1" ht="57">
      <c r="A6" s="766"/>
      <c r="B6" s="209" t="s">
        <v>121</v>
      </c>
      <c r="C6" s="59">
        <v>142</v>
      </c>
      <c r="D6" s="60" t="str">
        <f>+IFERROR(INDEX(CONSOLIDADO!$D$4:$D$89,MATCH('EXP GEN. 13-19'!B6,CONSOLIDADO!$C$4:$C$89,0)),"")</f>
        <v>GNC INGENIERIA S.A.S.</v>
      </c>
      <c r="E6" s="61" t="s">
        <v>344</v>
      </c>
      <c r="F6" s="62" t="s">
        <v>348</v>
      </c>
      <c r="G6" s="224" t="s">
        <v>10</v>
      </c>
      <c r="H6" s="220" t="s">
        <v>10</v>
      </c>
      <c r="I6" s="63">
        <v>0.8</v>
      </c>
      <c r="J6" s="64">
        <v>41282</v>
      </c>
      <c r="K6" s="64">
        <v>41818</v>
      </c>
      <c r="L6" s="65">
        <f t="shared" si="0"/>
        <v>2014</v>
      </c>
      <c r="M6" s="66">
        <f>+IFERROR(INDEX(PARÁMETROS!$B$11:$B$37,MATCH(L6,PARÁMETROS!$A$11:$A$37,0)),"")</f>
        <v>616000</v>
      </c>
      <c r="N6" s="67">
        <v>1544774057</v>
      </c>
      <c r="O6" s="66" t="s">
        <v>25</v>
      </c>
      <c r="P6" s="58" t="s">
        <v>346</v>
      </c>
      <c r="Q6" s="69" t="s">
        <v>346</v>
      </c>
      <c r="R6" s="70">
        <v>1</v>
      </c>
      <c r="S6" s="66">
        <f t="shared" si="3"/>
        <v>1544774057</v>
      </c>
      <c r="T6" s="55">
        <f t="shared" si="1"/>
        <v>2507.7500925324675</v>
      </c>
      <c r="U6" s="55">
        <f t="shared" si="2"/>
        <v>2006.2000740259741</v>
      </c>
      <c r="V6" s="71">
        <v>99</v>
      </c>
      <c r="W6" s="799" t="s">
        <v>10</v>
      </c>
      <c r="X6" s="799"/>
      <c r="Y6" s="799"/>
      <c r="Z6" s="799" t="s">
        <v>10</v>
      </c>
      <c r="AA6" s="799"/>
      <c r="AB6" s="799"/>
      <c r="AC6" s="799" t="s">
        <v>10</v>
      </c>
      <c r="AD6" s="799"/>
      <c r="AE6" s="799"/>
      <c r="AF6" s="220" t="s">
        <v>10</v>
      </c>
      <c r="AG6" s="838"/>
      <c r="AH6" s="838"/>
      <c r="AI6" s="220" t="str">
        <f>+IF(U6="","",IF(U6&gt;=PARÁMETROS!$F$5,"CUMPLE","NO CUMPLE"))</f>
        <v>CUMPLE</v>
      </c>
      <c r="AJ6" s="140"/>
      <c r="AK6" s="109"/>
    </row>
    <row r="7" spans="1:39" s="72" customFormat="1" ht="48" thickBot="1">
      <c r="A7" s="842"/>
      <c r="B7" s="219" t="s">
        <v>121</v>
      </c>
      <c r="C7" s="262">
        <v>146</v>
      </c>
      <c r="D7" s="245" t="str">
        <f>+IFERROR(INDEX(CONSOLIDADO!$D$4:$D$89,MATCH('EXP GEN. 13-19'!B7,CONSOLIDADO!$C$4:$C$89,0)),"")</f>
        <v>GNC INGENIERIA S.A.S.</v>
      </c>
      <c r="E7" s="246" t="s">
        <v>345</v>
      </c>
      <c r="F7" s="247" t="s">
        <v>349</v>
      </c>
      <c r="G7" s="263" t="s">
        <v>10</v>
      </c>
      <c r="H7" s="248" t="s">
        <v>10</v>
      </c>
      <c r="I7" s="249">
        <v>0.95</v>
      </c>
      <c r="J7" s="250">
        <v>40854</v>
      </c>
      <c r="K7" s="250">
        <v>41628</v>
      </c>
      <c r="L7" s="251">
        <f t="shared" si="0"/>
        <v>2013</v>
      </c>
      <c r="M7" s="252">
        <f>+IFERROR(INDEX(PARÁMETROS!$B$11:$B$37,MATCH(L7,PARÁMETROS!$A$11:$A$37,0)),"")</f>
        <v>589500</v>
      </c>
      <c r="N7" s="253">
        <v>1071250790</v>
      </c>
      <c r="O7" s="252" t="s">
        <v>25</v>
      </c>
      <c r="P7" s="243" t="s">
        <v>346</v>
      </c>
      <c r="Q7" s="255" t="s">
        <v>346</v>
      </c>
      <c r="R7" s="256">
        <v>1</v>
      </c>
      <c r="S7" s="252">
        <f t="shared" si="3"/>
        <v>1071250790</v>
      </c>
      <c r="T7" s="257">
        <f t="shared" si="1"/>
        <v>1817.2193214588635</v>
      </c>
      <c r="U7" s="257">
        <f t="shared" si="2"/>
        <v>1726.3583553859203</v>
      </c>
      <c r="V7" s="264">
        <v>6</v>
      </c>
      <c r="W7" s="800" t="s">
        <v>10</v>
      </c>
      <c r="X7" s="800"/>
      <c r="Y7" s="800"/>
      <c r="Z7" s="800" t="s">
        <v>10</v>
      </c>
      <c r="AA7" s="800"/>
      <c r="AB7" s="800"/>
      <c r="AC7" s="800" t="s">
        <v>10</v>
      </c>
      <c r="AD7" s="800"/>
      <c r="AE7" s="800"/>
      <c r="AF7" s="248" t="s">
        <v>10</v>
      </c>
      <c r="AG7" s="841"/>
      <c r="AH7" s="841"/>
      <c r="AI7" s="248" t="str">
        <f>+IF(U7="","",IF(U7&gt;=PARÁMETROS!$F$5,"CUMPLE","NO CUMPLE"))</f>
        <v>CUMPLE</v>
      </c>
      <c r="AJ7" s="265"/>
      <c r="AK7" s="109"/>
    </row>
    <row r="8" spans="1:39" s="72" customFormat="1" ht="78.75">
      <c r="A8" s="765" t="s">
        <v>231</v>
      </c>
      <c r="B8" s="123" t="s">
        <v>122</v>
      </c>
      <c r="C8" s="157">
        <v>107</v>
      </c>
      <c r="D8" s="125" t="str">
        <f>+IFERROR(INDEX(CONSOLIDADO!$D$4:$D$89,MATCH('EXP GEN. 13-19'!B8,CONSOLIDADO!$C$4:$C$89,0)),"")</f>
        <v>ARREDONDO MADRID INGENIEROS CIVILES (AIM) LIMITADA</v>
      </c>
      <c r="E8" s="126" t="s">
        <v>353</v>
      </c>
      <c r="F8" s="127" t="s">
        <v>360</v>
      </c>
      <c r="G8" s="222" t="s">
        <v>10</v>
      </c>
      <c r="H8" s="222" t="s">
        <v>10</v>
      </c>
      <c r="I8" s="128">
        <v>1</v>
      </c>
      <c r="J8" s="129">
        <v>37186</v>
      </c>
      <c r="K8" s="129">
        <v>38373</v>
      </c>
      <c r="L8" s="130">
        <f t="shared" si="0"/>
        <v>2005</v>
      </c>
      <c r="M8" s="131">
        <f>+IFERROR(INDEX(PARÁMETROS!$B$11:$B$37,MATCH(L8,PARÁMETROS!$A$11:$A$37,0)),"")</f>
        <v>381500</v>
      </c>
      <c r="N8" s="132">
        <v>1577666575</v>
      </c>
      <c r="O8" s="133" t="s">
        <v>25</v>
      </c>
      <c r="P8" s="123" t="s">
        <v>346</v>
      </c>
      <c r="Q8" s="134" t="s">
        <v>346</v>
      </c>
      <c r="R8" s="135">
        <v>1</v>
      </c>
      <c r="S8" s="131">
        <f t="shared" si="3"/>
        <v>1577666575</v>
      </c>
      <c r="T8" s="136">
        <f t="shared" si="1"/>
        <v>4135.4300786369595</v>
      </c>
      <c r="U8" s="136">
        <f t="shared" si="2"/>
        <v>4135.4300786369595</v>
      </c>
      <c r="V8" s="136">
        <v>77</v>
      </c>
      <c r="W8" s="798" t="s">
        <v>10</v>
      </c>
      <c r="X8" s="798"/>
      <c r="Y8" s="798"/>
      <c r="Z8" s="798" t="s">
        <v>10</v>
      </c>
      <c r="AA8" s="798"/>
      <c r="AB8" s="798"/>
      <c r="AC8" s="798" t="s">
        <v>10</v>
      </c>
      <c r="AD8" s="798"/>
      <c r="AE8" s="798"/>
      <c r="AF8" s="222" t="s">
        <v>10</v>
      </c>
      <c r="AG8" s="837" t="str">
        <f>IF(U8:U9="","",IF(SUM(U8:U9)&gt;=PARÁMETROS!$D$5,"HÁBIL","NO HÁBIL"))</f>
        <v>HÁBIL</v>
      </c>
      <c r="AH8" s="837" t="str">
        <f>IF(U8="","",IF(U8&gt;=PARÁMETROS!$H$5,"HÁBIL","NO HÁBIL"))</f>
        <v>HÁBIL</v>
      </c>
      <c r="AI8" s="222" t="str">
        <f>+IF(U8="","",IF(U8&gt;=PARÁMETROS!$F$5,"CUMPLE","NO CUMPLE"))</f>
        <v>CUMPLE</v>
      </c>
      <c r="AJ8" s="138"/>
      <c r="AK8" s="109"/>
    </row>
    <row r="9" spans="1:39" s="72" customFormat="1" ht="63.75" thickBot="1">
      <c r="A9" s="842"/>
      <c r="B9" s="243" t="s">
        <v>123</v>
      </c>
      <c r="C9" s="244">
        <v>111</v>
      </c>
      <c r="D9" s="245" t="str">
        <f>+IFERROR(INDEX(CONSOLIDADO!$D$4:$D$89,MATCH('EXP GEN. 13-19'!B9,CONSOLIDADO!$C$4:$C$89,0)),"")</f>
        <v>INGENIERIA INTEGRAL DE OBRAS - INGEOBRAS SAS</v>
      </c>
      <c r="E9" s="246" t="s">
        <v>361</v>
      </c>
      <c r="F9" s="247" t="s">
        <v>362</v>
      </c>
      <c r="G9" s="248" t="s">
        <v>10</v>
      </c>
      <c r="H9" s="248" t="s">
        <v>10</v>
      </c>
      <c r="I9" s="249">
        <v>1</v>
      </c>
      <c r="J9" s="250">
        <v>41295</v>
      </c>
      <c r="K9" s="250">
        <v>41841</v>
      </c>
      <c r="L9" s="251">
        <f t="shared" si="0"/>
        <v>2014</v>
      </c>
      <c r="M9" s="252">
        <f>+IFERROR(INDEX(PARÁMETROS!$B$11:$B$37,MATCH(L9,PARÁMETROS!$A$11:$A$37,0)),"")</f>
        <v>616000</v>
      </c>
      <c r="N9" s="253">
        <v>3203004883</v>
      </c>
      <c r="O9" s="254" t="s">
        <v>25</v>
      </c>
      <c r="P9" s="243" t="s">
        <v>346</v>
      </c>
      <c r="Q9" s="255" t="s">
        <v>346</v>
      </c>
      <c r="R9" s="256">
        <v>1</v>
      </c>
      <c r="S9" s="252">
        <f t="shared" si="3"/>
        <v>3203004883</v>
      </c>
      <c r="T9" s="257">
        <f t="shared" si="1"/>
        <v>5199.6832516233762</v>
      </c>
      <c r="U9" s="257">
        <f t="shared" si="2"/>
        <v>5199.6832516233762</v>
      </c>
      <c r="V9" s="257">
        <v>145</v>
      </c>
      <c r="W9" s="800" t="s">
        <v>10</v>
      </c>
      <c r="X9" s="800"/>
      <c r="Y9" s="800"/>
      <c r="Z9" s="800" t="s">
        <v>10</v>
      </c>
      <c r="AA9" s="800"/>
      <c r="AB9" s="800"/>
      <c r="AC9" s="800" t="s">
        <v>10</v>
      </c>
      <c r="AD9" s="800"/>
      <c r="AE9" s="800"/>
      <c r="AF9" s="248" t="s">
        <v>10</v>
      </c>
      <c r="AG9" s="841"/>
      <c r="AH9" s="841"/>
      <c r="AI9" s="248" t="str">
        <f>+IF(U9="","",IF(U9&gt;=PARÁMETROS!$F$5,"CUMPLE","NO CUMPLE"))</f>
        <v>CUMPLE</v>
      </c>
      <c r="AJ9" s="259"/>
      <c r="AK9" s="109"/>
    </row>
    <row r="10" spans="1:39" s="72" customFormat="1" ht="85.5">
      <c r="A10" s="765" t="s">
        <v>235</v>
      </c>
      <c r="B10" s="123" t="s">
        <v>124</v>
      </c>
      <c r="C10" s="157">
        <v>179</v>
      </c>
      <c r="D10" s="125" t="str">
        <f>+IFERROR(INDEX(CONSOLIDADO!$D$4:$D$89,MATCH('EXP GEN. 13-19'!B10,CONSOLIDADO!$C$4:$C$89,0)),"")</f>
        <v>3B PROYECTOS SAS</v>
      </c>
      <c r="E10" s="126" t="s">
        <v>367</v>
      </c>
      <c r="F10" s="127" t="s">
        <v>368</v>
      </c>
      <c r="G10" s="222" t="s">
        <v>10</v>
      </c>
      <c r="H10" s="222" t="s">
        <v>10</v>
      </c>
      <c r="I10" s="128">
        <v>1</v>
      </c>
      <c r="J10" s="129">
        <v>38929</v>
      </c>
      <c r="K10" s="129">
        <v>39553</v>
      </c>
      <c r="L10" s="130">
        <f t="shared" si="0"/>
        <v>2008</v>
      </c>
      <c r="M10" s="131">
        <f>+IFERROR(INDEX(PARÁMETROS!$B$11:$B$37,MATCH(L10,PARÁMETROS!$A$11:$A$37,0)),"")</f>
        <v>461500</v>
      </c>
      <c r="N10" s="132">
        <v>3010928835</v>
      </c>
      <c r="O10" s="133" t="s">
        <v>25</v>
      </c>
      <c r="P10" s="123" t="s">
        <v>346</v>
      </c>
      <c r="Q10" s="134" t="s">
        <v>346</v>
      </c>
      <c r="R10" s="135">
        <v>1</v>
      </c>
      <c r="S10" s="131">
        <f t="shared" si="3"/>
        <v>3010928835</v>
      </c>
      <c r="T10" s="136">
        <f t="shared" si="1"/>
        <v>6524.2228277356444</v>
      </c>
      <c r="U10" s="136">
        <f t="shared" si="2"/>
        <v>6524.2228277356444</v>
      </c>
      <c r="V10" s="136">
        <v>43</v>
      </c>
      <c r="W10" s="798" t="s">
        <v>10</v>
      </c>
      <c r="X10" s="798"/>
      <c r="Y10" s="798"/>
      <c r="Z10" s="798" t="s">
        <v>10</v>
      </c>
      <c r="AA10" s="798"/>
      <c r="AB10" s="798"/>
      <c r="AC10" s="798" t="s">
        <v>10</v>
      </c>
      <c r="AD10" s="798"/>
      <c r="AE10" s="798"/>
      <c r="AF10" s="222" t="s">
        <v>10</v>
      </c>
      <c r="AG10" s="837" t="str">
        <f>IF(U10:U12="","",IF(SUM(U10:U12)&gt;=PARÁMETROS!$D$5,"HÁBIL","NO HÁBIL"))</f>
        <v>HÁBIL</v>
      </c>
      <c r="AH10" s="837" t="str">
        <f>IF(U10:U12="","",IF(U10+U11+U12&gt;=PARÁMETROS!$H$5,"HÁBIL","NO HÁBIL"))</f>
        <v>HÁBIL</v>
      </c>
      <c r="AI10" s="222" t="str">
        <f>+IF(U10="","",IF(U10&gt;=PARÁMETROS!$F$5,"CUMPLE","NO CUMPLE"))</f>
        <v>CUMPLE</v>
      </c>
      <c r="AJ10" s="138"/>
      <c r="AK10" s="109"/>
    </row>
    <row r="11" spans="1:39" s="72" customFormat="1" ht="99.75">
      <c r="A11" s="766"/>
      <c r="B11" s="58" t="s">
        <v>124</v>
      </c>
      <c r="C11" s="75">
        <v>182</v>
      </c>
      <c r="D11" s="60" t="str">
        <f>+IFERROR(INDEX(CONSOLIDADO!$D$4:$D$89,MATCH('EXP GEN. 13-19'!B11,CONSOLIDADO!$C$4:$C$89,0)),"")</f>
        <v>3B PROYECTOS SAS</v>
      </c>
      <c r="E11" s="61" t="s">
        <v>353</v>
      </c>
      <c r="F11" s="61" t="s">
        <v>369</v>
      </c>
      <c r="G11" s="220" t="s">
        <v>10</v>
      </c>
      <c r="H11" s="220" t="s">
        <v>10</v>
      </c>
      <c r="I11" s="73">
        <v>0.83499999999999996</v>
      </c>
      <c r="J11" s="64">
        <v>38337</v>
      </c>
      <c r="K11" s="64">
        <v>41440</v>
      </c>
      <c r="L11" s="65">
        <f t="shared" si="0"/>
        <v>2013</v>
      </c>
      <c r="M11" s="66">
        <f>+IFERROR(INDEX(PARÁMETROS!$B$11:$B$37,MATCH(L11,PARÁMETROS!$A$11:$A$37,0)),"")</f>
        <v>589500</v>
      </c>
      <c r="N11" s="74">
        <v>9865877743</v>
      </c>
      <c r="O11" s="66" t="s">
        <v>25</v>
      </c>
      <c r="P11" s="58" t="s">
        <v>346</v>
      </c>
      <c r="Q11" s="69" t="s">
        <v>346</v>
      </c>
      <c r="R11" s="70">
        <v>1</v>
      </c>
      <c r="S11" s="66">
        <f t="shared" si="3"/>
        <v>9865877743</v>
      </c>
      <c r="T11" s="55">
        <f t="shared" si="1"/>
        <v>16736.009742154369</v>
      </c>
      <c r="U11" s="55">
        <f t="shared" si="2"/>
        <v>13974.568134698897</v>
      </c>
      <c r="V11" s="55">
        <v>29</v>
      </c>
      <c r="W11" s="799" t="s">
        <v>10</v>
      </c>
      <c r="X11" s="799"/>
      <c r="Y11" s="799"/>
      <c r="Z11" s="799" t="s">
        <v>10</v>
      </c>
      <c r="AA11" s="799"/>
      <c r="AB11" s="799"/>
      <c r="AC11" s="799" t="s">
        <v>10</v>
      </c>
      <c r="AD11" s="799"/>
      <c r="AE11" s="799"/>
      <c r="AF11" s="220" t="s">
        <v>10</v>
      </c>
      <c r="AG11" s="838"/>
      <c r="AH11" s="838"/>
      <c r="AI11" s="220" t="str">
        <f>+IF(U11="","",IF(U11&gt;=PARÁMETROS!$F$5,"CUMPLE","NO CUMPLE"))</f>
        <v>CUMPLE</v>
      </c>
      <c r="AJ11" s="139"/>
      <c r="AK11" s="109"/>
    </row>
    <row r="12" spans="1:39" s="72" customFormat="1" ht="86.25" thickBot="1">
      <c r="A12" s="842"/>
      <c r="B12" s="243" t="s">
        <v>124</v>
      </c>
      <c r="C12" s="244">
        <v>185</v>
      </c>
      <c r="D12" s="245" t="str">
        <f>+IFERROR(INDEX(CONSOLIDADO!$D$4:$D$89,MATCH('EXP GEN. 13-19'!B12,CONSOLIDADO!$C$4:$C$89,0)),"")</f>
        <v>3B PROYECTOS SAS</v>
      </c>
      <c r="E12" s="246" t="s">
        <v>340</v>
      </c>
      <c r="F12" s="247" t="s">
        <v>370</v>
      </c>
      <c r="G12" s="248" t="s">
        <v>10</v>
      </c>
      <c r="H12" s="248" t="s">
        <v>10</v>
      </c>
      <c r="I12" s="249">
        <v>1</v>
      </c>
      <c r="J12" s="250">
        <v>39148</v>
      </c>
      <c r="K12" s="250">
        <v>40072</v>
      </c>
      <c r="L12" s="251">
        <f t="shared" si="0"/>
        <v>2009</v>
      </c>
      <c r="M12" s="252">
        <f>+IFERROR(INDEX(PARÁMETROS!$B$11:$B$37,MATCH(L12,PARÁMETROS!$A$11:$A$37,0)),"")</f>
        <v>496900</v>
      </c>
      <c r="N12" s="253">
        <f>1690448539+901877829</f>
        <v>2592326368</v>
      </c>
      <c r="O12" s="254" t="s">
        <v>25</v>
      </c>
      <c r="P12" s="243" t="s">
        <v>346</v>
      </c>
      <c r="Q12" s="255" t="s">
        <v>346</v>
      </c>
      <c r="R12" s="256">
        <v>1</v>
      </c>
      <c r="S12" s="252">
        <f t="shared" si="3"/>
        <v>2592326368</v>
      </c>
      <c r="T12" s="257">
        <f t="shared" si="1"/>
        <v>5216.9981243711009</v>
      </c>
      <c r="U12" s="257">
        <f t="shared" si="2"/>
        <v>5216.9981243711009</v>
      </c>
      <c r="V12" s="257">
        <v>45</v>
      </c>
      <c r="W12" s="800" t="s">
        <v>10</v>
      </c>
      <c r="X12" s="800"/>
      <c r="Y12" s="800"/>
      <c r="Z12" s="800" t="s">
        <v>10</v>
      </c>
      <c r="AA12" s="800"/>
      <c r="AB12" s="800"/>
      <c r="AC12" s="800" t="s">
        <v>10</v>
      </c>
      <c r="AD12" s="800"/>
      <c r="AE12" s="800"/>
      <c r="AF12" s="248" t="s">
        <v>10</v>
      </c>
      <c r="AG12" s="841"/>
      <c r="AH12" s="841"/>
      <c r="AI12" s="248" t="str">
        <f>+IF(U12="","",IF(U12&gt;=PARÁMETROS!$F$5,"CUMPLE","NO CUMPLE"))</f>
        <v>CUMPLE</v>
      </c>
      <c r="AJ12" s="259"/>
      <c r="AK12" s="109"/>
    </row>
    <row r="13" spans="1:39" s="72" customFormat="1" ht="42.75">
      <c r="A13" s="765" t="s">
        <v>236</v>
      </c>
      <c r="B13" s="123" t="s">
        <v>125</v>
      </c>
      <c r="C13" s="157">
        <v>200</v>
      </c>
      <c r="D13" s="125" t="str">
        <f>+IFERROR(INDEX(CONSOLIDADO!$D$4:$D$89,MATCH('EXP GEN. 13-19'!B13,CONSOLIDADO!$C$4:$C$89,0)),"")</f>
        <v>SEDIC</v>
      </c>
      <c r="E13" s="126" t="s">
        <v>363</v>
      </c>
      <c r="F13" s="127" t="s">
        <v>374</v>
      </c>
      <c r="G13" s="222" t="s">
        <v>10</v>
      </c>
      <c r="H13" s="222" t="s">
        <v>10</v>
      </c>
      <c r="I13" s="128">
        <v>1</v>
      </c>
      <c r="J13" s="129">
        <v>34358</v>
      </c>
      <c r="K13" s="129">
        <v>35828</v>
      </c>
      <c r="L13" s="130">
        <f t="shared" si="0"/>
        <v>1998</v>
      </c>
      <c r="M13" s="131">
        <f>+IFERROR(INDEX(PARÁMETROS!$B$11:$B$37,MATCH(L13,PARÁMETROS!$A$11:$A$37,0)),"")</f>
        <v>203826</v>
      </c>
      <c r="N13" s="132">
        <v>2834448285</v>
      </c>
      <c r="O13" s="133" t="s">
        <v>25</v>
      </c>
      <c r="P13" s="123" t="s">
        <v>346</v>
      </c>
      <c r="Q13" s="134" t="s">
        <v>346</v>
      </c>
      <c r="R13" s="135">
        <v>1</v>
      </c>
      <c r="S13" s="131">
        <f t="shared" si="3"/>
        <v>2834448285</v>
      </c>
      <c r="T13" s="136">
        <f t="shared" si="1"/>
        <v>13906.215522062936</v>
      </c>
      <c r="U13" s="136">
        <f t="shared" si="2"/>
        <v>13906.215522062936</v>
      </c>
      <c r="V13" s="136">
        <v>4</v>
      </c>
      <c r="W13" s="798" t="s">
        <v>10</v>
      </c>
      <c r="X13" s="798"/>
      <c r="Y13" s="798"/>
      <c r="Z13" s="798" t="s">
        <v>10</v>
      </c>
      <c r="AA13" s="798"/>
      <c r="AB13" s="798"/>
      <c r="AC13" s="798" t="s">
        <v>10</v>
      </c>
      <c r="AD13" s="798"/>
      <c r="AE13" s="798"/>
      <c r="AF13" s="222" t="s">
        <v>10</v>
      </c>
      <c r="AG13" s="837" t="str">
        <f>IF(U13:U18="","",IF(SUM(U13:U18)&gt;=PARÁMETROS!$D$5,"HÁBIL","NO HÁBIL"))</f>
        <v>HÁBIL</v>
      </c>
      <c r="AH13" s="837" t="str">
        <f>IF(U13:U16="","",IF(U13+U14+U15+U16&gt;=PARÁMETROS!$H$5,"HÁBIL","NO HÁBIL"))</f>
        <v>HÁBIL</v>
      </c>
      <c r="AI13" s="222" t="str">
        <f>+IF(U13="","",IF(U13&gt;=PARÁMETROS!$F$5,"CUMPLE","NO CUMPLE"))</f>
        <v>CUMPLE</v>
      </c>
      <c r="AJ13" s="138"/>
      <c r="AK13" s="109"/>
    </row>
    <row r="14" spans="1:39" s="72" customFormat="1" ht="42.75">
      <c r="A14" s="766"/>
      <c r="B14" s="58" t="s">
        <v>125</v>
      </c>
      <c r="C14" s="75">
        <v>201</v>
      </c>
      <c r="D14" s="60" t="str">
        <f>+IFERROR(INDEX(CONSOLIDADO!$D$4:$D$89,MATCH('EXP GEN. 13-19'!B14,CONSOLIDADO!$C$4:$C$89,0)),"")</f>
        <v>SEDIC</v>
      </c>
      <c r="E14" s="61" t="s">
        <v>373</v>
      </c>
      <c r="F14" s="62" t="s">
        <v>375</v>
      </c>
      <c r="G14" s="220" t="s">
        <v>10</v>
      </c>
      <c r="H14" s="220" t="s">
        <v>10</v>
      </c>
      <c r="I14" s="63">
        <v>1</v>
      </c>
      <c r="J14" s="64">
        <v>36298</v>
      </c>
      <c r="K14" s="64">
        <v>37425</v>
      </c>
      <c r="L14" s="65">
        <f t="shared" si="0"/>
        <v>2002</v>
      </c>
      <c r="M14" s="66">
        <f>+IFERROR(INDEX(PARÁMETROS!$B$11:$B$37,MATCH(L14,PARÁMETROS!$A$11:$A$37,0)),"")</f>
        <v>309000</v>
      </c>
      <c r="N14" s="67">
        <v>3800380053</v>
      </c>
      <c r="O14" s="68" t="s">
        <v>25</v>
      </c>
      <c r="P14" s="58" t="s">
        <v>346</v>
      </c>
      <c r="Q14" s="69" t="s">
        <v>346</v>
      </c>
      <c r="R14" s="70">
        <v>1</v>
      </c>
      <c r="S14" s="66">
        <f t="shared" si="3"/>
        <v>3800380053</v>
      </c>
      <c r="T14" s="55">
        <f t="shared" si="1"/>
        <v>12298.964572815534</v>
      </c>
      <c r="U14" s="55">
        <f t="shared" si="2"/>
        <v>12298.964572815534</v>
      </c>
      <c r="V14" s="55">
        <v>11</v>
      </c>
      <c r="W14" s="799" t="s">
        <v>10</v>
      </c>
      <c r="X14" s="799"/>
      <c r="Y14" s="799"/>
      <c r="Z14" s="799" t="s">
        <v>10</v>
      </c>
      <c r="AA14" s="799"/>
      <c r="AB14" s="799"/>
      <c r="AC14" s="799" t="s">
        <v>10</v>
      </c>
      <c r="AD14" s="799"/>
      <c r="AE14" s="799"/>
      <c r="AF14" s="220" t="s">
        <v>10</v>
      </c>
      <c r="AG14" s="838"/>
      <c r="AH14" s="838"/>
      <c r="AI14" s="220" t="str">
        <f>+IF(U14="","",IF(U14&gt;=PARÁMETROS!$F$5,"CUMPLE","NO CUMPLE"))</f>
        <v>CUMPLE</v>
      </c>
      <c r="AJ14" s="139"/>
      <c r="AK14" s="109"/>
    </row>
    <row r="15" spans="1:39" s="72" customFormat="1" ht="33.75" customHeight="1">
      <c r="A15" s="766"/>
      <c r="B15" s="58" t="s">
        <v>125</v>
      </c>
      <c r="C15" s="75">
        <v>212</v>
      </c>
      <c r="D15" s="60" t="str">
        <f>+IFERROR(INDEX(CONSOLIDADO!$D$4:$D$89,MATCH('EXP GEN. 13-19'!B15,CONSOLIDADO!$C$4:$C$89,0)),"")</f>
        <v>SEDIC</v>
      </c>
      <c r="E15" s="61" t="s">
        <v>371</v>
      </c>
      <c r="F15" s="62" t="s">
        <v>376</v>
      </c>
      <c r="G15" s="220" t="s">
        <v>10</v>
      </c>
      <c r="H15" s="220" t="s">
        <v>10</v>
      </c>
      <c r="I15" s="63">
        <v>1</v>
      </c>
      <c r="J15" s="64">
        <v>33161</v>
      </c>
      <c r="K15" s="64">
        <v>35550</v>
      </c>
      <c r="L15" s="65">
        <f t="shared" si="0"/>
        <v>1997</v>
      </c>
      <c r="M15" s="66">
        <f>+IFERROR(INDEX(PARÁMETROS!$B$11:$B$37,MATCH(L15,PARÁMETROS!$A$11:$A$37,0)),"")</f>
        <v>172005</v>
      </c>
      <c r="N15" s="67">
        <v>1546808187.0699999</v>
      </c>
      <c r="O15" s="68" t="s">
        <v>25</v>
      </c>
      <c r="P15" s="58" t="s">
        <v>346</v>
      </c>
      <c r="Q15" s="69" t="s">
        <v>346</v>
      </c>
      <c r="R15" s="70">
        <v>1</v>
      </c>
      <c r="S15" s="66">
        <f t="shared" si="3"/>
        <v>1546808187.0699999</v>
      </c>
      <c r="T15" s="55">
        <f t="shared" si="1"/>
        <v>8992.8094361791809</v>
      </c>
      <c r="U15" s="55">
        <f t="shared" si="2"/>
        <v>8992.8094361791809</v>
      </c>
      <c r="V15" s="55">
        <v>40</v>
      </c>
      <c r="W15" s="799" t="s">
        <v>10</v>
      </c>
      <c r="X15" s="799"/>
      <c r="Y15" s="799"/>
      <c r="Z15" s="799" t="s">
        <v>10</v>
      </c>
      <c r="AA15" s="799"/>
      <c r="AB15" s="799"/>
      <c r="AC15" s="799" t="s">
        <v>10</v>
      </c>
      <c r="AD15" s="799"/>
      <c r="AE15" s="799"/>
      <c r="AF15" s="220" t="s">
        <v>10</v>
      </c>
      <c r="AG15" s="838"/>
      <c r="AH15" s="838"/>
      <c r="AI15" s="220" t="str">
        <f>+IF(U15="","",IF(U15&gt;=PARÁMETROS!$F$5,"CUMPLE","NO CUMPLE"))</f>
        <v>CUMPLE</v>
      </c>
      <c r="AJ15" s="139"/>
      <c r="AK15" s="109"/>
    </row>
    <row r="16" spans="1:39" s="72" customFormat="1" ht="57">
      <c r="A16" s="766"/>
      <c r="B16" s="58" t="s">
        <v>125</v>
      </c>
      <c r="C16" s="75">
        <v>213</v>
      </c>
      <c r="D16" s="60" t="str">
        <f>+IFERROR(INDEX(CONSOLIDADO!$D$4:$D$89,MATCH('EXP GEN. 13-19'!B16,CONSOLIDADO!$C$4:$C$89,0)),"")</f>
        <v>SEDIC</v>
      </c>
      <c r="E16" s="61" t="s">
        <v>371</v>
      </c>
      <c r="F16" s="62" t="s">
        <v>377</v>
      </c>
      <c r="G16" s="220" t="s">
        <v>10</v>
      </c>
      <c r="H16" s="220" t="s">
        <v>10</v>
      </c>
      <c r="I16" s="63">
        <v>0.5</v>
      </c>
      <c r="J16" s="64">
        <v>35136</v>
      </c>
      <c r="K16" s="64">
        <v>35971</v>
      </c>
      <c r="L16" s="65">
        <f t="shared" si="0"/>
        <v>1998</v>
      </c>
      <c r="M16" s="66">
        <f>+IFERROR(INDEX(PARÁMETROS!$B$11:$B$37,MATCH(L16,PARÁMETROS!$A$11:$A$37,0)),"")</f>
        <v>203826</v>
      </c>
      <c r="N16" s="67">
        <v>2199833664.8299999</v>
      </c>
      <c r="O16" s="68" t="s">
        <v>25</v>
      </c>
      <c r="P16" s="58" t="s">
        <v>346</v>
      </c>
      <c r="Q16" s="69" t="s">
        <v>346</v>
      </c>
      <c r="R16" s="70">
        <v>1</v>
      </c>
      <c r="S16" s="66">
        <f t="shared" si="3"/>
        <v>2199833664.8299999</v>
      </c>
      <c r="T16" s="55">
        <f t="shared" si="1"/>
        <v>10792.703898570349</v>
      </c>
      <c r="U16" s="55">
        <f t="shared" si="2"/>
        <v>5396.3519492851747</v>
      </c>
      <c r="V16" s="55">
        <v>50</v>
      </c>
      <c r="W16" s="799" t="s">
        <v>10</v>
      </c>
      <c r="X16" s="799"/>
      <c r="Y16" s="799"/>
      <c r="Z16" s="799" t="s">
        <v>10</v>
      </c>
      <c r="AA16" s="799"/>
      <c r="AB16" s="799"/>
      <c r="AC16" s="799" t="s">
        <v>10</v>
      </c>
      <c r="AD16" s="799"/>
      <c r="AE16" s="799"/>
      <c r="AF16" s="220" t="s">
        <v>10</v>
      </c>
      <c r="AG16" s="838"/>
      <c r="AH16" s="838"/>
      <c r="AI16" s="220" t="str">
        <f>+IF(U16="","",IF(U16&gt;=PARÁMETROS!$F$5,"CUMPLE","NO CUMPLE"))</f>
        <v>CUMPLE</v>
      </c>
      <c r="AJ16" s="139"/>
      <c r="AK16" s="109"/>
    </row>
    <row r="17" spans="1:37" s="72" customFormat="1" ht="57">
      <c r="A17" s="766"/>
      <c r="B17" s="58" t="s">
        <v>243</v>
      </c>
      <c r="C17" s="75">
        <v>215</v>
      </c>
      <c r="D17" s="60" t="str">
        <f>+IFERROR(INDEX(CONSOLIDADO!$D$4:$D$89,MATCH('EXP GEN. 13-19'!B17,CONSOLIDADO!$C$4:$C$89,0)),"")</f>
        <v>CB INGENIEROS</v>
      </c>
      <c r="E17" s="61" t="s">
        <v>371</v>
      </c>
      <c r="F17" s="62" t="s">
        <v>378</v>
      </c>
      <c r="G17" s="220" t="s">
        <v>10</v>
      </c>
      <c r="H17" s="220" t="s">
        <v>10</v>
      </c>
      <c r="I17" s="63">
        <v>0.2</v>
      </c>
      <c r="J17" s="64">
        <v>40079</v>
      </c>
      <c r="K17" s="64">
        <v>42094</v>
      </c>
      <c r="L17" s="65">
        <f t="shared" si="0"/>
        <v>2015</v>
      </c>
      <c r="M17" s="66">
        <f>+IFERROR(INDEX(PARÁMETROS!$B$11:$B$37,MATCH(L17,PARÁMETROS!$A$11:$A$37,0)),"")</f>
        <v>644350</v>
      </c>
      <c r="N17" s="67">
        <v>14008976863</v>
      </c>
      <c r="O17" s="68" t="s">
        <v>25</v>
      </c>
      <c r="P17" s="58" t="s">
        <v>346</v>
      </c>
      <c r="Q17" s="69" t="s">
        <v>346</v>
      </c>
      <c r="R17" s="70">
        <v>1</v>
      </c>
      <c r="S17" s="66">
        <f t="shared" si="3"/>
        <v>14008976863</v>
      </c>
      <c r="T17" s="55">
        <f t="shared" si="1"/>
        <v>21741.253764258556</v>
      </c>
      <c r="U17" s="55">
        <f t="shared" si="2"/>
        <v>4348.2507528517117</v>
      </c>
      <c r="V17" s="55">
        <v>76</v>
      </c>
      <c r="W17" s="799" t="s">
        <v>10</v>
      </c>
      <c r="X17" s="799"/>
      <c r="Y17" s="799"/>
      <c r="Z17" s="799" t="s">
        <v>10</v>
      </c>
      <c r="AA17" s="799"/>
      <c r="AB17" s="799"/>
      <c r="AC17" s="799" t="s">
        <v>10</v>
      </c>
      <c r="AD17" s="799"/>
      <c r="AE17" s="799"/>
      <c r="AF17" s="220" t="s">
        <v>10</v>
      </c>
      <c r="AG17" s="838"/>
      <c r="AH17" s="838"/>
      <c r="AI17" s="220" t="str">
        <f>+IF(U17="","",IF(U17&gt;=PARÁMETROS!$F$5,"CUMPLE","NO CUMPLE"))</f>
        <v>CUMPLE</v>
      </c>
      <c r="AJ17" s="139"/>
      <c r="AK17" s="109"/>
    </row>
    <row r="18" spans="1:37" s="72" customFormat="1" ht="25.5" customHeight="1" thickBot="1">
      <c r="A18" s="767"/>
      <c r="B18" s="141" t="s">
        <v>243</v>
      </c>
      <c r="C18" s="142">
        <v>219</v>
      </c>
      <c r="D18" s="143" t="str">
        <f>+IFERROR(INDEX(CONSOLIDADO!$D$4:$D$89,MATCH('EXP GEN. 13-19'!B18,CONSOLIDADO!$C$4:$C$89,0)),"")</f>
        <v>CB INGENIEROS</v>
      </c>
      <c r="E18" s="144" t="s">
        <v>380</v>
      </c>
      <c r="F18" s="145" t="s">
        <v>379</v>
      </c>
      <c r="G18" s="221" t="s">
        <v>10</v>
      </c>
      <c r="H18" s="221" t="s">
        <v>10</v>
      </c>
      <c r="I18" s="146">
        <v>1</v>
      </c>
      <c r="J18" s="147">
        <v>35177</v>
      </c>
      <c r="K18" s="147">
        <v>35563</v>
      </c>
      <c r="L18" s="148">
        <f t="shared" si="0"/>
        <v>1997</v>
      </c>
      <c r="M18" s="149">
        <f>+IFERROR(INDEX(PARÁMETROS!$B$11:$B$37,MATCH(L18,PARÁMETROS!$A$11:$A$37,0)),"")</f>
        <v>172005</v>
      </c>
      <c r="N18" s="150">
        <v>384734738</v>
      </c>
      <c r="O18" s="151" t="s">
        <v>25</v>
      </c>
      <c r="P18" s="141" t="s">
        <v>346</v>
      </c>
      <c r="Q18" s="152" t="s">
        <v>346</v>
      </c>
      <c r="R18" s="153">
        <v>1</v>
      </c>
      <c r="S18" s="149">
        <f t="shared" si="3"/>
        <v>384734738</v>
      </c>
      <c r="T18" s="154">
        <f t="shared" si="1"/>
        <v>2236.7648498590156</v>
      </c>
      <c r="U18" s="154">
        <f t="shared" si="2"/>
        <v>2236.7648498590156</v>
      </c>
      <c r="V18" s="154">
        <v>8</v>
      </c>
      <c r="W18" s="801" t="s">
        <v>10</v>
      </c>
      <c r="X18" s="801"/>
      <c r="Y18" s="801"/>
      <c r="Z18" s="801" t="s">
        <v>10</v>
      </c>
      <c r="AA18" s="801"/>
      <c r="AB18" s="801"/>
      <c r="AC18" s="801" t="s">
        <v>10</v>
      </c>
      <c r="AD18" s="801"/>
      <c r="AE18" s="801"/>
      <c r="AF18" s="221" t="s">
        <v>10</v>
      </c>
      <c r="AG18" s="839"/>
      <c r="AH18" s="839"/>
      <c r="AI18" s="221" t="str">
        <f>+IF(U18="","",IF(U18&gt;=PARÁMETROS!$F$5,"CUMPLE","NO CUMPLE"))</f>
        <v>CUMPLE</v>
      </c>
      <c r="AJ18" s="155"/>
      <c r="AK18" s="109"/>
    </row>
    <row r="19" spans="1:37" s="72" customFormat="1" ht="85.5">
      <c r="A19" s="843" t="s">
        <v>237</v>
      </c>
      <c r="B19" s="110" t="s">
        <v>126</v>
      </c>
      <c r="C19" s="111">
        <v>97</v>
      </c>
      <c r="D19" s="112" t="str">
        <f>+IFERROR(INDEX(CONSOLIDADO!$D$4:$D$89,MATCH('EXP GEN. 13-19'!B19,CONSOLIDADO!$C$4:$C$89,0)),"")</f>
        <v>SERVINC LTDA</v>
      </c>
      <c r="E19" s="113" t="s">
        <v>385</v>
      </c>
      <c r="F19" s="114" t="s">
        <v>382</v>
      </c>
      <c r="G19" s="225" t="s">
        <v>10</v>
      </c>
      <c r="H19" s="225" t="s">
        <v>10</v>
      </c>
      <c r="I19" s="115">
        <v>0.5</v>
      </c>
      <c r="J19" s="116">
        <v>40331</v>
      </c>
      <c r="K19" s="116">
        <v>41215</v>
      </c>
      <c r="L19" s="160">
        <f t="shared" si="0"/>
        <v>2012</v>
      </c>
      <c r="M19" s="117">
        <f>+IFERROR(INDEX([3]PARÁMETROS!$B$11:$B$37,MATCH(L19,[3]PARÁMETROS!$A$11:$A$37,0)),"")</f>
        <v>566700</v>
      </c>
      <c r="N19" s="118">
        <v>4264498383</v>
      </c>
      <c r="O19" s="119" t="s">
        <v>25</v>
      </c>
      <c r="P19" s="110" t="s">
        <v>61</v>
      </c>
      <c r="Q19" s="120" t="s">
        <v>61</v>
      </c>
      <c r="R19" s="121">
        <v>1</v>
      </c>
      <c r="S19" s="117">
        <f t="shared" si="3"/>
        <v>4264498383</v>
      </c>
      <c r="T19" s="122">
        <f t="shared" si="1"/>
        <v>7525.1427263102169</v>
      </c>
      <c r="U19" s="122">
        <f t="shared" si="2"/>
        <v>3762.5713631551084</v>
      </c>
      <c r="V19" s="122">
        <v>2</v>
      </c>
      <c r="W19" s="809" t="s">
        <v>10</v>
      </c>
      <c r="X19" s="809"/>
      <c r="Y19" s="809"/>
      <c r="Z19" s="809" t="s">
        <v>10</v>
      </c>
      <c r="AA19" s="809"/>
      <c r="AB19" s="809"/>
      <c r="AC19" s="809" t="s">
        <v>10</v>
      </c>
      <c r="AD19" s="809"/>
      <c r="AE19" s="809"/>
      <c r="AF19" s="225" t="s">
        <v>10</v>
      </c>
      <c r="AG19" s="840" t="str">
        <f>IF(U19:U23="","",IF(SUM(U19:U23)&gt;=PARÁMETROS!$D$5,"HÁBIL","NO HÁBIL"))</f>
        <v>HÁBIL</v>
      </c>
      <c r="AH19" s="840" t="str">
        <f>IF(U19:U21="","",IF(U19+U20+U21&gt;=PARÁMETROS!$H$5,"HÁBIL","NO HÁBIL"))</f>
        <v>HÁBIL</v>
      </c>
      <c r="AI19" s="225" t="str">
        <f>+IF(U19="","",IF(U19&gt;=PARÁMETROS!$F$5,"CUMPLE","NO CUMPLE"))</f>
        <v>CUMPLE</v>
      </c>
      <c r="AJ19" s="167"/>
      <c r="AK19" s="109"/>
    </row>
    <row r="20" spans="1:37" s="72" customFormat="1" ht="85.5">
      <c r="A20" s="766"/>
      <c r="B20" s="58" t="s">
        <v>126</v>
      </c>
      <c r="C20" s="75">
        <v>126</v>
      </c>
      <c r="D20" s="60" t="str">
        <f>+IFERROR(INDEX(CONSOLIDADO!$D$4:$D$89,MATCH('EXP GEN. 13-19'!B20,CONSOLIDADO!$C$4:$C$89,0)),"")</f>
        <v>SERVINC LTDA</v>
      </c>
      <c r="E20" s="61" t="s">
        <v>386</v>
      </c>
      <c r="F20" s="62" t="s">
        <v>383</v>
      </c>
      <c r="G20" s="220" t="s">
        <v>10</v>
      </c>
      <c r="H20" s="220" t="s">
        <v>10</v>
      </c>
      <c r="I20" s="63">
        <v>0.4</v>
      </c>
      <c r="J20" s="64">
        <v>41075</v>
      </c>
      <c r="K20" s="64" t="s">
        <v>387</v>
      </c>
      <c r="L20" s="65">
        <v>2015</v>
      </c>
      <c r="M20" s="66">
        <f>+IFERROR(INDEX([3]PARÁMETROS!$B$11:$B$37,MATCH(L20,[3]PARÁMETROS!$A$11:$A$37,0)),"")</f>
        <v>644350</v>
      </c>
      <c r="N20" s="67">
        <v>23762347066</v>
      </c>
      <c r="O20" s="68" t="s">
        <v>25</v>
      </c>
      <c r="P20" s="58" t="s">
        <v>61</v>
      </c>
      <c r="Q20" s="69" t="s">
        <v>61</v>
      </c>
      <c r="R20" s="70">
        <v>1</v>
      </c>
      <c r="S20" s="66">
        <v>28805516482</v>
      </c>
      <c r="T20" s="55">
        <f t="shared" si="1"/>
        <v>44704.766791340109</v>
      </c>
      <c r="U20" s="55">
        <f t="shared" si="2"/>
        <v>17881.906716536043</v>
      </c>
      <c r="V20" s="55" t="s">
        <v>391</v>
      </c>
      <c r="W20" s="799"/>
      <c r="X20" s="799"/>
      <c r="Y20" s="799"/>
      <c r="Z20" s="799"/>
      <c r="AA20" s="799"/>
      <c r="AB20" s="799"/>
      <c r="AC20" s="799"/>
      <c r="AD20" s="799"/>
      <c r="AE20" s="799"/>
      <c r="AF20" s="220"/>
      <c r="AG20" s="838"/>
      <c r="AH20" s="838"/>
      <c r="AI20" s="220" t="str">
        <f>+IF(U20="","",IF(U20&gt;=PARÁMETROS!$F$5,"CUMPLE","NO CUMPLE"))</f>
        <v>CUMPLE</v>
      </c>
      <c r="AJ20" s="139" t="s">
        <v>738</v>
      </c>
      <c r="AK20" s="109"/>
    </row>
    <row r="21" spans="1:37" s="72" customFormat="1" ht="270.75">
      <c r="A21" s="766"/>
      <c r="B21" s="58" t="s">
        <v>126</v>
      </c>
      <c r="C21" s="75">
        <v>131</v>
      </c>
      <c r="D21" s="60" t="str">
        <f>+IFERROR(INDEX(CONSOLIDADO!$D$4:$D$89,MATCH('EXP GEN. 13-19'!B21,CONSOLIDADO!$C$4:$C$89,0)),"")</f>
        <v>SERVINC LTDA</v>
      </c>
      <c r="E21" s="61" t="s">
        <v>385</v>
      </c>
      <c r="F21" s="62" t="s">
        <v>384</v>
      </c>
      <c r="G21" s="220" t="s">
        <v>10</v>
      </c>
      <c r="H21" s="220" t="s">
        <v>10</v>
      </c>
      <c r="I21" s="63">
        <v>1</v>
      </c>
      <c r="J21" s="64">
        <v>40482</v>
      </c>
      <c r="K21" s="64">
        <v>40480</v>
      </c>
      <c r="L21" s="65">
        <f t="shared" si="0"/>
        <v>2010</v>
      </c>
      <c r="M21" s="66">
        <f>+IFERROR(INDEX([3]PARÁMETROS!$B$11:$B$37,MATCH(L21,[3]PARÁMETROS!$A$11:$A$37,0)),"")</f>
        <v>515000</v>
      </c>
      <c r="N21" s="67">
        <v>5403026800</v>
      </c>
      <c r="O21" s="68" t="s">
        <v>25</v>
      </c>
      <c r="P21" s="58" t="s">
        <v>61</v>
      </c>
      <c r="Q21" s="69" t="s">
        <v>61</v>
      </c>
      <c r="R21" s="70">
        <v>1</v>
      </c>
      <c r="S21" s="66">
        <f t="shared" si="3"/>
        <v>5403026800</v>
      </c>
      <c r="T21" s="55">
        <f t="shared" si="1"/>
        <v>10491.314174757281</v>
      </c>
      <c r="U21" s="55">
        <f t="shared" si="2"/>
        <v>10491.314174757281</v>
      </c>
      <c r="V21" s="55">
        <v>19</v>
      </c>
      <c r="W21" s="799" t="s">
        <v>10</v>
      </c>
      <c r="X21" s="799"/>
      <c r="Y21" s="799"/>
      <c r="Z21" s="799" t="s">
        <v>10</v>
      </c>
      <c r="AA21" s="799"/>
      <c r="AB21" s="799"/>
      <c r="AC21" s="799" t="s">
        <v>10</v>
      </c>
      <c r="AD21" s="799"/>
      <c r="AE21" s="799"/>
      <c r="AF21" s="220" t="s">
        <v>10</v>
      </c>
      <c r="AG21" s="838"/>
      <c r="AH21" s="838"/>
      <c r="AI21" s="220" t="str">
        <f>+IF(U21="","",IF(U21&gt;=PARÁMETROS!$F$5,"CUMPLE","NO CUMPLE"))</f>
        <v>CUMPLE</v>
      </c>
      <c r="AJ21" s="166"/>
      <c r="AK21" s="109"/>
    </row>
    <row r="22" spans="1:37" s="82" customFormat="1" ht="57">
      <c r="A22" s="766"/>
      <c r="B22" s="58" t="s">
        <v>127</v>
      </c>
      <c r="C22" s="72">
        <v>159</v>
      </c>
      <c r="D22" s="60" t="str">
        <f>+IFERROR(INDEX(CONSOLIDADO!$D$4:$D$89,MATCH('EXP GEN. 13-19'!B22,CONSOLIDADO!$C$4:$C$89,0)),"")</f>
        <v>VQM SAS</v>
      </c>
      <c r="E22" s="61" t="s">
        <v>388</v>
      </c>
      <c r="F22" s="61" t="s">
        <v>389</v>
      </c>
      <c r="G22" s="220" t="s">
        <v>10</v>
      </c>
      <c r="H22" s="220" t="s">
        <v>10</v>
      </c>
      <c r="I22" s="73">
        <v>0.75</v>
      </c>
      <c r="J22" s="64">
        <v>38672</v>
      </c>
      <c r="K22" s="64">
        <v>39756</v>
      </c>
      <c r="L22" s="65">
        <f t="shared" si="0"/>
        <v>2008</v>
      </c>
      <c r="M22" s="66">
        <f>+IFERROR(INDEX([3]PARÁMETROS!$B$11:$B$37,MATCH(L22,[3]PARÁMETROS!$A$11:$A$37,0)),"")</f>
        <v>461500</v>
      </c>
      <c r="N22" s="74">
        <v>2323578630</v>
      </c>
      <c r="O22" s="66" t="s">
        <v>25</v>
      </c>
      <c r="P22" s="58" t="s">
        <v>61</v>
      </c>
      <c r="Q22" s="69" t="s">
        <v>61</v>
      </c>
      <c r="R22" s="70">
        <v>1</v>
      </c>
      <c r="S22" s="66">
        <f t="shared" si="3"/>
        <v>2323578630</v>
      </c>
      <c r="T22" s="55">
        <f t="shared" si="1"/>
        <v>5034.839934994583</v>
      </c>
      <c r="U22" s="55">
        <f t="shared" si="2"/>
        <v>3776.1299512459373</v>
      </c>
      <c r="V22" s="81">
        <v>8</v>
      </c>
      <c r="W22" s="799" t="s">
        <v>10</v>
      </c>
      <c r="X22" s="799"/>
      <c r="Y22" s="799"/>
      <c r="Z22" s="799" t="s">
        <v>10</v>
      </c>
      <c r="AA22" s="799"/>
      <c r="AB22" s="799"/>
      <c r="AC22" s="799" t="s">
        <v>10</v>
      </c>
      <c r="AD22" s="799"/>
      <c r="AE22" s="799"/>
      <c r="AF22" s="220" t="s">
        <v>10</v>
      </c>
      <c r="AG22" s="838"/>
      <c r="AH22" s="838"/>
      <c r="AI22" s="220" t="str">
        <f>+IF(U22="","",IF(U22&gt;=PARÁMETROS!$F$5,"CUMPLE","NO CUMPLE"))</f>
        <v>CUMPLE</v>
      </c>
      <c r="AJ22" s="139"/>
      <c r="AK22" s="158"/>
    </row>
    <row r="23" spans="1:37" s="72" customFormat="1" ht="57.75" thickBot="1">
      <c r="A23" s="842"/>
      <c r="B23" s="243" t="s">
        <v>127</v>
      </c>
      <c r="C23" s="244">
        <v>181</v>
      </c>
      <c r="D23" s="245" t="str">
        <f>+IFERROR(INDEX(CONSOLIDADO!$D$4:$D$89,MATCH('EXP GEN. 13-19'!B23,CONSOLIDADO!$C$4:$C$89,0)),"")</f>
        <v>VQM SAS</v>
      </c>
      <c r="E23" s="246" t="s">
        <v>388</v>
      </c>
      <c r="F23" s="246" t="s">
        <v>390</v>
      </c>
      <c r="G23" s="248" t="s">
        <v>10</v>
      </c>
      <c r="H23" s="248" t="s">
        <v>10</v>
      </c>
      <c r="I23" s="260">
        <v>0.75</v>
      </c>
      <c r="J23" s="250">
        <v>38673</v>
      </c>
      <c r="K23" s="250">
        <v>39960</v>
      </c>
      <c r="L23" s="251">
        <f t="shared" si="0"/>
        <v>2009</v>
      </c>
      <c r="M23" s="252">
        <f>+IFERROR(INDEX([3]PARÁMETROS!$B$11:$B$37,MATCH(L23,[3]PARÁMETROS!$A$11:$A$37,0)),"")</f>
        <v>496900</v>
      </c>
      <c r="N23" s="261">
        <v>1992021088</v>
      </c>
      <c r="O23" s="252" t="s">
        <v>25</v>
      </c>
      <c r="P23" s="243" t="s">
        <v>61</v>
      </c>
      <c r="Q23" s="255" t="s">
        <v>61</v>
      </c>
      <c r="R23" s="256">
        <v>1</v>
      </c>
      <c r="S23" s="252">
        <f t="shared" si="3"/>
        <v>1992021088</v>
      </c>
      <c r="T23" s="257">
        <f t="shared" si="1"/>
        <v>4008.8973395049306</v>
      </c>
      <c r="U23" s="257">
        <f t="shared" si="2"/>
        <v>3006.673004628698</v>
      </c>
      <c r="V23" s="257">
        <v>40</v>
      </c>
      <c r="W23" s="800" t="s">
        <v>10</v>
      </c>
      <c r="X23" s="800"/>
      <c r="Y23" s="800"/>
      <c r="Z23" s="800" t="s">
        <v>10</v>
      </c>
      <c r="AA23" s="800"/>
      <c r="AB23" s="800"/>
      <c r="AC23" s="800" t="s">
        <v>10</v>
      </c>
      <c r="AD23" s="800"/>
      <c r="AE23" s="800"/>
      <c r="AF23" s="248" t="s">
        <v>10</v>
      </c>
      <c r="AG23" s="841"/>
      <c r="AH23" s="841"/>
      <c r="AI23" s="248" t="str">
        <f>+IF(U23="","",IF(U23&gt;=PARÁMETROS!$F$5,"CUMPLE","NO CUMPLE"))</f>
        <v>CUMPLE</v>
      </c>
      <c r="AJ23" s="259"/>
      <c r="AK23" s="109"/>
    </row>
    <row r="24" spans="1:37" s="72" customFormat="1" ht="99.75">
      <c r="A24" s="765" t="s">
        <v>238</v>
      </c>
      <c r="B24" s="123" t="s">
        <v>128</v>
      </c>
      <c r="C24" s="157">
        <v>138</v>
      </c>
      <c r="D24" s="125" t="str">
        <f>+IFERROR(INDEX(CONSOLIDADO!$D$4:$D$89,MATCH('EXP GEN. 13-19'!B24,CONSOLIDADO!$C$4:$C$89,0)),"")</f>
        <v>DIEGO FONSECA CHAVES</v>
      </c>
      <c r="E24" s="126" t="s">
        <v>352</v>
      </c>
      <c r="F24" s="127" t="s">
        <v>394</v>
      </c>
      <c r="G24" s="222" t="s">
        <v>10</v>
      </c>
      <c r="H24" s="222" t="s">
        <v>10</v>
      </c>
      <c r="I24" s="128">
        <v>0.5</v>
      </c>
      <c r="J24" s="129">
        <v>40137</v>
      </c>
      <c r="K24" s="129">
        <v>41232</v>
      </c>
      <c r="L24" s="130">
        <f t="shared" si="0"/>
        <v>2012</v>
      </c>
      <c r="M24" s="131">
        <f>+IFERROR(INDEX([4]PARÁMETROS!$B$11:$B$37,MATCH(L24,[4]PARÁMETROS!$A$11:$A$37,0)),"")</f>
        <v>566700</v>
      </c>
      <c r="N24" s="132">
        <f>2576677923+1327530352+400000000+120000000+180000000+156952234</f>
        <v>4761160509</v>
      </c>
      <c r="O24" s="133" t="s">
        <v>395</v>
      </c>
      <c r="P24" s="123" t="s">
        <v>61</v>
      </c>
      <c r="Q24" s="134" t="s">
        <v>61</v>
      </c>
      <c r="R24" s="135">
        <v>1</v>
      </c>
      <c r="S24" s="131">
        <f t="shared" si="3"/>
        <v>4761160509</v>
      </c>
      <c r="T24" s="136">
        <f t="shared" si="1"/>
        <v>8401.5537480148232</v>
      </c>
      <c r="U24" s="136">
        <f t="shared" si="2"/>
        <v>4200.7768740074116</v>
      </c>
      <c r="V24" s="136">
        <v>1</v>
      </c>
      <c r="W24" s="798" t="s">
        <v>10</v>
      </c>
      <c r="X24" s="798"/>
      <c r="Y24" s="798"/>
      <c r="Z24" s="798" t="s">
        <v>10</v>
      </c>
      <c r="AA24" s="798"/>
      <c r="AB24" s="798"/>
      <c r="AC24" s="798" t="s">
        <v>10</v>
      </c>
      <c r="AD24" s="798"/>
      <c r="AE24" s="798"/>
      <c r="AF24" s="222" t="s">
        <v>10</v>
      </c>
      <c r="AG24" s="837" t="str">
        <f>IF(U24+U25+U26+U27+U28+U29="","",IF(SUM(U24:U29)&gt;=PARÁMETROS!$D$5,"HÁBIL","NO HÁBIL"))</f>
        <v>HÁBIL</v>
      </c>
      <c r="AH24" s="837" t="str">
        <f>IF(U24+U25+U26="","",IF(U24+U25+U26&gt;=PARÁMETROS!$H$5,"HÁBIL","NO HÁBIL"))</f>
        <v>HÁBIL</v>
      </c>
      <c r="AI24" s="222" t="str">
        <f>+IF(U24="","",IF(U24&gt;=PARÁMETROS!$F$5,"CUMPLE","NO CUMPLE"))</f>
        <v>CUMPLE</v>
      </c>
      <c r="AJ24" s="138"/>
      <c r="AK24" s="109"/>
    </row>
    <row r="25" spans="1:37" s="72" customFormat="1" ht="128.25">
      <c r="A25" s="766"/>
      <c r="B25" s="58" t="s">
        <v>128</v>
      </c>
      <c r="C25" s="75">
        <v>205</v>
      </c>
      <c r="D25" s="60" t="str">
        <f>+IFERROR(INDEX(CONSOLIDADO!$D$4:$D$89,MATCH('EXP GEN. 13-19'!B25,CONSOLIDADO!$C$4:$C$89,0)),"")</f>
        <v>DIEGO FONSECA CHAVES</v>
      </c>
      <c r="E25" s="61" t="s">
        <v>352</v>
      </c>
      <c r="F25" s="62" t="s">
        <v>396</v>
      </c>
      <c r="G25" s="220" t="s">
        <v>10</v>
      </c>
      <c r="H25" s="220" t="s">
        <v>10</v>
      </c>
      <c r="I25" s="63">
        <v>0.4</v>
      </c>
      <c r="J25" s="64">
        <v>40143</v>
      </c>
      <c r="K25" s="64">
        <v>41183</v>
      </c>
      <c r="L25" s="65">
        <f t="shared" si="0"/>
        <v>2012</v>
      </c>
      <c r="M25" s="66">
        <f>+IFERROR(INDEX([4]PARÁMETROS!$B$11:$B$37,MATCH(L25,[4]PARÁMETROS!$A$11:$A$37,0)),"")</f>
        <v>566700</v>
      </c>
      <c r="N25" s="67">
        <v>4331349652</v>
      </c>
      <c r="O25" s="68" t="s">
        <v>395</v>
      </c>
      <c r="P25" s="58" t="s">
        <v>61</v>
      </c>
      <c r="Q25" s="69" t="s">
        <v>61</v>
      </c>
      <c r="R25" s="70">
        <v>1</v>
      </c>
      <c r="S25" s="66">
        <f t="shared" si="3"/>
        <v>4331349652</v>
      </c>
      <c r="T25" s="55">
        <f t="shared" si="1"/>
        <v>7643.1086147873657</v>
      </c>
      <c r="U25" s="55">
        <f t="shared" si="2"/>
        <v>3057.2434459149463</v>
      </c>
      <c r="V25" s="55">
        <v>8</v>
      </c>
      <c r="W25" s="799" t="s">
        <v>10</v>
      </c>
      <c r="X25" s="799"/>
      <c r="Y25" s="799"/>
      <c r="Z25" s="799" t="s">
        <v>10</v>
      </c>
      <c r="AA25" s="799"/>
      <c r="AB25" s="799"/>
      <c r="AC25" s="799" t="s">
        <v>10</v>
      </c>
      <c r="AD25" s="799"/>
      <c r="AE25" s="799"/>
      <c r="AF25" s="220" t="s">
        <v>10</v>
      </c>
      <c r="AG25" s="838"/>
      <c r="AH25" s="838"/>
      <c r="AI25" s="220" t="str">
        <f>+IF(U25="","",IF(U25&gt;=PARÁMETROS!$F$5,"CUMPLE","NO CUMPLE"))</f>
        <v>CUMPLE</v>
      </c>
      <c r="AJ25" s="139"/>
      <c r="AK25" s="109"/>
    </row>
    <row r="26" spans="1:37" s="72" customFormat="1" ht="47.25">
      <c r="A26" s="766"/>
      <c r="B26" s="58" t="s">
        <v>128</v>
      </c>
      <c r="C26" s="75">
        <v>210</v>
      </c>
      <c r="D26" s="60" t="str">
        <f>+IFERROR(INDEX(CONSOLIDADO!$D$4:$D$89,MATCH('EXP GEN. 13-19'!B26,CONSOLIDADO!$C$4:$C$89,0)),"")</f>
        <v>DIEGO FONSECA CHAVES</v>
      </c>
      <c r="E26" s="61" t="s">
        <v>401</v>
      </c>
      <c r="F26" s="62" t="s">
        <v>402</v>
      </c>
      <c r="G26" s="220" t="s">
        <v>10</v>
      </c>
      <c r="H26" s="220" t="s">
        <v>10</v>
      </c>
      <c r="I26" s="63">
        <v>1</v>
      </c>
      <c r="J26" s="64">
        <v>40268</v>
      </c>
      <c r="K26" s="64">
        <v>40847</v>
      </c>
      <c r="L26" s="65">
        <f t="shared" si="0"/>
        <v>2011</v>
      </c>
      <c r="M26" s="66">
        <f>+IFERROR(INDEX([4]PARÁMETROS!$B$11:$B$37,MATCH(L26,[4]PARÁMETROS!$A$11:$A$37,0)),"")</f>
        <v>535600</v>
      </c>
      <c r="N26" s="67">
        <v>1576786280</v>
      </c>
      <c r="O26" s="68" t="s">
        <v>395</v>
      </c>
      <c r="P26" s="58" t="s">
        <v>61</v>
      </c>
      <c r="Q26" s="69" t="s">
        <v>61</v>
      </c>
      <c r="R26" s="70">
        <v>1</v>
      </c>
      <c r="S26" s="66">
        <f t="shared" si="3"/>
        <v>1576786280</v>
      </c>
      <c r="T26" s="55">
        <f t="shared" si="1"/>
        <v>2943.9624346527257</v>
      </c>
      <c r="U26" s="55">
        <f t="shared" si="2"/>
        <v>2943.9624346527257</v>
      </c>
      <c r="V26" s="55">
        <v>10</v>
      </c>
      <c r="W26" s="799" t="s">
        <v>10</v>
      </c>
      <c r="X26" s="799"/>
      <c r="Y26" s="799"/>
      <c r="Z26" s="799" t="s">
        <v>10</v>
      </c>
      <c r="AA26" s="799"/>
      <c r="AB26" s="799"/>
      <c r="AC26" s="799" t="s">
        <v>10</v>
      </c>
      <c r="AD26" s="799"/>
      <c r="AE26" s="799"/>
      <c r="AF26" s="220" t="s">
        <v>10</v>
      </c>
      <c r="AG26" s="838"/>
      <c r="AH26" s="838"/>
      <c r="AI26" s="220" t="str">
        <f>+IF(U26="","",IF(U26&gt;=PARÁMETROS!$F$5,"CUMPLE","NO CUMPLE"))</f>
        <v>CUMPLE</v>
      </c>
      <c r="AJ26" s="139"/>
      <c r="AK26" s="109"/>
    </row>
    <row r="27" spans="1:37" s="72" customFormat="1" ht="85.5">
      <c r="A27" s="766"/>
      <c r="B27" s="58" t="s">
        <v>129</v>
      </c>
      <c r="C27" s="75">
        <v>212</v>
      </c>
      <c r="D27" s="60" t="str">
        <f>+IFERROR(INDEX(CONSOLIDADO!$D$4:$D$89,MATCH('EXP GEN. 13-19'!B27,CONSOLIDADO!$C$4:$C$89,0)),"")</f>
        <v>B&amp;C SA</v>
      </c>
      <c r="E27" s="61" t="s">
        <v>397</v>
      </c>
      <c r="F27" s="62" t="s">
        <v>398</v>
      </c>
      <c r="G27" s="220" t="s">
        <v>10</v>
      </c>
      <c r="H27" s="220" t="s">
        <v>10</v>
      </c>
      <c r="I27" s="63">
        <v>0.5</v>
      </c>
      <c r="J27" s="64">
        <v>36333</v>
      </c>
      <c r="K27" s="64">
        <v>38915</v>
      </c>
      <c r="L27" s="65">
        <f t="shared" si="0"/>
        <v>2006</v>
      </c>
      <c r="M27" s="66">
        <f>+IFERROR(INDEX([4]PARÁMETROS!$B$11:$B$37,MATCH(L27,[4]PARÁMETROS!$A$11:$A$37,0)),"")</f>
        <v>408000</v>
      </c>
      <c r="N27" s="67">
        <v>19941780178.799999</v>
      </c>
      <c r="O27" s="68" t="s">
        <v>395</v>
      </c>
      <c r="P27" s="58" t="s">
        <v>61</v>
      </c>
      <c r="Q27" s="69" t="s">
        <v>61</v>
      </c>
      <c r="R27" s="70">
        <v>1</v>
      </c>
      <c r="S27" s="66">
        <f t="shared" si="3"/>
        <v>19941780178.799999</v>
      </c>
      <c r="T27" s="55">
        <f t="shared" si="1"/>
        <v>48876.912202941174</v>
      </c>
      <c r="U27" s="55">
        <f t="shared" si="2"/>
        <v>24438.456101470587</v>
      </c>
      <c r="V27" s="55">
        <v>19</v>
      </c>
      <c r="W27" s="799" t="s">
        <v>10</v>
      </c>
      <c r="X27" s="799"/>
      <c r="Y27" s="799"/>
      <c r="Z27" s="799" t="s">
        <v>10</v>
      </c>
      <c r="AA27" s="799"/>
      <c r="AB27" s="799"/>
      <c r="AC27" s="799" t="s">
        <v>10</v>
      </c>
      <c r="AD27" s="799"/>
      <c r="AE27" s="799"/>
      <c r="AF27" s="220" t="s">
        <v>10</v>
      </c>
      <c r="AG27" s="838"/>
      <c r="AH27" s="838"/>
      <c r="AI27" s="220" t="str">
        <f>+IF(U27="","",IF(U27&gt;=PARÁMETROS!$F$5,"CUMPLE","NO CUMPLE"))</f>
        <v>CUMPLE</v>
      </c>
      <c r="AJ27" s="139"/>
      <c r="AK27" s="109"/>
    </row>
    <row r="28" spans="1:37" s="72" customFormat="1" ht="57">
      <c r="A28" s="766"/>
      <c r="B28" s="58" t="s">
        <v>129</v>
      </c>
      <c r="C28" s="75">
        <v>227</v>
      </c>
      <c r="D28" s="60" t="str">
        <f>+IFERROR(INDEX(CONSOLIDADO!$D$4:$D$89,MATCH('EXP GEN. 13-19'!B28,CONSOLIDADO!$C$4:$C$89,0)),"")</f>
        <v>B&amp;C SA</v>
      </c>
      <c r="E28" s="61" t="s">
        <v>386</v>
      </c>
      <c r="F28" s="62" t="s">
        <v>399</v>
      </c>
      <c r="G28" s="220" t="s">
        <v>10</v>
      </c>
      <c r="H28" s="220" t="s">
        <v>10</v>
      </c>
      <c r="I28" s="63">
        <v>0.3</v>
      </c>
      <c r="J28" s="64">
        <v>39934</v>
      </c>
      <c r="K28" s="64">
        <v>41029</v>
      </c>
      <c r="L28" s="65">
        <f t="shared" si="0"/>
        <v>2012</v>
      </c>
      <c r="M28" s="66">
        <f>+IFERROR(INDEX([4]PARÁMETROS!$B$11:$B$37,MATCH(L28,[4]PARÁMETROS!$A$11:$A$37,0)),"")</f>
        <v>566700</v>
      </c>
      <c r="N28" s="67">
        <v>9410306392</v>
      </c>
      <c r="O28" s="68" t="s">
        <v>395</v>
      </c>
      <c r="P28" s="58" t="s">
        <v>61</v>
      </c>
      <c r="Q28" s="69" t="s">
        <v>61</v>
      </c>
      <c r="R28" s="70">
        <v>1</v>
      </c>
      <c r="S28" s="66">
        <f t="shared" si="3"/>
        <v>9410306392</v>
      </c>
      <c r="T28" s="55">
        <f t="shared" si="1"/>
        <v>16605.446253749778</v>
      </c>
      <c r="U28" s="55">
        <f t="shared" si="2"/>
        <v>4981.6338761249335</v>
      </c>
      <c r="V28" s="55">
        <v>2</v>
      </c>
      <c r="W28" s="799" t="s">
        <v>10</v>
      </c>
      <c r="X28" s="799"/>
      <c r="Y28" s="799"/>
      <c r="Z28" s="799" t="s">
        <v>10</v>
      </c>
      <c r="AA28" s="799"/>
      <c r="AB28" s="799"/>
      <c r="AC28" s="799" t="s">
        <v>10</v>
      </c>
      <c r="AD28" s="799"/>
      <c r="AE28" s="799"/>
      <c r="AF28" s="220" t="s">
        <v>10</v>
      </c>
      <c r="AG28" s="838"/>
      <c r="AH28" s="838"/>
      <c r="AI28" s="220" t="str">
        <f>+IF(U28="","",IF(U28&gt;=PARÁMETROS!$F$5,"CUMPLE","NO CUMPLE"))</f>
        <v>CUMPLE</v>
      </c>
      <c r="AJ28" s="139"/>
      <c r="AK28" s="109"/>
    </row>
    <row r="29" spans="1:37" s="72" customFormat="1" ht="114.75" thickBot="1">
      <c r="A29" s="842"/>
      <c r="B29" s="243" t="s">
        <v>129</v>
      </c>
      <c r="C29" s="244">
        <v>234</v>
      </c>
      <c r="D29" s="245" t="str">
        <f>+IFERROR(INDEX(CONSOLIDADO!$D$4:$D$89,MATCH('EXP GEN. 13-19'!B29,CONSOLIDADO!$C$4:$C$89,0)),"")</f>
        <v>B&amp;C SA</v>
      </c>
      <c r="E29" s="246" t="s">
        <v>397</v>
      </c>
      <c r="F29" s="247" t="s">
        <v>400</v>
      </c>
      <c r="G29" s="248" t="s">
        <v>10</v>
      </c>
      <c r="H29" s="248" t="s">
        <v>10</v>
      </c>
      <c r="I29" s="249">
        <v>0.5</v>
      </c>
      <c r="J29" s="250">
        <v>38916</v>
      </c>
      <c r="K29" s="250">
        <v>40267</v>
      </c>
      <c r="L29" s="251">
        <f t="shared" si="0"/>
        <v>2010</v>
      </c>
      <c r="M29" s="252">
        <f>+IFERROR(INDEX([4]PARÁMETROS!$B$11:$B$37,MATCH(L29,[4]PARÁMETROS!$A$11:$A$37,0)),"")</f>
        <v>515000</v>
      </c>
      <c r="N29" s="253">
        <v>7564702533</v>
      </c>
      <c r="O29" s="254" t="s">
        <v>395</v>
      </c>
      <c r="P29" s="243" t="s">
        <v>61</v>
      </c>
      <c r="Q29" s="255" t="s">
        <v>61</v>
      </c>
      <c r="R29" s="256">
        <v>1</v>
      </c>
      <c r="S29" s="252">
        <f t="shared" si="3"/>
        <v>7564702533</v>
      </c>
      <c r="T29" s="257">
        <f t="shared" si="1"/>
        <v>14688.742782524272</v>
      </c>
      <c r="U29" s="257">
        <f t="shared" si="2"/>
        <v>7344.3713912621361</v>
      </c>
      <c r="V29" s="257">
        <v>15</v>
      </c>
      <c r="W29" s="800" t="s">
        <v>10</v>
      </c>
      <c r="X29" s="800"/>
      <c r="Y29" s="800"/>
      <c r="Z29" s="800" t="s">
        <v>10</v>
      </c>
      <c r="AA29" s="800"/>
      <c r="AB29" s="800"/>
      <c r="AC29" s="800" t="s">
        <v>10</v>
      </c>
      <c r="AD29" s="800"/>
      <c r="AE29" s="800"/>
      <c r="AF29" s="248" t="s">
        <v>10</v>
      </c>
      <c r="AG29" s="841"/>
      <c r="AH29" s="841"/>
      <c r="AI29" s="248" t="str">
        <f>+IF(U29="","",IF(U29&gt;=PARÁMETROS!$F$5,"CUMPLE","NO CUMPLE"))</f>
        <v>CUMPLE</v>
      </c>
      <c r="AJ29" s="259"/>
      <c r="AK29" s="109"/>
    </row>
    <row r="30" spans="1:37" s="72" customFormat="1" ht="57">
      <c r="A30" s="765" t="s">
        <v>239</v>
      </c>
      <c r="B30" s="123" t="s">
        <v>130</v>
      </c>
      <c r="C30" s="157">
        <v>232</v>
      </c>
      <c r="D30" s="125" t="str">
        <f>+IFERROR(INDEX(CONSOLIDADO!$D$4:$D$89,MATCH('EXP GEN. 13-19'!B30,CONSOLIDADO!$C$4:$C$89,0)),"")</f>
        <v>INTERVENTORIAS Y DISEÑOS S.A.</v>
      </c>
      <c r="E30" s="268" t="s">
        <v>403</v>
      </c>
      <c r="F30" s="269" t="s">
        <v>404</v>
      </c>
      <c r="G30" s="222" t="s">
        <v>10</v>
      </c>
      <c r="H30" s="222" t="s">
        <v>10</v>
      </c>
      <c r="I30" s="270">
        <v>1</v>
      </c>
      <c r="J30" s="271">
        <v>39934</v>
      </c>
      <c r="K30" s="271">
        <v>40724</v>
      </c>
      <c r="L30" s="130">
        <f t="shared" si="0"/>
        <v>2011</v>
      </c>
      <c r="M30" s="131">
        <f>+IFERROR(INDEX([4]PARÁMETROS!$B$11:$B$37,MATCH(L30,[4]PARÁMETROS!$A$11:$A$37,0)),"")</f>
        <v>535600</v>
      </c>
      <c r="N30" s="272">
        <v>9389034669</v>
      </c>
      <c r="O30" s="273" t="s">
        <v>395</v>
      </c>
      <c r="P30" s="123" t="s">
        <v>61</v>
      </c>
      <c r="Q30" s="134" t="s">
        <v>61</v>
      </c>
      <c r="R30" s="135">
        <v>1</v>
      </c>
      <c r="S30" s="131">
        <f t="shared" si="3"/>
        <v>9389034669</v>
      </c>
      <c r="T30" s="136">
        <f t="shared" si="1"/>
        <v>17529.937768857355</v>
      </c>
      <c r="U30" s="136">
        <f t="shared" si="2"/>
        <v>17529.937768857355</v>
      </c>
      <c r="V30" s="136">
        <v>10</v>
      </c>
      <c r="W30" s="798" t="s">
        <v>10</v>
      </c>
      <c r="X30" s="798"/>
      <c r="Y30" s="798"/>
      <c r="Z30" s="798" t="s">
        <v>10</v>
      </c>
      <c r="AA30" s="798"/>
      <c r="AB30" s="798"/>
      <c r="AC30" s="798" t="s">
        <v>10</v>
      </c>
      <c r="AD30" s="798"/>
      <c r="AE30" s="798"/>
      <c r="AF30" s="222" t="s">
        <v>10</v>
      </c>
      <c r="AG30" s="837" t="str">
        <f>IF(U30:U32="","",IF(SUM(U30:U32)&gt;=PARÁMETROS!$D$5,"HÁBIL","NO HÁBIL"))</f>
        <v>HÁBIL</v>
      </c>
      <c r="AH30" s="837" t="str">
        <f>IF(U30:U31="","",IF(U30+U31&gt;=PARÁMETROS!$H$5,"HÁBIL","NO HÁBIL"))</f>
        <v>HÁBIL</v>
      </c>
      <c r="AI30" s="222" t="str">
        <f>+IF(U30="","",IF(U30&gt;=PARÁMETROS!$F$5,"CUMPLE","NO CUMPLE"))</f>
        <v>CUMPLE</v>
      </c>
      <c r="AJ30" s="138"/>
      <c r="AK30" s="109"/>
    </row>
    <row r="31" spans="1:37" s="72" customFormat="1" ht="47.25">
      <c r="A31" s="766"/>
      <c r="B31" s="58" t="s">
        <v>130</v>
      </c>
      <c r="C31" s="75">
        <v>339</v>
      </c>
      <c r="D31" s="60" t="str">
        <f>+IFERROR(INDEX(CONSOLIDADO!$D$4:$D$89,MATCH('EXP GEN. 13-19'!B31,CONSOLIDADO!$C$4:$C$89,0)),"")</f>
        <v>INTERVENTORIAS Y DISEÑOS S.A.</v>
      </c>
      <c r="E31" s="61" t="s">
        <v>405</v>
      </c>
      <c r="F31" s="62" t="s">
        <v>406</v>
      </c>
      <c r="G31" s="220" t="s">
        <v>10</v>
      </c>
      <c r="H31" s="220" t="s">
        <v>10</v>
      </c>
      <c r="I31" s="63">
        <v>0.5</v>
      </c>
      <c r="J31" s="86">
        <v>37411</v>
      </c>
      <c r="K31" s="64">
        <v>38776</v>
      </c>
      <c r="L31" s="65">
        <f t="shared" si="0"/>
        <v>2006</v>
      </c>
      <c r="M31" s="66">
        <f>+IFERROR(INDEX([4]PARÁMETROS!$B$11:$B$37,MATCH(L31,[4]PARÁMETROS!$A$11:$A$37,0)),"")</f>
        <v>408000</v>
      </c>
      <c r="N31" s="67">
        <v>3791186167</v>
      </c>
      <c r="O31" s="68" t="s">
        <v>395</v>
      </c>
      <c r="P31" s="58" t="s">
        <v>61</v>
      </c>
      <c r="Q31" s="69" t="s">
        <v>61</v>
      </c>
      <c r="R31" s="70">
        <v>1</v>
      </c>
      <c r="S31" s="66">
        <f t="shared" si="3"/>
        <v>3791186167</v>
      </c>
      <c r="T31" s="55">
        <f t="shared" si="1"/>
        <v>9292.1229583333334</v>
      </c>
      <c r="U31" s="55">
        <f t="shared" si="2"/>
        <v>4646.0614791666667</v>
      </c>
      <c r="V31" s="55">
        <v>25</v>
      </c>
      <c r="W31" s="799" t="s">
        <v>10</v>
      </c>
      <c r="X31" s="799"/>
      <c r="Y31" s="799"/>
      <c r="Z31" s="799" t="s">
        <v>10</v>
      </c>
      <c r="AA31" s="799"/>
      <c r="AB31" s="799"/>
      <c r="AC31" s="799" t="s">
        <v>10</v>
      </c>
      <c r="AD31" s="799"/>
      <c r="AE31" s="799"/>
      <c r="AF31" s="220" t="s">
        <v>10</v>
      </c>
      <c r="AG31" s="838"/>
      <c r="AH31" s="838"/>
      <c r="AI31" s="220" t="str">
        <f>+IF(U31="","",IF(U31&gt;=PARÁMETROS!$F$5,"CUMPLE","NO CUMPLE"))</f>
        <v>CUMPLE</v>
      </c>
      <c r="AJ31" s="139"/>
      <c r="AK31" s="109"/>
    </row>
    <row r="32" spans="1:37" s="72" customFormat="1" ht="72" thickBot="1">
      <c r="A32" s="767"/>
      <c r="B32" s="141" t="s">
        <v>131</v>
      </c>
      <c r="C32" s="142">
        <v>366</v>
      </c>
      <c r="D32" s="143" t="str">
        <f>+IFERROR(INDEX(CONSOLIDADO!$D$4:$D$89,MATCH('EXP GEN. 13-19'!B32,CONSOLIDADO!$C$4:$C$89,0)),"")</f>
        <v>INGENOBRAS SAS</v>
      </c>
      <c r="E32" s="144" t="s">
        <v>407</v>
      </c>
      <c r="F32" s="145" t="s">
        <v>408</v>
      </c>
      <c r="G32" s="221" t="s">
        <v>10</v>
      </c>
      <c r="H32" s="221" t="s">
        <v>10</v>
      </c>
      <c r="I32" s="146">
        <v>0.45</v>
      </c>
      <c r="J32" s="147">
        <v>40805</v>
      </c>
      <c r="K32" s="147">
        <v>41730</v>
      </c>
      <c r="L32" s="148">
        <f t="shared" si="0"/>
        <v>2014</v>
      </c>
      <c r="M32" s="149">
        <f>+IFERROR(INDEX(PARÁMETROS!$B$11:$B$37,MATCH(L32,PARÁMETROS!$A$11:$A$37,0)),"")</f>
        <v>616000</v>
      </c>
      <c r="N32" s="150">
        <v>5922134662</v>
      </c>
      <c r="O32" s="151" t="s">
        <v>395</v>
      </c>
      <c r="P32" s="141" t="s">
        <v>61</v>
      </c>
      <c r="Q32" s="152" t="s">
        <v>61</v>
      </c>
      <c r="R32" s="153">
        <v>1</v>
      </c>
      <c r="S32" s="149">
        <f t="shared" si="3"/>
        <v>5922134662</v>
      </c>
      <c r="T32" s="154">
        <f t="shared" si="1"/>
        <v>9613.8549707792208</v>
      </c>
      <c r="U32" s="154">
        <f t="shared" si="2"/>
        <v>4326.2347368506498</v>
      </c>
      <c r="V32" s="154">
        <v>20</v>
      </c>
      <c r="W32" s="801" t="s">
        <v>10</v>
      </c>
      <c r="X32" s="801"/>
      <c r="Y32" s="801"/>
      <c r="Z32" s="801" t="s">
        <v>10</v>
      </c>
      <c r="AA32" s="801"/>
      <c r="AB32" s="801"/>
      <c r="AC32" s="801" t="s">
        <v>10</v>
      </c>
      <c r="AD32" s="801"/>
      <c r="AE32" s="801"/>
      <c r="AF32" s="221" t="s">
        <v>10</v>
      </c>
      <c r="AG32" s="839"/>
      <c r="AH32" s="839"/>
      <c r="AI32" s="221" t="str">
        <f>+IF(U32="","",IF(U32&gt;=PARÁMETROS!$F$5,"CUMPLE","NO CUMPLE"))</f>
        <v>CUMPLE</v>
      </c>
      <c r="AJ32" s="155"/>
      <c r="AK32" s="109"/>
    </row>
    <row r="33" spans="1:37" s="72" customFormat="1" ht="30" customHeight="1" thickBot="1">
      <c r="A33" s="808"/>
      <c r="B33" s="110"/>
      <c r="C33" s="111"/>
      <c r="D33" s="112" t="str">
        <f>+IFERROR(INDEX(CONSOLIDADO!$D$4:$D$89,MATCH('EXP GEN. 13-19'!B33,CONSOLIDADO!$C$4:$C$89,0)),"")</f>
        <v/>
      </c>
      <c r="E33" s="113"/>
      <c r="F33" s="114"/>
      <c r="G33" s="226"/>
      <c r="H33" s="226"/>
      <c r="I33" s="115"/>
      <c r="J33" s="116"/>
      <c r="K33" s="116"/>
      <c r="L33" s="160" t="str">
        <f t="shared" si="0"/>
        <v/>
      </c>
      <c r="M33" s="117" t="str">
        <f>+IFERROR(INDEX(PARÁMETROS!$B$11:$B$37,MATCH(L33,PARÁMETROS!$A$11:$A$37,0)),"")</f>
        <v/>
      </c>
      <c r="N33" s="118"/>
      <c r="O33" s="119"/>
      <c r="P33" s="110"/>
      <c r="Q33" s="120"/>
      <c r="R33" s="121"/>
      <c r="S33" s="117" t="str">
        <f t="shared" si="3"/>
        <v/>
      </c>
      <c r="T33" s="122" t="str">
        <f t="shared" si="1"/>
        <v/>
      </c>
      <c r="U33" s="122" t="str">
        <f t="shared" si="2"/>
        <v/>
      </c>
      <c r="V33" s="122"/>
      <c r="W33" s="809"/>
      <c r="X33" s="809"/>
      <c r="Y33" s="809"/>
      <c r="Z33" s="809"/>
      <c r="AA33" s="809"/>
      <c r="AB33" s="809"/>
      <c r="AC33" s="809"/>
      <c r="AD33" s="809"/>
      <c r="AE33" s="809"/>
      <c r="AF33" s="226"/>
      <c r="AG33" s="840" t="str">
        <f>IF(U33="","",IF(SUM(U33:U35)&gt;=PARÁMETROS!$H$5,"HÁBIL","NO HÁBIL"))</f>
        <v/>
      </c>
      <c r="AH33" s="840" t="str">
        <f>IF(U33="","",IF(U33&gt;=PARÁMETROS!$F$5,"HÁBIL","NO HÁBIL"))</f>
        <v/>
      </c>
      <c r="AI33" s="225" t="str">
        <f>+IF(U33="","",IF(U33&gt;=PARÁMETROS!$F$5,"CUMPLE","NO CUMPLE"))</f>
        <v/>
      </c>
      <c r="AJ33" s="167"/>
      <c r="AK33" s="109"/>
    </row>
    <row r="34" spans="1:37" s="72" customFormat="1" ht="30" customHeight="1" thickBot="1">
      <c r="A34" s="796"/>
      <c r="B34" s="58"/>
      <c r="C34" s="75"/>
      <c r="D34" s="60" t="str">
        <f>+IFERROR(INDEX(CONSOLIDADO!$D$4:$D$89,MATCH('EXP GEN. 13-19'!B34,CONSOLIDADO!$C$4:$C$89,0)),"")</f>
        <v/>
      </c>
      <c r="E34" s="61"/>
      <c r="F34" s="62"/>
      <c r="G34" s="214"/>
      <c r="H34" s="214"/>
      <c r="I34" s="63"/>
      <c r="J34" s="64"/>
      <c r="K34" s="64"/>
      <c r="L34" s="65" t="str">
        <f t="shared" si="0"/>
        <v/>
      </c>
      <c r="M34" s="66" t="str">
        <f>+IFERROR(INDEX(PARÁMETROS!$B$11:$B$37,MATCH(L34,PARÁMETROS!$A$11:$A$37,0)),"")</f>
        <v/>
      </c>
      <c r="N34" s="67"/>
      <c r="O34" s="68"/>
      <c r="P34" s="58"/>
      <c r="Q34" s="69"/>
      <c r="R34" s="135"/>
      <c r="S34" s="66" t="str">
        <f t="shared" si="3"/>
        <v/>
      </c>
      <c r="T34" s="55" t="str">
        <f t="shared" si="1"/>
        <v/>
      </c>
      <c r="U34" s="55" t="str">
        <f t="shared" si="2"/>
        <v/>
      </c>
      <c r="V34" s="55"/>
      <c r="W34" s="799"/>
      <c r="X34" s="799"/>
      <c r="Y34" s="799"/>
      <c r="Z34" s="799"/>
      <c r="AA34" s="799"/>
      <c r="AB34" s="799"/>
      <c r="AC34" s="799"/>
      <c r="AD34" s="799"/>
      <c r="AE34" s="799"/>
      <c r="AF34" s="214"/>
      <c r="AG34" s="838"/>
      <c r="AH34" s="838"/>
      <c r="AI34" s="212" t="str">
        <f>+IF(U34="","",IF(U34&gt;=PARÁMETROS!$F$5,"CUMPLE","NO CUMPLE"))</f>
        <v/>
      </c>
      <c r="AJ34" s="139"/>
      <c r="AK34" s="109"/>
    </row>
    <row r="35" spans="1:37" s="72" customFormat="1" ht="30" customHeight="1" thickBot="1">
      <c r="A35" s="796"/>
      <c r="B35" s="58"/>
      <c r="C35" s="75"/>
      <c r="D35" s="60" t="str">
        <f>+IFERROR(INDEX(CONSOLIDADO!$D$4:$D$89,MATCH('EXP GEN. 13-19'!B35,CONSOLIDADO!$C$4:$C$89,0)),"")</f>
        <v/>
      </c>
      <c r="E35" s="61"/>
      <c r="F35" s="62"/>
      <c r="G35" s="214"/>
      <c r="H35" s="214"/>
      <c r="I35" s="63"/>
      <c r="J35" s="64"/>
      <c r="K35" s="64"/>
      <c r="L35" s="65" t="str">
        <f t="shared" si="0"/>
        <v/>
      </c>
      <c r="M35" s="66" t="str">
        <f>+IFERROR(INDEX(PARÁMETROS!$B$11:$B$37,MATCH(L35,PARÁMETROS!$A$11:$A$37,0)),"")</f>
        <v/>
      </c>
      <c r="N35" s="67"/>
      <c r="O35" s="68"/>
      <c r="P35" s="58"/>
      <c r="Q35" s="69"/>
      <c r="R35" s="135"/>
      <c r="S35" s="66" t="str">
        <f t="shared" si="3"/>
        <v/>
      </c>
      <c r="T35" s="55" t="str">
        <f t="shared" si="1"/>
        <v/>
      </c>
      <c r="U35" s="55" t="str">
        <f t="shared" si="2"/>
        <v/>
      </c>
      <c r="V35" s="55"/>
      <c r="W35" s="799"/>
      <c r="X35" s="799"/>
      <c r="Y35" s="799"/>
      <c r="Z35" s="799"/>
      <c r="AA35" s="799"/>
      <c r="AB35" s="799"/>
      <c r="AC35" s="799"/>
      <c r="AD35" s="799"/>
      <c r="AE35" s="799"/>
      <c r="AF35" s="214"/>
      <c r="AG35" s="838"/>
      <c r="AH35" s="838"/>
      <c r="AI35" s="212" t="str">
        <f>+IF(U35="","",IF(U35&gt;=PARÁMETROS!$F$5,"CUMPLE","NO CUMPLE"))</f>
        <v/>
      </c>
      <c r="AJ35" s="139"/>
      <c r="AK35" s="109"/>
    </row>
    <row r="36" spans="1:37" s="72" customFormat="1" ht="30" customHeight="1" thickBot="1">
      <c r="A36" s="796"/>
      <c r="B36" s="58"/>
      <c r="C36" s="75"/>
      <c r="D36" s="60" t="str">
        <f>+IFERROR(INDEX(CONSOLIDADO!$D$4:$D$89,MATCH('EXP GEN. 13-19'!B36,CONSOLIDADO!$C$4:$C$89,0)),"")</f>
        <v/>
      </c>
      <c r="E36" s="61"/>
      <c r="F36" s="62"/>
      <c r="G36" s="214"/>
      <c r="H36" s="214"/>
      <c r="I36" s="63"/>
      <c r="J36" s="64"/>
      <c r="K36" s="64"/>
      <c r="L36" s="65" t="str">
        <f t="shared" si="0"/>
        <v/>
      </c>
      <c r="M36" s="66" t="str">
        <f>+IFERROR(INDEX(PARÁMETROS!$B$11:$B$37,MATCH(L36,PARÁMETROS!$A$11:$A$37,0)),"")</f>
        <v/>
      </c>
      <c r="N36" s="67"/>
      <c r="O36" s="68"/>
      <c r="P36" s="58"/>
      <c r="Q36" s="69"/>
      <c r="R36" s="135"/>
      <c r="S36" s="66" t="str">
        <f t="shared" si="3"/>
        <v/>
      </c>
      <c r="T36" s="55" t="str">
        <f t="shared" si="1"/>
        <v/>
      </c>
      <c r="U36" s="55" t="str">
        <f t="shared" si="2"/>
        <v/>
      </c>
      <c r="V36" s="55"/>
      <c r="W36" s="799"/>
      <c r="X36" s="799"/>
      <c r="Y36" s="799"/>
      <c r="Z36" s="799"/>
      <c r="AA36" s="799"/>
      <c r="AB36" s="799"/>
      <c r="AC36" s="799"/>
      <c r="AD36" s="799"/>
      <c r="AE36" s="799"/>
      <c r="AF36" s="214"/>
      <c r="AG36" s="838"/>
      <c r="AH36" s="838"/>
      <c r="AI36" s="212" t="str">
        <f>+IF(U36="","",IF(U36&gt;=PARÁMETROS!$F$5,"CUMPLE","NO CUMPLE"))</f>
        <v/>
      </c>
      <c r="AJ36" s="139"/>
      <c r="AK36" s="109"/>
    </row>
    <row r="37" spans="1:37" s="72" customFormat="1" ht="30" customHeight="1" thickBot="1">
      <c r="A37" s="796"/>
      <c r="B37" s="58"/>
      <c r="C37" s="75"/>
      <c r="D37" s="60" t="str">
        <f>+IFERROR(INDEX(CONSOLIDADO!$D$4:$D$89,MATCH('EXP GEN. 13-19'!B37,CONSOLIDADO!$C$4:$C$89,0)),"")</f>
        <v/>
      </c>
      <c r="E37" s="61"/>
      <c r="F37" s="61"/>
      <c r="G37" s="214"/>
      <c r="H37" s="214"/>
      <c r="I37" s="73"/>
      <c r="J37" s="64"/>
      <c r="K37" s="64"/>
      <c r="L37" s="65" t="str">
        <f t="shared" si="0"/>
        <v/>
      </c>
      <c r="M37" s="66" t="str">
        <f>+IFERROR(INDEX(PARÁMETROS!$B$11:$B$37,MATCH(L37,PARÁMETROS!$A$11:$A$37,0)),"")</f>
        <v/>
      </c>
      <c r="N37" s="74"/>
      <c r="O37" s="66"/>
      <c r="P37" s="58"/>
      <c r="Q37" s="69"/>
      <c r="R37" s="135"/>
      <c r="S37" s="66" t="str">
        <f t="shared" si="3"/>
        <v/>
      </c>
      <c r="T37" s="55" t="str">
        <f t="shared" si="1"/>
        <v/>
      </c>
      <c r="U37" s="55" t="str">
        <f t="shared" si="2"/>
        <v/>
      </c>
      <c r="V37" s="55"/>
      <c r="W37" s="799"/>
      <c r="X37" s="799"/>
      <c r="Y37" s="799"/>
      <c r="Z37" s="799"/>
      <c r="AA37" s="799"/>
      <c r="AB37" s="799"/>
      <c r="AC37" s="799"/>
      <c r="AD37" s="799"/>
      <c r="AE37" s="799"/>
      <c r="AF37" s="214"/>
      <c r="AG37" s="838"/>
      <c r="AH37" s="838"/>
      <c r="AI37" s="212" t="str">
        <f>+IF(U37="","",IF(U37&gt;=PARÁMETROS!$F$5,"CUMPLE","NO CUMPLE"))</f>
        <v/>
      </c>
      <c r="AJ37" s="139"/>
      <c r="AK37" s="109"/>
    </row>
    <row r="38" spans="1:37" s="72" customFormat="1" ht="30" customHeight="1" thickBot="1">
      <c r="A38" s="806"/>
      <c r="B38" s="141"/>
      <c r="C38" s="142"/>
      <c r="D38" s="143" t="str">
        <f>+IFERROR(INDEX(CONSOLIDADO!$D$4:$D$89,MATCH('EXP GEN. 13-19'!B38,CONSOLIDADO!$C$4:$C$89,0)),"")</f>
        <v/>
      </c>
      <c r="E38" s="144"/>
      <c r="F38" s="144"/>
      <c r="G38" s="215"/>
      <c r="H38" s="215"/>
      <c r="I38" s="164"/>
      <c r="J38" s="147"/>
      <c r="K38" s="147"/>
      <c r="L38" s="148" t="str">
        <f t="shared" si="0"/>
        <v/>
      </c>
      <c r="M38" s="149" t="str">
        <f>+IFERROR(INDEX(PARÁMETROS!$B$11:$B$37,MATCH(L38,PARÁMETROS!$A$11:$A$37,0)),"")</f>
        <v/>
      </c>
      <c r="N38" s="165"/>
      <c r="O38" s="149"/>
      <c r="P38" s="141"/>
      <c r="Q38" s="152"/>
      <c r="R38" s="135"/>
      <c r="S38" s="149" t="str">
        <f t="shared" si="3"/>
        <v/>
      </c>
      <c r="T38" s="154" t="str">
        <f t="shared" si="1"/>
        <v/>
      </c>
      <c r="U38" s="154" t="str">
        <f t="shared" si="2"/>
        <v/>
      </c>
      <c r="V38" s="154"/>
      <c r="W38" s="801"/>
      <c r="X38" s="801"/>
      <c r="Y38" s="801"/>
      <c r="Z38" s="801"/>
      <c r="AA38" s="801"/>
      <c r="AB38" s="801"/>
      <c r="AC38" s="801"/>
      <c r="AD38" s="801"/>
      <c r="AE38" s="801"/>
      <c r="AF38" s="215"/>
      <c r="AG38" s="839"/>
      <c r="AH38" s="839"/>
      <c r="AI38" s="212" t="str">
        <f>+IF(U38="","",IF(U38&gt;=PARÁMETROS!$F$5,"CUMPLE","NO CUMPLE"))</f>
        <v/>
      </c>
      <c r="AJ38" s="155"/>
      <c r="AK38" s="109"/>
    </row>
    <row r="39" spans="1:37" s="72" customFormat="1" ht="30" customHeight="1" thickBot="1">
      <c r="A39" s="795"/>
      <c r="B39" s="123"/>
      <c r="C39" s="157"/>
      <c r="D39" s="125" t="str">
        <f>+IFERROR(INDEX(CONSOLIDADO!$D$4:$D$89,MATCH('EXP GEN. 13-19'!B39,CONSOLIDADO!$C$4:$C$89,0)),"")</f>
        <v/>
      </c>
      <c r="E39" s="126"/>
      <c r="F39" s="126"/>
      <c r="G39" s="213"/>
      <c r="H39" s="213"/>
      <c r="I39" s="162"/>
      <c r="J39" s="129"/>
      <c r="K39" s="129"/>
      <c r="L39" s="130" t="str">
        <f t="shared" si="0"/>
        <v/>
      </c>
      <c r="M39" s="131" t="str">
        <f>+IFERROR(INDEX(PARÁMETROS!$B$11:$B$37,MATCH(L39,PARÁMETROS!$A$11:$A$37,0)),"")</f>
        <v/>
      </c>
      <c r="N39" s="163"/>
      <c r="O39" s="131"/>
      <c r="P39" s="123"/>
      <c r="Q39" s="134"/>
      <c r="R39" s="135"/>
      <c r="S39" s="131" t="str">
        <f t="shared" si="3"/>
        <v/>
      </c>
      <c r="T39" s="136" t="str">
        <f t="shared" si="1"/>
        <v/>
      </c>
      <c r="U39" s="136" t="str">
        <f t="shared" si="2"/>
        <v/>
      </c>
      <c r="V39" s="136"/>
      <c r="W39" s="798"/>
      <c r="X39" s="798"/>
      <c r="Y39" s="798"/>
      <c r="Z39" s="798"/>
      <c r="AA39" s="798"/>
      <c r="AB39" s="798"/>
      <c r="AC39" s="798"/>
      <c r="AD39" s="798"/>
      <c r="AE39" s="798"/>
      <c r="AF39" s="213"/>
      <c r="AG39" s="837" t="str">
        <f>IF(U39="","",IF(SUM(U39:U41)&gt;=PARÁMETROS!$H$5,"HÁBIL","NO HÁBIL"))</f>
        <v/>
      </c>
      <c r="AH39" s="837" t="str">
        <f>IF(U39="","",IF(U39&gt;=PARÁMETROS!$F$5,"HÁBIL","NO HÁBIL"))</f>
        <v/>
      </c>
      <c r="AI39" s="212" t="str">
        <f>+IF(U39="","",IF(U39&gt;=PARÁMETROS!$F$5,"CUMPLE","NO CUMPLE"))</f>
        <v/>
      </c>
      <c r="AJ39" s="138"/>
      <c r="AK39" s="109"/>
    </row>
    <row r="40" spans="1:37" s="72" customFormat="1" ht="30" customHeight="1" thickBot="1">
      <c r="A40" s="796"/>
      <c r="B40" s="58"/>
      <c r="C40" s="75"/>
      <c r="D40" s="60" t="str">
        <f>+IFERROR(INDEX(CONSOLIDADO!$D$4:$D$89,MATCH('EXP GEN. 13-19'!B40,CONSOLIDADO!$C$4:$C$89,0)),"")</f>
        <v/>
      </c>
      <c r="E40" s="61"/>
      <c r="F40" s="61"/>
      <c r="G40" s="214"/>
      <c r="H40" s="214"/>
      <c r="I40" s="73"/>
      <c r="J40" s="64"/>
      <c r="K40" s="64"/>
      <c r="L40" s="65" t="str">
        <f t="shared" si="0"/>
        <v/>
      </c>
      <c r="M40" s="66" t="str">
        <f>+IFERROR(INDEX(PARÁMETROS!$B$11:$B$37,MATCH(L40,PARÁMETROS!$A$11:$A$37,0)),"")</f>
        <v/>
      </c>
      <c r="N40" s="74"/>
      <c r="O40" s="66"/>
      <c r="P40" s="58"/>
      <c r="Q40" s="69"/>
      <c r="R40" s="135"/>
      <c r="S40" s="66" t="str">
        <f t="shared" si="3"/>
        <v/>
      </c>
      <c r="T40" s="55" t="str">
        <f t="shared" si="1"/>
        <v/>
      </c>
      <c r="U40" s="55" t="str">
        <f t="shared" si="2"/>
        <v/>
      </c>
      <c r="V40" s="55"/>
      <c r="W40" s="799"/>
      <c r="X40" s="799"/>
      <c r="Y40" s="799"/>
      <c r="Z40" s="799"/>
      <c r="AA40" s="799"/>
      <c r="AB40" s="799"/>
      <c r="AC40" s="799"/>
      <c r="AD40" s="799"/>
      <c r="AE40" s="799"/>
      <c r="AF40" s="214"/>
      <c r="AG40" s="838"/>
      <c r="AH40" s="838"/>
      <c r="AI40" s="212" t="str">
        <f>+IF(U40="","",IF(U40&gt;=PARÁMETROS!$F$5,"CUMPLE","NO CUMPLE"))</f>
        <v/>
      </c>
      <c r="AJ40" s="139"/>
      <c r="AK40" s="109"/>
    </row>
    <row r="41" spans="1:37" s="72" customFormat="1" ht="30" customHeight="1" thickBot="1">
      <c r="A41" s="796"/>
      <c r="B41" s="58"/>
      <c r="C41" s="75"/>
      <c r="D41" s="60" t="str">
        <f>+IFERROR(INDEX(CONSOLIDADO!$D$4:$D$89,MATCH('EXP GEN. 13-19'!B41,CONSOLIDADO!$C$4:$C$89,0)),"")</f>
        <v/>
      </c>
      <c r="E41" s="61"/>
      <c r="F41" s="61"/>
      <c r="G41" s="214"/>
      <c r="H41" s="214"/>
      <c r="I41" s="73"/>
      <c r="J41" s="64"/>
      <c r="K41" s="64"/>
      <c r="L41" s="65" t="str">
        <f t="shared" si="0"/>
        <v/>
      </c>
      <c r="M41" s="66" t="str">
        <f>+IFERROR(INDEX(PARÁMETROS!$B$11:$B$37,MATCH(L41,PARÁMETROS!$A$11:$A$37,0)),"")</f>
        <v/>
      </c>
      <c r="N41" s="74"/>
      <c r="O41" s="66"/>
      <c r="P41" s="58"/>
      <c r="Q41" s="69"/>
      <c r="R41" s="135"/>
      <c r="S41" s="66" t="str">
        <f t="shared" si="3"/>
        <v/>
      </c>
      <c r="T41" s="55" t="str">
        <f t="shared" si="1"/>
        <v/>
      </c>
      <c r="U41" s="55" t="str">
        <f t="shared" si="2"/>
        <v/>
      </c>
      <c r="V41" s="55"/>
      <c r="W41" s="799"/>
      <c r="X41" s="799"/>
      <c r="Y41" s="799"/>
      <c r="Z41" s="799"/>
      <c r="AA41" s="799"/>
      <c r="AB41" s="799"/>
      <c r="AC41" s="799"/>
      <c r="AD41" s="799"/>
      <c r="AE41" s="799"/>
      <c r="AF41" s="214"/>
      <c r="AG41" s="838"/>
      <c r="AH41" s="838"/>
      <c r="AI41" s="212" t="str">
        <f>+IF(U41="","",IF(U41&gt;=PARÁMETROS!$F$5,"CUMPLE","NO CUMPLE"))</f>
        <v/>
      </c>
      <c r="AJ41" s="139"/>
      <c r="AK41" s="109"/>
    </row>
    <row r="42" spans="1:37" s="72" customFormat="1" ht="30" customHeight="1" thickBot="1">
      <c r="A42" s="796"/>
      <c r="B42" s="58"/>
      <c r="C42" s="75"/>
      <c r="D42" s="60" t="str">
        <f>+IFERROR(INDEX(CONSOLIDADO!$D$4:$D$89,MATCH('EXP GEN. 13-19'!B42,CONSOLIDADO!$C$4:$C$89,0)),"")</f>
        <v/>
      </c>
      <c r="E42" s="61"/>
      <c r="F42" s="61"/>
      <c r="G42" s="214"/>
      <c r="H42" s="214"/>
      <c r="I42" s="73"/>
      <c r="J42" s="64"/>
      <c r="K42" s="64"/>
      <c r="L42" s="65" t="str">
        <f t="shared" si="0"/>
        <v/>
      </c>
      <c r="M42" s="66" t="str">
        <f>+IFERROR(INDEX(PARÁMETROS!$B$11:$B$37,MATCH(L42,PARÁMETROS!$A$11:$A$37,0)),"")</f>
        <v/>
      </c>
      <c r="N42" s="74"/>
      <c r="O42" s="66"/>
      <c r="P42" s="58"/>
      <c r="Q42" s="69"/>
      <c r="R42" s="135"/>
      <c r="S42" s="66" t="str">
        <f t="shared" si="3"/>
        <v/>
      </c>
      <c r="T42" s="55" t="str">
        <f t="shared" si="1"/>
        <v/>
      </c>
      <c r="U42" s="55" t="str">
        <f t="shared" si="2"/>
        <v/>
      </c>
      <c r="V42" s="55"/>
      <c r="W42" s="799"/>
      <c r="X42" s="799"/>
      <c r="Y42" s="799"/>
      <c r="Z42" s="799"/>
      <c r="AA42" s="799"/>
      <c r="AB42" s="799"/>
      <c r="AC42" s="799"/>
      <c r="AD42" s="799"/>
      <c r="AE42" s="799"/>
      <c r="AF42" s="214"/>
      <c r="AG42" s="838"/>
      <c r="AH42" s="838"/>
      <c r="AI42" s="212" t="str">
        <f>+IF(U42="","",IF(U42&gt;=PARÁMETROS!$F$5,"CUMPLE","NO CUMPLE"))</f>
        <v/>
      </c>
      <c r="AJ42" s="139"/>
      <c r="AK42" s="109"/>
    </row>
    <row r="43" spans="1:37" s="72" customFormat="1" ht="30" customHeight="1" thickBot="1">
      <c r="A43" s="796"/>
      <c r="B43" s="58"/>
      <c r="C43" s="75"/>
      <c r="D43" s="60" t="str">
        <f>+IFERROR(INDEX(CONSOLIDADO!$D$4:$D$89,MATCH('EXP GEN. 13-19'!B43,CONSOLIDADO!$C$4:$C$89,0)),"")</f>
        <v/>
      </c>
      <c r="E43" s="61"/>
      <c r="F43" s="61"/>
      <c r="G43" s="214"/>
      <c r="H43" s="214"/>
      <c r="I43" s="73"/>
      <c r="J43" s="64"/>
      <c r="K43" s="64"/>
      <c r="L43" s="65" t="str">
        <f t="shared" si="0"/>
        <v/>
      </c>
      <c r="M43" s="66" t="str">
        <f>+IFERROR(INDEX(PARÁMETROS!$B$11:$B$37,MATCH(L43,PARÁMETROS!$A$11:$A$37,0)),"")</f>
        <v/>
      </c>
      <c r="N43" s="74"/>
      <c r="O43" s="66"/>
      <c r="P43" s="58"/>
      <c r="Q43" s="69"/>
      <c r="R43" s="135"/>
      <c r="S43" s="66" t="str">
        <f t="shared" si="3"/>
        <v/>
      </c>
      <c r="T43" s="55" t="str">
        <f t="shared" si="1"/>
        <v/>
      </c>
      <c r="U43" s="55" t="str">
        <f t="shared" si="2"/>
        <v/>
      </c>
      <c r="V43" s="55"/>
      <c r="W43" s="799"/>
      <c r="X43" s="799"/>
      <c r="Y43" s="799"/>
      <c r="Z43" s="799"/>
      <c r="AA43" s="799"/>
      <c r="AB43" s="799"/>
      <c r="AC43" s="799"/>
      <c r="AD43" s="799"/>
      <c r="AE43" s="799"/>
      <c r="AF43" s="214"/>
      <c r="AG43" s="838"/>
      <c r="AH43" s="838"/>
      <c r="AI43" s="212" t="str">
        <f>+IF(U43="","",IF(U43&gt;=PARÁMETROS!$F$5,"CUMPLE","NO CUMPLE"))</f>
        <v/>
      </c>
      <c r="AJ43" s="139"/>
      <c r="AK43" s="109"/>
    </row>
    <row r="44" spans="1:37" s="72" customFormat="1" ht="30" customHeight="1" thickBot="1">
      <c r="A44" s="806"/>
      <c r="B44" s="141"/>
      <c r="C44" s="142"/>
      <c r="D44" s="143" t="str">
        <f>+IFERROR(INDEX(CONSOLIDADO!$D$4:$D$89,MATCH('EXP GEN. 13-19'!B44,CONSOLIDADO!$C$4:$C$89,0)),"")</f>
        <v/>
      </c>
      <c r="E44" s="144"/>
      <c r="F44" s="144"/>
      <c r="G44" s="215"/>
      <c r="H44" s="215"/>
      <c r="I44" s="164"/>
      <c r="J44" s="147"/>
      <c r="K44" s="147"/>
      <c r="L44" s="148" t="str">
        <f t="shared" si="0"/>
        <v/>
      </c>
      <c r="M44" s="149" t="str">
        <f>+IFERROR(INDEX(PARÁMETROS!$B$11:$B$37,MATCH(L44,PARÁMETROS!$A$11:$A$37,0)),"")</f>
        <v/>
      </c>
      <c r="N44" s="165"/>
      <c r="O44" s="149"/>
      <c r="P44" s="141"/>
      <c r="Q44" s="152"/>
      <c r="R44" s="135"/>
      <c r="S44" s="149" t="str">
        <f t="shared" si="3"/>
        <v/>
      </c>
      <c r="T44" s="154" t="str">
        <f t="shared" si="1"/>
        <v/>
      </c>
      <c r="U44" s="154" t="str">
        <f t="shared" si="2"/>
        <v/>
      </c>
      <c r="V44" s="154"/>
      <c r="W44" s="801"/>
      <c r="X44" s="801"/>
      <c r="Y44" s="801"/>
      <c r="Z44" s="801"/>
      <c r="AA44" s="801"/>
      <c r="AB44" s="801"/>
      <c r="AC44" s="801"/>
      <c r="AD44" s="801"/>
      <c r="AE44" s="801"/>
      <c r="AF44" s="215"/>
      <c r="AG44" s="839"/>
      <c r="AH44" s="839"/>
      <c r="AI44" s="212" t="str">
        <f>+IF(U44="","",IF(U44&gt;=PARÁMETROS!$F$5,"CUMPLE","NO CUMPLE"))</f>
        <v/>
      </c>
      <c r="AJ44" s="155"/>
      <c r="AK44" s="109"/>
    </row>
    <row r="45" spans="1:37" s="72" customFormat="1" ht="30" customHeight="1" thickBot="1">
      <c r="A45" s="795"/>
      <c r="B45" s="123"/>
      <c r="C45" s="157"/>
      <c r="D45" s="125" t="str">
        <f>+IFERROR(INDEX(CONSOLIDADO!$D$4:$D$89,MATCH('EXP GEN. 13-19'!B45,CONSOLIDADO!$C$4:$C$89,0)),"")</f>
        <v/>
      </c>
      <c r="E45" s="126"/>
      <c r="F45" s="126"/>
      <c r="G45" s="213"/>
      <c r="H45" s="213"/>
      <c r="I45" s="162"/>
      <c r="J45" s="129"/>
      <c r="K45" s="129"/>
      <c r="L45" s="130" t="str">
        <f t="shared" si="0"/>
        <v/>
      </c>
      <c r="M45" s="131" t="str">
        <f>+IFERROR(INDEX(PARÁMETROS!$B$11:$B$37,MATCH(L45,PARÁMETROS!$A$11:$A$37,0)),"")</f>
        <v/>
      </c>
      <c r="N45" s="163"/>
      <c r="O45" s="131"/>
      <c r="P45" s="123"/>
      <c r="Q45" s="134"/>
      <c r="R45" s="135"/>
      <c r="S45" s="131" t="str">
        <f t="shared" si="3"/>
        <v/>
      </c>
      <c r="T45" s="136" t="str">
        <f t="shared" si="1"/>
        <v/>
      </c>
      <c r="U45" s="136" t="str">
        <f t="shared" si="2"/>
        <v/>
      </c>
      <c r="V45" s="136"/>
      <c r="W45" s="798"/>
      <c r="X45" s="798"/>
      <c r="Y45" s="798"/>
      <c r="Z45" s="798"/>
      <c r="AA45" s="798"/>
      <c r="AB45" s="798"/>
      <c r="AC45" s="798"/>
      <c r="AD45" s="798"/>
      <c r="AE45" s="798"/>
      <c r="AF45" s="213"/>
      <c r="AG45" s="837" t="str">
        <f>IF(U45="","",IF(SUM(U45:U47)&gt;=PARÁMETROS!$H$5,"HÁBIL","NO HÁBIL"))</f>
        <v/>
      </c>
      <c r="AH45" s="837" t="str">
        <f>IF(U45="","",IF(U45&gt;=PARÁMETROS!$F$5,"HÁBIL","NO HÁBIL"))</f>
        <v/>
      </c>
      <c r="AI45" s="212" t="str">
        <f>+IF(U45="","",IF(U45&gt;=PARÁMETROS!$F$5,"CUMPLE","NO CUMPLE"))</f>
        <v/>
      </c>
      <c r="AJ45" s="138"/>
      <c r="AK45" s="109"/>
    </row>
    <row r="46" spans="1:37" s="72" customFormat="1" ht="30" customHeight="1" thickBot="1">
      <c r="A46" s="796"/>
      <c r="B46" s="58"/>
      <c r="C46" s="75"/>
      <c r="D46" s="60" t="str">
        <f>+IFERROR(INDEX(CONSOLIDADO!$D$4:$D$89,MATCH('EXP GEN. 13-19'!B46,CONSOLIDADO!$C$4:$C$89,0)),"")</f>
        <v/>
      </c>
      <c r="E46" s="61"/>
      <c r="F46" s="61"/>
      <c r="G46" s="214"/>
      <c r="H46" s="214"/>
      <c r="I46" s="73"/>
      <c r="J46" s="64"/>
      <c r="K46" s="64"/>
      <c r="L46" s="65" t="str">
        <f t="shared" si="0"/>
        <v/>
      </c>
      <c r="M46" s="66" t="str">
        <f>+IFERROR(INDEX(PARÁMETROS!$B$11:$B$37,MATCH(L46,PARÁMETROS!$A$11:$A$37,0)),"")</f>
        <v/>
      </c>
      <c r="N46" s="74"/>
      <c r="O46" s="66"/>
      <c r="P46" s="58"/>
      <c r="Q46" s="69"/>
      <c r="R46" s="135"/>
      <c r="S46" s="66" t="str">
        <f t="shared" si="3"/>
        <v/>
      </c>
      <c r="T46" s="55" t="str">
        <f t="shared" si="1"/>
        <v/>
      </c>
      <c r="U46" s="55" t="str">
        <f t="shared" si="2"/>
        <v/>
      </c>
      <c r="V46" s="55"/>
      <c r="W46" s="799"/>
      <c r="X46" s="799"/>
      <c r="Y46" s="799"/>
      <c r="Z46" s="799"/>
      <c r="AA46" s="799"/>
      <c r="AB46" s="799"/>
      <c r="AC46" s="799"/>
      <c r="AD46" s="799"/>
      <c r="AE46" s="799"/>
      <c r="AF46" s="214"/>
      <c r="AG46" s="838"/>
      <c r="AH46" s="838"/>
      <c r="AI46" s="212" t="str">
        <f>+IF(U46="","",IF(U46&gt;=PARÁMETROS!$F$5,"CUMPLE","NO CUMPLE"))</f>
        <v/>
      </c>
      <c r="AJ46" s="139"/>
      <c r="AK46" s="109"/>
    </row>
    <row r="47" spans="1:37" s="72" customFormat="1" ht="30" customHeight="1" thickBot="1">
      <c r="A47" s="796"/>
      <c r="B47" s="58"/>
      <c r="C47" s="75"/>
      <c r="D47" s="60" t="str">
        <f>+IFERROR(INDEX(CONSOLIDADO!$D$4:$D$89,MATCH('EXP GEN. 13-19'!B47,CONSOLIDADO!$C$4:$C$89,0)),"")</f>
        <v/>
      </c>
      <c r="E47" s="61"/>
      <c r="F47" s="61"/>
      <c r="G47" s="214"/>
      <c r="H47" s="214"/>
      <c r="I47" s="73"/>
      <c r="J47" s="64"/>
      <c r="K47" s="64"/>
      <c r="L47" s="65" t="str">
        <f t="shared" si="0"/>
        <v/>
      </c>
      <c r="M47" s="66" t="str">
        <f>+IFERROR(INDEX(PARÁMETROS!$B$11:$B$37,MATCH(L47,PARÁMETROS!$A$11:$A$37,0)),"")</f>
        <v/>
      </c>
      <c r="N47" s="74"/>
      <c r="O47" s="66"/>
      <c r="P47" s="58"/>
      <c r="Q47" s="69"/>
      <c r="R47" s="135"/>
      <c r="S47" s="66" t="str">
        <f t="shared" si="3"/>
        <v/>
      </c>
      <c r="T47" s="55" t="str">
        <f t="shared" si="1"/>
        <v/>
      </c>
      <c r="U47" s="55" t="str">
        <f t="shared" si="2"/>
        <v/>
      </c>
      <c r="V47" s="55"/>
      <c r="W47" s="799"/>
      <c r="X47" s="799"/>
      <c r="Y47" s="799"/>
      <c r="Z47" s="799"/>
      <c r="AA47" s="799"/>
      <c r="AB47" s="799"/>
      <c r="AC47" s="799"/>
      <c r="AD47" s="799"/>
      <c r="AE47" s="799"/>
      <c r="AF47" s="214"/>
      <c r="AG47" s="838"/>
      <c r="AH47" s="838"/>
      <c r="AI47" s="212" t="str">
        <f>+IF(U47="","",IF(U47&gt;=PARÁMETROS!$F$5,"CUMPLE","NO CUMPLE"))</f>
        <v/>
      </c>
      <c r="AJ47" s="139"/>
      <c r="AK47" s="109"/>
    </row>
    <row r="48" spans="1:37" s="72" customFormat="1" ht="30" customHeight="1" thickBot="1">
      <c r="A48" s="796"/>
      <c r="B48" s="58"/>
      <c r="C48" s="75"/>
      <c r="D48" s="60" t="str">
        <f>+IFERROR(INDEX(CONSOLIDADO!$D$4:$D$89,MATCH('EXP GEN. 13-19'!B48,CONSOLIDADO!$C$4:$C$89,0)),"")</f>
        <v/>
      </c>
      <c r="E48" s="61"/>
      <c r="F48" s="61"/>
      <c r="G48" s="214"/>
      <c r="H48" s="214"/>
      <c r="I48" s="73"/>
      <c r="J48" s="64"/>
      <c r="K48" s="64"/>
      <c r="L48" s="65" t="str">
        <f t="shared" si="0"/>
        <v/>
      </c>
      <c r="M48" s="66" t="str">
        <f>+IFERROR(INDEX(PARÁMETROS!$B$11:$B$37,MATCH(L48,PARÁMETROS!$A$11:$A$37,0)),"")</f>
        <v/>
      </c>
      <c r="N48" s="74"/>
      <c r="O48" s="66"/>
      <c r="P48" s="58"/>
      <c r="Q48" s="69"/>
      <c r="R48" s="135"/>
      <c r="S48" s="66" t="str">
        <f t="shared" si="3"/>
        <v/>
      </c>
      <c r="T48" s="55" t="str">
        <f t="shared" si="1"/>
        <v/>
      </c>
      <c r="U48" s="55" t="str">
        <f t="shared" si="2"/>
        <v/>
      </c>
      <c r="V48" s="55"/>
      <c r="W48" s="799"/>
      <c r="X48" s="799"/>
      <c r="Y48" s="799"/>
      <c r="Z48" s="799"/>
      <c r="AA48" s="799"/>
      <c r="AB48" s="799"/>
      <c r="AC48" s="799"/>
      <c r="AD48" s="799"/>
      <c r="AE48" s="799"/>
      <c r="AF48" s="214"/>
      <c r="AG48" s="838"/>
      <c r="AH48" s="838"/>
      <c r="AI48" s="212" t="str">
        <f>+IF(U48="","",IF(U48&gt;=PARÁMETROS!$F$5,"CUMPLE","NO CUMPLE"))</f>
        <v/>
      </c>
      <c r="AJ48" s="139"/>
      <c r="AK48" s="109"/>
    </row>
    <row r="49" spans="1:37" s="72" customFormat="1" ht="30" customHeight="1" thickBot="1">
      <c r="A49" s="796"/>
      <c r="B49" s="58"/>
      <c r="C49" s="75"/>
      <c r="D49" s="60" t="str">
        <f>+IFERROR(INDEX(CONSOLIDADO!$D$4:$D$89,MATCH('EXP GEN. 13-19'!B49,CONSOLIDADO!$C$4:$C$89,0)),"")</f>
        <v/>
      </c>
      <c r="E49" s="61"/>
      <c r="F49" s="61"/>
      <c r="G49" s="214"/>
      <c r="H49" s="214"/>
      <c r="I49" s="73"/>
      <c r="J49" s="64"/>
      <c r="K49" s="64"/>
      <c r="L49" s="65" t="str">
        <f t="shared" si="0"/>
        <v/>
      </c>
      <c r="M49" s="66" t="str">
        <f>+IFERROR(INDEX(PARÁMETROS!$B$11:$B$37,MATCH(L49,PARÁMETROS!$A$11:$A$37,0)),"")</f>
        <v/>
      </c>
      <c r="N49" s="74"/>
      <c r="O49" s="66"/>
      <c r="P49" s="58"/>
      <c r="Q49" s="69"/>
      <c r="R49" s="135"/>
      <c r="S49" s="66" t="str">
        <f t="shared" si="3"/>
        <v/>
      </c>
      <c r="T49" s="55" t="str">
        <f t="shared" si="1"/>
        <v/>
      </c>
      <c r="U49" s="55" t="str">
        <f t="shared" si="2"/>
        <v/>
      </c>
      <c r="V49" s="55"/>
      <c r="W49" s="799"/>
      <c r="X49" s="799"/>
      <c r="Y49" s="799"/>
      <c r="Z49" s="799"/>
      <c r="AA49" s="799"/>
      <c r="AB49" s="799"/>
      <c r="AC49" s="799"/>
      <c r="AD49" s="799"/>
      <c r="AE49" s="799"/>
      <c r="AF49" s="214"/>
      <c r="AG49" s="838"/>
      <c r="AH49" s="838"/>
      <c r="AI49" s="212" t="str">
        <f>+IF(U49="","",IF(U49&gt;=PARÁMETROS!$F$5,"CUMPLE","NO CUMPLE"))</f>
        <v/>
      </c>
      <c r="AJ49" s="139"/>
      <c r="AK49" s="109"/>
    </row>
    <row r="50" spans="1:37" s="72" customFormat="1" ht="30" customHeight="1" thickBot="1">
      <c r="A50" s="806"/>
      <c r="B50" s="141"/>
      <c r="C50" s="142"/>
      <c r="D50" s="143" t="str">
        <f>+IFERROR(INDEX(CONSOLIDADO!$D$4:$D$89,MATCH('EXP GEN. 13-19'!B50,CONSOLIDADO!$C$4:$C$89,0)),"")</f>
        <v/>
      </c>
      <c r="E50" s="144"/>
      <c r="F50" s="144"/>
      <c r="G50" s="215"/>
      <c r="H50" s="215"/>
      <c r="I50" s="164"/>
      <c r="J50" s="147"/>
      <c r="K50" s="147"/>
      <c r="L50" s="148" t="str">
        <f t="shared" si="0"/>
        <v/>
      </c>
      <c r="M50" s="149" t="str">
        <f>+IFERROR(INDEX(PARÁMETROS!$B$11:$B$37,MATCH(L50,PARÁMETROS!$A$11:$A$37,0)),"")</f>
        <v/>
      </c>
      <c r="N50" s="165"/>
      <c r="O50" s="149"/>
      <c r="P50" s="141"/>
      <c r="Q50" s="152"/>
      <c r="R50" s="135"/>
      <c r="S50" s="149" t="str">
        <f t="shared" si="3"/>
        <v/>
      </c>
      <c r="T50" s="154" t="str">
        <f t="shared" si="1"/>
        <v/>
      </c>
      <c r="U50" s="154" t="str">
        <f t="shared" si="2"/>
        <v/>
      </c>
      <c r="V50" s="154"/>
      <c r="W50" s="801"/>
      <c r="X50" s="801"/>
      <c r="Y50" s="801"/>
      <c r="Z50" s="801"/>
      <c r="AA50" s="801"/>
      <c r="AB50" s="801"/>
      <c r="AC50" s="801"/>
      <c r="AD50" s="801"/>
      <c r="AE50" s="801"/>
      <c r="AF50" s="215"/>
      <c r="AG50" s="839"/>
      <c r="AH50" s="839"/>
      <c r="AI50" s="212" t="str">
        <f>+IF(U50="","",IF(U50&gt;=PARÁMETROS!$F$5,"CUMPLE","NO CUMPLE"))</f>
        <v/>
      </c>
      <c r="AJ50" s="155"/>
      <c r="AK50" s="109"/>
    </row>
    <row r="51" spans="1:37" s="72" customFormat="1" ht="30" customHeight="1" thickBot="1">
      <c r="A51" s="795"/>
      <c r="B51" s="123"/>
      <c r="C51" s="157"/>
      <c r="D51" s="125" t="str">
        <f>+IFERROR(INDEX(CONSOLIDADO!$D$4:$D$89,MATCH('EXP GEN. 13-19'!B51,CONSOLIDADO!$C$4:$C$89,0)),"")</f>
        <v/>
      </c>
      <c r="E51" s="126"/>
      <c r="F51" s="126"/>
      <c r="G51" s="213"/>
      <c r="H51" s="213"/>
      <c r="I51" s="162"/>
      <c r="J51" s="129"/>
      <c r="K51" s="129"/>
      <c r="L51" s="130" t="str">
        <f t="shared" si="0"/>
        <v/>
      </c>
      <c r="M51" s="131" t="str">
        <f>+IFERROR(INDEX(PARÁMETROS!$B$11:$B$37,MATCH(L51,PARÁMETROS!$A$11:$A$37,0)),"")</f>
        <v/>
      </c>
      <c r="N51" s="163"/>
      <c r="O51" s="131"/>
      <c r="P51" s="123"/>
      <c r="Q51" s="134"/>
      <c r="R51" s="135"/>
      <c r="S51" s="131" t="str">
        <f t="shared" si="3"/>
        <v/>
      </c>
      <c r="T51" s="136" t="str">
        <f t="shared" si="1"/>
        <v/>
      </c>
      <c r="U51" s="136" t="str">
        <f t="shared" si="2"/>
        <v/>
      </c>
      <c r="V51" s="136"/>
      <c r="W51" s="798"/>
      <c r="X51" s="798"/>
      <c r="Y51" s="798"/>
      <c r="Z51" s="798"/>
      <c r="AA51" s="798"/>
      <c r="AB51" s="798"/>
      <c r="AC51" s="798"/>
      <c r="AD51" s="798"/>
      <c r="AE51" s="798"/>
      <c r="AF51" s="213"/>
      <c r="AG51" s="837" t="str">
        <f>IF(U51="","",IF(SUM(U51:U53)&gt;=PARÁMETROS!$H$5,"HÁBIL","NO HÁBIL"))</f>
        <v/>
      </c>
      <c r="AH51" s="837" t="str">
        <f>IF(U51="","",IF(U51&gt;=PARÁMETROS!$F$5,"HÁBIL","NO HÁBIL"))</f>
        <v/>
      </c>
      <c r="AI51" s="212" t="str">
        <f>+IF(U51="","",IF(U51&gt;=PARÁMETROS!$F$5,"CUMPLE","NO CUMPLE"))</f>
        <v/>
      </c>
      <c r="AJ51" s="138"/>
      <c r="AK51" s="109"/>
    </row>
    <row r="52" spans="1:37" s="72" customFormat="1" ht="30" customHeight="1" thickBot="1">
      <c r="A52" s="796"/>
      <c r="B52" s="58"/>
      <c r="C52" s="75"/>
      <c r="D52" s="60" t="str">
        <f>+IFERROR(INDEX(CONSOLIDADO!$D$4:$D$89,MATCH('EXP GEN. 13-19'!B52,CONSOLIDADO!$C$4:$C$89,0)),"")</f>
        <v/>
      </c>
      <c r="E52" s="61"/>
      <c r="F52" s="61"/>
      <c r="G52" s="214"/>
      <c r="H52" s="214"/>
      <c r="I52" s="73"/>
      <c r="J52" s="64"/>
      <c r="K52" s="64"/>
      <c r="L52" s="65" t="str">
        <f t="shared" si="0"/>
        <v/>
      </c>
      <c r="M52" s="66" t="str">
        <f>+IFERROR(INDEX(PARÁMETROS!$B$11:$B$37,MATCH(L52,PARÁMETROS!$A$11:$A$37,0)),"")</f>
        <v/>
      </c>
      <c r="N52" s="74"/>
      <c r="O52" s="66"/>
      <c r="P52" s="58"/>
      <c r="Q52" s="69"/>
      <c r="R52" s="135"/>
      <c r="S52" s="66" t="str">
        <f t="shared" si="3"/>
        <v/>
      </c>
      <c r="T52" s="55" t="str">
        <f t="shared" si="1"/>
        <v/>
      </c>
      <c r="U52" s="55" t="str">
        <f t="shared" si="2"/>
        <v/>
      </c>
      <c r="V52" s="55"/>
      <c r="W52" s="799"/>
      <c r="X52" s="799"/>
      <c r="Y52" s="799"/>
      <c r="Z52" s="799"/>
      <c r="AA52" s="799"/>
      <c r="AB52" s="799"/>
      <c r="AC52" s="799"/>
      <c r="AD52" s="799"/>
      <c r="AE52" s="799"/>
      <c r="AF52" s="214"/>
      <c r="AG52" s="838"/>
      <c r="AH52" s="838"/>
      <c r="AI52" s="212" t="str">
        <f>+IF(U52="","",IF(U52&gt;=PARÁMETROS!$F$5,"CUMPLE","NO CUMPLE"))</f>
        <v/>
      </c>
      <c r="AJ52" s="139"/>
      <c r="AK52" s="109"/>
    </row>
    <row r="53" spans="1:37" s="72" customFormat="1" ht="30" customHeight="1" thickBot="1">
      <c r="A53" s="796"/>
      <c r="B53" s="58"/>
      <c r="C53" s="75"/>
      <c r="D53" s="60" t="str">
        <f>+IFERROR(INDEX(CONSOLIDADO!$D$4:$D$89,MATCH('EXP GEN. 13-19'!B53,CONSOLIDADO!$C$4:$C$89,0)),"")</f>
        <v/>
      </c>
      <c r="E53" s="61"/>
      <c r="F53" s="61"/>
      <c r="G53" s="214"/>
      <c r="H53" s="214"/>
      <c r="I53" s="73"/>
      <c r="J53" s="64"/>
      <c r="K53" s="64"/>
      <c r="L53" s="65" t="str">
        <f t="shared" si="0"/>
        <v/>
      </c>
      <c r="M53" s="66" t="str">
        <f>+IFERROR(INDEX(PARÁMETROS!$B$11:$B$37,MATCH(L53,PARÁMETROS!$A$11:$A$37,0)),"")</f>
        <v/>
      </c>
      <c r="N53" s="74"/>
      <c r="O53" s="66"/>
      <c r="P53" s="58"/>
      <c r="Q53" s="69"/>
      <c r="R53" s="135"/>
      <c r="S53" s="66" t="str">
        <f t="shared" si="3"/>
        <v/>
      </c>
      <c r="T53" s="55" t="str">
        <f t="shared" si="1"/>
        <v/>
      </c>
      <c r="U53" s="55" t="str">
        <f t="shared" si="2"/>
        <v/>
      </c>
      <c r="V53" s="55"/>
      <c r="W53" s="799"/>
      <c r="X53" s="799"/>
      <c r="Y53" s="799"/>
      <c r="Z53" s="799"/>
      <c r="AA53" s="799"/>
      <c r="AB53" s="799"/>
      <c r="AC53" s="799"/>
      <c r="AD53" s="799"/>
      <c r="AE53" s="799"/>
      <c r="AF53" s="214"/>
      <c r="AG53" s="838"/>
      <c r="AH53" s="838"/>
      <c r="AI53" s="212" t="str">
        <f>+IF(U53="","",IF(U53&gt;=PARÁMETROS!$F$5,"CUMPLE","NO CUMPLE"))</f>
        <v/>
      </c>
      <c r="AJ53" s="139"/>
      <c r="AK53" s="109"/>
    </row>
    <row r="54" spans="1:37" s="72" customFormat="1" ht="30" customHeight="1" thickBot="1">
      <c r="A54" s="796"/>
      <c r="B54" s="58"/>
      <c r="C54" s="75"/>
      <c r="D54" s="60" t="str">
        <f>+IFERROR(INDEX(CONSOLIDADO!$D$4:$D$89,MATCH('EXP GEN. 13-19'!B54,CONSOLIDADO!$C$4:$C$89,0)),"")</f>
        <v/>
      </c>
      <c r="E54" s="61"/>
      <c r="F54" s="61"/>
      <c r="G54" s="214"/>
      <c r="H54" s="214"/>
      <c r="I54" s="73"/>
      <c r="J54" s="64"/>
      <c r="K54" s="64"/>
      <c r="L54" s="65" t="str">
        <f t="shared" si="0"/>
        <v/>
      </c>
      <c r="M54" s="66" t="str">
        <f>+IFERROR(INDEX(PARÁMETROS!$B$11:$B$37,MATCH(L54,PARÁMETROS!$A$11:$A$37,0)),"")</f>
        <v/>
      </c>
      <c r="N54" s="74"/>
      <c r="O54" s="66"/>
      <c r="P54" s="58"/>
      <c r="Q54" s="69"/>
      <c r="R54" s="135"/>
      <c r="S54" s="66" t="str">
        <f t="shared" si="3"/>
        <v/>
      </c>
      <c r="T54" s="55" t="str">
        <f t="shared" si="1"/>
        <v/>
      </c>
      <c r="U54" s="55" t="str">
        <f t="shared" si="2"/>
        <v/>
      </c>
      <c r="V54" s="55"/>
      <c r="W54" s="799"/>
      <c r="X54" s="799"/>
      <c r="Y54" s="799"/>
      <c r="Z54" s="799"/>
      <c r="AA54" s="799"/>
      <c r="AB54" s="799"/>
      <c r="AC54" s="799"/>
      <c r="AD54" s="799"/>
      <c r="AE54" s="799"/>
      <c r="AF54" s="214"/>
      <c r="AG54" s="838"/>
      <c r="AH54" s="838"/>
      <c r="AI54" s="212" t="str">
        <f>+IF(U54="","",IF(U54&gt;=PARÁMETROS!$F$5,"CUMPLE","NO CUMPLE"))</f>
        <v/>
      </c>
      <c r="AJ54" s="139"/>
      <c r="AK54" s="109"/>
    </row>
    <row r="55" spans="1:37" s="72" customFormat="1" ht="30" customHeight="1" thickBot="1">
      <c r="A55" s="796"/>
      <c r="B55" s="58"/>
      <c r="C55" s="75"/>
      <c r="D55" s="60" t="str">
        <f>+IFERROR(INDEX(CONSOLIDADO!$D$4:$D$89,MATCH('EXP GEN. 13-19'!B55,CONSOLIDADO!$C$4:$C$89,0)),"")</f>
        <v/>
      </c>
      <c r="E55" s="61"/>
      <c r="F55" s="61"/>
      <c r="G55" s="214"/>
      <c r="H55" s="214"/>
      <c r="I55" s="73"/>
      <c r="J55" s="64"/>
      <c r="K55" s="64"/>
      <c r="L55" s="65" t="str">
        <f t="shared" si="0"/>
        <v/>
      </c>
      <c r="M55" s="66" t="str">
        <f>+IFERROR(INDEX(PARÁMETROS!$B$11:$B$37,MATCH(L55,PARÁMETROS!$A$11:$A$37,0)),"")</f>
        <v/>
      </c>
      <c r="N55" s="74"/>
      <c r="O55" s="66"/>
      <c r="P55" s="58"/>
      <c r="Q55" s="69"/>
      <c r="R55" s="135"/>
      <c r="S55" s="66" t="str">
        <f t="shared" si="3"/>
        <v/>
      </c>
      <c r="T55" s="55" t="str">
        <f t="shared" si="1"/>
        <v/>
      </c>
      <c r="U55" s="55" t="str">
        <f t="shared" si="2"/>
        <v/>
      </c>
      <c r="V55" s="55"/>
      <c r="W55" s="799"/>
      <c r="X55" s="799"/>
      <c r="Y55" s="799"/>
      <c r="Z55" s="799"/>
      <c r="AA55" s="799"/>
      <c r="AB55" s="799"/>
      <c r="AC55" s="799"/>
      <c r="AD55" s="799"/>
      <c r="AE55" s="799"/>
      <c r="AF55" s="214"/>
      <c r="AG55" s="838"/>
      <c r="AH55" s="838"/>
      <c r="AI55" s="212" t="str">
        <f>+IF(U55="","",IF(U55&gt;=PARÁMETROS!$F$5,"CUMPLE","NO CUMPLE"))</f>
        <v/>
      </c>
      <c r="AJ55" s="139"/>
      <c r="AK55" s="109"/>
    </row>
    <row r="56" spans="1:37" s="72" customFormat="1" ht="30" customHeight="1" thickBot="1">
      <c r="A56" s="806"/>
      <c r="B56" s="141"/>
      <c r="C56" s="142"/>
      <c r="D56" s="143" t="str">
        <f>+IFERROR(INDEX(CONSOLIDADO!$D$4:$D$89,MATCH('EXP GEN. 13-19'!B56,CONSOLIDADO!$C$4:$C$89,0)),"")</f>
        <v/>
      </c>
      <c r="E56" s="144"/>
      <c r="F56" s="144"/>
      <c r="G56" s="215"/>
      <c r="H56" s="215"/>
      <c r="I56" s="164"/>
      <c r="J56" s="147"/>
      <c r="K56" s="147"/>
      <c r="L56" s="148" t="str">
        <f t="shared" ref="L56:L68" si="4">IF(K56="","",YEAR(K56))</f>
        <v/>
      </c>
      <c r="M56" s="149" t="str">
        <f>+IFERROR(INDEX(PARÁMETROS!$B$11:$B$37,MATCH(L56,PARÁMETROS!$A$11:$A$37,0)),"")</f>
        <v/>
      </c>
      <c r="N56" s="165"/>
      <c r="O56" s="149"/>
      <c r="P56" s="141"/>
      <c r="Q56" s="152"/>
      <c r="R56" s="135"/>
      <c r="S56" s="149" t="str">
        <f t="shared" ref="S56:S68" si="5">IF(R56&lt;&gt;"",N56*R56,"")</f>
        <v/>
      </c>
      <c r="T56" s="154" t="str">
        <f t="shared" ref="T56:T68" si="6">+IFERROR(S56/M56,"")</f>
        <v/>
      </c>
      <c r="U56" s="154" t="str">
        <f t="shared" ref="U56:U68" si="7">IFERROR(T56*I56,"")</f>
        <v/>
      </c>
      <c r="V56" s="154"/>
      <c r="W56" s="801"/>
      <c r="X56" s="801"/>
      <c r="Y56" s="801"/>
      <c r="Z56" s="801"/>
      <c r="AA56" s="801"/>
      <c r="AB56" s="801"/>
      <c r="AC56" s="801"/>
      <c r="AD56" s="801"/>
      <c r="AE56" s="801"/>
      <c r="AF56" s="215"/>
      <c r="AG56" s="839"/>
      <c r="AH56" s="839"/>
      <c r="AI56" s="212" t="str">
        <f>+IF(U56="","",IF(U56&gt;=PARÁMETROS!$F$5,"CUMPLE","NO CUMPLE"))</f>
        <v/>
      </c>
      <c r="AJ56" s="155"/>
      <c r="AK56" s="109"/>
    </row>
    <row r="57" spans="1:37" s="72" customFormat="1" ht="30" customHeight="1" thickBot="1">
      <c r="A57" s="795"/>
      <c r="B57" s="123"/>
      <c r="C57" s="157"/>
      <c r="D57" s="125" t="str">
        <f>+IFERROR(INDEX(CONSOLIDADO!$D$4:$D$89,MATCH('EXP GEN. 13-19'!B57,CONSOLIDADO!$C$4:$C$89,0)),"")</f>
        <v/>
      </c>
      <c r="E57" s="126"/>
      <c r="F57" s="126"/>
      <c r="G57" s="213"/>
      <c r="H57" s="213"/>
      <c r="I57" s="162"/>
      <c r="J57" s="129"/>
      <c r="K57" s="129"/>
      <c r="L57" s="130" t="str">
        <f t="shared" si="4"/>
        <v/>
      </c>
      <c r="M57" s="131" t="str">
        <f>+IFERROR(INDEX(PARÁMETROS!$B$11:$B$37,MATCH(L57,PARÁMETROS!$A$11:$A$37,0)),"")</f>
        <v/>
      </c>
      <c r="N57" s="163"/>
      <c r="O57" s="131"/>
      <c r="P57" s="123"/>
      <c r="Q57" s="134"/>
      <c r="R57" s="135"/>
      <c r="S57" s="131" t="str">
        <f t="shared" si="5"/>
        <v/>
      </c>
      <c r="T57" s="136" t="str">
        <f t="shared" si="6"/>
        <v/>
      </c>
      <c r="U57" s="136" t="str">
        <f t="shared" si="7"/>
        <v/>
      </c>
      <c r="V57" s="136"/>
      <c r="W57" s="798"/>
      <c r="X57" s="798"/>
      <c r="Y57" s="798"/>
      <c r="Z57" s="798"/>
      <c r="AA57" s="798"/>
      <c r="AB57" s="798"/>
      <c r="AC57" s="798"/>
      <c r="AD57" s="798"/>
      <c r="AE57" s="798"/>
      <c r="AF57" s="213"/>
      <c r="AG57" s="837" t="str">
        <f>IF(U57="","",IF(SUM(U57:U59)&gt;=PARÁMETROS!$H$5,"HÁBIL","NO HÁBIL"))</f>
        <v/>
      </c>
      <c r="AH57" s="837" t="str">
        <f>IF(U57="","",IF(U57&gt;=PARÁMETROS!$F$5,"HÁBIL","NO HÁBIL"))</f>
        <v/>
      </c>
      <c r="AI57" s="212" t="str">
        <f>+IF(U57="","",IF(U57&gt;=PARÁMETROS!$F$5,"CUMPLE","NO CUMPLE"))</f>
        <v/>
      </c>
      <c r="AJ57" s="138"/>
      <c r="AK57" s="109"/>
    </row>
    <row r="58" spans="1:37" s="72" customFormat="1" ht="30" customHeight="1" thickBot="1">
      <c r="A58" s="796"/>
      <c r="B58" s="58"/>
      <c r="C58" s="75"/>
      <c r="D58" s="60" t="str">
        <f>+IFERROR(INDEX(CONSOLIDADO!$D$4:$D$89,MATCH('EXP GEN. 13-19'!B58,CONSOLIDADO!$C$4:$C$89,0)),"")</f>
        <v/>
      </c>
      <c r="E58" s="61"/>
      <c r="F58" s="61"/>
      <c r="G58" s="214"/>
      <c r="H58" s="214"/>
      <c r="I58" s="73"/>
      <c r="J58" s="64"/>
      <c r="K58" s="64"/>
      <c r="L58" s="65" t="str">
        <f t="shared" si="4"/>
        <v/>
      </c>
      <c r="M58" s="66" t="str">
        <f>+IFERROR(INDEX(PARÁMETROS!$B$11:$B$37,MATCH(L58,PARÁMETROS!$A$11:$A$37,0)),"")</f>
        <v/>
      </c>
      <c r="N58" s="74"/>
      <c r="O58" s="66"/>
      <c r="P58" s="58"/>
      <c r="Q58" s="69"/>
      <c r="R58" s="135"/>
      <c r="S58" s="66" t="str">
        <f t="shared" si="5"/>
        <v/>
      </c>
      <c r="T58" s="55" t="str">
        <f t="shared" si="6"/>
        <v/>
      </c>
      <c r="U58" s="55" t="str">
        <f t="shared" si="7"/>
        <v/>
      </c>
      <c r="V58" s="55"/>
      <c r="W58" s="799"/>
      <c r="X58" s="799"/>
      <c r="Y58" s="799"/>
      <c r="Z58" s="799"/>
      <c r="AA58" s="799"/>
      <c r="AB58" s="799"/>
      <c r="AC58" s="799"/>
      <c r="AD58" s="799"/>
      <c r="AE58" s="799"/>
      <c r="AF58" s="214"/>
      <c r="AG58" s="838"/>
      <c r="AH58" s="838"/>
      <c r="AI58" s="212" t="str">
        <f>+IF(U58="","",IF(U58&gt;=PARÁMETROS!$F$5,"CUMPLE","NO CUMPLE"))</f>
        <v/>
      </c>
      <c r="AJ58" s="139"/>
      <c r="AK58" s="109"/>
    </row>
    <row r="59" spans="1:37" s="72" customFormat="1" ht="30" customHeight="1" thickBot="1">
      <c r="A59" s="796"/>
      <c r="B59" s="58"/>
      <c r="C59" s="75"/>
      <c r="D59" s="60" t="str">
        <f>+IFERROR(INDEX(CONSOLIDADO!$D$4:$D$89,MATCH('EXP GEN. 13-19'!B59,CONSOLIDADO!$C$4:$C$89,0)),"")</f>
        <v/>
      </c>
      <c r="E59" s="61"/>
      <c r="F59" s="61"/>
      <c r="G59" s="214"/>
      <c r="H59" s="214"/>
      <c r="I59" s="73"/>
      <c r="J59" s="64"/>
      <c r="K59" s="64"/>
      <c r="L59" s="65" t="str">
        <f t="shared" si="4"/>
        <v/>
      </c>
      <c r="M59" s="66" t="str">
        <f>+IFERROR(INDEX(PARÁMETROS!$B$11:$B$37,MATCH(L59,PARÁMETROS!$A$11:$A$37,0)),"")</f>
        <v/>
      </c>
      <c r="N59" s="74"/>
      <c r="O59" s="66"/>
      <c r="P59" s="58"/>
      <c r="Q59" s="69"/>
      <c r="R59" s="135"/>
      <c r="S59" s="66" t="str">
        <f t="shared" si="5"/>
        <v/>
      </c>
      <c r="T59" s="55" t="str">
        <f t="shared" si="6"/>
        <v/>
      </c>
      <c r="U59" s="55" t="str">
        <f t="shared" si="7"/>
        <v/>
      </c>
      <c r="V59" s="55"/>
      <c r="W59" s="799"/>
      <c r="X59" s="799"/>
      <c r="Y59" s="799"/>
      <c r="Z59" s="799"/>
      <c r="AA59" s="799"/>
      <c r="AB59" s="799"/>
      <c r="AC59" s="799"/>
      <c r="AD59" s="799"/>
      <c r="AE59" s="799"/>
      <c r="AF59" s="214"/>
      <c r="AG59" s="838"/>
      <c r="AH59" s="838"/>
      <c r="AI59" s="212" t="str">
        <f>+IF(U59="","",IF(U59&gt;=PARÁMETROS!$F$5,"CUMPLE","NO CUMPLE"))</f>
        <v/>
      </c>
      <c r="AJ59" s="139"/>
      <c r="AK59" s="109"/>
    </row>
    <row r="60" spans="1:37" s="72" customFormat="1" ht="30" customHeight="1" thickBot="1">
      <c r="A60" s="796"/>
      <c r="B60" s="58"/>
      <c r="C60" s="75"/>
      <c r="D60" s="60" t="str">
        <f>+IFERROR(INDEX(CONSOLIDADO!$D$4:$D$89,MATCH('EXP GEN. 13-19'!B60,CONSOLIDADO!$C$4:$C$89,0)),"")</f>
        <v/>
      </c>
      <c r="E60" s="61"/>
      <c r="F60" s="61"/>
      <c r="G60" s="214"/>
      <c r="H60" s="214"/>
      <c r="I60" s="73"/>
      <c r="J60" s="64"/>
      <c r="K60" s="64"/>
      <c r="L60" s="65" t="str">
        <f t="shared" si="4"/>
        <v/>
      </c>
      <c r="M60" s="66" t="str">
        <f>+IFERROR(INDEX(PARÁMETROS!$B$11:$B$37,MATCH(L60,PARÁMETROS!$A$11:$A$37,0)),"")</f>
        <v/>
      </c>
      <c r="N60" s="74"/>
      <c r="O60" s="66"/>
      <c r="P60" s="58"/>
      <c r="Q60" s="69"/>
      <c r="R60" s="135"/>
      <c r="S60" s="66" t="str">
        <f t="shared" si="5"/>
        <v/>
      </c>
      <c r="T60" s="55" t="str">
        <f t="shared" si="6"/>
        <v/>
      </c>
      <c r="U60" s="55" t="str">
        <f t="shared" si="7"/>
        <v/>
      </c>
      <c r="V60" s="55"/>
      <c r="W60" s="799"/>
      <c r="X60" s="799"/>
      <c r="Y60" s="799"/>
      <c r="Z60" s="799"/>
      <c r="AA60" s="799"/>
      <c r="AB60" s="799"/>
      <c r="AC60" s="799"/>
      <c r="AD60" s="799"/>
      <c r="AE60" s="799"/>
      <c r="AF60" s="214"/>
      <c r="AG60" s="838"/>
      <c r="AH60" s="838"/>
      <c r="AI60" s="212" t="str">
        <f>+IF(U60="","",IF(U60&gt;=PARÁMETROS!$F$5,"CUMPLE","NO CUMPLE"))</f>
        <v/>
      </c>
      <c r="AJ60" s="139"/>
      <c r="AK60" s="109"/>
    </row>
    <row r="61" spans="1:37" s="72" customFormat="1" ht="30" customHeight="1" thickBot="1">
      <c r="A61" s="796"/>
      <c r="B61" s="58"/>
      <c r="C61" s="75"/>
      <c r="D61" s="60" t="str">
        <f>+IFERROR(INDEX(CONSOLIDADO!$D$4:$D$89,MATCH('EXP GEN. 13-19'!B61,CONSOLIDADO!$C$4:$C$89,0)),"")</f>
        <v/>
      </c>
      <c r="E61" s="61"/>
      <c r="F61" s="61"/>
      <c r="G61" s="214"/>
      <c r="H61" s="214"/>
      <c r="I61" s="73"/>
      <c r="J61" s="64"/>
      <c r="K61" s="64"/>
      <c r="L61" s="65" t="str">
        <f t="shared" si="4"/>
        <v/>
      </c>
      <c r="M61" s="66" t="str">
        <f>+IFERROR(INDEX(PARÁMETROS!$B$11:$B$37,MATCH(L61,PARÁMETROS!$A$11:$A$37,0)),"")</f>
        <v/>
      </c>
      <c r="N61" s="74"/>
      <c r="O61" s="66"/>
      <c r="P61" s="58"/>
      <c r="Q61" s="69"/>
      <c r="R61" s="135"/>
      <c r="S61" s="66" t="str">
        <f t="shared" si="5"/>
        <v/>
      </c>
      <c r="T61" s="55" t="str">
        <f t="shared" si="6"/>
        <v/>
      </c>
      <c r="U61" s="55" t="str">
        <f t="shared" si="7"/>
        <v/>
      </c>
      <c r="V61" s="55"/>
      <c r="W61" s="799"/>
      <c r="X61" s="799"/>
      <c r="Y61" s="799"/>
      <c r="Z61" s="799"/>
      <c r="AA61" s="799"/>
      <c r="AB61" s="799"/>
      <c r="AC61" s="799"/>
      <c r="AD61" s="799"/>
      <c r="AE61" s="799"/>
      <c r="AF61" s="214"/>
      <c r="AG61" s="838"/>
      <c r="AH61" s="838"/>
      <c r="AI61" s="212" t="str">
        <f>+IF(U61="","",IF(U61&gt;=PARÁMETROS!$F$5,"CUMPLE","NO CUMPLE"))</f>
        <v/>
      </c>
      <c r="AJ61" s="139"/>
      <c r="AK61" s="109"/>
    </row>
    <row r="62" spans="1:37" s="72" customFormat="1" ht="30" customHeight="1" thickBot="1">
      <c r="A62" s="806"/>
      <c r="B62" s="141"/>
      <c r="C62" s="142"/>
      <c r="D62" s="143" t="str">
        <f>+IFERROR(INDEX(CONSOLIDADO!$D$4:$D$89,MATCH('EXP GEN. 13-19'!B62,CONSOLIDADO!$C$4:$C$89,0)),"")</f>
        <v/>
      </c>
      <c r="E62" s="144"/>
      <c r="F62" s="144"/>
      <c r="G62" s="215"/>
      <c r="H62" s="215"/>
      <c r="I62" s="164"/>
      <c r="J62" s="147"/>
      <c r="K62" s="147"/>
      <c r="L62" s="148" t="str">
        <f t="shared" si="4"/>
        <v/>
      </c>
      <c r="M62" s="149" t="str">
        <f>+IFERROR(INDEX(PARÁMETROS!$B$11:$B$37,MATCH(L62,PARÁMETROS!$A$11:$A$37,0)),"")</f>
        <v/>
      </c>
      <c r="N62" s="165"/>
      <c r="O62" s="149"/>
      <c r="P62" s="141"/>
      <c r="Q62" s="152"/>
      <c r="R62" s="135"/>
      <c r="S62" s="149" t="str">
        <f t="shared" si="5"/>
        <v/>
      </c>
      <c r="T62" s="154" t="str">
        <f t="shared" si="6"/>
        <v/>
      </c>
      <c r="U62" s="154" t="str">
        <f t="shared" si="7"/>
        <v/>
      </c>
      <c r="V62" s="154"/>
      <c r="W62" s="801"/>
      <c r="X62" s="801"/>
      <c r="Y62" s="801"/>
      <c r="Z62" s="801"/>
      <c r="AA62" s="801"/>
      <c r="AB62" s="801"/>
      <c r="AC62" s="801"/>
      <c r="AD62" s="801"/>
      <c r="AE62" s="801"/>
      <c r="AF62" s="215"/>
      <c r="AG62" s="839"/>
      <c r="AH62" s="839"/>
      <c r="AI62" s="212" t="str">
        <f>+IF(U62="","",IF(U62&gt;=PARÁMETROS!$F$5,"CUMPLE","NO CUMPLE"))</f>
        <v/>
      </c>
      <c r="AJ62" s="155"/>
      <c r="AK62" s="109"/>
    </row>
    <row r="63" spans="1:37" s="72" customFormat="1" ht="30" customHeight="1" thickBot="1">
      <c r="A63" s="795"/>
      <c r="B63" s="123"/>
      <c r="C63" s="157"/>
      <c r="D63" s="125" t="str">
        <f>+IFERROR(INDEX(CONSOLIDADO!$D$4:$D$89,MATCH('EXP GEN. 13-19'!B63,CONSOLIDADO!$C$4:$C$89,0)),"")</f>
        <v/>
      </c>
      <c r="E63" s="126"/>
      <c r="F63" s="126"/>
      <c r="G63" s="213"/>
      <c r="H63" s="213"/>
      <c r="I63" s="162"/>
      <c r="J63" s="129"/>
      <c r="K63" s="129"/>
      <c r="L63" s="130" t="str">
        <f t="shared" si="4"/>
        <v/>
      </c>
      <c r="M63" s="131" t="str">
        <f>+IFERROR(INDEX(PARÁMETROS!$B$11:$B$37,MATCH(L63,PARÁMETROS!$A$11:$A$37,0)),"")</f>
        <v/>
      </c>
      <c r="N63" s="163"/>
      <c r="O63" s="131"/>
      <c r="P63" s="123"/>
      <c r="Q63" s="134"/>
      <c r="R63" s="135"/>
      <c r="S63" s="131" t="str">
        <f t="shared" si="5"/>
        <v/>
      </c>
      <c r="T63" s="136" t="str">
        <f t="shared" si="6"/>
        <v/>
      </c>
      <c r="U63" s="136" t="str">
        <f t="shared" si="7"/>
        <v/>
      </c>
      <c r="V63" s="136"/>
      <c r="W63" s="798"/>
      <c r="X63" s="798"/>
      <c r="Y63" s="798"/>
      <c r="Z63" s="798"/>
      <c r="AA63" s="798"/>
      <c r="AB63" s="798"/>
      <c r="AC63" s="798"/>
      <c r="AD63" s="798"/>
      <c r="AE63" s="798"/>
      <c r="AF63" s="213"/>
      <c r="AG63" s="837" t="str">
        <f>IF(U63="","",IF(SUM(U63:U65)&gt;=PARÁMETROS!$H$5,"HÁBIL","NO HÁBIL"))</f>
        <v/>
      </c>
      <c r="AH63" s="837" t="str">
        <f>IF(U63="","",IF(U63&gt;=PARÁMETROS!$F$5,"HÁBIL","NO HÁBIL"))</f>
        <v/>
      </c>
      <c r="AI63" s="212" t="str">
        <f>+IF(U63="","",IF(U63&gt;=PARÁMETROS!$D$5,"CUMPLE","NO CUMPLE"))</f>
        <v/>
      </c>
      <c r="AJ63" s="138"/>
      <c r="AK63" s="109"/>
    </row>
    <row r="64" spans="1:37" s="72" customFormat="1" ht="30" customHeight="1" thickBot="1">
      <c r="A64" s="796"/>
      <c r="B64" s="58"/>
      <c r="C64" s="75"/>
      <c r="D64" s="60" t="str">
        <f>+IFERROR(INDEX(CONSOLIDADO!$D$4:$D$89,MATCH('EXP GEN. 13-19'!B64,CONSOLIDADO!$C$4:$C$89,0)),"")</f>
        <v/>
      </c>
      <c r="E64" s="61"/>
      <c r="F64" s="61"/>
      <c r="G64" s="214"/>
      <c r="H64" s="214"/>
      <c r="I64" s="73"/>
      <c r="J64" s="64"/>
      <c r="K64" s="64"/>
      <c r="L64" s="65" t="str">
        <f t="shared" si="4"/>
        <v/>
      </c>
      <c r="M64" s="66" t="str">
        <f>+IFERROR(INDEX(PARÁMETROS!$B$11:$B$37,MATCH(L64,PARÁMETROS!$A$11:$A$37,0)),"")</f>
        <v/>
      </c>
      <c r="N64" s="74"/>
      <c r="O64" s="66"/>
      <c r="P64" s="58"/>
      <c r="Q64" s="69"/>
      <c r="R64" s="135"/>
      <c r="S64" s="66" t="str">
        <f t="shared" si="5"/>
        <v/>
      </c>
      <c r="T64" s="55" t="str">
        <f t="shared" si="6"/>
        <v/>
      </c>
      <c r="U64" s="55" t="str">
        <f t="shared" si="7"/>
        <v/>
      </c>
      <c r="V64" s="55"/>
      <c r="W64" s="799"/>
      <c r="X64" s="799"/>
      <c r="Y64" s="799"/>
      <c r="Z64" s="799"/>
      <c r="AA64" s="799"/>
      <c r="AB64" s="799"/>
      <c r="AC64" s="799"/>
      <c r="AD64" s="799"/>
      <c r="AE64" s="799"/>
      <c r="AF64" s="214"/>
      <c r="AG64" s="838"/>
      <c r="AH64" s="838"/>
      <c r="AI64" s="211" t="str">
        <f>+IF(U64="","",IF(U64&gt;=PARÁMETROS!$D$5,"CUMPLE","NO CUMPLE"))</f>
        <v/>
      </c>
      <c r="AJ64" s="139"/>
      <c r="AK64" s="109"/>
    </row>
    <row r="65" spans="1:37" s="72" customFormat="1" ht="30" customHeight="1" thickBot="1">
      <c r="A65" s="796"/>
      <c r="B65" s="58"/>
      <c r="C65" s="75"/>
      <c r="D65" s="60" t="str">
        <f>+IFERROR(INDEX(CONSOLIDADO!$D$4:$D$89,MATCH('EXP GEN. 13-19'!B65,CONSOLIDADO!$C$4:$C$89,0)),"")</f>
        <v/>
      </c>
      <c r="E65" s="61"/>
      <c r="F65" s="61"/>
      <c r="G65" s="214"/>
      <c r="H65" s="214"/>
      <c r="I65" s="73"/>
      <c r="J65" s="64"/>
      <c r="K65" s="64"/>
      <c r="L65" s="65" t="str">
        <f t="shared" si="4"/>
        <v/>
      </c>
      <c r="M65" s="66" t="str">
        <f>+IFERROR(INDEX(PARÁMETROS!$B$11:$B$37,MATCH(L65,PARÁMETROS!$A$11:$A$37,0)),"")</f>
        <v/>
      </c>
      <c r="N65" s="74"/>
      <c r="O65" s="66"/>
      <c r="P65" s="58"/>
      <c r="Q65" s="69"/>
      <c r="R65" s="135"/>
      <c r="S65" s="66" t="str">
        <f t="shared" si="5"/>
        <v/>
      </c>
      <c r="T65" s="55" t="str">
        <f t="shared" si="6"/>
        <v/>
      </c>
      <c r="U65" s="55" t="str">
        <f t="shared" si="7"/>
        <v/>
      </c>
      <c r="V65" s="55"/>
      <c r="W65" s="799"/>
      <c r="X65" s="799"/>
      <c r="Y65" s="799"/>
      <c r="Z65" s="799"/>
      <c r="AA65" s="799"/>
      <c r="AB65" s="799"/>
      <c r="AC65" s="799"/>
      <c r="AD65" s="799"/>
      <c r="AE65" s="799"/>
      <c r="AF65" s="214"/>
      <c r="AG65" s="838"/>
      <c r="AH65" s="838"/>
      <c r="AI65" s="211" t="str">
        <f>+IF(U65="","",IF(U65&gt;=PARÁMETROS!$D$5,"CUMPLE","NO CUMPLE"))</f>
        <v/>
      </c>
      <c r="AJ65" s="139"/>
      <c r="AK65" s="109"/>
    </row>
    <row r="66" spans="1:37" s="72" customFormat="1" ht="30" customHeight="1" thickBot="1">
      <c r="A66" s="796"/>
      <c r="B66" s="58"/>
      <c r="C66" s="75"/>
      <c r="D66" s="60" t="str">
        <f>+IFERROR(INDEX(CONSOLIDADO!$D$4:$D$89,MATCH('EXP GEN. 13-19'!B66,CONSOLIDADO!$C$4:$C$89,0)),"")</f>
        <v/>
      </c>
      <c r="E66" s="61"/>
      <c r="F66" s="61"/>
      <c r="G66" s="214"/>
      <c r="H66" s="214"/>
      <c r="I66" s="73"/>
      <c r="J66" s="64"/>
      <c r="K66" s="64"/>
      <c r="L66" s="65" t="str">
        <f t="shared" si="4"/>
        <v/>
      </c>
      <c r="M66" s="66" t="str">
        <f>+IFERROR(INDEX(PARÁMETROS!$B$11:$B$37,MATCH(L66,PARÁMETROS!$A$11:$A$37,0)),"")</f>
        <v/>
      </c>
      <c r="N66" s="74"/>
      <c r="O66" s="66"/>
      <c r="P66" s="58"/>
      <c r="Q66" s="69"/>
      <c r="R66" s="135"/>
      <c r="S66" s="66" t="str">
        <f t="shared" si="5"/>
        <v/>
      </c>
      <c r="T66" s="55" t="str">
        <f t="shared" si="6"/>
        <v/>
      </c>
      <c r="U66" s="55" t="str">
        <f t="shared" si="7"/>
        <v/>
      </c>
      <c r="V66" s="55"/>
      <c r="W66" s="799"/>
      <c r="X66" s="799"/>
      <c r="Y66" s="799"/>
      <c r="Z66" s="799"/>
      <c r="AA66" s="799"/>
      <c r="AB66" s="799"/>
      <c r="AC66" s="799"/>
      <c r="AD66" s="799"/>
      <c r="AE66" s="799"/>
      <c r="AF66" s="214"/>
      <c r="AG66" s="838"/>
      <c r="AH66" s="838"/>
      <c r="AI66" s="211" t="str">
        <f>+IF(U66="","",IF(U66&gt;=PARÁMETROS!$D$5,"CUMPLE","NO CUMPLE"))</f>
        <v/>
      </c>
      <c r="AJ66" s="139"/>
      <c r="AK66" s="109"/>
    </row>
    <row r="67" spans="1:37" s="72" customFormat="1" ht="30" customHeight="1" thickBot="1">
      <c r="A67" s="796"/>
      <c r="B67" s="58"/>
      <c r="C67" s="75"/>
      <c r="D67" s="60" t="str">
        <f>+IFERROR(INDEX(CONSOLIDADO!$D$4:$D$89,MATCH('EXP GEN. 13-19'!B67,CONSOLIDADO!$C$4:$C$89,0)),"")</f>
        <v/>
      </c>
      <c r="E67" s="61"/>
      <c r="F67" s="61"/>
      <c r="G67" s="214"/>
      <c r="H67" s="214"/>
      <c r="I67" s="73"/>
      <c r="J67" s="64"/>
      <c r="K67" s="64"/>
      <c r="L67" s="65" t="str">
        <f t="shared" si="4"/>
        <v/>
      </c>
      <c r="M67" s="66" t="str">
        <f>+IFERROR(INDEX(PARÁMETROS!$B$11:$B$37,MATCH(L67,PARÁMETROS!$A$11:$A$37,0)),"")</f>
        <v/>
      </c>
      <c r="N67" s="74"/>
      <c r="O67" s="66"/>
      <c r="P67" s="58"/>
      <c r="Q67" s="69"/>
      <c r="R67" s="135"/>
      <c r="S67" s="66" t="str">
        <f t="shared" si="5"/>
        <v/>
      </c>
      <c r="T67" s="55" t="str">
        <f t="shared" si="6"/>
        <v/>
      </c>
      <c r="U67" s="55" t="str">
        <f t="shared" si="7"/>
        <v/>
      </c>
      <c r="V67" s="55"/>
      <c r="W67" s="799"/>
      <c r="X67" s="799"/>
      <c r="Y67" s="799"/>
      <c r="Z67" s="799"/>
      <c r="AA67" s="799"/>
      <c r="AB67" s="799"/>
      <c r="AC67" s="799"/>
      <c r="AD67" s="799"/>
      <c r="AE67" s="799"/>
      <c r="AF67" s="214"/>
      <c r="AG67" s="838"/>
      <c r="AH67" s="838"/>
      <c r="AI67" s="211" t="str">
        <f>+IF(U67="","",IF(U67&gt;=PARÁMETROS!$D$5,"CUMPLE","NO CUMPLE"))</f>
        <v/>
      </c>
      <c r="AJ67" s="139"/>
      <c r="AK67" s="109"/>
    </row>
    <row r="68" spans="1:37" s="72" customFormat="1" ht="30" customHeight="1" thickBot="1">
      <c r="A68" s="806"/>
      <c r="B68" s="141"/>
      <c r="C68" s="142"/>
      <c r="D68" s="143" t="str">
        <f>+IFERROR(INDEX(CONSOLIDADO!$D$4:$D$89,MATCH('EXP GEN. 13-19'!B68,CONSOLIDADO!$C$4:$C$89,0)),"")</f>
        <v/>
      </c>
      <c r="E68" s="144"/>
      <c r="F68" s="144"/>
      <c r="G68" s="215"/>
      <c r="H68" s="215"/>
      <c r="I68" s="164"/>
      <c r="J68" s="147"/>
      <c r="K68" s="147"/>
      <c r="L68" s="148" t="str">
        <f t="shared" si="4"/>
        <v/>
      </c>
      <c r="M68" s="149" t="str">
        <f>+IFERROR(INDEX(PARÁMETROS!$B$11:$B$37,MATCH(L68,PARÁMETROS!$A$11:$A$37,0)),"")</f>
        <v/>
      </c>
      <c r="N68" s="165"/>
      <c r="O68" s="149"/>
      <c r="P68" s="141"/>
      <c r="Q68" s="152"/>
      <c r="R68" s="135"/>
      <c r="S68" s="149" t="str">
        <f t="shared" si="5"/>
        <v/>
      </c>
      <c r="T68" s="154" t="str">
        <f t="shared" si="6"/>
        <v/>
      </c>
      <c r="U68" s="154" t="str">
        <f t="shared" si="7"/>
        <v/>
      </c>
      <c r="V68" s="154"/>
      <c r="W68" s="801"/>
      <c r="X68" s="801"/>
      <c r="Y68" s="801"/>
      <c r="Z68" s="801"/>
      <c r="AA68" s="801"/>
      <c r="AB68" s="801"/>
      <c r="AC68" s="801"/>
      <c r="AD68" s="801"/>
      <c r="AE68" s="801"/>
      <c r="AF68" s="215"/>
      <c r="AG68" s="839"/>
      <c r="AH68" s="839"/>
      <c r="AI68" s="210" t="str">
        <f>+IF(U68="","",IF(U68&gt;=PARÁMETROS!$D$5,"CUMPLE","NO CUMPLE"))</f>
        <v/>
      </c>
      <c r="AJ68" s="155"/>
      <c r="AK68" s="109"/>
    </row>
    <row r="69" spans="1:37" s="72" customFormat="1" ht="30" customHeight="1">
      <c r="A69" s="58"/>
      <c r="B69" s="58"/>
      <c r="C69" s="75"/>
      <c r="D69" s="60"/>
      <c r="E69" s="61"/>
      <c r="F69" s="61"/>
      <c r="G69" s="61"/>
      <c r="H69" s="61"/>
      <c r="I69" s="73"/>
      <c r="J69" s="64"/>
      <c r="K69" s="64"/>
      <c r="L69" s="65"/>
      <c r="M69" s="66"/>
      <c r="N69" s="74"/>
      <c r="O69" s="66"/>
      <c r="P69" s="58"/>
      <c r="Q69" s="69"/>
      <c r="R69" s="70"/>
      <c r="S69" s="66"/>
      <c r="T69" s="55"/>
      <c r="U69" s="55"/>
      <c r="V69" s="55"/>
      <c r="W69" s="211"/>
      <c r="X69" s="211"/>
      <c r="Y69" s="211"/>
      <c r="Z69" s="211"/>
      <c r="AA69" s="211"/>
      <c r="AB69" s="211"/>
      <c r="AC69" s="211"/>
      <c r="AD69" s="211"/>
      <c r="AE69" s="211"/>
      <c r="AF69" s="211"/>
      <c r="AG69" s="211"/>
      <c r="AH69" s="211"/>
      <c r="AI69" s="211"/>
      <c r="AJ69" s="61"/>
    </row>
    <row r="70" spans="1:37" s="72" customFormat="1" ht="30" customHeight="1">
      <c r="A70" s="58"/>
      <c r="B70" s="58"/>
      <c r="C70" s="75"/>
      <c r="D70" s="60"/>
      <c r="E70" s="61"/>
      <c r="F70" s="61"/>
      <c r="G70" s="61"/>
      <c r="H70" s="61"/>
      <c r="I70" s="73"/>
      <c r="J70" s="64"/>
      <c r="K70" s="64"/>
      <c r="L70" s="65"/>
      <c r="M70" s="66"/>
      <c r="N70" s="74"/>
      <c r="O70" s="66"/>
      <c r="P70" s="58"/>
      <c r="Q70" s="69"/>
      <c r="R70" s="70"/>
      <c r="S70" s="66"/>
      <c r="T70" s="55"/>
      <c r="U70" s="55"/>
      <c r="V70" s="55"/>
      <c r="W70" s="211"/>
      <c r="X70" s="211"/>
      <c r="Y70" s="211"/>
      <c r="Z70" s="211"/>
      <c r="AA70" s="211"/>
      <c r="AB70" s="211"/>
      <c r="AC70" s="211"/>
      <c r="AD70" s="211"/>
      <c r="AE70" s="211"/>
      <c r="AF70" s="211"/>
      <c r="AG70" s="211"/>
      <c r="AH70" s="211"/>
      <c r="AI70" s="211"/>
      <c r="AJ70" s="61"/>
    </row>
    <row r="71" spans="1:37" s="72" customFormat="1" ht="30" customHeight="1">
      <c r="A71" s="58"/>
      <c r="B71" s="58"/>
      <c r="C71" s="75"/>
      <c r="D71" s="60"/>
      <c r="E71" s="61"/>
      <c r="F71" s="61"/>
      <c r="G71" s="61"/>
      <c r="H71" s="61"/>
      <c r="I71" s="73"/>
      <c r="J71" s="64"/>
      <c r="K71" s="64"/>
      <c r="L71" s="65"/>
      <c r="M71" s="66"/>
      <c r="N71" s="74"/>
      <c r="O71" s="66"/>
      <c r="P71" s="58"/>
      <c r="Q71" s="69"/>
      <c r="R71" s="70"/>
      <c r="S71" s="66"/>
      <c r="T71" s="55"/>
      <c r="U71" s="55"/>
      <c r="V71" s="55"/>
      <c r="W71" s="211"/>
      <c r="X71" s="211"/>
      <c r="Y71" s="211"/>
      <c r="Z71" s="211"/>
      <c r="AA71" s="211"/>
      <c r="AB71" s="211"/>
      <c r="AC71" s="211"/>
      <c r="AD71" s="211"/>
      <c r="AE71" s="211"/>
      <c r="AF71" s="211"/>
      <c r="AG71" s="211"/>
      <c r="AH71" s="211"/>
      <c r="AI71" s="211"/>
      <c r="AJ71" s="61"/>
    </row>
    <row r="72" spans="1:37" s="72" customFormat="1" ht="30" customHeight="1">
      <c r="A72" s="58"/>
      <c r="B72" s="58"/>
      <c r="C72" s="75"/>
      <c r="D72" s="60"/>
      <c r="E72" s="61"/>
      <c r="F72" s="61"/>
      <c r="G72" s="61"/>
      <c r="H72" s="61"/>
      <c r="I72" s="73"/>
      <c r="J72" s="64"/>
      <c r="K72" s="64"/>
      <c r="L72" s="65"/>
      <c r="M72" s="66"/>
      <c r="N72" s="74"/>
      <c r="O72" s="66"/>
      <c r="P72" s="58"/>
      <c r="Q72" s="69"/>
      <c r="R72" s="70"/>
      <c r="S72" s="66"/>
      <c r="T72" s="55"/>
      <c r="U72" s="55"/>
      <c r="V72" s="55"/>
      <c r="W72" s="211"/>
      <c r="X72" s="211"/>
      <c r="Y72" s="211"/>
      <c r="Z72" s="211"/>
      <c r="AA72" s="211"/>
      <c r="AB72" s="211"/>
      <c r="AC72" s="211"/>
      <c r="AD72" s="211"/>
      <c r="AE72" s="211"/>
      <c r="AF72" s="211"/>
      <c r="AG72" s="211"/>
      <c r="AH72" s="211"/>
      <c r="AI72" s="211"/>
      <c r="AJ72" s="61"/>
    </row>
    <row r="73" spans="1:37" s="72" customFormat="1" ht="30" customHeight="1">
      <c r="A73" s="58"/>
      <c r="B73" s="58"/>
      <c r="C73" s="75"/>
      <c r="D73" s="60"/>
      <c r="E73" s="61"/>
      <c r="F73" s="61"/>
      <c r="G73" s="61"/>
      <c r="H73" s="61"/>
      <c r="I73" s="73"/>
      <c r="J73" s="64"/>
      <c r="K73" s="64"/>
      <c r="L73" s="65"/>
      <c r="M73" s="66"/>
      <c r="N73" s="74"/>
      <c r="O73" s="66"/>
      <c r="P73" s="58"/>
      <c r="Q73" s="69"/>
      <c r="R73" s="70"/>
      <c r="S73" s="66"/>
      <c r="T73" s="55"/>
      <c r="U73" s="55"/>
      <c r="V73" s="55"/>
      <c r="W73" s="211"/>
      <c r="X73" s="211"/>
      <c r="Y73" s="211"/>
      <c r="Z73" s="211"/>
      <c r="AA73" s="211"/>
      <c r="AB73" s="211"/>
      <c r="AC73" s="211"/>
      <c r="AD73" s="211"/>
      <c r="AE73" s="211"/>
      <c r="AF73" s="211"/>
      <c r="AG73" s="211"/>
      <c r="AH73" s="211"/>
      <c r="AI73" s="211"/>
      <c r="AJ73" s="61"/>
    </row>
    <row r="74" spans="1:37" s="72" customFormat="1" ht="30" customHeight="1">
      <c r="A74" s="58"/>
      <c r="B74" s="58"/>
      <c r="C74" s="75"/>
      <c r="D74" s="60"/>
      <c r="E74" s="61"/>
      <c r="F74" s="61"/>
      <c r="G74" s="61"/>
      <c r="H74" s="61"/>
      <c r="I74" s="73"/>
      <c r="J74" s="64"/>
      <c r="K74" s="64"/>
      <c r="L74" s="65"/>
      <c r="M74" s="66"/>
      <c r="N74" s="74"/>
      <c r="O74" s="66"/>
      <c r="P74" s="58"/>
      <c r="Q74" s="69"/>
      <c r="R74" s="70"/>
      <c r="S74" s="66"/>
      <c r="T74" s="55"/>
      <c r="U74" s="55"/>
      <c r="V74" s="55"/>
      <c r="W74" s="211"/>
      <c r="X74" s="211"/>
      <c r="Y74" s="211"/>
      <c r="Z74" s="211"/>
      <c r="AA74" s="211"/>
      <c r="AB74" s="211"/>
      <c r="AC74" s="211"/>
      <c r="AD74" s="211"/>
      <c r="AE74" s="211"/>
      <c r="AF74" s="211"/>
      <c r="AG74" s="211"/>
      <c r="AH74" s="211"/>
      <c r="AI74" s="211"/>
      <c r="AJ74" s="61"/>
    </row>
    <row r="75" spans="1:37" s="72" customFormat="1" ht="30" customHeight="1">
      <c r="A75" s="58"/>
      <c r="B75" s="58"/>
      <c r="C75" s="75"/>
      <c r="D75" s="60"/>
      <c r="E75" s="61"/>
      <c r="F75" s="61"/>
      <c r="G75" s="61"/>
      <c r="H75" s="61"/>
      <c r="I75" s="73"/>
      <c r="J75" s="64"/>
      <c r="K75" s="64"/>
      <c r="L75" s="65"/>
      <c r="M75" s="66"/>
      <c r="N75" s="74"/>
      <c r="O75" s="66"/>
      <c r="P75" s="58"/>
      <c r="Q75" s="69"/>
      <c r="R75" s="70"/>
      <c r="S75" s="66"/>
      <c r="T75" s="55"/>
      <c r="U75" s="55"/>
      <c r="V75" s="55"/>
      <c r="W75" s="211"/>
      <c r="X75" s="211"/>
      <c r="Y75" s="211"/>
      <c r="Z75" s="211"/>
      <c r="AA75" s="211"/>
      <c r="AB75" s="211"/>
      <c r="AC75" s="211"/>
      <c r="AD75" s="211"/>
      <c r="AE75" s="211"/>
      <c r="AF75" s="211"/>
      <c r="AG75" s="211"/>
      <c r="AH75" s="211"/>
      <c r="AI75" s="211"/>
      <c r="AJ75" s="61"/>
    </row>
    <row r="76" spans="1:37" s="72" customFormat="1" ht="30" customHeight="1">
      <c r="A76" s="58"/>
      <c r="B76" s="58"/>
      <c r="C76" s="75"/>
      <c r="D76" s="60"/>
      <c r="E76" s="61"/>
      <c r="F76" s="61"/>
      <c r="G76" s="61"/>
      <c r="H76" s="61"/>
      <c r="I76" s="73"/>
      <c r="J76" s="64"/>
      <c r="K76" s="64"/>
      <c r="L76" s="65"/>
      <c r="M76" s="66"/>
      <c r="N76" s="74"/>
      <c r="O76" s="66"/>
      <c r="P76" s="58"/>
      <c r="Q76" s="69"/>
      <c r="R76" s="70"/>
      <c r="S76" s="66"/>
      <c r="T76" s="55"/>
      <c r="U76" s="55"/>
      <c r="V76" s="55"/>
      <c r="W76" s="211"/>
      <c r="X76" s="211"/>
      <c r="Y76" s="211"/>
      <c r="Z76" s="211"/>
      <c r="AA76" s="211"/>
      <c r="AB76" s="211"/>
      <c r="AC76" s="211"/>
      <c r="AD76" s="211"/>
      <c r="AE76" s="211"/>
      <c r="AF76" s="211"/>
      <c r="AG76" s="211"/>
      <c r="AH76" s="211"/>
      <c r="AI76" s="211"/>
      <c r="AJ76" s="61"/>
    </row>
    <row r="77" spans="1:37" s="72" customFormat="1" ht="30" customHeight="1">
      <c r="A77" s="58"/>
      <c r="B77" s="58"/>
      <c r="C77" s="75"/>
      <c r="D77" s="60"/>
      <c r="E77" s="61"/>
      <c r="F77" s="61"/>
      <c r="G77" s="61"/>
      <c r="H77" s="61"/>
      <c r="I77" s="73"/>
      <c r="J77" s="64"/>
      <c r="K77" s="64"/>
      <c r="L77" s="65"/>
      <c r="M77" s="66"/>
      <c r="N77" s="74"/>
      <c r="O77" s="66"/>
      <c r="P77" s="58"/>
      <c r="Q77" s="69"/>
      <c r="R77" s="70"/>
      <c r="S77" s="66"/>
      <c r="T77" s="55"/>
      <c r="U77" s="55"/>
      <c r="V77" s="55"/>
      <c r="W77" s="211"/>
      <c r="X77" s="211"/>
      <c r="Y77" s="211"/>
      <c r="Z77" s="211"/>
      <c r="AA77" s="211"/>
      <c r="AB77" s="211"/>
      <c r="AC77" s="211"/>
      <c r="AD77" s="211"/>
      <c r="AE77" s="211"/>
      <c r="AF77" s="211"/>
      <c r="AG77" s="211"/>
      <c r="AH77" s="211"/>
      <c r="AI77" s="211"/>
      <c r="AJ77" s="61"/>
    </row>
    <row r="78" spans="1:37" s="72" customFormat="1" ht="30" customHeight="1">
      <c r="A78" s="58"/>
      <c r="B78" s="58"/>
      <c r="C78" s="75"/>
      <c r="D78" s="60"/>
      <c r="E78" s="61"/>
      <c r="F78" s="61"/>
      <c r="G78" s="61"/>
      <c r="H78" s="61"/>
      <c r="I78" s="73"/>
      <c r="J78" s="64"/>
      <c r="K78" s="64"/>
      <c r="L78" s="65"/>
      <c r="M78" s="66"/>
      <c r="N78" s="74"/>
      <c r="O78" s="66"/>
      <c r="P78" s="58"/>
      <c r="Q78" s="69"/>
      <c r="R78" s="70"/>
      <c r="S78" s="66"/>
      <c r="T78" s="55"/>
      <c r="U78" s="55"/>
      <c r="V78" s="55"/>
      <c r="W78" s="211"/>
      <c r="X78" s="211"/>
      <c r="Y78" s="211"/>
      <c r="Z78" s="211"/>
      <c r="AA78" s="211"/>
      <c r="AB78" s="211"/>
      <c r="AC78" s="211"/>
      <c r="AD78" s="211"/>
      <c r="AE78" s="211"/>
      <c r="AF78" s="211"/>
      <c r="AG78" s="211"/>
      <c r="AH78" s="211"/>
      <c r="AI78" s="211"/>
      <c r="AJ78" s="61"/>
    </row>
    <row r="79" spans="1:37" s="72" customFormat="1" ht="30" customHeight="1">
      <c r="A79" s="58"/>
      <c r="B79" s="58"/>
      <c r="C79" s="75"/>
      <c r="D79" s="60"/>
      <c r="E79" s="61"/>
      <c r="F79" s="61"/>
      <c r="G79" s="61"/>
      <c r="H79" s="61"/>
      <c r="I79" s="73"/>
      <c r="J79" s="64"/>
      <c r="K79" s="64"/>
      <c r="L79" s="65"/>
      <c r="M79" s="66"/>
      <c r="N79" s="74"/>
      <c r="O79" s="66"/>
      <c r="P79" s="58"/>
      <c r="Q79" s="69"/>
      <c r="R79" s="70"/>
      <c r="S79" s="66"/>
      <c r="T79" s="55"/>
      <c r="U79" s="55"/>
      <c r="V79" s="55"/>
      <c r="W79" s="211"/>
      <c r="X79" s="211"/>
      <c r="Y79" s="211"/>
      <c r="Z79" s="211"/>
      <c r="AA79" s="211"/>
      <c r="AB79" s="211"/>
      <c r="AC79" s="211"/>
      <c r="AD79" s="211"/>
      <c r="AE79" s="211"/>
      <c r="AF79" s="211"/>
      <c r="AG79" s="211"/>
      <c r="AH79" s="211"/>
      <c r="AI79" s="211"/>
      <c r="AJ79" s="61"/>
    </row>
    <row r="80" spans="1:37" s="72" customFormat="1" ht="30" customHeight="1">
      <c r="A80" s="58"/>
      <c r="B80" s="58"/>
      <c r="C80" s="75"/>
      <c r="D80" s="60"/>
      <c r="E80" s="61"/>
      <c r="F80" s="61"/>
      <c r="G80" s="61"/>
      <c r="H80" s="61"/>
      <c r="I80" s="73"/>
      <c r="J80" s="64"/>
      <c r="K80" s="64"/>
      <c r="L80" s="65"/>
      <c r="M80" s="66"/>
      <c r="N80" s="74"/>
      <c r="O80" s="66"/>
      <c r="P80" s="58"/>
      <c r="Q80" s="69"/>
      <c r="R80" s="70"/>
      <c r="S80" s="66"/>
      <c r="T80" s="55"/>
      <c r="U80" s="55"/>
      <c r="V80" s="55"/>
      <c r="W80" s="211"/>
      <c r="X80" s="211"/>
      <c r="Y80" s="211"/>
      <c r="Z80" s="211"/>
      <c r="AA80" s="211"/>
      <c r="AB80" s="211"/>
      <c r="AC80" s="211"/>
      <c r="AD80" s="211"/>
      <c r="AE80" s="211"/>
      <c r="AF80" s="211"/>
      <c r="AG80" s="211"/>
      <c r="AH80" s="211"/>
      <c r="AI80" s="211"/>
      <c r="AJ80" s="61"/>
    </row>
    <row r="81" spans="1:36" s="99" customFormat="1" ht="30" customHeight="1">
      <c r="A81" s="89"/>
      <c r="B81" s="89"/>
      <c r="C81" s="90"/>
      <c r="D81" s="91"/>
      <c r="E81" s="92"/>
      <c r="F81" s="92"/>
      <c r="G81" s="92"/>
      <c r="H81" s="92"/>
      <c r="I81" s="93"/>
      <c r="J81" s="94"/>
      <c r="K81" s="94"/>
      <c r="L81" s="95"/>
      <c r="M81" s="66"/>
      <c r="N81" s="96"/>
      <c r="O81" s="97"/>
      <c r="P81" s="58"/>
      <c r="Q81" s="69"/>
      <c r="R81" s="70"/>
      <c r="S81" s="66"/>
      <c r="T81" s="55"/>
      <c r="U81" s="55"/>
      <c r="V81" s="55"/>
      <c r="W81" s="98"/>
      <c r="X81" s="98"/>
      <c r="Y81" s="98"/>
      <c r="Z81" s="98"/>
      <c r="AA81" s="98"/>
      <c r="AB81" s="98"/>
      <c r="AC81" s="98"/>
      <c r="AD81" s="98"/>
      <c r="AE81" s="98"/>
      <c r="AF81" s="211"/>
      <c r="AG81" s="211"/>
      <c r="AH81" s="211"/>
      <c r="AI81" s="211"/>
      <c r="AJ81" s="92"/>
    </row>
    <row r="82" spans="1:36" s="99" customFormat="1" ht="30" customHeight="1">
      <c r="A82" s="89"/>
      <c r="B82" s="89"/>
      <c r="C82" s="90"/>
      <c r="D82" s="91"/>
      <c r="E82" s="92"/>
      <c r="F82" s="92"/>
      <c r="G82" s="92"/>
      <c r="H82" s="92"/>
      <c r="I82" s="93"/>
      <c r="J82" s="94"/>
      <c r="K82" s="94"/>
      <c r="L82" s="95"/>
      <c r="M82" s="66"/>
      <c r="N82" s="96"/>
      <c r="O82" s="97"/>
      <c r="P82" s="58"/>
      <c r="Q82" s="69"/>
      <c r="R82" s="70"/>
      <c r="S82" s="66"/>
      <c r="T82" s="55"/>
      <c r="U82" s="55"/>
      <c r="V82" s="55"/>
      <c r="W82" s="98"/>
      <c r="X82" s="98"/>
      <c r="Y82" s="98"/>
      <c r="Z82" s="98"/>
      <c r="AA82" s="98"/>
      <c r="AB82" s="98"/>
      <c r="AC82" s="98"/>
      <c r="AD82" s="98"/>
      <c r="AE82" s="98"/>
      <c r="AF82" s="211"/>
      <c r="AG82" s="211"/>
      <c r="AH82" s="211"/>
      <c r="AI82" s="211"/>
      <c r="AJ82" s="92"/>
    </row>
    <row r="83" spans="1:36" s="99" customFormat="1" ht="30" customHeight="1">
      <c r="A83" s="89"/>
      <c r="B83" s="89"/>
      <c r="C83" s="90"/>
      <c r="D83" s="91"/>
      <c r="E83" s="92"/>
      <c r="F83" s="92"/>
      <c r="G83" s="92"/>
      <c r="H83" s="92"/>
      <c r="I83" s="93"/>
      <c r="J83" s="94"/>
      <c r="K83" s="94"/>
      <c r="L83" s="95"/>
      <c r="M83" s="66"/>
      <c r="N83" s="96"/>
      <c r="O83" s="97"/>
      <c r="P83" s="58"/>
      <c r="Q83" s="69"/>
      <c r="R83" s="70"/>
      <c r="S83" s="66"/>
      <c r="T83" s="55"/>
      <c r="U83" s="55"/>
      <c r="V83" s="55"/>
      <c r="W83" s="98"/>
      <c r="X83" s="98"/>
      <c r="Y83" s="98"/>
      <c r="Z83" s="98"/>
      <c r="AA83" s="98"/>
      <c r="AB83" s="98"/>
      <c r="AC83" s="98"/>
      <c r="AD83" s="98"/>
      <c r="AE83" s="98"/>
      <c r="AF83" s="211"/>
      <c r="AG83" s="211"/>
      <c r="AH83" s="211"/>
      <c r="AI83" s="211"/>
      <c r="AJ83" s="92"/>
    </row>
    <row r="84" spans="1:36" s="99" customFormat="1" ht="30" customHeight="1">
      <c r="A84" s="89"/>
      <c r="B84" s="89"/>
      <c r="C84" s="90"/>
      <c r="D84" s="91"/>
      <c r="E84" s="92"/>
      <c r="F84" s="92"/>
      <c r="G84" s="92"/>
      <c r="H84" s="92"/>
      <c r="I84" s="93"/>
      <c r="J84" s="94"/>
      <c r="K84" s="94"/>
      <c r="L84" s="95"/>
      <c r="M84" s="66"/>
      <c r="N84" s="96"/>
      <c r="O84" s="97"/>
      <c r="P84" s="58"/>
      <c r="Q84" s="69"/>
      <c r="R84" s="70"/>
      <c r="S84" s="66"/>
      <c r="T84" s="55"/>
      <c r="U84" s="55"/>
      <c r="V84" s="55"/>
      <c r="W84" s="98"/>
      <c r="X84" s="98"/>
      <c r="Y84" s="98"/>
      <c r="Z84" s="98"/>
      <c r="AA84" s="98"/>
      <c r="AB84" s="98"/>
      <c r="AC84" s="98"/>
      <c r="AD84" s="98"/>
      <c r="AE84" s="98"/>
      <c r="AF84" s="211"/>
      <c r="AG84" s="211"/>
      <c r="AH84" s="211"/>
      <c r="AI84" s="211"/>
      <c r="AJ84" s="92"/>
    </row>
    <row r="85" spans="1:36" s="99" customFormat="1" ht="30" customHeight="1">
      <c r="A85" s="89"/>
      <c r="B85" s="89"/>
      <c r="C85" s="90"/>
      <c r="D85" s="91"/>
      <c r="E85" s="92"/>
      <c r="F85" s="92"/>
      <c r="G85" s="92"/>
      <c r="H85" s="92"/>
      <c r="I85" s="93"/>
      <c r="J85" s="94"/>
      <c r="K85" s="94"/>
      <c r="L85" s="95"/>
      <c r="M85" s="66"/>
      <c r="N85" s="96"/>
      <c r="O85" s="97"/>
      <c r="P85" s="58"/>
      <c r="Q85" s="69"/>
      <c r="R85" s="70"/>
      <c r="S85" s="66"/>
      <c r="T85" s="55"/>
      <c r="U85" s="55"/>
      <c r="V85" s="55"/>
      <c r="W85" s="98"/>
      <c r="X85" s="98"/>
      <c r="Y85" s="98"/>
      <c r="Z85" s="98"/>
      <c r="AA85" s="98"/>
      <c r="AB85" s="98"/>
      <c r="AC85" s="98"/>
      <c r="AD85" s="98"/>
      <c r="AE85" s="98"/>
      <c r="AF85" s="211"/>
      <c r="AG85" s="211"/>
      <c r="AH85" s="211"/>
      <c r="AI85" s="211"/>
      <c r="AJ85" s="92"/>
    </row>
    <row r="86" spans="1:36" s="99" customFormat="1" ht="30" customHeight="1">
      <c r="A86" s="89"/>
      <c r="B86" s="89"/>
      <c r="C86" s="90"/>
      <c r="D86" s="91"/>
      <c r="E86" s="92"/>
      <c r="F86" s="92"/>
      <c r="G86" s="92"/>
      <c r="H86" s="92"/>
      <c r="I86" s="93"/>
      <c r="J86" s="94"/>
      <c r="K86" s="94"/>
      <c r="L86" s="95"/>
      <c r="M86" s="66"/>
      <c r="N86" s="96"/>
      <c r="O86" s="97"/>
      <c r="P86" s="58"/>
      <c r="Q86" s="69"/>
      <c r="R86" s="70"/>
      <c r="S86" s="66"/>
      <c r="T86" s="55"/>
      <c r="U86" s="55"/>
      <c r="V86" s="55"/>
      <c r="W86" s="98"/>
      <c r="X86" s="98"/>
      <c r="Y86" s="98"/>
      <c r="Z86" s="98"/>
      <c r="AA86" s="98"/>
      <c r="AB86" s="98"/>
      <c r="AC86" s="98"/>
      <c r="AD86" s="98"/>
      <c r="AE86" s="98"/>
      <c r="AF86" s="211"/>
      <c r="AG86" s="211"/>
      <c r="AH86" s="211"/>
      <c r="AI86" s="211"/>
      <c r="AJ86" s="92"/>
    </row>
    <row r="87" spans="1:36" s="99" customFormat="1" ht="30" customHeight="1">
      <c r="A87" s="89"/>
      <c r="B87" s="89"/>
      <c r="C87" s="90"/>
      <c r="D87" s="91"/>
      <c r="E87" s="92"/>
      <c r="F87" s="92"/>
      <c r="G87" s="92"/>
      <c r="H87" s="92"/>
      <c r="I87" s="93"/>
      <c r="J87" s="94"/>
      <c r="K87" s="94"/>
      <c r="L87" s="95"/>
      <c r="M87" s="66"/>
      <c r="N87" s="96"/>
      <c r="O87" s="97"/>
      <c r="P87" s="58"/>
      <c r="Q87" s="69"/>
      <c r="R87" s="70"/>
      <c r="S87" s="66"/>
      <c r="T87" s="55"/>
      <c r="U87" s="55"/>
      <c r="V87" s="55"/>
      <c r="W87" s="98"/>
      <c r="X87" s="98"/>
      <c r="Y87" s="98"/>
      <c r="Z87" s="98"/>
      <c r="AA87" s="98"/>
      <c r="AB87" s="98"/>
      <c r="AC87" s="98"/>
      <c r="AD87" s="98"/>
      <c r="AE87" s="98"/>
      <c r="AF87" s="211"/>
      <c r="AG87" s="211"/>
      <c r="AH87" s="211"/>
      <c r="AI87" s="211"/>
      <c r="AJ87" s="92"/>
    </row>
    <row r="88" spans="1:36" s="99" customFormat="1" ht="30" customHeight="1">
      <c r="A88" s="89"/>
      <c r="B88" s="89"/>
      <c r="C88" s="90"/>
      <c r="D88" s="91"/>
      <c r="E88" s="92"/>
      <c r="F88" s="92"/>
      <c r="G88" s="92"/>
      <c r="H88" s="92"/>
      <c r="I88" s="93"/>
      <c r="J88" s="94"/>
      <c r="K88" s="94"/>
      <c r="L88" s="95"/>
      <c r="M88" s="66"/>
      <c r="N88" s="96"/>
      <c r="O88" s="97"/>
      <c r="P88" s="58"/>
      <c r="Q88" s="69"/>
      <c r="R88" s="70"/>
      <c r="S88" s="66"/>
      <c r="T88" s="55"/>
      <c r="U88" s="55"/>
      <c r="V88" s="55"/>
      <c r="W88" s="98"/>
      <c r="X88" s="98"/>
      <c r="Y88" s="98"/>
      <c r="Z88" s="98"/>
      <c r="AA88" s="98"/>
      <c r="AB88" s="98"/>
      <c r="AC88" s="98"/>
      <c r="AD88" s="98"/>
      <c r="AE88" s="98"/>
      <c r="AF88" s="211"/>
      <c r="AG88" s="211"/>
      <c r="AH88" s="211"/>
      <c r="AI88" s="211"/>
      <c r="AJ88" s="92"/>
    </row>
    <row r="89" spans="1:36" s="99" customFormat="1" ht="30" customHeight="1">
      <c r="A89" s="89"/>
      <c r="B89" s="89"/>
      <c r="C89" s="90"/>
      <c r="D89" s="91"/>
      <c r="E89" s="92"/>
      <c r="F89" s="92"/>
      <c r="G89" s="92"/>
      <c r="H89" s="92"/>
      <c r="I89" s="93"/>
      <c r="J89" s="94"/>
      <c r="K89" s="94"/>
      <c r="L89" s="95"/>
      <c r="M89" s="66"/>
      <c r="N89" s="96"/>
      <c r="O89" s="97"/>
      <c r="P89" s="58"/>
      <c r="Q89" s="69"/>
      <c r="R89" s="70"/>
      <c r="S89" s="66"/>
      <c r="T89" s="55"/>
      <c r="U89" s="55"/>
      <c r="V89" s="55"/>
      <c r="W89" s="98"/>
      <c r="X89" s="98"/>
      <c r="Y89" s="98"/>
      <c r="Z89" s="98"/>
      <c r="AA89" s="98"/>
      <c r="AB89" s="98"/>
      <c r="AC89" s="98"/>
      <c r="AD89" s="98"/>
      <c r="AE89" s="98"/>
      <c r="AF89" s="211"/>
      <c r="AG89" s="211"/>
      <c r="AH89" s="211"/>
      <c r="AI89" s="211"/>
      <c r="AJ89" s="92"/>
    </row>
    <row r="90" spans="1:36" s="99" customFormat="1" ht="30" customHeight="1">
      <c r="A90" s="89"/>
      <c r="B90" s="89"/>
      <c r="C90" s="90"/>
      <c r="D90" s="91"/>
      <c r="E90" s="92"/>
      <c r="F90" s="92"/>
      <c r="G90" s="92"/>
      <c r="H90" s="92"/>
      <c r="I90" s="93"/>
      <c r="J90" s="94"/>
      <c r="K90" s="94"/>
      <c r="L90" s="95"/>
      <c r="M90" s="66"/>
      <c r="N90" s="96"/>
      <c r="O90" s="97"/>
      <c r="P90" s="58"/>
      <c r="Q90" s="69"/>
      <c r="R90" s="70"/>
      <c r="S90" s="66"/>
      <c r="T90" s="55"/>
      <c r="U90" s="55"/>
      <c r="V90" s="55"/>
      <c r="W90" s="98"/>
      <c r="X90" s="98"/>
      <c r="Y90" s="98"/>
      <c r="Z90" s="98"/>
      <c r="AA90" s="98"/>
      <c r="AB90" s="98"/>
      <c r="AC90" s="98"/>
      <c r="AD90" s="98"/>
      <c r="AE90" s="98"/>
      <c r="AF90" s="211"/>
      <c r="AG90" s="211"/>
      <c r="AH90" s="211"/>
      <c r="AI90" s="211"/>
      <c r="AJ90" s="92"/>
    </row>
    <row r="91" spans="1:36" s="99" customFormat="1" ht="30" customHeight="1">
      <c r="A91" s="89"/>
      <c r="B91" s="89"/>
      <c r="C91" s="90"/>
      <c r="D91" s="91"/>
      <c r="E91" s="92"/>
      <c r="F91" s="92"/>
      <c r="G91" s="92"/>
      <c r="H91" s="92"/>
      <c r="I91" s="93"/>
      <c r="J91" s="94"/>
      <c r="K91" s="94"/>
      <c r="L91" s="95"/>
      <c r="M91" s="66"/>
      <c r="N91" s="96"/>
      <c r="O91" s="97"/>
      <c r="P91" s="58"/>
      <c r="Q91" s="69"/>
      <c r="R91" s="70"/>
      <c r="S91" s="66"/>
      <c r="T91" s="55"/>
      <c r="U91" s="55"/>
      <c r="V91" s="55"/>
      <c r="W91" s="98"/>
      <c r="X91" s="98"/>
      <c r="Y91" s="98"/>
      <c r="Z91" s="98"/>
      <c r="AA91" s="98"/>
      <c r="AB91" s="98"/>
      <c r="AC91" s="98"/>
      <c r="AD91" s="98"/>
      <c r="AE91" s="98"/>
      <c r="AF91" s="211"/>
      <c r="AG91" s="211"/>
      <c r="AH91" s="211"/>
      <c r="AI91" s="211"/>
      <c r="AJ91" s="92"/>
    </row>
    <row r="92" spans="1:36" s="99" customFormat="1" ht="30" customHeight="1">
      <c r="A92" s="89"/>
      <c r="B92" s="89"/>
      <c r="C92" s="90"/>
      <c r="D92" s="91"/>
      <c r="E92" s="92"/>
      <c r="F92" s="92"/>
      <c r="G92" s="92"/>
      <c r="H92" s="92"/>
      <c r="I92" s="93"/>
      <c r="J92" s="94"/>
      <c r="K92" s="94"/>
      <c r="L92" s="95"/>
      <c r="M92" s="66"/>
      <c r="N92" s="96"/>
      <c r="O92" s="97"/>
      <c r="P92" s="58"/>
      <c r="Q92" s="69"/>
      <c r="R92" s="70"/>
      <c r="S92" s="66"/>
      <c r="T92" s="55"/>
      <c r="U92" s="55"/>
      <c r="V92" s="55"/>
      <c r="W92" s="98"/>
      <c r="X92" s="98"/>
      <c r="Y92" s="98"/>
      <c r="Z92" s="98"/>
      <c r="AA92" s="98"/>
      <c r="AB92" s="98"/>
      <c r="AC92" s="98"/>
      <c r="AD92" s="98"/>
      <c r="AE92" s="98"/>
      <c r="AF92" s="211"/>
      <c r="AG92" s="211"/>
      <c r="AH92" s="211"/>
      <c r="AI92" s="211"/>
      <c r="AJ92" s="92"/>
    </row>
    <row r="93" spans="1:36" s="99" customFormat="1" ht="30" customHeight="1">
      <c r="A93" s="89"/>
      <c r="B93" s="89"/>
      <c r="C93" s="90"/>
      <c r="D93" s="91"/>
      <c r="E93" s="92"/>
      <c r="F93" s="92"/>
      <c r="G93" s="92"/>
      <c r="H93" s="92"/>
      <c r="I93" s="93"/>
      <c r="J93" s="94"/>
      <c r="K93" s="94"/>
      <c r="L93" s="95"/>
      <c r="M93" s="66"/>
      <c r="N93" s="96"/>
      <c r="O93" s="97"/>
      <c r="P93" s="58"/>
      <c r="Q93" s="69"/>
      <c r="R93" s="70"/>
      <c r="S93" s="66"/>
      <c r="T93" s="55"/>
      <c r="U93" s="55"/>
      <c r="V93" s="55"/>
      <c r="W93" s="98"/>
      <c r="X93" s="98"/>
      <c r="Y93" s="98"/>
      <c r="Z93" s="98"/>
      <c r="AA93" s="98"/>
      <c r="AB93" s="98"/>
      <c r="AC93" s="98"/>
      <c r="AD93" s="98"/>
      <c r="AE93" s="98"/>
      <c r="AF93" s="211"/>
      <c r="AG93" s="211"/>
      <c r="AH93" s="211"/>
      <c r="AI93" s="211"/>
      <c r="AJ93" s="92"/>
    </row>
    <row r="94" spans="1:36" s="99" customFormat="1" ht="30" customHeight="1">
      <c r="A94" s="89"/>
      <c r="B94" s="89"/>
      <c r="C94" s="90"/>
      <c r="D94" s="91"/>
      <c r="E94" s="92"/>
      <c r="F94" s="92"/>
      <c r="G94" s="92"/>
      <c r="H94" s="92"/>
      <c r="I94" s="93"/>
      <c r="J94" s="94"/>
      <c r="K94" s="94"/>
      <c r="L94" s="95"/>
      <c r="M94" s="66"/>
      <c r="N94" s="96"/>
      <c r="O94" s="97"/>
      <c r="P94" s="58"/>
      <c r="Q94" s="69"/>
      <c r="R94" s="70"/>
      <c r="S94" s="66"/>
      <c r="T94" s="55"/>
      <c r="U94" s="55"/>
      <c r="V94" s="55"/>
      <c r="W94" s="98"/>
      <c r="X94" s="98"/>
      <c r="Y94" s="98"/>
      <c r="Z94" s="98"/>
      <c r="AA94" s="98"/>
      <c r="AB94" s="98"/>
      <c r="AC94" s="98"/>
      <c r="AD94" s="98"/>
      <c r="AE94" s="98"/>
      <c r="AF94" s="211"/>
      <c r="AG94" s="211"/>
      <c r="AH94" s="211"/>
      <c r="AI94" s="211"/>
      <c r="AJ94" s="92"/>
    </row>
    <row r="95" spans="1:36" s="99" customFormat="1" ht="30" customHeight="1">
      <c r="A95" s="89"/>
      <c r="B95" s="89"/>
      <c r="C95" s="90"/>
      <c r="D95" s="91"/>
      <c r="E95" s="92"/>
      <c r="F95" s="92"/>
      <c r="G95" s="92"/>
      <c r="H95" s="92"/>
      <c r="I95" s="93"/>
      <c r="J95" s="94"/>
      <c r="K95" s="94"/>
      <c r="L95" s="95"/>
      <c r="M95" s="66"/>
      <c r="N95" s="96"/>
      <c r="O95" s="97"/>
      <c r="P95" s="58"/>
      <c r="Q95" s="69"/>
      <c r="R95" s="70"/>
      <c r="S95" s="66"/>
      <c r="T95" s="55"/>
      <c r="U95" s="55"/>
      <c r="V95" s="55"/>
      <c r="W95" s="98"/>
      <c r="X95" s="98"/>
      <c r="Y95" s="98"/>
      <c r="Z95" s="98"/>
      <c r="AA95" s="98"/>
      <c r="AB95" s="98"/>
      <c r="AC95" s="98"/>
      <c r="AD95" s="98"/>
      <c r="AE95" s="98"/>
      <c r="AF95" s="211"/>
      <c r="AG95" s="211"/>
      <c r="AH95" s="211"/>
      <c r="AI95" s="211"/>
      <c r="AJ95" s="92"/>
    </row>
    <row r="96" spans="1:36" s="99" customFormat="1" ht="30" customHeight="1">
      <c r="A96" s="89"/>
      <c r="B96" s="89"/>
      <c r="C96" s="90"/>
      <c r="D96" s="91"/>
      <c r="E96" s="92"/>
      <c r="F96" s="92"/>
      <c r="G96" s="92"/>
      <c r="H96" s="92"/>
      <c r="I96" s="93"/>
      <c r="J96" s="94"/>
      <c r="K96" s="94"/>
      <c r="L96" s="95"/>
      <c r="M96" s="66"/>
      <c r="N96" s="96"/>
      <c r="O96" s="97"/>
      <c r="P96" s="58"/>
      <c r="Q96" s="69"/>
      <c r="R96" s="70"/>
      <c r="S96" s="66"/>
      <c r="T96" s="55"/>
      <c r="U96" s="55"/>
      <c r="V96" s="55"/>
      <c r="W96" s="98"/>
      <c r="X96" s="98"/>
      <c r="Y96" s="98"/>
      <c r="Z96" s="98"/>
      <c r="AA96" s="98"/>
      <c r="AB96" s="98"/>
      <c r="AC96" s="98"/>
      <c r="AD96" s="98"/>
      <c r="AE96" s="98"/>
      <c r="AF96" s="211"/>
      <c r="AG96" s="211"/>
      <c r="AH96" s="211"/>
      <c r="AI96" s="211"/>
      <c r="AJ96" s="92"/>
    </row>
    <row r="97" spans="1:36" s="99" customFormat="1" ht="30" customHeight="1">
      <c r="A97" s="89"/>
      <c r="B97" s="89"/>
      <c r="C97" s="90"/>
      <c r="D97" s="91"/>
      <c r="E97" s="92"/>
      <c r="F97" s="92"/>
      <c r="G97" s="92"/>
      <c r="H97" s="92"/>
      <c r="I97" s="93"/>
      <c r="J97" s="94"/>
      <c r="K97" s="94"/>
      <c r="L97" s="95"/>
      <c r="M97" s="66"/>
      <c r="N97" s="96"/>
      <c r="O97" s="97"/>
      <c r="P97" s="58"/>
      <c r="Q97" s="69"/>
      <c r="R97" s="70"/>
      <c r="S97" s="66"/>
      <c r="T97" s="55"/>
      <c r="U97" s="55"/>
      <c r="V97" s="55"/>
      <c r="W97" s="98"/>
      <c r="X97" s="98"/>
      <c r="Y97" s="98"/>
      <c r="Z97" s="98"/>
      <c r="AA97" s="98"/>
      <c r="AB97" s="98"/>
      <c r="AC97" s="98"/>
      <c r="AD97" s="98"/>
      <c r="AE97" s="98"/>
      <c r="AF97" s="211"/>
      <c r="AG97" s="211"/>
      <c r="AH97" s="211"/>
      <c r="AI97" s="211"/>
      <c r="AJ97" s="92"/>
    </row>
    <row r="98" spans="1:36" s="99" customFormat="1" ht="30" customHeight="1">
      <c r="A98" s="89"/>
      <c r="B98" s="89"/>
      <c r="C98" s="90"/>
      <c r="D98" s="91"/>
      <c r="E98" s="92"/>
      <c r="F98" s="92"/>
      <c r="G98" s="92"/>
      <c r="H98" s="92"/>
      <c r="I98" s="93"/>
      <c r="J98" s="94"/>
      <c r="K98" s="94"/>
      <c r="L98" s="95"/>
      <c r="M98" s="66"/>
      <c r="N98" s="96"/>
      <c r="O98" s="97"/>
      <c r="P98" s="58"/>
      <c r="Q98" s="69"/>
      <c r="R98" s="70"/>
      <c r="S98" s="66"/>
      <c r="T98" s="55"/>
      <c r="U98" s="55"/>
      <c r="V98" s="55"/>
      <c r="W98" s="98"/>
      <c r="X98" s="98"/>
      <c r="Y98" s="98"/>
      <c r="Z98" s="98"/>
      <c r="AA98" s="98"/>
      <c r="AB98" s="98"/>
      <c r="AC98" s="98"/>
      <c r="AD98" s="98"/>
      <c r="AE98" s="98"/>
      <c r="AF98" s="211"/>
      <c r="AG98" s="211"/>
      <c r="AH98" s="211"/>
      <c r="AI98" s="211"/>
      <c r="AJ98" s="92"/>
    </row>
    <row r="99" spans="1:36" s="99" customFormat="1" ht="30" customHeight="1">
      <c r="A99" s="89"/>
      <c r="B99" s="89"/>
      <c r="C99" s="90"/>
      <c r="D99" s="91"/>
      <c r="E99" s="92"/>
      <c r="F99" s="92"/>
      <c r="G99" s="92"/>
      <c r="H99" s="92"/>
      <c r="I99" s="93"/>
      <c r="J99" s="94"/>
      <c r="K99" s="94"/>
      <c r="L99" s="95"/>
      <c r="M99" s="66"/>
      <c r="N99" s="96"/>
      <c r="O99" s="97"/>
      <c r="P99" s="58"/>
      <c r="Q99" s="69"/>
      <c r="R99" s="70"/>
      <c r="S99" s="66"/>
      <c r="T99" s="55"/>
      <c r="U99" s="55"/>
      <c r="V99" s="55"/>
      <c r="W99" s="98"/>
      <c r="X99" s="98"/>
      <c r="Y99" s="98"/>
      <c r="Z99" s="98"/>
      <c r="AA99" s="98"/>
      <c r="AB99" s="98"/>
      <c r="AC99" s="98"/>
      <c r="AD99" s="98"/>
      <c r="AE99" s="98"/>
      <c r="AF99" s="211"/>
      <c r="AG99" s="211"/>
      <c r="AH99" s="211"/>
      <c r="AI99" s="211"/>
      <c r="AJ99" s="92"/>
    </row>
    <row r="100" spans="1:36" s="99" customFormat="1" ht="30" customHeight="1">
      <c r="A100" s="89"/>
      <c r="B100" s="89"/>
      <c r="C100" s="90"/>
      <c r="D100" s="91"/>
      <c r="E100" s="92"/>
      <c r="F100" s="92"/>
      <c r="G100" s="92"/>
      <c r="H100" s="92"/>
      <c r="I100" s="93"/>
      <c r="J100" s="94"/>
      <c r="K100" s="94"/>
      <c r="L100" s="95"/>
      <c r="M100" s="66"/>
      <c r="N100" s="96"/>
      <c r="O100" s="97"/>
      <c r="P100" s="58"/>
      <c r="Q100" s="69"/>
      <c r="R100" s="70"/>
      <c r="S100" s="66"/>
      <c r="T100" s="55"/>
      <c r="U100" s="55"/>
      <c r="V100" s="55"/>
      <c r="W100" s="98"/>
      <c r="X100" s="98"/>
      <c r="Y100" s="98"/>
      <c r="Z100" s="98"/>
      <c r="AA100" s="98"/>
      <c r="AB100" s="98"/>
      <c r="AC100" s="98"/>
      <c r="AD100" s="98"/>
      <c r="AE100" s="98"/>
      <c r="AF100" s="211"/>
      <c r="AG100" s="211"/>
      <c r="AH100" s="211"/>
      <c r="AI100" s="211"/>
      <c r="AJ100" s="92"/>
    </row>
    <row r="101" spans="1:36" s="99" customFormat="1" ht="30" customHeight="1">
      <c r="A101" s="89"/>
      <c r="B101" s="89"/>
      <c r="C101" s="90"/>
      <c r="D101" s="91"/>
      <c r="E101" s="92"/>
      <c r="F101" s="92"/>
      <c r="G101" s="92"/>
      <c r="H101" s="92"/>
      <c r="I101" s="93"/>
      <c r="J101" s="94"/>
      <c r="K101" s="94"/>
      <c r="L101" s="95"/>
      <c r="M101" s="66"/>
      <c r="N101" s="96"/>
      <c r="O101" s="97"/>
      <c r="P101" s="58"/>
      <c r="Q101" s="69"/>
      <c r="R101" s="70"/>
      <c r="S101" s="66"/>
      <c r="T101" s="55"/>
      <c r="U101" s="55"/>
      <c r="V101" s="55"/>
      <c r="W101" s="98"/>
      <c r="X101" s="98"/>
      <c r="Y101" s="98"/>
      <c r="Z101" s="98"/>
      <c r="AA101" s="98"/>
      <c r="AB101" s="98"/>
      <c r="AC101" s="98"/>
      <c r="AD101" s="98"/>
      <c r="AE101" s="98"/>
      <c r="AF101" s="211"/>
      <c r="AG101" s="211"/>
      <c r="AH101" s="211"/>
      <c r="AI101" s="211"/>
      <c r="AJ101" s="92"/>
    </row>
    <row r="102" spans="1:36" s="99" customFormat="1" ht="30" customHeight="1">
      <c r="A102" s="89"/>
      <c r="B102" s="89"/>
      <c r="C102" s="90"/>
      <c r="D102" s="91"/>
      <c r="E102" s="92"/>
      <c r="F102" s="92"/>
      <c r="G102" s="92"/>
      <c r="H102" s="92"/>
      <c r="I102" s="93"/>
      <c r="J102" s="94"/>
      <c r="K102" s="94"/>
      <c r="L102" s="95"/>
      <c r="M102" s="66"/>
      <c r="N102" s="96"/>
      <c r="O102" s="97"/>
      <c r="P102" s="58"/>
      <c r="Q102" s="69"/>
      <c r="R102" s="70"/>
      <c r="S102" s="66"/>
      <c r="T102" s="55"/>
      <c r="U102" s="55"/>
      <c r="V102" s="55"/>
      <c r="W102" s="98"/>
      <c r="X102" s="98"/>
      <c r="Y102" s="98"/>
      <c r="Z102" s="98"/>
      <c r="AA102" s="98"/>
      <c r="AB102" s="98"/>
      <c r="AC102" s="98"/>
      <c r="AD102" s="98"/>
      <c r="AE102" s="98"/>
      <c r="AF102" s="211"/>
      <c r="AG102" s="211"/>
      <c r="AH102" s="211"/>
      <c r="AI102" s="211"/>
      <c r="AJ102" s="92"/>
    </row>
    <row r="103" spans="1:36" s="99" customFormat="1" ht="30" customHeight="1">
      <c r="A103" s="89"/>
      <c r="B103" s="89"/>
      <c r="C103" s="90"/>
      <c r="D103" s="91"/>
      <c r="E103" s="92"/>
      <c r="F103" s="92"/>
      <c r="G103" s="92"/>
      <c r="H103" s="92"/>
      <c r="I103" s="93"/>
      <c r="J103" s="94"/>
      <c r="K103" s="94"/>
      <c r="L103" s="95"/>
      <c r="M103" s="66"/>
      <c r="N103" s="96"/>
      <c r="O103" s="97"/>
      <c r="P103" s="58"/>
      <c r="Q103" s="69"/>
      <c r="R103" s="70"/>
      <c r="S103" s="66"/>
      <c r="T103" s="55"/>
      <c r="U103" s="55"/>
      <c r="V103" s="55"/>
      <c r="W103" s="98"/>
      <c r="X103" s="98"/>
      <c r="Y103" s="98"/>
      <c r="Z103" s="98"/>
      <c r="AA103" s="98"/>
      <c r="AB103" s="98"/>
      <c r="AC103" s="98"/>
      <c r="AD103" s="98"/>
      <c r="AE103" s="98"/>
      <c r="AF103" s="211"/>
      <c r="AG103" s="211"/>
      <c r="AH103" s="211"/>
      <c r="AI103" s="211"/>
      <c r="AJ103" s="92"/>
    </row>
    <row r="104" spans="1:36" s="99" customFormat="1" ht="30" customHeight="1">
      <c r="A104" s="89"/>
      <c r="B104" s="89"/>
      <c r="C104" s="90"/>
      <c r="D104" s="91"/>
      <c r="E104" s="92"/>
      <c r="F104" s="92"/>
      <c r="G104" s="92"/>
      <c r="H104" s="92"/>
      <c r="I104" s="93"/>
      <c r="J104" s="94"/>
      <c r="K104" s="94"/>
      <c r="L104" s="95"/>
      <c r="M104" s="66"/>
      <c r="N104" s="96"/>
      <c r="O104" s="97"/>
      <c r="P104" s="58"/>
      <c r="Q104" s="69"/>
      <c r="R104" s="70"/>
      <c r="S104" s="66"/>
      <c r="T104" s="55"/>
      <c r="U104" s="55"/>
      <c r="V104" s="55"/>
      <c r="W104" s="98"/>
      <c r="X104" s="98"/>
      <c r="Y104" s="98"/>
      <c r="Z104" s="98"/>
      <c r="AA104" s="98"/>
      <c r="AB104" s="98"/>
      <c r="AC104" s="98"/>
      <c r="AD104" s="98"/>
      <c r="AE104" s="98"/>
      <c r="AF104" s="211"/>
      <c r="AG104" s="211"/>
      <c r="AH104" s="211"/>
      <c r="AI104" s="211"/>
      <c r="AJ104" s="92"/>
    </row>
    <row r="105" spans="1:36" s="99" customFormat="1" ht="30" customHeight="1">
      <c r="A105" s="89"/>
      <c r="B105" s="89"/>
      <c r="C105" s="90"/>
      <c r="D105" s="91"/>
      <c r="E105" s="92"/>
      <c r="F105" s="92"/>
      <c r="G105" s="92"/>
      <c r="H105" s="92"/>
      <c r="I105" s="93"/>
      <c r="J105" s="94"/>
      <c r="K105" s="94"/>
      <c r="L105" s="95"/>
      <c r="M105" s="66"/>
      <c r="N105" s="96"/>
      <c r="O105" s="97"/>
      <c r="P105" s="58"/>
      <c r="Q105" s="69"/>
      <c r="R105" s="70"/>
      <c r="S105" s="66"/>
      <c r="T105" s="55"/>
      <c r="U105" s="55"/>
      <c r="V105" s="55"/>
      <c r="W105" s="98"/>
      <c r="X105" s="98"/>
      <c r="Y105" s="98"/>
      <c r="Z105" s="98"/>
      <c r="AA105" s="98"/>
      <c r="AB105" s="98"/>
      <c r="AC105" s="98"/>
      <c r="AD105" s="98"/>
      <c r="AE105" s="98"/>
      <c r="AF105" s="211"/>
      <c r="AG105" s="211"/>
      <c r="AH105" s="211"/>
      <c r="AI105" s="211"/>
      <c r="AJ105" s="92"/>
    </row>
    <row r="106" spans="1:36" s="99" customFormat="1" ht="30" customHeight="1">
      <c r="A106" s="89"/>
      <c r="B106" s="89"/>
      <c r="C106" s="90"/>
      <c r="D106" s="91"/>
      <c r="E106" s="92"/>
      <c r="F106" s="92"/>
      <c r="G106" s="92"/>
      <c r="H106" s="92"/>
      <c r="I106" s="93"/>
      <c r="J106" s="94"/>
      <c r="K106" s="94"/>
      <c r="L106" s="95"/>
      <c r="M106" s="66"/>
      <c r="N106" s="96"/>
      <c r="O106" s="97"/>
      <c r="P106" s="58"/>
      <c r="Q106" s="69"/>
      <c r="R106" s="70"/>
      <c r="S106" s="66"/>
      <c r="T106" s="55"/>
      <c r="U106" s="55"/>
      <c r="V106" s="55"/>
      <c r="W106" s="98"/>
      <c r="X106" s="98"/>
      <c r="Y106" s="98"/>
      <c r="Z106" s="98"/>
      <c r="AA106" s="98"/>
      <c r="AB106" s="98"/>
      <c r="AC106" s="98"/>
      <c r="AD106" s="98"/>
      <c r="AE106" s="98"/>
      <c r="AF106" s="211"/>
      <c r="AG106" s="211"/>
      <c r="AH106" s="211"/>
      <c r="AI106" s="211"/>
      <c r="AJ106" s="92"/>
    </row>
    <row r="107" spans="1:36" s="99" customFormat="1" ht="30" customHeight="1">
      <c r="A107" s="89"/>
      <c r="B107" s="89"/>
      <c r="C107" s="90"/>
      <c r="D107" s="91"/>
      <c r="E107" s="92"/>
      <c r="F107" s="92"/>
      <c r="G107" s="92"/>
      <c r="H107" s="92"/>
      <c r="I107" s="93"/>
      <c r="J107" s="94"/>
      <c r="K107" s="94"/>
      <c r="L107" s="95"/>
      <c r="M107" s="66"/>
      <c r="N107" s="96"/>
      <c r="O107" s="97"/>
      <c r="P107" s="58"/>
      <c r="Q107" s="69"/>
      <c r="R107" s="70"/>
      <c r="S107" s="66"/>
      <c r="T107" s="55"/>
      <c r="U107" s="55"/>
      <c r="V107" s="55"/>
      <c r="W107" s="98"/>
      <c r="X107" s="98"/>
      <c r="Y107" s="98"/>
      <c r="Z107" s="98"/>
      <c r="AA107" s="98"/>
      <c r="AB107" s="98"/>
      <c r="AC107" s="98"/>
      <c r="AD107" s="98"/>
      <c r="AE107" s="98"/>
      <c r="AF107" s="211"/>
      <c r="AG107" s="211"/>
      <c r="AH107" s="211"/>
      <c r="AI107" s="211"/>
      <c r="AJ107" s="92"/>
    </row>
    <row r="108" spans="1:36" s="99" customFormat="1" ht="30" customHeight="1">
      <c r="A108" s="89"/>
      <c r="B108" s="89"/>
      <c r="C108" s="90"/>
      <c r="D108" s="91"/>
      <c r="E108" s="92"/>
      <c r="F108" s="92"/>
      <c r="G108" s="92"/>
      <c r="H108" s="92"/>
      <c r="I108" s="93"/>
      <c r="J108" s="94"/>
      <c r="K108" s="94"/>
      <c r="L108" s="95"/>
      <c r="M108" s="66"/>
      <c r="N108" s="96"/>
      <c r="O108" s="97"/>
      <c r="P108" s="58"/>
      <c r="Q108" s="69"/>
      <c r="R108" s="70"/>
      <c r="S108" s="66"/>
      <c r="T108" s="55"/>
      <c r="U108" s="55"/>
      <c r="V108" s="55"/>
      <c r="W108" s="98"/>
      <c r="X108" s="98"/>
      <c r="Y108" s="98"/>
      <c r="Z108" s="98"/>
      <c r="AA108" s="98"/>
      <c r="AB108" s="98"/>
      <c r="AC108" s="98"/>
      <c r="AD108" s="98"/>
      <c r="AE108" s="98"/>
      <c r="AF108" s="211"/>
      <c r="AG108" s="211"/>
      <c r="AH108" s="211"/>
      <c r="AI108" s="211"/>
      <c r="AJ108" s="92"/>
    </row>
    <row r="109" spans="1:36" s="99" customFormat="1" ht="30" customHeight="1">
      <c r="A109" s="89"/>
      <c r="B109" s="89"/>
      <c r="C109" s="90"/>
      <c r="D109" s="91"/>
      <c r="E109" s="92"/>
      <c r="F109" s="92"/>
      <c r="G109" s="92"/>
      <c r="H109" s="92"/>
      <c r="I109" s="93"/>
      <c r="J109" s="94"/>
      <c r="K109" s="94"/>
      <c r="L109" s="95"/>
      <c r="M109" s="66"/>
      <c r="N109" s="96"/>
      <c r="O109" s="97"/>
      <c r="P109" s="58"/>
      <c r="Q109" s="69"/>
      <c r="R109" s="70"/>
      <c r="S109" s="66"/>
      <c r="T109" s="55"/>
      <c r="U109" s="55"/>
      <c r="V109" s="55"/>
      <c r="W109" s="98"/>
      <c r="X109" s="98"/>
      <c r="Y109" s="98"/>
      <c r="Z109" s="98"/>
      <c r="AA109" s="98"/>
      <c r="AB109" s="98"/>
      <c r="AC109" s="98"/>
      <c r="AD109" s="98"/>
      <c r="AE109" s="98"/>
      <c r="AF109" s="211"/>
      <c r="AG109" s="211"/>
      <c r="AH109" s="211"/>
      <c r="AI109" s="211"/>
      <c r="AJ109" s="92"/>
    </row>
    <row r="110" spans="1:36" s="99" customFormat="1" ht="30" customHeight="1">
      <c r="A110" s="89"/>
      <c r="B110" s="89"/>
      <c r="C110" s="90"/>
      <c r="D110" s="91"/>
      <c r="E110" s="92"/>
      <c r="F110" s="92"/>
      <c r="G110" s="92"/>
      <c r="H110" s="92"/>
      <c r="I110" s="93"/>
      <c r="J110" s="94"/>
      <c r="K110" s="94"/>
      <c r="L110" s="95"/>
      <c r="M110" s="66"/>
      <c r="N110" s="96"/>
      <c r="O110" s="97"/>
      <c r="P110" s="58"/>
      <c r="Q110" s="69"/>
      <c r="R110" s="70"/>
      <c r="S110" s="66"/>
      <c r="T110" s="55"/>
      <c r="U110" s="55"/>
      <c r="V110" s="55"/>
      <c r="W110" s="98"/>
      <c r="X110" s="98"/>
      <c r="Y110" s="98"/>
      <c r="Z110" s="98"/>
      <c r="AA110" s="98"/>
      <c r="AB110" s="98"/>
      <c r="AC110" s="98"/>
      <c r="AD110" s="98"/>
      <c r="AE110" s="98"/>
      <c r="AF110" s="211"/>
      <c r="AG110" s="211"/>
      <c r="AH110" s="211"/>
      <c r="AI110" s="211"/>
      <c r="AJ110" s="92"/>
    </row>
    <row r="111" spans="1:36" s="99" customFormat="1" ht="30" customHeight="1">
      <c r="A111" s="89"/>
      <c r="B111" s="89"/>
      <c r="C111" s="90"/>
      <c r="D111" s="91"/>
      <c r="E111" s="92"/>
      <c r="F111" s="92"/>
      <c r="G111" s="92"/>
      <c r="H111" s="92"/>
      <c r="I111" s="93"/>
      <c r="J111" s="94"/>
      <c r="K111" s="94"/>
      <c r="L111" s="95"/>
      <c r="M111" s="66"/>
      <c r="N111" s="96"/>
      <c r="O111" s="97"/>
      <c r="P111" s="58"/>
      <c r="Q111" s="69"/>
      <c r="R111" s="70"/>
      <c r="S111" s="66"/>
      <c r="T111" s="55"/>
      <c r="U111" s="55"/>
      <c r="V111" s="55"/>
      <c r="W111" s="98"/>
      <c r="X111" s="98"/>
      <c r="Y111" s="98"/>
      <c r="Z111" s="98"/>
      <c r="AA111" s="98"/>
      <c r="AB111" s="98"/>
      <c r="AC111" s="98"/>
      <c r="AD111" s="98"/>
      <c r="AE111" s="98"/>
      <c r="AF111" s="211"/>
      <c r="AG111" s="211"/>
      <c r="AH111" s="211"/>
      <c r="AI111" s="211"/>
      <c r="AJ111" s="92"/>
    </row>
    <row r="112" spans="1:36" s="99" customFormat="1" ht="30" customHeight="1">
      <c r="A112" s="89"/>
      <c r="B112" s="89"/>
      <c r="C112" s="90"/>
      <c r="D112" s="91"/>
      <c r="E112" s="92"/>
      <c r="F112" s="92"/>
      <c r="G112" s="92"/>
      <c r="H112" s="92"/>
      <c r="I112" s="93"/>
      <c r="J112" s="94"/>
      <c r="K112" s="94"/>
      <c r="L112" s="95"/>
      <c r="M112" s="66"/>
      <c r="N112" s="96"/>
      <c r="O112" s="97"/>
      <c r="P112" s="58"/>
      <c r="Q112" s="69"/>
      <c r="R112" s="70"/>
      <c r="S112" s="66"/>
      <c r="T112" s="55"/>
      <c r="U112" s="55"/>
      <c r="V112" s="55"/>
      <c r="W112" s="98"/>
      <c r="X112" s="98"/>
      <c r="Y112" s="98"/>
      <c r="Z112" s="98"/>
      <c r="AA112" s="98"/>
      <c r="AB112" s="98"/>
      <c r="AC112" s="98"/>
      <c r="AD112" s="98"/>
      <c r="AE112" s="98"/>
      <c r="AF112" s="211"/>
      <c r="AG112" s="211"/>
      <c r="AH112" s="211"/>
      <c r="AI112" s="211"/>
      <c r="AJ112" s="92"/>
    </row>
    <row r="113" spans="1:36" s="99" customFormat="1" ht="30" customHeight="1">
      <c r="A113" s="89"/>
      <c r="B113" s="89"/>
      <c r="C113" s="90"/>
      <c r="D113" s="91"/>
      <c r="E113" s="92"/>
      <c r="F113" s="92"/>
      <c r="G113" s="92"/>
      <c r="H113" s="92"/>
      <c r="I113" s="93"/>
      <c r="J113" s="94"/>
      <c r="K113" s="94"/>
      <c r="L113" s="95"/>
      <c r="M113" s="66"/>
      <c r="N113" s="96"/>
      <c r="O113" s="97"/>
      <c r="P113" s="58"/>
      <c r="Q113" s="69"/>
      <c r="R113" s="70"/>
      <c r="S113" s="66"/>
      <c r="T113" s="55"/>
      <c r="U113" s="55"/>
      <c r="V113" s="55"/>
      <c r="W113" s="98"/>
      <c r="X113" s="98"/>
      <c r="Y113" s="98"/>
      <c r="Z113" s="98"/>
      <c r="AA113" s="98"/>
      <c r="AB113" s="98"/>
      <c r="AC113" s="98"/>
      <c r="AD113" s="98"/>
      <c r="AE113" s="98"/>
      <c r="AF113" s="211"/>
      <c r="AG113" s="211"/>
      <c r="AH113" s="211"/>
      <c r="AI113" s="211"/>
      <c r="AJ113" s="92"/>
    </row>
    <row r="114" spans="1:36" s="99" customFormat="1" ht="30" customHeight="1">
      <c r="A114" s="89"/>
      <c r="B114" s="89"/>
      <c r="C114" s="90"/>
      <c r="D114" s="91"/>
      <c r="E114" s="92"/>
      <c r="F114" s="92"/>
      <c r="G114" s="92"/>
      <c r="H114" s="92"/>
      <c r="I114" s="93"/>
      <c r="J114" s="94"/>
      <c r="K114" s="94"/>
      <c r="L114" s="95"/>
      <c r="M114" s="66"/>
      <c r="N114" s="96"/>
      <c r="O114" s="97"/>
      <c r="P114" s="58"/>
      <c r="Q114" s="69"/>
      <c r="R114" s="70"/>
      <c r="S114" s="66"/>
      <c r="T114" s="55"/>
      <c r="U114" s="55"/>
      <c r="V114" s="55"/>
      <c r="W114" s="98"/>
      <c r="X114" s="98"/>
      <c r="Y114" s="98"/>
      <c r="Z114" s="98"/>
      <c r="AA114" s="98"/>
      <c r="AB114" s="98"/>
      <c r="AC114" s="98"/>
      <c r="AD114" s="98"/>
      <c r="AE114" s="98"/>
      <c r="AF114" s="211"/>
      <c r="AG114" s="211"/>
      <c r="AH114" s="211"/>
      <c r="AI114" s="211"/>
      <c r="AJ114" s="92"/>
    </row>
    <row r="115" spans="1:36" s="99" customFormat="1" ht="30" customHeight="1">
      <c r="A115" s="89"/>
      <c r="B115" s="89"/>
      <c r="C115" s="90"/>
      <c r="D115" s="91"/>
      <c r="E115" s="92"/>
      <c r="F115" s="92"/>
      <c r="G115" s="92"/>
      <c r="H115" s="92"/>
      <c r="I115" s="93"/>
      <c r="J115" s="94"/>
      <c r="K115" s="94"/>
      <c r="L115" s="95"/>
      <c r="M115" s="66"/>
      <c r="N115" s="96"/>
      <c r="O115" s="97"/>
      <c r="P115" s="58"/>
      <c r="Q115" s="69"/>
      <c r="R115" s="70"/>
      <c r="S115" s="66"/>
      <c r="T115" s="55"/>
      <c r="U115" s="55"/>
      <c r="V115" s="55"/>
      <c r="W115" s="98"/>
      <c r="X115" s="98"/>
      <c r="Y115" s="98"/>
      <c r="Z115" s="98"/>
      <c r="AA115" s="98"/>
      <c r="AB115" s="98"/>
      <c r="AC115" s="98"/>
      <c r="AD115" s="98"/>
      <c r="AE115" s="98"/>
      <c r="AF115" s="211"/>
      <c r="AG115" s="211"/>
      <c r="AH115" s="211"/>
      <c r="AI115" s="211"/>
      <c r="AJ115" s="92"/>
    </row>
    <row r="116" spans="1:36" s="99" customFormat="1" ht="30" customHeight="1">
      <c r="A116" s="89"/>
      <c r="B116" s="89"/>
      <c r="C116" s="90"/>
      <c r="D116" s="91"/>
      <c r="E116" s="92"/>
      <c r="F116" s="92"/>
      <c r="G116" s="92"/>
      <c r="H116" s="92"/>
      <c r="I116" s="93"/>
      <c r="J116" s="94"/>
      <c r="K116" s="94"/>
      <c r="L116" s="95"/>
      <c r="M116" s="66"/>
      <c r="N116" s="96"/>
      <c r="O116" s="97"/>
      <c r="P116" s="58"/>
      <c r="Q116" s="69"/>
      <c r="R116" s="70"/>
      <c r="S116" s="66"/>
      <c r="T116" s="55"/>
      <c r="U116" s="55"/>
      <c r="V116" s="55"/>
      <c r="W116" s="98"/>
      <c r="X116" s="98"/>
      <c r="Y116" s="98"/>
      <c r="Z116" s="98"/>
      <c r="AA116" s="98"/>
      <c r="AB116" s="98"/>
      <c r="AC116" s="98"/>
      <c r="AD116" s="98"/>
      <c r="AE116" s="98"/>
      <c r="AF116" s="211"/>
      <c r="AG116" s="211"/>
      <c r="AH116" s="211"/>
      <c r="AI116" s="211"/>
      <c r="AJ116" s="92"/>
    </row>
    <row r="117" spans="1:36" s="99" customFormat="1" ht="30" customHeight="1">
      <c r="A117" s="89"/>
      <c r="B117" s="89"/>
      <c r="C117" s="90"/>
      <c r="D117" s="91"/>
      <c r="E117" s="92"/>
      <c r="F117" s="92"/>
      <c r="G117" s="92"/>
      <c r="H117" s="92"/>
      <c r="I117" s="93"/>
      <c r="J117" s="94"/>
      <c r="K117" s="94"/>
      <c r="L117" s="95"/>
      <c r="M117" s="66"/>
      <c r="N117" s="96"/>
      <c r="O117" s="97"/>
      <c r="P117" s="58"/>
      <c r="Q117" s="69"/>
      <c r="R117" s="70"/>
      <c r="S117" s="66"/>
      <c r="T117" s="55"/>
      <c r="U117" s="55"/>
      <c r="V117" s="55"/>
      <c r="W117" s="98"/>
      <c r="X117" s="98"/>
      <c r="Y117" s="98"/>
      <c r="Z117" s="98"/>
      <c r="AA117" s="98"/>
      <c r="AB117" s="98"/>
      <c r="AC117" s="98"/>
      <c r="AD117" s="98"/>
      <c r="AE117" s="98"/>
      <c r="AF117" s="211"/>
      <c r="AG117" s="211"/>
      <c r="AH117" s="211"/>
      <c r="AI117" s="211"/>
      <c r="AJ117" s="92"/>
    </row>
    <row r="118" spans="1:36" s="99" customFormat="1" ht="30" customHeight="1">
      <c r="A118" s="89"/>
      <c r="B118" s="89"/>
      <c r="C118" s="90"/>
      <c r="D118" s="91"/>
      <c r="E118" s="92"/>
      <c r="F118" s="92"/>
      <c r="G118" s="92"/>
      <c r="H118" s="92"/>
      <c r="I118" s="93"/>
      <c r="J118" s="94"/>
      <c r="K118" s="94"/>
      <c r="L118" s="95"/>
      <c r="M118" s="66"/>
      <c r="N118" s="96"/>
      <c r="O118" s="97"/>
      <c r="P118" s="58"/>
      <c r="Q118" s="69"/>
      <c r="R118" s="70"/>
      <c r="S118" s="66"/>
      <c r="T118" s="55"/>
      <c r="U118" s="55"/>
      <c r="V118" s="55"/>
      <c r="W118" s="98"/>
      <c r="X118" s="98"/>
      <c r="Y118" s="98"/>
      <c r="Z118" s="98"/>
      <c r="AA118" s="98"/>
      <c r="AB118" s="98"/>
      <c r="AC118" s="98"/>
      <c r="AD118" s="98"/>
      <c r="AE118" s="98"/>
      <c r="AF118" s="211"/>
      <c r="AG118" s="211"/>
      <c r="AH118" s="211"/>
      <c r="AI118" s="211"/>
      <c r="AJ118" s="92"/>
    </row>
    <row r="119" spans="1:36" s="99" customFormat="1" ht="30" customHeight="1">
      <c r="A119" s="89"/>
      <c r="B119" s="89"/>
      <c r="C119" s="90"/>
      <c r="D119" s="91"/>
      <c r="E119" s="92"/>
      <c r="F119" s="92"/>
      <c r="G119" s="92"/>
      <c r="H119" s="92"/>
      <c r="I119" s="93"/>
      <c r="J119" s="94"/>
      <c r="K119" s="94"/>
      <c r="L119" s="95"/>
      <c r="M119" s="66"/>
      <c r="N119" s="96"/>
      <c r="O119" s="97"/>
      <c r="P119" s="58"/>
      <c r="Q119" s="69"/>
      <c r="R119" s="70"/>
      <c r="S119" s="66"/>
      <c r="T119" s="55"/>
      <c r="U119" s="55"/>
      <c r="V119" s="55"/>
      <c r="W119" s="98"/>
      <c r="X119" s="98"/>
      <c r="Y119" s="98"/>
      <c r="Z119" s="98"/>
      <c r="AA119" s="98"/>
      <c r="AB119" s="98"/>
      <c r="AC119" s="98"/>
      <c r="AD119" s="98"/>
      <c r="AE119" s="98"/>
      <c r="AF119" s="211"/>
      <c r="AG119" s="211"/>
      <c r="AH119" s="211"/>
      <c r="AI119" s="211"/>
      <c r="AJ119" s="92"/>
    </row>
    <row r="120" spans="1:36" s="99" customFormat="1" ht="30" customHeight="1">
      <c r="A120" s="89"/>
      <c r="B120" s="89"/>
      <c r="C120" s="90"/>
      <c r="D120" s="91"/>
      <c r="E120" s="92"/>
      <c r="F120" s="92"/>
      <c r="G120" s="92"/>
      <c r="H120" s="92"/>
      <c r="I120" s="93"/>
      <c r="J120" s="94"/>
      <c r="K120" s="94"/>
      <c r="L120" s="95"/>
      <c r="M120" s="66"/>
      <c r="N120" s="96"/>
      <c r="O120" s="97"/>
      <c r="P120" s="58"/>
      <c r="Q120" s="69"/>
      <c r="R120" s="70"/>
      <c r="S120" s="66"/>
      <c r="T120" s="55"/>
      <c r="U120" s="55"/>
      <c r="V120" s="55"/>
      <c r="W120" s="98"/>
      <c r="X120" s="98"/>
      <c r="Y120" s="98"/>
      <c r="Z120" s="98"/>
      <c r="AA120" s="98"/>
      <c r="AB120" s="98"/>
      <c r="AC120" s="98"/>
      <c r="AD120" s="98"/>
      <c r="AE120" s="98"/>
      <c r="AF120" s="211"/>
      <c r="AG120" s="211"/>
      <c r="AH120" s="211"/>
      <c r="AI120" s="211"/>
      <c r="AJ120" s="92"/>
    </row>
    <row r="121" spans="1:36" s="99" customFormat="1" ht="30" customHeight="1">
      <c r="A121" s="89"/>
      <c r="B121" s="89"/>
      <c r="C121" s="90"/>
      <c r="D121" s="91"/>
      <c r="E121" s="92"/>
      <c r="F121" s="92"/>
      <c r="G121" s="92"/>
      <c r="H121" s="92"/>
      <c r="I121" s="93"/>
      <c r="J121" s="94"/>
      <c r="K121" s="94"/>
      <c r="L121" s="95"/>
      <c r="M121" s="66"/>
      <c r="N121" s="96"/>
      <c r="O121" s="97"/>
      <c r="P121" s="58"/>
      <c r="Q121" s="69"/>
      <c r="R121" s="70"/>
      <c r="S121" s="66"/>
      <c r="T121" s="55"/>
      <c r="U121" s="55"/>
      <c r="V121" s="55"/>
      <c r="W121" s="98"/>
      <c r="X121" s="98"/>
      <c r="Y121" s="98"/>
      <c r="Z121" s="98"/>
      <c r="AA121" s="98"/>
      <c r="AB121" s="98"/>
      <c r="AC121" s="98"/>
      <c r="AD121" s="98"/>
      <c r="AE121" s="98"/>
      <c r="AF121" s="211"/>
      <c r="AG121" s="211"/>
      <c r="AH121" s="211"/>
      <c r="AI121" s="211"/>
      <c r="AJ121" s="92"/>
    </row>
    <row r="122" spans="1:36" s="99" customFormat="1" ht="30" customHeight="1">
      <c r="A122" s="89"/>
      <c r="B122" s="89"/>
      <c r="C122" s="90"/>
      <c r="D122" s="91"/>
      <c r="E122" s="92"/>
      <c r="F122" s="92"/>
      <c r="G122" s="92"/>
      <c r="H122" s="92"/>
      <c r="I122" s="93"/>
      <c r="J122" s="94"/>
      <c r="K122" s="94"/>
      <c r="L122" s="95"/>
      <c r="M122" s="66"/>
      <c r="N122" s="96"/>
      <c r="O122" s="97"/>
      <c r="P122" s="58"/>
      <c r="Q122" s="69"/>
      <c r="R122" s="70"/>
      <c r="S122" s="66"/>
      <c r="T122" s="55"/>
      <c r="U122" s="55"/>
      <c r="V122" s="55"/>
      <c r="W122" s="98"/>
      <c r="X122" s="98"/>
      <c r="Y122" s="98"/>
      <c r="Z122" s="98"/>
      <c r="AA122" s="98"/>
      <c r="AB122" s="98"/>
      <c r="AC122" s="98"/>
      <c r="AD122" s="98"/>
      <c r="AE122" s="98"/>
      <c r="AF122" s="211"/>
      <c r="AG122" s="211"/>
      <c r="AH122" s="211"/>
      <c r="AI122" s="211"/>
      <c r="AJ122" s="92"/>
    </row>
    <row r="123" spans="1:36" s="99" customFormat="1" ht="30" customHeight="1">
      <c r="A123" s="89"/>
      <c r="B123" s="89"/>
      <c r="C123" s="90"/>
      <c r="D123" s="91"/>
      <c r="E123" s="92"/>
      <c r="F123" s="92"/>
      <c r="G123" s="92"/>
      <c r="H123" s="92"/>
      <c r="I123" s="93"/>
      <c r="J123" s="94"/>
      <c r="K123" s="94"/>
      <c r="L123" s="95"/>
      <c r="M123" s="66"/>
      <c r="N123" s="96"/>
      <c r="O123" s="97"/>
      <c r="P123" s="58"/>
      <c r="Q123" s="69"/>
      <c r="R123" s="70"/>
      <c r="S123" s="66"/>
      <c r="T123" s="55"/>
      <c r="U123" s="55"/>
      <c r="V123" s="55"/>
      <c r="W123" s="98"/>
      <c r="X123" s="98"/>
      <c r="Y123" s="98"/>
      <c r="Z123" s="98"/>
      <c r="AA123" s="98"/>
      <c r="AB123" s="98"/>
      <c r="AC123" s="98"/>
      <c r="AD123" s="98"/>
      <c r="AE123" s="98"/>
      <c r="AF123" s="211"/>
      <c r="AG123" s="211"/>
      <c r="AH123" s="211"/>
      <c r="AI123" s="211"/>
      <c r="AJ123" s="92"/>
    </row>
    <row r="124" spans="1:36" s="99" customFormat="1" ht="65.099999999999994" customHeight="1">
      <c r="A124" s="89"/>
      <c r="B124" s="89"/>
      <c r="C124" s="90"/>
      <c r="D124" s="91"/>
      <c r="E124" s="92"/>
      <c r="F124" s="92"/>
      <c r="G124" s="92"/>
      <c r="H124" s="92"/>
      <c r="I124" s="93"/>
      <c r="J124" s="94"/>
      <c r="K124" s="94"/>
      <c r="L124" s="95"/>
      <c r="M124" s="66"/>
      <c r="N124" s="96"/>
      <c r="O124" s="97"/>
      <c r="P124" s="58"/>
      <c r="Q124" s="69"/>
      <c r="R124" s="70"/>
      <c r="S124" s="66"/>
      <c r="T124" s="55"/>
      <c r="U124" s="55"/>
      <c r="V124" s="55"/>
      <c r="W124" s="98"/>
      <c r="X124" s="98"/>
      <c r="Y124" s="98"/>
      <c r="Z124" s="98"/>
      <c r="AA124" s="98"/>
      <c r="AB124" s="98"/>
      <c r="AC124" s="98"/>
      <c r="AD124" s="98"/>
      <c r="AE124" s="98"/>
      <c r="AF124" s="211"/>
      <c r="AG124" s="211"/>
      <c r="AH124" s="211"/>
      <c r="AI124" s="211"/>
      <c r="AJ124" s="92"/>
    </row>
    <row r="125" spans="1:36" s="99" customFormat="1" ht="65.099999999999994" customHeight="1">
      <c r="A125" s="89"/>
      <c r="B125" s="89"/>
      <c r="C125" s="90"/>
      <c r="D125" s="91"/>
      <c r="E125" s="92"/>
      <c r="F125" s="92"/>
      <c r="G125" s="92"/>
      <c r="H125" s="92"/>
      <c r="I125" s="93"/>
      <c r="J125" s="94"/>
      <c r="K125" s="94"/>
      <c r="L125" s="95"/>
      <c r="M125" s="66"/>
      <c r="N125" s="96"/>
      <c r="O125" s="97"/>
      <c r="P125" s="58"/>
      <c r="Q125" s="69"/>
      <c r="R125" s="70"/>
      <c r="S125" s="66"/>
      <c r="T125" s="55"/>
      <c r="U125" s="55"/>
      <c r="V125" s="55"/>
      <c r="W125" s="98"/>
      <c r="X125" s="98"/>
      <c r="Y125" s="98"/>
      <c r="Z125" s="98"/>
      <c r="AA125" s="98"/>
      <c r="AB125" s="98"/>
      <c r="AC125" s="98"/>
      <c r="AD125" s="98"/>
      <c r="AE125" s="98"/>
      <c r="AF125" s="211"/>
      <c r="AG125" s="211"/>
      <c r="AH125" s="211"/>
      <c r="AI125" s="211"/>
      <c r="AJ125" s="92"/>
    </row>
    <row r="126" spans="1:36" s="99" customFormat="1" ht="65.099999999999994" customHeight="1">
      <c r="A126" s="89"/>
      <c r="B126" s="89"/>
      <c r="C126" s="90"/>
      <c r="D126" s="91"/>
      <c r="E126" s="92"/>
      <c r="F126" s="92"/>
      <c r="G126" s="92"/>
      <c r="H126" s="92"/>
      <c r="I126" s="93"/>
      <c r="J126" s="94"/>
      <c r="K126" s="94"/>
      <c r="L126" s="95"/>
      <c r="M126" s="66"/>
      <c r="N126" s="96"/>
      <c r="O126" s="97"/>
      <c r="P126" s="58"/>
      <c r="Q126" s="69"/>
      <c r="R126" s="70"/>
      <c r="S126" s="66"/>
      <c r="T126" s="55"/>
      <c r="U126" s="55"/>
      <c r="V126" s="55"/>
      <c r="W126" s="98"/>
      <c r="X126" s="98"/>
      <c r="Y126" s="98"/>
      <c r="Z126" s="98"/>
      <c r="AA126" s="98"/>
      <c r="AB126" s="98"/>
      <c r="AC126" s="98"/>
      <c r="AD126" s="98"/>
      <c r="AE126" s="98"/>
      <c r="AF126" s="211"/>
      <c r="AG126" s="211"/>
      <c r="AH126" s="211"/>
      <c r="AI126" s="211"/>
      <c r="AJ126" s="92"/>
    </row>
    <row r="127" spans="1:36" s="99" customFormat="1" ht="65.099999999999994" customHeight="1">
      <c r="A127" s="89"/>
      <c r="B127" s="89"/>
      <c r="C127" s="90"/>
      <c r="D127" s="91"/>
      <c r="E127" s="92"/>
      <c r="F127" s="92"/>
      <c r="G127" s="92"/>
      <c r="H127" s="92"/>
      <c r="I127" s="93"/>
      <c r="J127" s="94"/>
      <c r="K127" s="94"/>
      <c r="L127" s="95"/>
      <c r="M127" s="66"/>
      <c r="N127" s="96"/>
      <c r="O127" s="97"/>
      <c r="P127" s="58"/>
      <c r="Q127" s="69"/>
      <c r="R127" s="70"/>
      <c r="S127" s="66"/>
      <c r="T127" s="55"/>
      <c r="U127" s="55"/>
      <c r="V127" s="55"/>
      <c r="W127" s="98"/>
      <c r="X127" s="98"/>
      <c r="Y127" s="98"/>
      <c r="Z127" s="98"/>
      <c r="AA127" s="98"/>
      <c r="AB127" s="98"/>
      <c r="AC127" s="98"/>
      <c r="AD127" s="98"/>
      <c r="AE127" s="98"/>
      <c r="AF127" s="211"/>
      <c r="AG127" s="211"/>
      <c r="AH127" s="211"/>
      <c r="AI127" s="211"/>
      <c r="AJ127" s="92"/>
    </row>
    <row r="128" spans="1:36" s="99" customFormat="1" ht="65.099999999999994" customHeight="1">
      <c r="A128" s="89"/>
      <c r="B128" s="89"/>
      <c r="C128" s="90"/>
      <c r="D128" s="91"/>
      <c r="E128" s="92"/>
      <c r="F128" s="92"/>
      <c r="G128" s="92"/>
      <c r="H128" s="92"/>
      <c r="I128" s="93"/>
      <c r="J128" s="94"/>
      <c r="K128" s="94"/>
      <c r="L128" s="95"/>
      <c r="M128" s="66"/>
      <c r="N128" s="96"/>
      <c r="O128" s="97"/>
      <c r="P128" s="58"/>
      <c r="Q128" s="69"/>
      <c r="R128" s="70"/>
      <c r="S128" s="66"/>
      <c r="T128" s="55"/>
      <c r="U128" s="55"/>
      <c r="V128" s="55"/>
      <c r="W128" s="98"/>
      <c r="X128" s="98"/>
      <c r="Y128" s="98"/>
      <c r="Z128" s="98"/>
      <c r="AA128" s="98"/>
      <c r="AB128" s="98"/>
      <c r="AC128" s="98"/>
      <c r="AD128" s="98"/>
      <c r="AE128" s="98"/>
      <c r="AF128" s="211"/>
      <c r="AG128" s="211"/>
      <c r="AH128" s="211"/>
      <c r="AI128" s="211"/>
      <c r="AJ128" s="92"/>
    </row>
    <row r="129" spans="1:36" s="99" customFormat="1" ht="65.099999999999994" customHeight="1">
      <c r="A129" s="89"/>
      <c r="B129" s="89"/>
      <c r="C129" s="90"/>
      <c r="D129" s="91"/>
      <c r="E129" s="92"/>
      <c r="F129" s="92"/>
      <c r="G129" s="92"/>
      <c r="H129" s="92"/>
      <c r="I129" s="93"/>
      <c r="J129" s="94"/>
      <c r="K129" s="94"/>
      <c r="L129" s="95"/>
      <c r="M129" s="66"/>
      <c r="N129" s="96"/>
      <c r="O129" s="97"/>
      <c r="P129" s="58"/>
      <c r="Q129" s="69"/>
      <c r="R129" s="70"/>
      <c r="S129" s="66"/>
      <c r="T129" s="55"/>
      <c r="U129" s="55"/>
      <c r="V129" s="55"/>
      <c r="W129" s="98"/>
      <c r="X129" s="98"/>
      <c r="Y129" s="98"/>
      <c r="Z129" s="98"/>
      <c r="AA129" s="98"/>
      <c r="AB129" s="98"/>
      <c r="AC129" s="98"/>
      <c r="AD129" s="98"/>
      <c r="AE129" s="98"/>
      <c r="AF129" s="211"/>
      <c r="AG129" s="211"/>
      <c r="AH129" s="211"/>
      <c r="AI129" s="211"/>
      <c r="AJ129" s="92"/>
    </row>
    <row r="130" spans="1:36" s="99" customFormat="1" ht="65.099999999999994" customHeight="1">
      <c r="A130" s="89"/>
      <c r="B130" s="89"/>
      <c r="C130" s="90"/>
      <c r="D130" s="91"/>
      <c r="E130" s="92"/>
      <c r="F130" s="92"/>
      <c r="G130" s="92"/>
      <c r="H130" s="92"/>
      <c r="I130" s="93"/>
      <c r="J130" s="94"/>
      <c r="K130" s="94"/>
      <c r="L130" s="95"/>
      <c r="M130" s="66"/>
      <c r="N130" s="96"/>
      <c r="O130" s="97"/>
      <c r="P130" s="58"/>
      <c r="Q130" s="69"/>
      <c r="R130" s="70"/>
      <c r="S130" s="66"/>
      <c r="T130" s="55"/>
      <c r="U130" s="55"/>
      <c r="V130" s="55"/>
      <c r="W130" s="98"/>
      <c r="X130" s="98"/>
      <c r="Y130" s="98"/>
      <c r="Z130" s="98"/>
      <c r="AA130" s="98"/>
      <c r="AB130" s="98"/>
      <c r="AC130" s="98"/>
      <c r="AD130" s="98"/>
      <c r="AE130" s="98"/>
      <c r="AF130" s="211"/>
      <c r="AG130" s="211"/>
      <c r="AH130" s="211"/>
      <c r="AI130" s="211"/>
      <c r="AJ130" s="92"/>
    </row>
    <row r="131" spans="1:36" s="99" customFormat="1" ht="65.099999999999994" customHeight="1">
      <c r="A131" s="89"/>
      <c r="B131" s="89"/>
      <c r="C131" s="90"/>
      <c r="D131" s="91"/>
      <c r="E131" s="92"/>
      <c r="F131" s="92"/>
      <c r="G131" s="92"/>
      <c r="H131" s="92"/>
      <c r="I131" s="93"/>
      <c r="J131" s="94"/>
      <c r="K131" s="94"/>
      <c r="L131" s="95"/>
      <c r="M131" s="66"/>
      <c r="N131" s="96"/>
      <c r="O131" s="97"/>
      <c r="P131" s="58"/>
      <c r="Q131" s="69"/>
      <c r="R131" s="70"/>
      <c r="S131" s="66"/>
      <c r="T131" s="55"/>
      <c r="U131" s="55"/>
      <c r="V131" s="55"/>
      <c r="W131" s="98"/>
      <c r="X131" s="98"/>
      <c r="Y131" s="98"/>
      <c r="Z131" s="98"/>
      <c r="AA131" s="98"/>
      <c r="AB131" s="98"/>
      <c r="AC131" s="98"/>
      <c r="AD131" s="98"/>
      <c r="AE131" s="98"/>
      <c r="AF131" s="211"/>
      <c r="AG131" s="211"/>
      <c r="AH131" s="211"/>
      <c r="AI131" s="211"/>
      <c r="AJ131" s="92"/>
    </row>
    <row r="132" spans="1:36" s="99" customFormat="1" ht="65.099999999999994" customHeight="1">
      <c r="A132" s="89"/>
      <c r="B132" s="89"/>
      <c r="C132" s="90"/>
      <c r="D132" s="91"/>
      <c r="E132" s="92"/>
      <c r="F132" s="92"/>
      <c r="G132" s="92"/>
      <c r="H132" s="92"/>
      <c r="I132" s="93"/>
      <c r="J132" s="94"/>
      <c r="K132" s="94"/>
      <c r="L132" s="95"/>
      <c r="M132" s="66"/>
      <c r="N132" s="96"/>
      <c r="O132" s="97"/>
      <c r="P132" s="58"/>
      <c r="Q132" s="69"/>
      <c r="R132" s="70"/>
      <c r="S132" s="66"/>
      <c r="T132" s="55"/>
      <c r="U132" s="55"/>
      <c r="V132" s="55"/>
      <c r="W132" s="98"/>
      <c r="X132" s="98"/>
      <c r="Y132" s="98"/>
      <c r="Z132" s="98"/>
      <c r="AA132" s="98"/>
      <c r="AB132" s="98"/>
      <c r="AC132" s="98"/>
      <c r="AD132" s="98"/>
      <c r="AE132" s="98"/>
      <c r="AF132" s="211"/>
      <c r="AG132" s="211"/>
      <c r="AH132" s="211"/>
      <c r="AI132" s="211"/>
      <c r="AJ132" s="92"/>
    </row>
    <row r="133" spans="1:36" s="99" customFormat="1" ht="65.099999999999994" customHeight="1">
      <c r="A133" s="89"/>
      <c r="B133" s="89"/>
      <c r="C133" s="90"/>
      <c r="D133" s="91"/>
      <c r="E133" s="92"/>
      <c r="F133" s="92"/>
      <c r="G133" s="92"/>
      <c r="H133" s="92"/>
      <c r="I133" s="93"/>
      <c r="J133" s="94"/>
      <c r="K133" s="94"/>
      <c r="L133" s="95"/>
      <c r="M133" s="66"/>
      <c r="N133" s="96"/>
      <c r="O133" s="97"/>
      <c r="P133" s="58"/>
      <c r="Q133" s="69"/>
      <c r="R133" s="70"/>
      <c r="S133" s="66"/>
      <c r="T133" s="55"/>
      <c r="U133" s="55"/>
      <c r="V133" s="55"/>
      <c r="W133" s="98"/>
      <c r="X133" s="98"/>
      <c r="Y133" s="98"/>
      <c r="Z133" s="98"/>
      <c r="AA133" s="98"/>
      <c r="AB133" s="98"/>
      <c r="AC133" s="98"/>
      <c r="AD133" s="98"/>
      <c r="AE133" s="98"/>
      <c r="AF133" s="211"/>
      <c r="AG133" s="211"/>
      <c r="AH133" s="211"/>
      <c r="AI133" s="211"/>
      <c r="AJ133" s="92"/>
    </row>
    <row r="134" spans="1:36" s="99" customFormat="1" ht="65.099999999999994" customHeight="1">
      <c r="A134" s="89"/>
      <c r="B134" s="89"/>
      <c r="C134" s="90"/>
      <c r="D134" s="91"/>
      <c r="E134" s="92"/>
      <c r="F134" s="92"/>
      <c r="G134" s="92"/>
      <c r="H134" s="92"/>
      <c r="I134" s="93"/>
      <c r="J134" s="94"/>
      <c r="K134" s="94"/>
      <c r="L134" s="95"/>
      <c r="M134" s="66"/>
      <c r="N134" s="96"/>
      <c r="O134" s="97"/>
      <c r="P134" s="58"/>
      <c r="Q134" s="69"/>
      <c r="R134" s="70"/>
      <c r="S134" s="66"/>
      <c r="T134" s="55"/>
      <c r="U134" s="55"/>
      <c r="V134" s="55"/>
      <c r="W134" s="98"/>
      <c r="X134" s="98"/>
      <c r="Y134" s="98"/>
      <c r="Z134" s="98"/>
      <c r="AA134" s="98"/>
      <c r="AB134" s="98"/>
      <c r="AC134" s="98"/>
      <c r="AD134" s="98"/>
      <c r="AE134" s="98"/>
      <c r="AF134" s="211"/>
      <c r="AG134" s="211"/>
      <c r="AH134" s="211"/>
      <c r="AI134" s="211"/>
      <c r="AJ134" s="92"/>
    </row>
    <row r="135" spans="1:36" s="99" customFormat="1" ht="65.099999999999994" customHeight="1">
      <c r="A135" s="89"/>
      <c r="B135" s="89"/>
      <c r="C135" s="90"/>
      <c r="D135" s="91"/>
      <c r="E135" s="92"/>
      <c r="F135" s="92"/>
      <c r="G135" s="92"/>
      <c r="H135" s="92"/>
      <c r="I135" s="93"/>
      <c r="J135" s="94"/>
      <c r="K135" s="94"/>
      <c r="L135" s="95"/>
      <c r="M135" s="66"/>
      <c r="N135" s="96"/>
      <c r="O135" s="97"/>
      <c r="P135" s="58"/>
      <c r="Q135" s="69"/>
      <c r="R135" s="70"/>
      <c r="S135" s="66"/>
      <c r="T135" s="55"/>
      <c r="U135" s="55"/>
      <c r="V135" s="55"/>
      <c r="W135" s="98"/>
      <c r="X135" s="98"/>
      <c r="Y135" s="98"/>
      <c r="Z135" s="98"/>
      <c r="AA135" s="98"/>
      <c r="AB135" s="98"/>
      <c r="AC135" s="98"/>
      <c r="AD135" s="98"/>
      <c r="AE135" s="98"/>
      <c r="AF135" s="211"/>
      <c r="AG135" s="211"/>
      <c r="AH135" s="211"/>
      <c r="AI135" s="211"/>
      <c r="AJ135" s="92"/>
    </row>
    <row r="136" spans="1:36" s="99" customFormat="1" ht="65.099999999999994" customHeight="1">
      <c r="A136" s="89"/>
      <c r="B136" s="89"/>
      <c r="C136" s="90"/>
      <c r="D136" s="91"/>
      <c r="E136" s="92"/>
      <c r="F136" s="92"/>
      <c r="G136" s="92"/>
      <c r="H136" s="92"/>
      <c r="I136" s="93"/>
      <c r="J136" s="94"/>
      <c r="K136" s="94"/>
      <c r="L136" s="95"/>
      <c r="M136" s="66"/>
      <c r="N136" s="96"/>
      <c r="O136" s="97"/>
      <c r="P136" s="58"/>
      <c r="Q136" s="69"/>
      <c r="R136" s="70"/>
      <c r="S136" s="66"/>
      <c r="T136" s="55"/>
      <c r="U136" s="55"/>
      <c r="V136" s="55"/>
      <c r="W136" s="98"/>
      <c r="X136" s="98"/>
      <c r="Y136" s="98"/>
      <c r="Z136" s="98"/>
      <c r="AA136" s="98"/>
      <c r="AB136" s="98"/>
      <c r="AC136" s="98"/>
      <c r="AD136" s="98"/>
      <c r="AE136" s="98"/>
      <c r="AF136" s="211"/>
      <c r="AG136" s="211"/>
      <c r="AH136" s="211"/>
      <c r="AI136" s="211"/>
      <c r="AJ136" s="92"/>
    </row>
    <row r="137" spans="1:36" s="99" customFormat="1" ht="65.099999999999994" customHeight="1">
      <c r="A137" s="89"/>
      <c r="B137" s="89"/>
      <c r="C137" s="90"/>
      <c r="D137" s="91"/>
      <c r="E137" s="92"/>
      <c r="F137" s="92"/>
      <c r="G137" s="92"/>
      <c r="H137" s="92"/>
      <c r="I137" s="93"/>
      <c r="J137" s="94"/>
      <c r="K137" s="94"/>
      <c r="L137" s="95"/>
      <c r="M137" s="66"/>
      <c r="N137" s="96"/>
      <c r="O137" s="97"/>
      <c r="P137" s="58"/>
      <c r="Q137" s="69"/>
      <c r="R137" s="70"/>
      <c r="S137" s="66"/>
      <c r="T137" s="55"/>
      <c r="U137" s="55"/>
      <c r="V137" s="55"/>
      <c r="W137" s="98"/>
      <c r="X137" s="98"/>
      <c r="Y137" s="98"/>
      <c r="Z137" s="98"/>
      <c r="AA137" s="98"/>
      <c r="AB137" s="98"/>
      <c r="AC137" s="98"/>
      <c r="AD137" s="98"/>
      <c r="AE137" s="98"/>
      <c r="AF137" s="211"/>
      <c r="AG137" s="211"/>
      <c r="AH137" s="211"/>
      <c r="AI137" s="211"/>
      <c r="AJ137" s="92"/>
    </row>
    <row r="138" spans="1:36" s="99" customFormat="1" ht="65.099999999999994" customHeight="1">
      <c r="A138" s="89"/>
      <c r="B138" s="89"/>
      <c r="C138" s="90"/>
      <c r="D138" s="91"/>
      <c r="E138" s="92"/>
      <c r="F138" s="92"/>
      <c r="G138" s="92"/>
      <c r="H138" s="92"/>
      <c r="I138" s="93"/>
      <c r="J138" s="94"/>
      <c r="K138" s="94"/>
      <c r="L138" s="95"/>
      <c r="M138" s="66"/>
      <c r="N138" s="96"/>
      <c r="O138" s="97"/>
      <c r="P138" s="58"/>
      <c r="Q138" s="69"/>
      <c r="R138" s="70"/>
      <c r="S138" s="66"/>
      <c r="T138" s="55"/>
      <c r="U138" s="55"/>
      <c r="V138" s="55"/>
      <c r="W138" s="98"/>
      <c r="X138" s="98"/>
      <c r="Y138" s="98"/>
      <c r="Z138" s="98"/>
      <c r="AA138" s="98"/>
      <c r="AB138" s="98"/>
      <c r="AC138" s="98"/>
      <c r="AD138" s="98"/>
      <c r="AE138" s="98"/>
      <c r="AF138" s="211"/>
      <c r="AG138" s="211"/>
      <c r="AH138" s="211"/>
      <c r="AI138" s="211"/>
      <c r="AJ138" s="92"/>
    </row>
    <row r="139" spans="1:36" s="99" customFormat="1" ht="65.099999999999994" customHeight="1">
      <c r="A139" s="89"/>
      <c r="B139" s="89"/>
      <c r="C139" s="90"/>
      <c r="D139" s="91"/>
      <c r="E139" s="92"/>
      <c r="F139" s="92"/>
      <c r="G139" s="92"/>
      <c r="H139" s="92"/>
      <c r="I139" s="93"/>
      <c r="J139" s="94"/>
      <c r="K139" s="94"/>
      <c r="L139" s="95"/>
      <c r="M139" s="66"/>
      <c r="N139" s="96"/>
      <c r="O139" s="97"/>
      <c r="P139" s="58"/>
      <c r="Q139" s="69"/>
      <c r="R139" s="70"/>
      <c r="S139" s="66"/>
      <c r="T139" s="55"/>
      <c r="U139" s="55"/>
      <c r="V139" s="55"/>
      <c r="W139" s="98"/>
      <c r="X139" s="98"/>
      <c r="Y139" s="98"/>
      <c r="Z139" s="98"/>
      <c r="AA139" s="98"/>
      <c r="AB139" s="98"/>
      <c r="AC139" s="98"/>
      <c r="AD139" s="98"/>
      <c r="AE139" s="98"/>
      <c r="AF139" s="211"/>
      <c r="AG139" s="211"/>
      <c r="AH139" s="211"/>
      <c r="AI139" s="211"/>
      <c r="AJ139" s="92"/>
    </row>
    <row r="140" spans="1:36" s="99" customFormat="1" ht="65.099999999999994" customHeight="1">
      <c r="A140" s="89"/>
      <c r="B140" s="89"/>
      <c r="C140" s="90"/>
      <c r="D140" s="91"/>
      <c r="E140" s="92"/>
      <c r="F140" s="92"/>
      <c r="G140" s="92"/>
      <c r="H140" s="92"/>
      <c r="I140" s="93"/>
      <c r="J140" s="94"/>
      <c r="K140" s="94"/>
      <c r="L140" s="95"/>
      <c r="M140" s="66"/>
      <c r="N140" s="96"/>
      <c r="O140" s="97"/>
      <c r="P140" s="58"/>
      <c r="Q140" s="69"/>
      <c r="R140" s="70"/>
      <c r="S140" s="66"/>
      <c r="T140" s="55"/>
      <c r="U140" s="55"/>
      <c r="V140" s="55"/>
      <c r="W140" s="98"/>
      <c r="X140" s="98"/>
      <c r="Y140" s="98"/>
      <c r="Z140" s="98"/>
      <c r="AA140" s="98"/>
      <c r="AB140" s="98"/>
      <c r="AC140" s="98"/>
      <c r="AD140" s="98"/>
      <c r="AE140" s="98"/>
      <c r="AF140" s="211"/>
      <c r="AG140" s="211"/>
      <c r="AH140" s="211"/>
      <c r="AI140" s="211"/>
      <c r="AJ140" s="92"/>
    </row>
    <row r="141" spans="1:36" s="99" customFormat="1" ht="65.099999999999994" customHeight="1">
      <c r="A141" s="89"/>
      <c r="B141" s="89"/>
      <c r="C141" s="90"/>
      <c r="D141" s="91"/>
      <c r="E141" s="92"/>
      <c r="F141" s="92"/>
      <c r="G141" s="92"/>
      <c r="H141" s="92"/>
      <c r="I141" s="93"/>
      <c r="J141" s="94"/>
      <c r="K141" s="94"/>
      <c r="L141" s="95"/>
      <c r="M141" s="66"/>
      <c r="N141" s="96"/>
      <c r="O141" s="97"/>
      <c r="P141" s="58"/>
      <c r="Q141" s="69"/>
      <c r="R141" s="70"/>
      <c r="S141" s="66"/>
      <c r="T141" s="55"/>
      <c r="U141" s="55"/>
      <c r="V141" s="55"/>
      <c r="W141" s="98"/>
      <c r="X141" s="98"/>
      <c r="Y141" s="98"/>
      <c r="Z141" s="98"/>
      <c r="AA141" s="98"/>
      <c r="AB141" s="98"/>
      <c r="AC141" s="98"/>
      <c r="AD141" s="98"/>
      <c r="AE141" s="98"/>
      <c r="AF141" s="211"/>
      <c r="AG141" s="211"/>
      <c r="AH141" s="211"/>
      <c r="AI141" s="211"/>
      <c r="AJ141" s="92"/>
    </row>
    <row r="142" spans="1:36" s="99" customFormat="1" ht="65.099999999999994" customHeight="1">
      <c r="A142" s="89"/>
      <c r="B142" s="89"/>
      <c r="C142" s="90"/>
      <c r="D142" s="91"/>
      <c r="E142" s="92"/>
      <c r="F142" s="92"/>
      <c r="G142" s="92"/>
      <c r="H142" s="92"/>
      <c r="I142" s="93"/>
      <c r="J142" s="94"/>
      <c r="K142" s="94"/>
      <c r="L142" s="95"/>
      <c r="M142" s="66"/>
      <c r="N142" s="96"/>
      <c r="O142" s="97"/>
      <c r="P142" s="58"/>
      <c r="Q142" s="69"/>
      <c r="R142" s="70"/>
      <c r="S142" s="66"/>
      <c r="T142" s="55"/>
      <c r="U142" s="55"/>
      <c r="V142" s="55"/>
      <c r="W142" s="98"/>
      <c r="X142" s="98"/>
      <c r="Y142" s="98"/>
      <c r="Z142" s="98"/>
      <c r="AA142" s="98"/>
      <c r="AB142" s="98"/>
      <c r="AC142" s="98"/>
      <c r="AD142" s="98"/>
      <c r="AE142" s="98"/>
      <c r="AF142" s="211"/>
      <c r="AG142" s="211"/>
      <c r="AH142" s="211"/>
      <c r="AI142" s="211"/>
      <c r="AJ142" s="92"/>
    </row>
    <row r="143" spans="1:36" s="99" customFormat="1" ht="65.099999999999994" customHeight="1">
      <c r="A143" s="89"/>
      <c r="B143" s="89"/>
      <c r="C143" s="90"/>
      <c r="D143" s="91"/>
      <c r="E143" s="92"/>
      <c r="F143" s="92"/>
      <c r="G143" s="92"/>
      <c r="H143" s="92"/>
      <c r="I143" s="93"/>
      <c r="J143" s="94"/>
      <c r="K143" s="94"/>
      <c r="L143" s="95"/>
      <c r="M143" s="66"/>
      <c r="N143" s="96"/>
      <c r="O143" s="97"/>
      <c r="P143" s="58"/>
      <c r="Q143" s="69"/>
      <c r="R143" s="70"/>
      <c r="S143" s="66"/>
      <c r="T143" s="55"/>
      <c r="U143" s="55"/>
      <c r="V143" s="55"/>
      <c r="W143" s="98"/>
      <c r="X143" s="98"/>
      <c r="Y143" s="98"/>
      <c r="Z143" s="98"/>
      <c r="AA143" s="98"/>
      <c r="AB143" s="98"/>
      <c r="AC143" s="98"/>
      <c r="AD143" s="98"/>
      <c r="AE143" s="98"/>
      <c r="AF143" s="211"/>
      <c r="AG143" s="211"/>
      <c r="AH143" s="211"/>
      <c r="AI143" s="211"/>
      <c r="AJ143" s="92"/>
    </row>
    <row r="144" spans="1:36" s="99" customFormat="1" ht="65.099999999999994" customHeight="1">
      <c r="A144" s="89"/>
      <c r="B144" s="89"/>
      <c r="C144" s="90"/>
      <c r="D144" s="91"/>
      <c r="E144" s="92"/>
      <c r="F144" s="92"/>
      <c r="G144" s="92"/>
      <c r="H144" s="92"/>
      <c r="I144" s="93"/>
      <c r="J144" s="94"/>
      <c r="K144" s="94"/>
      <c r="L144" s="95"/>
      <c r="M144" s="66"/>
      <c r="N144" s="96"/>
      <c r="O144" s="97"/>
      <c r="P144" s="58"/>
      <c r="Q144" s="69"/>
      <c r="R144" s="70"/>
      <c r="S144" s="66"/>
      <c r="T144" s="55"/>
      <c r="U144" s="55"/>
      <c r="V144" s="55"/>
      <c r="W144" s="98"/>
      <c r="X144" s="98"/>
      <c r="Y144" s="98"/>
      <c r="Z144" s="98"/>
      <c r="AA144" s="98"/>
      <c r="AB144" s="98"/>
      <c r="AC144" s="98"/>
      <c r="AD144" s="98"/>
      <c r="AE144" s="98"/>
      <c r="AF144" s="211"/>
      <c r="AG144" s="211"/>
      <c r="AH144" s="211"/>
      <c r="AI144" s="211"/>
      <c r="AJ144" s="92"/>
    </row>
    <row r="145" spans="1:36" s="99" customFormat="1" ht="65.099999999999994" customHeight="1">
      <c r="A145" s="89"/>
      <c r="B145" s="89"/>
      <c r="C145" s="90"/>
      <c r="D145" s="91"/>
      <c r="E145" s="92"/>
      <c r="F145" s="92"/>
      <c r="G145" s="92"/>
      <c r="H145" s="92"/>
      <c r="I145" s="93"/>
      <c r="J145" s="94"/>
      <c r="K145" s="94"/>
      <c r="L145" s="95"/>
      <c r="M145" s="66"/>
      <c r="N145" s="96"/>
      <c r="O145" s="97"/>
      <c r="P145" s="58"/>
      <c r="Q145" s="69"/>
      <c r="R145" s="70"/>
      <c r="S145" s="66"/>
      <c r="T145" s="55"/>
      <c r="U145" s="55"/>
      <c r="V145" s="55"/>
      <c r="W145" s="98"/>
      <c r="X145" s="98"/>
      <c r="Y145" s="98"/>
      <c r="Z145" s="98"/>
      <c r="AA145" s="98"/>
      <c r="AB145" s="98"/>
      <c r="AC145" s="98"/>
      <c r="AD145" s="98"/>
      <c r="AE145" s="98"/>
      <c r="AF145" s="211"/>
      <c r="AG145" s="211"/>
      <c r="AH145" s="211"/>
      <c r="AI145" s="211"/>
      <c r="AJ145" s="92"/>
    </row>
    <row r="146" spans="1:36" s="99" customFormat="1" ht="65.099999999999994" customHeight="1">
      <c r="A146" s="89"/>
      <c r="B146" s="89"/>
      <c r="C146" s="90"/>
      <c r="D146" s="91"/>
      <c r="E146" s="92"/>
      <c r="F146" s="92"/>
      <c r="G146" s="92"/>
      <c r="H146" s="92"/>
      <c r="I146" s="93"/>
      <c r="J146" s="94"/>
      <c r="K146" s="94"/>
      <c r="L146" s="95"/>
      <c r="M146" s="66"/>
      <c r="N146" s="96"/>
      <c r="O146" s="97"/>
      <c r="P146" s="58"/>
      <c r="Q146" s="69"/>
      <c r="R146" s="70"/>
      <c r="S146" s="66"/>
      <c r="T146" s="55"/>
      <c r="U146" s="55"/>
      <c r="V146" s="55"/>
      <c r="W146" s="98"/>
      <c r="X146" s="98"/>
      <c r="Y146" s="98"/>
      <c r="Z146" s="98"/>
      <c r="AA146" s="98"/>
      <c r="AB146" s="98"/>
      <c r="AC146" s="98"/>
      <c r="AD146" s="98"/>
      <c r="AE146" s="98"/>
      <c r="AF146" s="211"/>
      <c r="AG146" s="211"/>
      <c r="AH146" s="211"/>
      <c r="AI146" s="211"/>
      <c r="AJ146" s="92"/>
    </row>
    <row r="147" spans="1:36" s="99" customFormat="1" ht="65.099999999999994" customHeight="1">
      <c r="A147" s="89"/>
      <c r="B147" s="89"/>
      <c r="C147" s="90"/>
      <c r="D147" s="91"/>
      <c r="E147" s="92"/>
      <c r="F147" s="92"/>
      <c r="G147" s="92"/>
      <c r="H147" s="92"/>
      <c r="I147" s="93"/>
      <c r="J147" s="94"/>
      <c r="K147" s="94"/>
      <c r="L147" s="95"/>
      <c r="M147" s="66"/>
      <c r="N147" s="96"/>
      <c r="O147" s="97"/>
      <c r="P147" s="58"/>
      <c r="Q147" s="69"/>
      <c r="R147" s="70"/>
      <c r="S147" s="66"/>
      <c r="T147" s="55"/>
      <c r="U147" s="55"/>
      <c r="V147" s="55"/>
      <c r="W147" s="98"/>
      <c r="X147" s="98"/>
      <c r="Y147" s="98"/>
      <c r="Z147" s="98"/>
      <c r="AA147" s="98"/>
      <c r="AB147" s="98"/>
      <c r="AC147" s="98"/>
      <c r="AD147" s="98"/>
      <c r="AE147" s="98"/>
      <c r="AF147" s="211"/>
      <c r="AG147" s="211"/>
      <c r="AH147" s="211"/>
      <c r="AI147" s="211"/>
      <c r="AJ147" s="92"/>
    </row>
    <row r="148" spans="1:36" s="99" customFormat="1" ht="65.099999999999994" customHeight="1">
      <c r="A148" s="89"/>
      <c r="B148" s="89"/>
      <c r="C148" s="90"/>
      <c r="D148" s="91"/>
      <c r="E148" s="92"/>
      <c r="F148" s="92"/>
      <c r="G148" s="92"/>
      <c r="H148" s="92"/>
      <c r="I148" s="93"/>
      <c r="J148" s="94"/>
      <c r="K148" s="94"/>
      <c r="L148" s="95"/>
      <c r="M148" s="66"/>
      <c r="N148" s="96"/>
      <c r="O148" s="97"/>
      <c r="P148" s="58"/>
      <c r="Q148" s="69"/>
      <c r="R148" s="70"/>
      <c r="S148" s="66"/>
      <c r="T148" s="55"/>
      <c r="U148" s="55"/>
      <c r="V148" s="55"/>
      <c r="W148" s="98"/>
      <c r="X148" s="98"/>
      <c r="Y148" s="98"/>
      <c r="Z148" s="98"/>
      <c r="AA148" s="98"/>
      <c r="AB148" s="98"/>
      <c r="AC148" s="98"/>
      <c r="AD148" s="98"/>
      <c r="AE148" s="98"/>
      <c r="AF148" s="211"/>
      <c r="AG148" s="211"/>
      <c r="AH148" s="211"/>
      <c r="AI148" s="211"/>
      <c r="AJ148" s="92"/>
    </row>
    <row r="149" spans="1:36" s="99" customFormat="1" ht="65.099999999999994" customHeight="1">
      <c r="A149" s="89"/>
      <c r="B149" s="89"/>
      <c r="C149" s="90"/>
      <c r="D149" s="91"/>
      <c r="E149" s="92"/>
      <c r="F149" s="92"/>
      <c r="G149" s="92"/>
      <c r="H149" s="92"/>
      <c r="I149" s="93"/>
      <c r="J149" s="94"/>
      <c r="K149" s="94"/>
      <c r="L149" s="95"/>
      <c r="M149" s="66"/>
      <c r="N149" s="96"/>
      <c r="O149" s="97"/>
      <c r="P149" s="58"/>
      <c r="Q149" s="69"/>
      <c r="R149" s="70"/>
      <c r="S149" s="66"/>
      <c r="T149" s="55"/>
      <c r="U149" s="55"/>
      <c r="V149" s="55"/>
      <c r="W149" s="98"/>
      <c r="X149" s="98"/>
      <c r="Y149" s="98"/>
      <c r="Z149" s="98"/>
      <c r="AA149" s="98"/>
      <c r="AB149" s="98"/>
      <c r="AC149" s="98"/>
      <c r="AD149" s="98"/>
      <c r="AE149" s="98"/>
      <c r="AF149" s="211"/>
      <c r="AG149" s="211"/>
      <c r="AH149" s="211"/>
      <c r="AI149" s="211"/>
      <c r="AJ149" s="92"/>
    </row>
    <row r="150" spans="1:36" s="99" customFormat="1" ht="65.099999999999994" customHeight="1">
      <c r="A150" s="89"/>
      <c r="B150" s="89"/>
      <c r="C150" s="90"/>
      <c r="D150" s="91"/>
      <c r="E150" s="92"/>
      <c r="F150" s="92"/>
      <c r="G150" s="92"/>
      <c r="H150" s="92"/>
      <c r="I150" s="93"/>
      <c r="J150" s="94"/>
      <c r="K150" s="94"/>
      <c r="L150" s="95"/>
      <c r="M150" s="66"/>
      <c r="N150" s="96"/>
      <c r="O150" s="97"/>
      <c r="P150" s="58"/>
      <c r="Q150" s="69"/>
      <c r="R150" s="70"/>
      <c r="S150" s="66"/>
      <c r="T150" s="55"/>
      <c r="U150" s="55"/>
      <c r="V150" s="55"/>
      <c r="W150" s="98"/>
      <c r="X150" s="98"/>
      <c r="Y150" s="98"/>
      <c r="Z150" s="98"/>
      <c r="AA150" s="98"/>
      <c r="AB150" s="98"/>
      <c r="AC150" s="98"/>
      <c r="AD150" s="98"/>
      <c r="AE150" s="98"/>
      <c r="AF150" s="211"/>
      <c r="AG150" s="211"/>
      <c r="AH150" s="211"/>
      <c r="AI150" s="211"/>
      <c r="AJ150" s="92"/>
    </row>
    <row r="151" spans="1:36" s="99" customFormat="1" ht="65.099999999999994" customHeight="1">
      <c r="A151" s="89"/>
      <c r="B151" s="89"/>
      <c r="C151" s="90"/>
      <c r="D151" s="91"/>
      <c r="E151" s="92"/>
      <c r="F151" s="92"/>
      <c r="G151" s="92"/>
      <c r="H151" s="92"/>
      <c r="I151" s="93"/>
      <c r="J151" s="94"/>
      <c r="K151" s="94"/>
      <c r="L151" s="95"/>
      <c r="M151" s="66"/>
      <c r="N151" s="96"/>
      <c r="O151" s="97"/>
      <c r="P151" s="58"/>
      <c r="Q151" s="69"/>
      <c r="R151" s="70"/>
      <c r="S151" s="66"/>
      <c r="T151" s="55"/>
      <c r="U151" s="55"/>
      <c r="V151" s="55"/>
      <c r="W151" s="98"/>
      <c r="X151" s="98"/>
      <c r="Y151" s="98"/>
      <c r="Z151" s="98"/>
      <c r="AA151" s="98"/>
      <c r="AB151" s="98"/>
      <c r="AC151" s="98"/>
      <c r="AD151" s="98"/>
      <c r="AE151" s="98"/>
      <c r="AF151" s="211"/>
      <c r="AG151" s="211"/>
      <c r="AH151" s="211"/>
      <c r="AI151" s="211"/>
      <c r="AJ151" s="92"/>
    </row>
    <row r="152" spans="1:36" s="99" customFormat="1" ht="65.099999999999994" customHeight="1">
      <c r="A152" s="89"/>
      <c r="B152" s="89"/>
      <c r="C152" s="90"/>
      <c r="D152" s="91"/>
      <c r="E152" s="92"/>
      <c r="F152" s="92"/>
      <c r="G152" s="92"/>
      <c r="H152" s="92"/>
      <c r="I152" s="93"/>
      <c r="J152" s="94"/>
      <c r="K152" s="94"/>
      <c r="L152" s="95"/>
      <c r="M152" s="66"/>
      <c r="N152" s="96"/>
      <c r="O152" s="97"/>
      <c r="P152" s="58"/>
      <c r="Q152" s="69"/>
      <c r="R152" s="70"/>
      <c r="S152" s="66"/>
      <c r="T152" s="55"/>
      <c r="U152" s="55"/>
      <c r="V152" s="55"/>
      <c r="W152" s="98"/>
      <c r="X152" s="98"/>
      <c r="Y152" s="98"/>
      <c r="Z152" s="98"/>
      <c r="AA152" s="98"/>
      <c r="AB152" s="98"/>
      <c r="AC152" s="98"/>
      <c r="AD152" s="98"/>
      <c r="AE152" s="98"/>
      <c r="AF152" s="211"/>
      <c r="AG152" s="211"/>
      <c r="AH152" s="211"/>
      <c r="AI152" s="211"/>
      <c r="AJ152" s="92"/>
    </row>
    <row r="153" spans="1:36" s="99" customFormat="1" ht="65.099999999999994" customHeight="1">
      <c r="A153" s="89"/>
      <c r="B153" s="89"/>
      <c r="C153" s="90"/>
      <c r="D153" s="91"/>
      <c r="E153" s="92"/>
      <c r="F153" s="92"/>
      <c r="G153" s="92"/>
      <c r="H153" s="92"/>
      <c r="I153" s="93"/>
      <c r="J153" s="94"/>
      <c r="K153" s="94"/>
      <c r="L153" s="95"/>
      <c r="M153" s="66"/>
      <c r="N153" s="96"/>
      <c r="O153" s="97"/>
      <c r="P153" s="58"/>
      <c r="Q153" s="69"/>
      <c r="R153" s="70"/>
      <c r="S153" s="66"/>
      <c r="T153" s="55"/>
      <c r="U153" s="55"/>
      <c r="V153" s="55"/>
      <c r="W153" s="98"/>
      <c r="X153" s="98"/>
      <c r="Y153" s="98"/>
      <c r="Z153" s="98"/>
      <c r="AA153" s="98"/>
      <c r="AB153" s="98"/>
      <c r="AC153" s="98"/>
      <c r="AD153" s="98"/>
      <c r="AE153" s="98"/>
      <c r="AF153" s="211"/>
      <c r="AG153" s="211"/>
      <c r="AH153" s="211"/>
      <c r="AI153" s="211"/>
      <c r="AJ153" s="92"/>
    </row>
    <row r="154" spans="1:36" s="99" customFormat="1" ht="65.099999999999994" customHeight="1">
      <c r="A154" s="89"/>
      <c r="B154" s="89"/>
      <c r="C154" s="90"/>
      <c r="D154" s="91"/>
      <c r="E154" s="92"/>
      <c r="F154" s="92"/>
      <c r="G154" s="92"/>
      <c r="H154" s="92"/>
      <c r="I154" s="93"/>
      <c r="J154" s="94"/>
      <c r="K154" s="94"/>
      <c r="L154" s="95"/>
      <c r="M154" s="66"/>
      <c r="N154" s="96"/>
      <c r="O154" s="97"/>
      <c r="P154" s="58"/>
      <c r="Q154" s="69"/>
      <c r="R154" s="70"/>
      <c r="S154" s="66"/>
      <c r="T154" s="55"/>
      <c r="U154" s="55"/>
      <c r="V154" s="55"/>
      <c r="W154" s="98"/>
      <c r="X154" s="98"/>
      <c r="Y154" s="98"/>
      <c r="Z154" s="98"/>
      <c r="AA154" s="98"/>
      <c r="AB154" s="98"/>
      <c r="AC154" s="98"/>
      <c r="AD154" s="98"/>
      <c r="AE154" s="98"/>
      <c r="AF154" s="211"/>
      <c r="AG154" s="211"/>
      <c r="AH154" s="211"/>
      <c r="AI154" s="211"/>
      <c r="AJ154" s="92"/>
    </row>
    <row r="155" spans="1:36" s="99" customFormat="1" ht="65.099999999999994" customHeight="1">
      <c r="A155" s="89"/>
      <c r="B155" s="89"/>
      <c r="C155" s="90"/>
      <c r="D155" s="91"/>
      <c r="E155" s="92"/>
      <c r="F155" s="92"/>
      <c r="G155" s="92"/>
      <c r="H155" s="92"/>
      <c r="I155" s="93"/>
      <c r="J155" s="94"/>
      <c r="K155" s="94"/>
      <c r="L155" s="95"/>
      <c r="M155" s="66"/>
      <c r="N155" s="96"/>
      <c r="O155" s="97"/>
      <c r="P155" s="58"/>
      <c r="Q155" s="69"/>
      <c r="R155" s="70"/>
      <c r="S155" s="66"/>
      <c r="T155" s="55"/>
      <c r="U155" s="55"/>
      <c r="V155" s="55"/>
      <c r="W155" s="98"/>
      <c r="X155" s="98"/>
      <c r="Y155" s="98"/>
      <c r="Z155" s="98"/>
      <c r="AA155" s="98"/>
      <c r="AB155" s="98"/>
      <c r="AC155" s="98"/>
      <c r="AD155" s="98"/>
      <c r="AE155" s="98"/>
      <c r="AF155" s="211"/>
      <c r="AG155" s="211"/>
      <c r="AH155" s="211"/>
      <c r="AI155" s="211"/>
      <c r="AJ155" s="92"/>
    </row>
    <row r="156" spans="1:36" s="99" customFormat="1" ht="65.099999999999994" customHeight="1">
      <c r="A156" s="89"/>
      <c r="B156" s="89"/>
      <c r="C156" s="90"/>
      <c r="D156" s="91"/>
      <c r="E156" s="92"/>
      <c r="F156" s="92"/>
      <c r="G156" s="92"/>
      <c r="H156" s="92"/>
      <c r="I156" s="93"/>
      <c r="J156" s="94"/>
      <c r="K156" s="94"/>
      <c r="L156" s="95"/>
      <c r="M156" s="66"/>
      <c r="N156" s="96"/>
      <c r="O156" s="97"/>
      <c r="P156" s="58"/>
      <c r="Q156" s="69"/>
      <c r="R156" s="70"/>
      <c r="S156" s="66"/>
      <c r="T156" s="55"/>
      <c r="U156" s="55"/>
      <c r="V156" s="55"/>
      <c r="W156" s="98"/>
      <c r="X156" s="98"/>
      <c r="Y156" s="98"/>
      <c r="Z156" s="98"/>
      <c r="AA156" s="98"/>
      <c r="AB156" s="98"/>
      <c r="AC156" s="98"/>
      <c r="AD156" s="98"/>
      <c r="AE156" s="98"/>
      <c r="AF156" s="211"/>
      <c r="AG156" s="211"/>
      <c r="AH156" s="211"/>
      <c r="AI156" s="211"/>
      <c r="AJ156" s="92"/>
    </row>
    <row r="157" spans="1:36" s="99" customFormat="1" ht="65.099999999999994" customHeight="1">
      <c r="A157" s="89"/>
      <c r="B157" s="89"/>
      <c r="C157" s="90"/>
      <c r="D157" s="91"/>
      <c r="E157" s="92"/>
      <c r="F157" s="92"/>
      <c r="G157" s="92"/>
      <c r="H157" s="92"/>
      <c r="I157" s="93"/>
      <c r="J157" s="94"/>
      <c r="K157" s="94"/>
      <c r="L157" s="95"/>
      <c r="M157" s="66"/>
      <c r="N157" s="96"/>
      <c r="O157" s="97"/>
      <c r="P157" s="58"/>
      <c r="Q157" s="69"/>
      <c r="R157" s="70"/>
      <c r="S157" s="66"/>
      <c r="T157" s="55"/>
      <c r="U157" s="55"/>
      <c r="V157" s="55"/>
      <c r="W157" s="98"/>
      <c r="X157" s="98"/>
      <c r="Y157" s="98"/>
      <c r="Z157" s="98"/>
      <c r="AA157" s="98"/>
      <c r="AB157" s="98"/>
      <c r="AC157" s="98"/>
      <c r="AD157" s="98"/>
      <c r="AE157" s="98"/>
      <c r="AF157" s="211"/>
      <c r="AG157" s="211"/>
      <c r="AH157" s="211"/>
      <c r="AI157" s="211"/>
      <c r="AJ157" s="92"/>
    </row>
    <row r="158" spans="1:36" s="99" customFormat="1" ht="65.099999999999994" customHeight="1">
      <c r="A158" s="89"/>
      <c r="B158" s="89"/>
      <c r="C158" s="90"/>
      <c r="D158" s="91"/>
      <c r="E158" s="92"/>
      <c r="F158" s="92"/>
      <c r="G158" s="92"/>
      <c r="H158" s="92"/>
      <c r="I158" s="93"/>
      <c r="J158" s="94"/>
      <c r="K158" s="94"/>
      <c r="L158" s="95"/>
      <c r="M158" s="66"/>
      <c r="N158" s="96"/>
      <c r="O158" s="97"/>
      <c r="P158" s="58"/>
      <c r="Q158" s="69"/>
      <c r="R158" s="70"/>
      <c r="S158" s="66"/>
      <c r="T158" s="55"/>
      <c r="U158" s="55"/>
      <c r="V158" s="55"/>
      <c r="W158" s="98"/>
      <c r="X158" s="98"/>
      <c r="Y158" s="98"/>
      <c r="Z158" s="98"/>
      <c r="AA158" s="98"/>
      <c r="AB158" s="98"/>
      <c r="AC158" s="98"/>
      <c r="AD158" s="98"/>
      <c r="AE158" s="98"/>
      <c r="AF158" s="211"/>
      <c r="AG158" s="211"/>
      <c r="AH158" s="211"/>
      <c r="AI158" s="211"/>
      <c r="AJ158" s="92"/>
    </row>
    <row r="159" spans="1:36" s="99" customFormat="1" ht="65.099999999999994" customHeight="1">
      <c r="A159" s="89"/>
      <c r="B159" s="89"/>
      <c r="C159" s="90"/>
      <c r="D159" s="91"/>
      <c r="E159" s="92"/>
      <c r="F159" s="92"/>
      <c r="G159" s="92"/>
      <c r="H159" s="92"/>
      <c r="I159" s="93"/>
      <c r="J159" s="94"/>
      <c r="K159" s="94"/>
      <c r="L159" s="95"/>
      <c r="M159" s="66"/>
      <c r="N159" s="96"/>
      <c r="O159" s="97"/>
      <c r="P159" s="58"/>
      <c r="Q159" s="69"/>
      <c r="R159" s="70"/>
      <c r="S159" s="66"/>
      <c r="T159" s="55"/>
      <c r="U159" s="55"/>
      <c r="V159" s="55"/>
      <c r="W159" s="98"/>
      <c r="X159" s="98"/>
      <c r="Y159" s="98"/>
      <c r="Z159" s="98"/>
      <c r="AA159" s="98"/>
      <c r="AB159" s="98"/>
      <c r="AC159" s="98"/>
      <c r="AD159" s="98"/>
      <c r="AE159" s="98"/>
      <c r="AF159" s="211"/>
      <c r="AG159" s="211"/>
      <c r="AH159" s="211"/>
      <c r="AI159" s="211"/>
      <c r="AJ159" s="92"/>
    </row>
    <row r="160" spans="1:36" s="99" customFormat="1" ht="65.099999999999994" customHeight="1">
      <c r="A160" s="89"/>
      <c r="B160" s="89"/>
      <c r="C160" s="90"/>
      <c r="D160" s="91"/>
      <c r="E160" s="92"/>
      <c r="F160" s="92"/>
      <c r="G160" s="92"/>
      <c r="H160" s="92"/>
      <c r="I160" s="93"/>
      <c r="J160" s="94"/>
      <c r="K160" s="94"/>
      <c r="L160" s="95"/>
      <c r="M160" s="66"/>
      <c r="N160" s="96"/>
      <c r="O160" s="97"/>
      <c r="P160" s="58"/>
      <c r="Q160" s="69"/>
      <c r="R160" s="70"/>
      <c r="S160" s="66"/>
      <c r="T160" s="55"/>
      <c r="U160" s="55"/>
      <c r="V160" s="55"/>
      <c r="W160" s="98"/>
      <c r="X160" s="98"/>
      <c r="Y160" s="98"/>
      <c r="Z160" s="98"/>
      <c r="AA160" s="98"/>
      <c r="AB160" s="98"/>
      <c r="AC160" s="98"/>
      <c r="AD160" s="98"/>
      <c r="AE160" s="98"/>
      <c r="AF160" s="211"/>
      <c r="AG160" s="211"/>
      <c r="AH160" s="211"/>
      <c r="AI160" s="211"/>
      <c r="AJ160" s="92"/>
    </row>
    <row r="161" spans="1:36" s="99" customFormat="1" ht="65.099999999999994" customHeight="1">
      <c r="A161" s="89"/>
      <c r="B161" s="89"/>
      <c r="C161" s="90"/>
      <c r="D161" s="91"/>
      <c r="E161" s="92"/>
      <c r="F161" s="92"/>
      <c r="G161" s="92"/>
      <c r="H161" s="92"/>
      <c r="I161" s="93"/>
      <c r="J161" s="94"/>
      <c r="K161" s="94"/>
      <c r="L161" s="95"/>
      <c r="M161" s="66"/>
      <c r="N161" s="96"/>
      <c r="O161" s="97"/>
      <c r="P161" s="58"/>
      <c r="Q161" s="69"/>
      <c r="R161" s="70"/>
      <c r="S161" s="66"/>
      <c r="T161" s="55"/>
      <c r="U161" s="55"/>
      <c r="V161" s="55"/>
      <c r="W161" s="98"/>
      <c r="X161" s="98"/>
      <c r="Y161" s="98"/>
      <c r="Z161" s="98"/>
      <c r="AA161" s="98"/>
      <c r="AB161" s="98"/>
      <c r="AC161" s="98"/>
      <c r="AD161" s="98"/>
      <c r="AE161" s="98"/>
      <c r="AF161" s="211"/>
      <c r="AG161" s="211"/>
      <c r="AH161" s="211"/>
      <c r="AI161" s="211"/>
      <c r="AJ161" s="92"/>
    </row>
    <row r="162" spans="1:36" s="99" customFormat="1" ht="65.099999999999994" customHeight="1">
      <c r="A162" s="89"/>
      <c r="B162" s="89"/>
      <c r="C162" s="90"/>
      <c r="D162" s="91"/>
      <c r="E162" s="92"/>
      <c r="F162" s="92"/>
      <c r="G162" s="92"/>
      <c r="H162" s="92"/>
      <c r="I162" s="93"/>
      <c r="J162" s="94"/>
      <c r="K162" s="94"/>
      <c r="L162" s="95"/>
      <c r="M162" s="66"/>
      <c r="N162" s="96"/>
      <c r="O162" s="97"/>
      <c r="P162" s="58"/>
      <c r="Q162" s="69"/>
      <c r="R162" s="70"/>
      <c r="S162" s="66"/>
      <c r="T162" s="55"/>
      <c r="U162" s="55"/>
      <c r="V162" s="55"/>
      <c r="W162" s="98"/>
      <c r="X162" s="98"/>
      <c r="Y162" s="98"/>
      <c r="Z162" s="98"/>
      <c r="AA162" s="98"/>
      <c r="AB162" s="98"/>
      <c r="AC162" s="98"/>
      <c r="AD162" s="98"/>
      <c r="AE162" s="98"/>
      <c r="AF162" s="211"/>
      <c r="AG162" s="211"/>
      <c r="AH162" s="211"/>
      <c r="AI162" s="211"/>
      <c r="AJ162" s="92"/>
    </row>
    <row r="163" spans="1:36" s="99" customFormat="1" ht="65.099999999999994" customHeight="1">
      <c r="A163" s="89"/>
      <c r="B163" s="89"/>
      <c r="C163" s="90"/>
      <c r="D163" s="91"/>
      <c r="E163" s="92"/>
      <c r="F163" s="92"/>
      <c r="G163" s="92"/>
      <c r="H163" s="92"/>
      <c r="I163" s="93"/>
      <c r="J163" s="94"/>
      <c r="K163" s="94"/>
      <c r="L163" s="95"/>
      <c r="M163" s="66"/>
      <c r="N163" s="96"/>
      <c r="O163" s="97"/>
      <c r="P163" s="58"/>
      <c r="Q163" s="69"/>
      <c r="R163" s="70"/>
      <c r="S163" s="66"/>
      <c r="T163" s="55"/>
      <c r="U163" s="55"/>
      <c r="V163" s="55"/>
      <c r="W163" s="98"/>
      <c r="X163" s="98"/>
      <c r="Y163" s="98"/>
      <c r="Z163" s="98"/>
      <c r="AA163" s="98"/>
      <c r="AB163" s="98"/>
      <c r="AC163" s="98"/>
      <c r="AD163" s="98"/>
      <c r="AE163" s="98"/>
      <c r="AF163" s="211"/>
      <c r="AG163" s="211"/>
      <c r="AH163" s="211"/>
      <c r="AI163" s="211"/>
      <c r="AJ163" s="92"/>
    </row>
    <row r="164" spans="1:36" s="99" customFormat="1" ht="65.099999999999994" customHeight="1">
      <c r="A164" s="89"/>
      <c r="B164" s="89"/>
      <c r="C164" s="90"/>
      <c r="D164" s="91"/>
      <c r="E164" s="92"/>
      <c r="F164" s="92"/>
      <c r="G164" s="92"/>
      <c r="H164" s="92"/>
      <c r="I164" s="93"/>
      <c r="J164" s="94"/>
      <c r="K164" s="94"/>
      <c r="L164" s="95"/>
      <c r="M164" s="66"/>
      <c r="N164" s="96"/>
      <c r="O164" s="97"/>
      <c r="P164" s="58"/>
      <c r="Q164" s="69"/>
      <c r="R164" s="70"/>
      <c r="S164" s="66"/>
      <c r="T164" s="55"/>
      <c r="U164" s="55"/>
      <c r="V164" s="55"/>
      <c r="W164" s="98"/>
      <c r="X164" s="98"/>
      <c r="Y164" s="98"/>
      <c r="Z164" s="98"/>
      <c r="AA164" s="98"/>
      <c r="AB164" s="98"/>
      <c r="AC164" s="98"/>
      <c r="AD164" s="98"/>
      <c r="AE164" s="98"/>
      <c r="AF164" s="211"/>
      <c r="AG164" s="211"/>
      <c r="AH164" s="211"/>
      <c r="AI164" s="211"/>
      <c r="AJ164" s="92"/>
    </row>
    <row r="165" spans="1:36" s="99" customFormat="1" ht="65.099999999999994" customHeight="1">
      <c r="A165" s="89"/>
      <c r="B165" s="89"/>
      <c r="C165" s="90"/>
      <c r="D165" s="91"/>
      <c r="E165" s="92"/>
      <c r="F165" s="92"/>
      <c r="G165" s="92"/>
      <c r="H165" s="92"/>
      <c r="I165" s="93"/>
      <c r="J165" s="94"/>
      <c r="K165" s="94"/>
      <c r="L165" s="95"/>
      <c r="M165" s="66"/>
      <c r="N165" s="96"/>
      <c r="O165" s="97"/>
      <c r="P165" s="58"/>
      <c r="Q165" s="69"/>
      <c r="R165" s="70"/>
      <c r="S165" s="66"/>
      <c r="T165" s="55"/>
      <c r="U165" s="55"/>
      <c r="V165" s="55"/>
      <c r="W165" s="98"/>
      <c r="X165" s="98"/>
      <c r="Y165" s="98"/>
      <c r="Z165" s="98"/>
      <c r="AA165" s="98"/>
      <c r="AB165" s="98"/>
      <c r="AC165" s="98"/>
      <c r="AD165" s="98"/>
      <c r="AE165" s="98"/>
      <c r="AF165" s="211"/>
      <c r="AG165" s="211"/>
      <c r="AH165" s="211"/>
      <c r="AI165" s="211"/>
      <c r="AJ165" s="92"/>
    </row>
    <row r="166" spans="1:36" s="99" customFormat="1" ht="65.099999999999994" customHeight="1">
      <c r="A166" s="89"/>
      <c r="B166" s="89"/>
      <c r="C166" s="90"/>
      <c r="D166" s="91"/>
      <c r="E166" s="92"/>
      <c r="F166" s="92"/>
      <c r="G166" s="92"/>
      <c r="H166" s="92"/>
      <c r="I166" s="93"/>
      <c r="J166" s="94"/>
      <c r="K166" s="94"/>
      <c r="L166" s="95"/>
      <c r="M166" s="66"/>
      <c r="N166" s="96"/>
      <c r="O166" s="97"/>
      <c r="P166" s="58"/>
      <c r="Q166" s="69"/>
      <c r="R166" s="70"/>
      <c r="S166" s="66"/>
      <c r="T166" s="55"/>
      <c r="U166" s="55"/>
      <c r="V166" s="55"/>
      <c r="W166" s="98"/>
      <c r="X166" s="98"/>
      <c r="Y166" s="98"/>
      <c r="Z166" s="98"/>
      <c r="AA166" s="98"/>
      <c r="AB166" s="98"/>
      <c r="AC166" s="98"/>
      <c r="AD166" s="98"/>
      <c r="AE166" s="98"/>
      <c r="AF166" s="211"/>
      <c r="AG166" s="211"/>
      <c r="AH166" s="211"/>
      <c r="AI166" s="211"/>
      <c r="AJ166" s="92"/>
    </row>
    <row r="167" spans="1:36" s="99" customFormat="1" ht="65.099999999999994" customHeight="1">
      <c r="A167" s="89"/>
      <c r="B167" s="89"/>
      <c r="C167" s="90"/>
      <c r="D167" s="91"/>
      <c r="E167" s="92"/>
      <c r="F167" s="92"/>
      <c r="G167" s="92"/>
      <c r="H167" s="92"/>
      <c r="I167" s="93"/>
      <c r="J167" s="94"/>
      <c r="K167" s="94"/>
      <c r="L167" s="95"/>
      <c r="M167" s="66"/>
      <c r="N167" s="96"/>
      <c r="O167" s="97"/>
      <c r="P167" s="58"/>
      <c r="Q167" s="69"/>
      <c r="R167" s="70"/>
      <c r="S167" s="66"/>
      <c r="T167" s="55"/>
      <c r="U167" s="55"/>
      <c r="V167" s="55"/>
      <c r="W167" s="98"/>
      <c r="X167" s="98"/>
      <c r="Y167" s="98"/>
      <c r="Z167" s="98"/>
      <c r="AA167" s="98"/>
      <c r="AB167" s="98"/>
      <c r="AC167" s="98"/>
      <c r="AD167" s="98"/>
      <c r="AE167" s="98"/>
      <c r="AF167" s="211"/>
      <c r="AG167" s="211"/>
      <c r="AH167" s="211"/>
      <c r="AI167" s="211"/>
      <c r="AJ167" s="92"/>
    </row>
    <row r="168" spans="1:36" s="99" customFormat="1" ht="65.099999999999994" customHeight="1">
      <c r="A168" s="89"/>
      <c r="B168" s="89"/>
      <c r="C168" s="90"/>
      <c r="D168" s="91"/>
      <c r="E168" s="92"/>
      <c r="F168" s="92"/>
      <c r="G168" s="92"/>
      <c r="H168" s="92"/>
      <c r="I168" s="93"/>
      <c r="J168" s="94"/>
      <c r="K168" s="94"/>
      <c r="L168" s="95"/>
      <c r="M168" s="66"/>
      <c r="N168" s="96"/>
      <c r="O168" s="97"/>
      <c r="P168" s="58"/>
      <c r="Q168" s="69"/>
      <c r="R168" s="70"/>
      <c r="S168" s="66"/>
      <c r="T168" s="55"/>
      <c r="U168" s="55"/>
      <c r="V168" s="55"/>
      <c r="W168" s="98"/>
      <c r="X168" s="98"/>
      <c r="Y168" s="98"/>
      <c r="Z168" s="98"/>
      <c r="AA168" s="98"/>
      <c r="AB168" s="98"/>
      <c r="AC168" s="98"/>
      <c r="AD168" s="98"/>
      <c r="AE168" s="98"/>
      <c r="AF168" s="211"/>
      <c r="AG168" s="211"/>
      <c r="AH168" s="211"/>
      <c r="AI168" s="211"/>
      <c r="AJ168" s="92"/>
    </row>
    <row r="169" spans="1:36" s="99" customFormat="1" ht="65.099999999999994" customHeight="1">
      <c r="A169" s="89"/>
      <c r="B169" s="89"/>
      <c r="C169" s="90"/>
      <c r="D169" s="91"/>
      <c r="E169" s="92"/>
      <c r="F169" s="92"/>
      <c r="G169" s="92"/>
      <c r="H169" s="92"/>
      <c r="I169" s="93"/>
      <c r="J169" s="94"/>
      <c r="K169" s="94"/>
      <c r="L169" s="95"/>
      <c r="M169" s="66"/>
      <c r="N169" s="96"/>
      <c r="O169" s="97"/>
      <c r="P169" s="58"/>
      <c r="Q169" s="69"/>
      <c r="R169" s="70"/>
      <c r="S169" s="66"/>
      <c r="T169" s="55"/>
      <c r="U169" s="55"/>
      <c r="V169" s="55"/>
      <c r="W169" s="98"/>
      <c r="X169" s="98"/>
      <c r="Y169" s="98"/>
      <c r="Z169" s="98"/>
      <c r="AA169" s="98"/>
      <c r="AB169" s="98"/>
      <c r="AC169" s="98"/>
      <c r="AD169" s="98"/>
      <c r="AE169" s="98"/>
      <c r="AF169" s="211"/>
      <c r="AG169" s="211"/>
      <c r="AH169" s="211"/>
      <c r="AI169" s="211"/>
      <c r="AJ169" s="92"/>
    </row>
    <row r="170" spans="1:36" s="99" customFormat="1" ht="65.099999999999994" customHeight="1">
      <c r="A170" s="89"/>
      <c r="B170" s="89"/>
      <c r="C170" s="90"/>
      <c r="D170" s="91"/>
      <c r="E170" s="92"/>
      <c r="F170" s="92"/>
      <c r="G170" s="92"/>
      <c r="H170" s="92"/>
      <c r="I170" s="93"/>
      <c r="J170" s="94"/>
      <c r="K170" s="94"/>
      <c r="L170" s="95"/>
      <c r="M170" s="66"/>
      <c r="N170" s="96"/>
      <c r="O170" s="97"/>
      <c r="P170" s="58"/>
      <c r="Q170" s="69"/>
      <c r="R170" s="70"/>
      <c r="S170" s="66"/>
      <c r="T170" s="55"/>
      <c r="U170" s="55"/>
      <c r="V170" s="55"/>
      <c r="W170" s="98"/>
      <c r="X170" s="98"/>
      <c r="Y170" s="98"/>
      <c r="Z170" s="98"/>
      <c r="AA170" s="98"/>
      <c r="AB170" s="98"/>
      <c r="AC170" s="98"/>
      <c r="AD170" s="98"/>
      <c r="AE170" s="98"/>
      <c r="AF170" s="211"/>
      <c r="AG170" s="211"/>
      <c r="AH170" s="211"/>
      <c r="AI170" s="211"/>
      <c r="AJ170" s="92"/>
    </row>
    <row r="171" spans="1:36" s="99" customFormat="1" ht="65.099999999999994" customHeight="1">
      <c r="A171" s="89"/>
      <c r="B171" s="89"/>
      <c r="C171" s="90"/>
      <c r="D171" s="91"/>
      <c r="E171" s="92"/>
      <c r="F171" s="92"/>
      <c r="G171" s="92"/>
      <c r="H171" s="92"/>
      <c r="I171" s="93"/>
      <c r="J171" s="94"/>
      <c r="K171" s="94"/>
      <c r="L171" s="95"/>
      <c r="M171" s="66"/>
      <c r="N171" s="96"/>
      <c r="O171" s="97"/>
      <c r="P171" s="58"/>
      <c r="Q171" s="69"/>
      <c r="R171" s="70"/>
      <c r="S171" s="66"/>
      <c r="T171" s="55"/>
      <c r="U171" s="55"/>
      <c r="V171" s="55"/>
      <c r="W171" s="98"/>
      <c r="X171" s="98"/>
      <c r="Y171" s="98"/>
      <c r="Z171" s="98"/>
      <c r="AA171" s="98"/>
      <c r="AB171" s="98"/>
      <c r="AC171" s="98"/>
      <c r="AD171" s="98"/>
      <c r="AE171" s="98"/>
      <c r="AF171" s="211"/>
      <c r="AG171" s="211"/>
      <c r="AH171" s="211"/>
      <c r="AI171" s="211"/>
      <c r="AJ171" s="92"/>
    </row>
    <row r="172" spans="1:36" s="99" customFormat="1" ht="65.099999999999994" customHeight="1">
      <c r="A172" s="89"/>
      <c r="B172" s="89"/>
      <c r="C172" s="90"/>
      <c r="D172" s="91"/>
      <c r="E172" s="92"/>
      <c r="F172" s="92"/>
      <c r="G172" s="92"/>
      <c r="H172" s="92"/>
      <c r="I172" s="93"/>
      <c r="J172" s="94"/>
      <c r="K172" s="94"/>
      <c r="L172" s="95"/>
      <c r="M172" s="66"/>
      <c r="N172" s="96"/>
      <c r="O172" s="97"/>
      <c r="P172" s="58"/>
      <c r="Q172" s="69"/>
      <c r="R172" s="70"/>
      <c r="S172" s="66"/>
      <c r="T172" s="55"/>
      <c r="U172" s="55"/>
      <c r="V172" s="55"/>
      <c r="W172" s="98"/>
      <c r="X172" s="98"/>
      <c r="Y172" s="98"/>
      <c r="Z172" s="98"/>
      <c r="AA172" s="98"/>
      <c r="AB172" s="98"/>
      <c r="AC172" s="98"/>
      <c r="AD172" s="98"/>
      <c r="AE172" s="98"/>
      <c r="AF172" s="211"/>
      <c r="AG172" s="211"/>
      <c r="AH172" s="211"/>
      <c r="AI172" s="211"/>
      <c r="AJ172" s="92"/>
    </row>
    <row r="173" spans="1:36" s="99" customFormat="1" ht="65.099999999999994" customHeight="1">
      <c r="A173" s="89"/>
      <c r="B173" s="89"/>
      <c r="C173" s="90"/>
      <c r="D173" s="91"/>
      <c r="E173" s="92"/>
      <c r="F173" s="92"/>
      <c r="G173" s="92"/>
      <c r="H173" s="92"/>
      <c r="I173" s="93"/>
      <c r="J173" s="94"/>
      <c r="K173" s="94"/>
      <c r="L173" s="95"/>
      <c r="M173" s="66"/>
      <c r="N173" s="96"/>
      <c r="O173" s="97"/>
      <c r="P173" s="58"/>
      <c r="Q173" s="69"/>
      <c r="R173" s="70"/>
      <c r="S173" s="66"/>
      <c r="T173" s="55"/>
      <c r="U173" s="55"/>
      <c r="V173" s="55"/>
      <c r="W173" s="98"/>
      <c r="X173" s="98"/>
      <c r="Y173" s="98"/>
      <c r="Z173" s="98"/>
      <c r="AA173" s="98"/>
      <c r="AB173" s="98"/>
      <c r="AC173" s="98"/>
      <c r="AD173" s="98"/>
      <c r="AE173" s="98"/>
      <c r="AF173" s="211"/>
      <c r="AG173" s="211"/>
      <c r="AH173" s="211"/>
      <c r="AI173" s="211"/>
      <c r="AJ173" s="92"/>
    </row>
    <row r="174" spans="1:36" s="99" customFormat="1" ht="65.099999999999994" customHeight="1">
      <c r="A174" s="89"/>
      <c r="B174" s="89"/>
      <c r="C174" s="90"/>
      <c r="D174" s="91"/>
      <c r="E174" s="92"/>
      <c r="F174" s="92"/>
      <c r="G174" s="92"/>
      <c r="H174" s="92"/>
      <c r="I174" s="93"/>
      <c r="J174" s="94"/>
      <c r="K174" s="94"/>
      <c r="L174" s="95"/>
      <c r="M174" s="66"/>
      <c r="N174" s="96"/>
      <c r="O174" s="97"/>
      <c r="P174" s="58"/>
      <c r="Q174" s="69"/>
      <c r="R174" s="70"/>
      <c r="S174" s="66"/>
      <c r="T174" s="55"/>
      <c r="U174" s="55"/>
      <c r="V174" s="55"/>
      <c r="W174" s="98"/>
      <c r="X174" s="98"/>
      <c r="Y174" s="98"/>
      <c r="Z174" s="98"/>
      <c r="AA174" s="98"/>
      <c r="AB174" s="98"/>
      <c r="AC174" s="98"/>
      <c r="AD174" s="98"/>
      <c r="AE174" s="98"/>
      <c r="AF174" s="211"/>
      <c r="AG174" s="211"/>
      <c r="AH174" s="211"/>
      <c r="AI174" s="211"/>
      <c r="AJ174" s="92"/>
    </row>
    <row r="175" spans="1:36" s="99" customFormat="1" ht="65.099999999999994" customHeight="1">
      <c r="A175" s="89"/>
      <c r="B175" s="89"/>
      <c r="C175" s="90"/>
      <c r="D175" s="91"/>
      <c r="E175" s="92"/>
      <c r="F175" s="92"/>
      <c r="G175" s="92"/>
      <c r="H175" s="92"/>
      <c r="I175" s="93"/>
      <c r="J175" s="94"/>
      <c r="K175" s="94"/>
      <c r="L175" s="95"/>
      <c r="M175" s="66"/>
      <c r="N175" s="96"/>
      <c r="O175" s="97"/>
      <c r="P175" s="58"/>
      <c r="Q175" s="69"/>
      <c r="R175" s="70"/>
      <c r="S175" s="66"/>
      <c r="T175" s="55"/>
      <c r="U175" s="55"/>
      <c r="V175" s="55"/>
      <c r="W175" s="98"/>
      <c r="X175" s="98"/>
      <c r="Y175" s="98"/>
      <c r="Z175" s="98"/>
      <c r="AA175" s="98"/>
      <c r="AB175" s="98"/>
      <c r="AC175" s="98"/>
      <c r="AD175" s="98"/>
      <c r="AE175" s="98"/>
      <c r="AF175" s="211"/>
      <c r="AG175" s="211"/>
      <c r="AH175" s="211"/>
      <c r="AI175" s="211"/>
      <c r="AJ175" s="92"/>
    </row>
    <row r="176" spans="1:36" s="99" customFormat="1" ht="65.099999999999994" customHeight="1">
      <c r="A176" s="89"/>
      <c r="B176" s="89"/>
      <c r="C176" s="90"/>
      <c r="D176" s="91"/>
      <c r="E176" s="92"/>
      <c r="F176" s="92"/>
      <c r="G176" s="92"/>
      <c r="H176" s="92"/>
      <c r="I176" s="93"/>
      <c r="J176" s="94"/>
      <c r="K176" s="94"/>
      <c r="L176" s="95"/>
      <c r="M176" s="66"/>
      <c r="N176" s="96"/>
      <c r="O176" s="97"/>
      <c r="P176" s="58"/>
      <c r="Q176" s="69"/>
      <c r="R176" s="70"/>
      <c r="S176" s="66"/>
      <c r="T176" s="55"/>
      <c r="U176" s="55"/>
      <c r="V176" s="55"/>
      <c r="W176" s="98"/>
      <c r="X176" s="98"/>
      <c r="Y176" s="98"/>
      <c r="Z176" s="98"/>
      <c r="AA176" s="98"/>
      <c r="AB176" s="98"/>
      <c r="AC176" s="98"/>
      <c r="AD176" s="98"/>
      <c r="AE176" s="98"/>
      <c r="AF176" s="211"/>
      <c r="AG176" s="211"/>
      <c r="AH176" s="211"/>
      <c r="AI176" s="211"/>
      <c r="AJ176" s="92"/>
    </row>
    <row r="177" spans="1:36" s="99" customFormat="1" ht="65.099999999999994" customHeight="1">
      <c r="A177" s="89"/>
      <c r="B177" s="89"/>
      <c r="C177" s="90"/>
      <c r="D177" s="91"/>
      <c r="E177" s="92"/>
      <c r="F177" s="92"/>
      <c r="G177" s="92"/>
      <c r="H177" s="92"/>
      <c r="I177" s="93"/>
      <c r="J177" s="94"/>
      <c r="K177" s="94"/>
      <c r="L177" s="95"/>
      <c r="M177" s="66"/>
      <c r="N177" s="96"/>
      <c r="O177" s="97"/>
      <c r="P177" s="58"/>
      <c r="Q177" s="69"/>
      <c r="R177" s="70"/>
      <c r="S177" s="66"/>
      <c r="T177" s="55"/>
      <c r="U177" s="55"/>
      <c r="V177" s="55"/>
      <c r="W177" s="98"/>
      <c r="X177" s="98"/>
      <c r="Y177" s="98"/>
      <c r="Z177" s="98"/>
      <c r="AA177" s="98"/>
      <c r="AB177" s="98"/>
      <c r="AC177" s="98"/>
      <c r="AD177" s="98"/>
      <c r="AE177" s="98"/>
      <c r="AF177" s="211"/>
      <c r="AG177" s="211"/>
      <c r="AH177" s="211"/>
      <c r="AI177" s="211"/>
      <c r="AJ177" s="92"/>
    </row>
    <row r="178" spans="1:36" s="99" customFormat="1" ht="65.099999999999994" customHeight="1">
      <c r="A178" s="89"/>
      <c r="B178" s="89"/>
      <c r="C178" s="90"/>
      <c r="D178" s="91"/>
      <c r="E178" s="92"/>
      <c r="F178" s="92"/>
      <c r="G178" s="92"/>
      <c r="H178" s="92"/>
      <c r="I178" s="93"/>
      <c r="J178" s="94"/>
      <c r="K178" s="94"/>
      <c r="L178" s="95"/>
      <c r="M178" s="66"/>
      <c r="N178" s="96"/>
      <c r="O178" s="97"/>
      <c r="P178" s="58"/>
      <c r="Q178" s="69"/>
      <c r="R178" s="70"/>
      <c r="S178" s="66"/>
      <c r="T178" s="55"/>
      <c r="U178" s="55"/>
      <c r="V178" s="55"/>
      <c r="W178" s="98"/>
      <c r="X178" s="98"/>
      <c r="Y178" s="98"/>
      <c r="Z178" s="98"/>
      <c r="AA178" s="98"/>
      <c r="AB178" s="98"/>
      <c r="AC178" s="98"/>
      <c r="AD178" s="98"/>
      <c r="AE178" s="98"/>
      <c r="AF178" s="211"/>
      <c r="AG178" s="211"/>
      <c r="AH178" s="211"/>
      <c r="AI178" s="211"/>
      <c r="AJ178" s="92"/>
    </row>
    <row r="179" spans="1:36" s="99" customFormat="1" ht="65.099999999999994" customHeight="1">
      <c r="A179" s="89"/>
      <c r="B179" s="89"/>
      <c r="C179" s="90"/>
      <c r="D179" s="91"/>
      <c r="E179" s="92"/>
      <c r="F179" s="92"/>
      <c r="G179" s="92"/>
      <c r="H179" s="92"/>
      <c r="I179" s="93"/>
      <c r="J179" s="94"/>
      <c r="K179" s="94"/>
      <c r="L179" s="95"/>
      <c r="M179" s="66"/>
      <c r="N179" s="96"/>
      <c r="O179" s="97"/>
      <c r="P179" s="58"/>
      <c r="Q179" s="69"/>
      <c r="R179" s="70"/>
      <c r="S179" s="66"/>
      <c r="T179" s="55"/>
      <c r="U179" s="55"/>
      <c r="V179" s="55"/>
      <c r="W179" s="98"/>
      <c r="X179" s="98"/>
      <c r="Y179" s="98"/>
      <c r="Z179" s="98"/>
      <c r="AA179" s="98"/>
      <c r="AB179" s="98"/>
      <c r="AC179" s="98"/>
      <c r="AD179" s="98"/>
      <c r="AE179" s="98"/>
      <c r="AF179" s="211"/>
      <c r="AG179" s="211"/>
      <c r="AH179" s="211"/>
      <c r="AI179" s="211"/>
      <c r="AJ179" s="92"/>
    </row>
    <row r="180" spans="1:36" s="99" customFormat="1" ht="65.099999999999994" customHeight="1">
      <c r="A180" s="89"/>
      <c r="B180" s="89"/>
      <c r="C180" s="90"/>
      <c r="D180" s="91"/>
      <c r="E180" s="92"/>
      <c r="F180" s="92"/>
      <c r="G180" s="92"/>
      <c r="H180" s="92"/>
      <c r="I180" s="93"/>
      <c r="J180" s="94"/>
      <c r="K180" s="94"/>
      <c r="L180" s="95"/>
      <c r="M180" s="66"/>
      <c r="N180" s="96"/>
      <c r="O180" s="97"/>
      <c r="P180" s="58"/>
      <c r="Q180" s="69"/>
      <c r="R180" s="70"/>
      <c r="S180" s="66"/>
      <c r="T180" s="55"/>
      <c r="U180" s="55"/>
      <c r="V180" s="55"/>
      <c r="W180" s="98"/>
      <c r="X180" s="98"/>
      <c r="Y180" s="98"/>
      <c r="Z180" s="98"/>
      <c r="AA180" s="98"/>
      <c r="AB180" s="98"/>
      <c r="AC180" s="98"/>
      <c r="AD180" s="98"/>
      <c r="AE180" s="98"/>
      <c r="AF180" s="211"/>
      <c r="AG180" s="211"/>
      <c r="AH180" s="211"/>
      <c r="AI180" s="211"/>
      <c r="AJ180" s="92"/>
    </row>
    <row r="181" spans="1:36" s="99" customFormat="1" ht="65.099999999999994" customHeight="1">
      <c r="A181" s="89"/>
      <c r="B181" s="89"/>
      <c r="C181" s="90"/>
      <c r="D181" s="91"/>
      <c r="E181" s="92"/>
      <c r="F181" s="92"/>
      <c r="G181" s="92"/>
      <c r="H181" s="92"/>
      <c r="I181" s="93"/>
      <c r="J181" s="94"/>
      <c r="K181" s="94"/>
      <c r="L181" s="95"/>
      <c r="M181" s="66"/>
      <c r="N181" s="96"/>
      <c r="O181" s="97"/>
      <c r="P181" s="58"/>
      <c r="Q181" s="69"/>
      <c r="R181" s="70"/>
      <c r="S181" s="66"/>
      <c r="T181" s="55"/>
      <c r="U181" s="55"/>
      <c r="V181" s="55"/>
      <c r="W181" s="98"/>
      <c r="X181" s="98"/>
      <c r="Y181" s="98"/>
      <c r="Z181" s="98"/>
      <c r="AA181" s="98"/>
      <c r="AB181" s="98"/>
      <c r="AC181" s="98"/>
      <c r="AD181" s="98"/>
      <c r="AE181" s="98"/>
      <c r="AF181" s="211"/>
      <c r="AG181" s="211"/>
      <c r="AH181" s="211"/>
      <c r="AI181" s="211"/>
      <c r="AJ181" s="92"/>
    </row>
    <row r="182" spans="1:36" s="99" customFormat="1" ht="65.099999999999994" customHeight="1">
      <c r="A182" s="89"/>
      <c r="B182" s="89"/>
      <c r="C182" s="90"/>
      <c r="D182" s="91"/>
      <c r="E182" s="92"/>
      <c r="F182" s="92"/>
      <c r="G182" s="92"/>
      <c r="H182" s="92"/>
      <c r="I182" s="93"/>
      <c r="J182" s="94"/>
      <c r="K182" s="94"/>
      <c r="L182" s="95"/>
      <c r="M182" s="66"/>
      <c r="N182" s="96"/>
      <c r="O182" s="97"/>
      <c r="P182" s="58"/>
      <c r="Q182" s="69"/>
      <c r="R182" s="70"/>
      <c r="S182" s="66"/>
      <c r="T182" s="55"/>
      <c r="U182" s="55"/>
      <c r="V182" s="55"/>
      <c r="W182" s="98"/>
      <c r="X182" s="98"/>
      <c r="Y182" s="98"/>
      <c r="Z182" s="98"/>
      <c r="AA182" s="98"/>
      <c r="AB182" s="98"/>
      <c r="AC182" s="98"/>
      <c r="AD182" s="98"/>
      <c r="AE182" s="98"/>
      <c r="AF182" s="211"/>
      <c r="AG182" s="211"/>
      <c r="AH182" s="211"/>
      <c r="AI182" s="211"/>
      <c r="AJ182" s="92"/>
    </row>
    <row r="183" spans="1:36" s="99" customFormat="1" ht="65.099999999999994" customHeight="1">
      <c r="A183" s="89"/>
      <c r="B183" s="89"/>
      <c r="C183" s="90"/>
      <c r="D183" s="91"/>
      <c r="E183" s="92"/>
      <c r="F183" s="92"/>
      <c r="G183" s="92"/>
      <c r="H183" s="92"/>
      <c r="I183" s="93"/>
      <c r="J183" s="94"/>
      <c r="K183" s="94"/>
      <c r="L183" s="95"/>
      <c r="M183" s="66"/>
      <c r="N183" s="96"/>
      <c r="O183" s="97"/>
      <c r="P183" s="58"/>
      <c r="Q183" s="69"/>
      <c r="R183" s="70"/>
      <c r="S183" s="66"/>
      <c r="T183" s="55"/>
      <c r="U183" s="55"/>
      <c r="V183" s="55"/>
      <c r="W183" s="98"/>
      <c r="X183" s="98"/>
      <c r="Y183" s="98"/>
      <c r="Z183" s="98"/>
      <c r="AA183" s="98"/>
      <c r="AB183" s="98"/>
      <c r="AC183" s="98"/>
      <c r="AD183" s="98"/>
      <c r="AE183" s="98"/>
      <c r="AF183" s="211"/>
      <c r="AG183" s="211"/>
      <c r="AH183" s="211"/>
      <c r="AI183" s="211"/>
      <c r="AJ183" s="92"/>
    </row>
    <row r="184" spans="1:36" s="99" customFormat="1" ht="65.099999999999994" customHeight="1">
      <c r="A184" s="89"/>
      <c r="B184" s="89"/>
      <c r="C184" s="90"/>
      <c r="D184" s="91"/>
      <c r="E184" s="92"/>
      <c r="F184" s="92"/>
      <c r="G184" s="92"/>
      <c r="H184" s="92"/>
      <c r="I184" s="93"/>
      <c r="J184" s="94"/>
      <c r="K184" s="94"/>
      <c r="L184" s="95"/>
      <c r="M184" s="66"/>
      <c r="N184" s="96"/>
      <c r="O184" s="97"/>
      <c r="P184" s="58"/>
      <c r="Q184" s="69"/>
      <c r="R184" s="70"/>
      <c r="S184" s="66"/>
      <c r="T184" s="55"/>
      <c r="U184" s="55"/>
      <c r="V184" s="55"/>
      <c r="W184" s="98"/>
      <c r="X184" s="98"/>
      <c r="Y184" s="98"/>
      <c r="Z184" s="98"/>
      <c r="AA184" s="98"/>
      <c r="AB184" s="98"/>
      <c r="AC184" s="98"/>
      <c r="AD184" s="98"/>
      <c r="AE184" s="98"/>
      <c r="AF184" s="211"/>
      <c r="AG184" s="211"/>
      <c r="AH184" s="211"/>
      <c r="AI184" s="211"/>
      <c r="AJ184" s="92"/>
    </row>
    <row r="185" spans="1:36" s="99" customFormat="1" ht="65.099999999999994" customHeight="1">
      <c r="A185" s="89"/>
      <c r="B185" s="89"/>
      <c r="C185" s="90"/>
      <c r="D185" s="91"/>
      <c r="E185" s="92"/>
      <c r="F185" s="92"/>
      <c r="G185" s="92"/>
      <c r="H185" s="92"/>
      <c r="I185" s="93"/>
      <c r="J185" s="94"/>
      <c r="K185" s="94"/>
      <c r="L185" s="95"/>
      <c r="M185" s="66"/>
      <c r="N185" s="96"/>
      <c r="O185" s="97"/>
      <c r="P185" s="58"/>
      <c r="Q185" s="69"/>
      <c r="R185" s="70"/>
      <c r="S185" s="66"/>
      <c r="T185" s="55"/>
      <c r="U185" s="55"/>
      <c r="V185" s="55"/>
      <c r="W185" s="98"/>
      <c r="X185" s="98"/>
      <c r="Y185" s="98"/>
      <c r="Z185" s="98"/>
      <c r="AA185" s="98"/>
      <c r="AB185" s="98"/>
      <c r="AC185" s="98"/>
      <c r="AD185" s="98"/>
      <c r="AE185" s="98"/>
      <c r="AF185" s="211"/>
      <c r="AG185" s="211"/>
      <c r="AH185" s="211"/>
      <c r="AI185" s="211"/>
      <c r="AJ185" s="92"/>
    </row>
    <row r="186" spans="1:36" s="99" customFormat="1" ht="65.099999999999994" customHeight="1">
      <c r="A186" s="89"/>
      <c r="B186" s="89"/>
      <c r="C186" s="90"/>
      <c r="D186" s="91"/>
      <c r="E186" s="92"/>
      <c r="F186" s="92"/>
      <c r="G186" s="92"/>
      <c r="H186" s="92"/>
      <c r="I186" s="93"/>
      <c r="J186" s="94"/>
      <c r="K186" s="94"/>
      <c r="L186" s="95"/>
      <c r="M186" s="66"/>
      <c r="N186" s="96"/>
      <c r="O186" s="97"/>
      <c r="P186" s="58"/>
      <c r="Q186" s="69"/>
      <c r="R186" s="70"/>
      <c r="S186" s="66"/>
      <c r="T186" s="55"/>
      <c r="U186" s="55"/>
      <c r="V186" s="55"/>
      <c r="W186" s="98"/>
      <c r="X186" s="98"/>
      <c r="Y186" s="98"/>
      <c r="Z186" s="98"/>
      <c r="AA186" s="98"/>
      <c r="AB186" s="98"/>
      <c r="AC186" s="98"/>
      <c r="AD186" s="98"/>
      <c r="AE186" s="98"/>
      <c r="AF186" s="211"/>
      <c r="AG186" s="211"/>
      <c r="AH186" s="211"/>
      <c r="AI186" s="211"/>
      <c r="AJ186" s="92"/>
    </row>
    <row r="187" spans="1:36" s="99" customFormat="1" ht="65.099999999999994" customHeight="1">
      <c r="A187" s="89"/>
      <c r="B187" s="89"/>
      <c r="C187" s="90"/>
      <c r="D187" s="91"/>
      <c r="E187" s="92"/>
      <c r="F187" s="92"/>
      <c r="G187" s="92"/>
      <c r="H187" s="92"/>
      <c r="I187" s="93"/>
      <c r="J187" s="94"/>
      <c r="K187" s="94"/>
      <c r="L187" s="95"/>
      <c r="M187" s="66"/>
      <c r="N187" s="96"/>
      <c r="O187" s="97"/>
      <c r="P187" s="58"/>
      <c r="Q187" s="69"/>
      <c r="R187" s="70"/>
      <c r="S187" s="66"/>
      <c r="T187" s="55"/>
      <c r="U187" s="55"/>
      <c r="V187" s="55"/>
      <c r="W187" s="98"/>
      <c r="X187" s="98"/>
      <c r="Y187" s="98"/>
      <c r="Z187" s="98"/>
      <c r="AA187" s="98"/>
      <c r="AB187" s="98"/>
      <c r="AC187" s="98"/>
      <c r="AD187" s="98"/>
      <c r="AE187" s="98"/>
      <c r="AF187" s="211"/>
      <c r="AG187" s="211"/>
      <c r="AH187" s="211"/>
      <c r="AI187" s="211"/>
      <c r="AJ187" s="92"/>
    </row>
    <row r="188" spans="1:36" s="99" customFormat="1" ht="65.099999999999994" customHeight="1">
      <c r="A188" s="89"/>
      <c r="B188" s="89"/>
      <c r="C188" s="90"/>
      <c r="D188" s="91"/>
      <c r="E188" s="92"/>
      <c r="F188" s="92"/>
      <c r="G188" s="92"/>
      <c r="H188" s="92"/>
      <c r="I188" s="93"/>
      <c r="J188" s="94"/>
      <c r="K188" s="94"/>
      <c r="L188" s="95"/>
      <c r="M188" s="66"/>
      <c r="N188" s="96"/>
      <c r="O188" s="97"/>
      <c r="P188" s="58"/>
      <c r="Q188" s="69"/>
      <c r="R188" s="70"/>
      <c r="S188" s="66"/>
      <c r="T188" s="55"/>
      <c r="U188" s="55"/>
      <c r="V188" s="55"/>
      <c r="W188" s="98"/>
      <c r="X188" s="98"/>
      <c r="Y188" s="98"/>
      <c r="Z188" s="98"/>
      <c r="AA188" s="98"/>
      <c r="AB188" s="98"/>
      <c r="AC188" s="98"/>
      <c r="AD188" s="98"/>
      <c r="AE188" s="98"/>
      <c r="AF188" s="211"/>
      <c r="AG188" s="211"/>
      <c r="AH188" s="211"/>
      <c r="AI188" s="211"/>
      <c r="AJ188" s="92"/>
    </row>
    <row r="189" spans="1:36" s="99" customFormat="1" ht="65.099999999999994" customHeight="1">
      <c r="A189" s="89"/>
      <c r="B189" s="89"/>
      <c r="C189" s="90"/>
      <c r="D189" s="91"/>
      <c r="E189" s="92"/>
      <c r="F189" s="92"/>
      <c r="G189" s="92"/>
      <c r="H189" s="92"/>
      <c r="I189" s="93"/>
      <c r="J189" s="94"/>
      <c r="K189" s="94"/>
      <c r="L189" s="95"/>
      <c r="M189" s="66"/>
      <c r="N189" s="96"/>
      <c r="O189" s="97"/>
      <c r="P189" s="58"/>
      <c r="Q189" s="69"/>
      <c r="R189" s="70"/>
      <c r="S189" s="66"/>
      <c r="T189" s="55"/>
      <c r="U189" s="55"/>
      <c r="V189" s="55"/>
      <c r="W189" s="98"/>
      <c r="X189" s="98"/>
      <c r="Y189" s="98"/>
      <c r="Z189" s="98"/>
      <c r="AA189" s="98"/>
      <c r="AB189" s="98"/>
      <c r="AC189" s="98"/>
      <c r="AD189" s="98"/>
      <c r="AE189" s="98"/>
      <c r="AF189" s="211"/>
      <c r="AG189" s="211"/>
      <c r="AH189" s="211"/>
      <c r="AI189" s="211"/>
      <c r="AJ189" s="92"/>
    </row>
    <row r="190" spans="1:36" s="99" customFormat="1" ht="65.099999999999994" customHeight="1">
      <c r="A190" s="89"/>
      <c r="B190" s="89"/>
      <c r="C190" s="90"/>
      <c r="D190" s="91"/>
      <c r="E190" s="92"/>
      <c r="F190" s="92"/>
      <c r="G190" s="92"/>
      <c r="H190" s="92"/>
      <c r="I190" s="93"/>
      <c r="J190" s="94"/>
      <c r="K190" s="94"/>
      <c r="L190" s="95"/>
      <c r="M190" s="66"/>
      <c r="N190" s="96"/>
      <c r="O190" s="97"/>
      <c r="P190" s="58"/>
      <c r="Q190" s="69"/>
      <c r="R190" s="70"/>
      <c r="S190" s="66"/>
      <c r="T190" s="55"/>
      <c r="U190" s="55"/>
      <c r="V190" s="55"/>
      <c r="W190" s="98"/>
      <c r="X190" s="98"/>
      <c r="Y190" s="98"/>
      <c r="Z190" s="98"/>
      <c r="AA190" s="98"/>
      <c r="AB190" s="98"/>
      <c r="AC190" s="98"/>
      <c r="AD190" s="98"/>
      <c r="AE190" s="98"/>
      <c r="AF190" s="211"/>
      <c r="AG190" s="211"/>
      <c r="AH190" s="211"/>
      <c r="AI190" s="211"/>
      <c r="AJ190" s="92"/>
    </row>
    <row r="191" spans="1:36" s="99" customFormat="1" ht="65.099999999999994" customHeight="1">
      <c r="A191" s="89"/>
      <c r="B191" s="89"/>
      <c r="C191" s="90"/>
      <c r="D191" s="91"/>
      <c r="E191" s="92"/>
      <c r="F191" s="92"/>
      <c r="G191" s="92"/>
      <c r="H191" s="92"/>
      <c r="I191" s="93"/>
      <c r="J191" s="94"/>
      <c r="K191" s="94"/>
      <c r="L191" s="95"/>
      <c r="M191" s="66"/>
      <c r="N191" s="96"/>
      <c r="O191" s="97"/>
      <c r="P191" s="58"/>
      <c r="Q191" s="69"/>
      <c r="R191" s="70"/>
      <c r="S191" s="66"/>
      <c r="T191" s="55"/>
      <c r="U191" s="55"/>
      <c r="V191" s="55"/>
      <c r="W191" s="98"/>
      <c r="X191" s="98"/>
      <c r="Y191" s="98"/>
      <c r="Z191" s="98"/>
      <c r="AA191" s="98"/>
      <c r="AB191" s="98"/>
      <c r="AC191" s="98"/>
      <c r="AD191" s="98"/>
      <c r="AE191" s="98"/>
      <c r="AF191" s="211"/>
      <c r="AG191" s="211"/>
      <c r="AH191" s="211"/>
      <c r="AI191" s="211"/>
      <c r="AJ191" s="92"/>
    </row>
    <row r="192" spans="1:36" s="99" customFormat="1" ht="65.099999999999994" customHeight="1">
      <c r="A192" s="89"/>
      <c r="B192" s="89"/>
      <c r="C192" s="90"/>
      <c r="D192" s="91"/>
      <c r="E192" s="92"/>
      <c r="F192" s="92"/>
      <c r="G192" s="92"/>
      <c r="H192" s="92"/>
      <c r="I192" s="93"/>
      <c r="J192" s="94"/>
      <c r="K192" s="94"/>
      <c r="L192" s="95"/>
      <c r="M192" s="66"/>
      <c r="N192" s="96"/>
      <c r="O192" s="97"/>
      <c r="P192" s="58"/>
      <c r="Q192" s="69"/>
      <c r="R192" s="70"/>
      <c r="S192" s="66"/>
      <c r="T192" s="55"/>
      <c r="U192" s="55"/>
      <c r="V192" s="55"/>
      <c r="W192" s="98"/>
      <c r="X192" s="98"/>
      <c r="Y192" s="98"/>
      <c r="Z192" s="98"/>
      <c r="AA192" s="98"/>
      <c r="AB192" s="98"/>
      <c r="AC192" s="98"/>
      <c r="AD192" s="98"/>
      <c r="AE192" s="98"/>
      <c r="AF192" s="211"/>
      <c r="AG192" s="211"/>
      <c r="AH192" s="211"/>
      <c r="AI192" s="211"/>
      <c r="AJ192" s="92"/>
    </row>
    <row r="193" spans="1:36" s="99" customFormat="1" ht="65.099999999999994" customHeight="1">
      <c r="A193" s="89"/>
      <c r="B193" s="89"/>
      <c r="C193" s="90"/>
      <c r="D193" s="91"/>
      <c r="E193" s="92"/>
      <c r="F193" s="92"/>
      <c r="G193" s="92"/>
      <c r="H193" s="92"/>
      <c r="I193" s="93"/>
      <c r="J193" s="94"/>
      <c r="K193" s="94"/>
      <c r="L193" s="95"/>
      <c r="M193" s="66"/>
      <c r="N193" s="96"/>
      <c r="O193" s="97"/>
      <c r="P193" s="58"/>
      <c r="Q193" s="69"/>
      <c r="R193" s="70"/>
      <c r="S193" s="66"/>
      <c r="T193" s="55"/>
      <c r="U193" s="55"/>
      <c r="V193" s="55"/>
      <c r="W193" s="98"/>
      <c r="X193" s="98"/>
      <c r="Y193" s="98"/>
      <c r="Z193" s="98"/>
      <c r="AA193" s="98"/>
      <c r="AB193" s="98"/>
      <c r="AC193" s="98"/>
      <c r="AD193" s="98"/>
      <c r="AE193" s="98"/>
      <c r="AF193" s="211"/>
      <c r="AG193" s="211"/>
      <c r="AH193" s="211"/>
      <c r="AI193" s="211"/>
      <c r="AJ193" s="92"/>
    </row>
    <row r="194" spans="1:36" s="99" customFormat="1" ht="65.099999999999994" customHeight="1">
      <c r="A194" s="89"/>
      <c r="B194" s="89"/>
      <c r="C194" s="90"/>
      <c r="D194" s="91"/>
      <c r="E194" s="92"/>
      <c r="F194" s="92"/>
      <c r="G194" s="92"/>
      <c r="H194" s="92"/>
      <c r="I194" s="93"/>
      <c r="J194" s="94"/>
      <c r="K194" s="94"/>
      <c r="L194" s="95"/>
      <c r="M194" s="66"/>
      <c r="N194" s="96"/>
      <c r="O194" s="97"/>
      <c r="P194" s="58"/>
      <c r="Q194" s="69"/>
      <c r="R194" s="70"/>
      <c r="S194" s="66"/>
      <c r="T194" s="55"/>
      <c r="U194" s="55"/>
      <c r="V194" s="55"/>
      <c r="W194" s="98"/>
      <c r="X194" s="98"/>
      <c r="Y194" s="98"/>
      <c r="Z194" s="98"/>
      <c r="AA194" s="98"/>
      <c r="AB194" s="98"/>
      <c r="AC194" s="98"/>
      <c r="AD194" s="98"/>
      <c r="AE194" s="98"/>
      <c r="AF194" s="211"/>
      <c r="AG194" s="211"/>
      <c r="AH194" s="211"/>
      <c r="AI194" s="211"/>
      <c r="AJ194" s="92"/>
    </row>
    <row r="195" spans="1:36" s="99" customFormat="1" ht="65.099999999999994" customHeight="1">
      <c r="A195" s="89"/>
      <c r="B195" s="89"/>
      <c r="C195" s="90"/>
      <c r="D195" s="91"/>
      <c r="E195" s="92"/>
      <c r="F195" s="92"/>
      <c r="G195" s="92"/>
      <c r="H195" s="92"/>
      <c r="I195" s="93"/>
      <c r="J195" s="94"/>
      <c r="K195" s="94"/>
      <c r="L195" s="95"/>
      <c r="M195" s="66"/>
      <c r="N195" s="96"/>
      <c r="O195" s="97"/>
      <c r="P195" s="58"/>
      <c r="Q195" s="69"/>
      <c r="R195" s="70"/>
      <c r="S195" s="66"/>
      <c r="T195" s="55"/>
      <c r="U195" s="55"/>
      <c r="V195" s="55"/>
      <c r="W195" s="98"/>
      <c r="X195" s="98"/>
      <c r="Y195" s="98"/>
      <c r="Z195" s="98"/>
      <c r="AA195" s="98"/>
      <c r="AB195" s="98"/>
      <c r="AC195" s="98"/>
      <c r="AD195" s="98"/>
      <c r="AE195" s="98"/>
      <c r="AF195" s="211"/>
      <c r="AG195" s="211"/>
      <c r="AH195" s="211"/>
      <c r="AI195" s="211"/>
      <c r="AJ195" s="92"/>
    </row>
    <row r="196" spans="1:36" s="99" customFormat="1" ht="65.099999999999994" customHeight="1">
      <c r="A196" s="89"/>
      <c r="B196" s="89"/>
      <c r="C196" s="90"/>
      <c r="D196" s="91"/>
      <c r="E196" s="92"/>
      <c r="F196" s="92"/>
      <c r="G196" s="92"/>
      <c r="H196" s="92"/>
      <c r="I196" s="93"/>
      <c r="J196" s="94"/>
      <c r="K196" s="94"/>
      <c r="L196" s="95"/>
      <c r="M196" s="66"/>
      <c r="N196" s="96"/>
      <c r="O196" s="97"/>
      <c r="P196" s="58"/>
      <c r="Q196" s="69"/>
      <c r="R196" s="70"/>
      <c r="S196" s="66"/>
      <c r="T196" s="55"/>
      <c r="U196" s="55"/>
      <c r="V196" s="55"/>
      <c r="W196" s="98"/>
      <c r="X196" s="98"/>
      <c r="Y196" s="98"/>
      <c r="Z196" s="98"/>
      <c r="AA196" s="98"/>
      <c r="AB196" s="98"/>
      <c r="AC196" s="98"/>
      <c r="AD196" s="98"/>
      <c r="AE196" s="98"/>
      <c r="AF196" s="211"/>
      <c r="AG196" s="211"/>
      <c r="AH196" s="211"/>
      <c r="AI196" s="211"/>
      <c r="AJ196" s="92"/>
    </row>
    <row r="197" spans="1:36" s="99" customFormat="1" ht="65.099999999999994" customHeight="1">
      <c r="A197" s="89"/>
      <c r="B197" s="89"/>
      <c r="C197" s="90"/>
      <c r="D197" s="91"/>
      <c r="E197" s="92"/>
      <c r="F197" s="92"/>
      <c r="G197" s="92"/>
      <c r="H197" s="92"/>
      <c r="I197" s="93"/>
      <c r="J197" s="94"/>
      <c r="K197" s="94"/>
      <c r="L197" s="95"/>
      <c r="M197" s="66"/>
      <c r="N197" s="96"/>
      <c r="O197" s="97"/>
      <c r="P197" s="58"/>
      <c r="Q197" s="69"/>
      <c r="R197" s="70"/>
      <c r="S197" s="66"/>
      <c r="T197" s="55"/>
      <c r="U197" s="55"/>
      <c r="V197" s="55"/>
      <c r="W197" s="98"/>
      <c r="X197" s="98"/>
      <c r="Y197" s="98"/>
      <c r="Z197" s="98"/>
      <c r="AA197" s="98"/>
      <c r="AB197" s="98"/>
      <c r="AC197" s="98"/>
      <c r="AD197" s="98"/>
      <c r="AE197" s="98"/>
      <c r="AF197" s="211"/>
      <c r="AG197" s="211"/>
      <c r="AH197" s="211"/>
      <c r="AI197" s="211"/>
      <c r="AJ197" s="92"/>
    </row>
    <row r="198" spans="1:36" s="99" customFormat="1" ht="65.099999999999994" customHeight="1">
      <c r="A198" s="89"/>
      <c r="B198" s="89"/>
      <c r="C198" s="90"/>
      <c r="D198" s="91"/>
      <c r="E198" s="92"/>
      <c r="F198" s="92"/>
      <c r="G198" s="92"/>
      <c r="H198" s="92"/>
      <c r="I198" s="93"/>
      <c r="J198" s="94"/>
      <c r="K198" s="94"/>
      <c r="L198" s="95"/>
      <c r="M198" s="66"/>
      <c r="N198" s="96"/>
      <c r="O198" s="97"/>
      <c r="P198" s="58"/>
      <c r="Q198" s="69"/>
      <c r="R198" s="70"/>
      <c r="S198" s="66"/>
      <c r="T198" s="55"/>
      <c r="U198" s="55"/>
      <c r="V198" s="55"/>
      <c r="W198" s="98"/>
      <c r="X198" s="98"/>
      <c r="Y198" s="98"/>
      <c r="Z198" s="98"/>
      <c r="AA198" s="98"/>
      <c r="AB198" s="98"/>
      <c r="AC198" s="98"/>
      <c r="AD198" s="98"/>
      <c r="AE198" s="98"/>
      <c r="AF198" s="211"/>
      <c r="AG198" s="211"/>
      <c r="AH198" s="211"/>
      <c r="AI198" s="211"/>
      <c r="AJ198" s="92"/>
    </row>
    <row r="199" spans="1:36" s="99" customFormat="1" ht="65.099999999999994" customHeight="1">
      <c r="A199" s="89"/>
      <c r="B199" s="89"/>
      <c r="C199" s="90"/>
      <c r="D199" s="91"/>
      <c r="E199" s="92"/>
      <c r="F199" s="92"/>
      <c r="G199" s="92"/>
      <c r="H199" s="92"/>
      <c r="I199" s="93"/>
      <c r="J199" s="94"/>
      <c r="K199" s="94"/>
      <c r="L199" s="95"/>
      <c r="M199" s="66"/>
      <c r="N199" s="96"/>
      <c r="O199" s="97"/>
      <c r="P199" s="58"/>
      <c r="Q199" s="69"/>
      <c r="R199" s="70"/>
      <c r="S199" s="66"/>
      <c r="T199" s="55"/>
      <c r="U199" s="55"/>
      <c r="V199" s="55"/>
      <c r="W199" s="98"/>
      <c r="X199" s="98"/>
      <c r="Y199" s="98"/>
      <c r="Z199" s="98"/>
      <c r="AA199" s="98"/>
      <c r="AB199" s="98"/>
      <c r="AC199" s="98"/>
      <c r="AD199" s="98"/>
      <c r="AE199" s="98"/>
      <c r="AF199" s="211"/>
      <c r="AG199" s="211"/>
      <c r="AH199" s="211"/>
      <c r="AI199" s="211"/>
      <c r="AJ199" s="92"/>
    </row>
    <row r="200" spans="1:36" s="99" customFormat="1" ht="65.099999999999994" customHeight="1">
      <c r="A200" s="89"/>
      <c r="B200" s="89"/>
      <c r="C200" s="90"/>
      <c r="D200" s="91"/>
      <c r="E200" s="92"/>
      <c r="F200" s="92"/>
      <c r="G200" s="92"/>
      <c r="H200" s="92"/>
      <c r="I200" s="93"/>
      <c r="J200" s="94"/>
      <c r="K200" s="94"/>
      <c r="L200" s="95"/>
      <c r="M200" s="66"/>
      <c r="N200" s="96"/>
      <c r="O200" s="97"/>
      <c r="P200" s="58"/>
      <c r="Q200" s="69"/>
      <c r="R200" s="70"/>
      <c r="S200" s="66"/>
      <c r="T200" s="55"/>
      <c r="U200" s="55"/>
      <c r="V200" s="55"/>
      <c r="W200" s="98"/>
      <c r="X200" s="98"/>
      <c r="Y200" s="98"/>
      <c r="Z200" s="98"/>
      <c r="AA200" s="98"/>
      <c r="AB200" s="98"/>
      <c r="AC200" s="98"/>
      <c r="AD200" s="98"/>
      <c r="AE200" s="98"/>
      <c r="AF200" s="211"/>
      <c r="AG200" s="211"/>
      <c r="AH200" s="211"/>
      <c r="AI200" s="211"/>
      <c r="AJ200" s="92"/>
    </row>
    <row r="201" spans="1:36" s="99" customFormat="1" ht="65.099999999999994" customHeight="1">
      <c r="A201" s="89"/>
      <c r="B201" s="89"/>
      <c r="C201" s="90"/>
      <c r="D201" s="91"/>
      <c r="E201" s="92"/>
      <c r="F201" s="92"/>
      <c r="G201" s="92"/>
      <c r="H201" s="92"/>
      <c r="I201" s="93"/>
      <c r="J201" s="94"/>
      <c r="K201" s="94"/>
      <c r="L201" s="95"/>
      <c r="M201" s="66"/>
      <c r="N201" s="96"/>
      <c r="O201" s="97"/>
      <c r="P201" s="58"/>
      <c r="Q201" s="69"/>
      <c r="R201" s="70"/>
      <c r="S201" s="66"/>
      <c r="T201" s="55"/>
      <c r="U201" s="55"/>
      <c r="V201" s="55"/>
      <c r="W201" s="98"/>
      <c r="X201" s="98"/>
      <c r="Y201" s="98"/>
      <c r="Z201" s="98"/>
      <c r="AA201" s="98"/>
      <c r="AB201" s="98"/>
      <c r="AC201" s="98"/>
      <c r="AD201" s="98"/>
      <c r="AE201" s="98"/>
      <c r="AF201" s="211"/>
      <c r="AG201" s="211"/>
      <c r="AH201" s="211"/>
      <c r="AI201" s="211"/>
      <c r="AJ201" s="92"/>
    </row>
    <row r="202" spans="1:36" s="99" customFormat="1" ht="65.099999999999994" customHeight="1">
      <c r="A202" s="89"/>
      <c r="B202" s="89"/>
      <c r="C202" s="90"/>
      <c r="D202" s="91"/>
      <c r="E202" s="92"/>
      <c r="F202" s="92"/>
      <c r="G202" s="92"/>
      <c r="H202" s="92"/>
      <c r="I202" s="93"/>
      <c r="J202" s="94"/>
      <c r="K202" s="94"/>
      <c r="L202" s="95"/>
      <c r="M202" s="66"/>
      <c r="N202" s="96"/>
      <c r="O202" s="97"/>
      <c r="P202" s="58"/>
      <c r="Q202" s="69"/>
      <c r="R202" s="70"/>
      <c r="S202" s="66"/>
      <c r="T202" s="55"/>
      <c r="U202" s="55"/>
      <c r="V202" s="55"/>
      <c r="W202" s="98"/>
      <c r="X202" s="98"/>
      <c r="Y202" s="98"/>
      <c r="Z202" s="98"/>
      <c r="AA202" s="98"/>
      <c r="AB202" s="98"/>
      <c r="AC202" s="98"/>
      <c r="AD202" s="98"/>
      <c r="AE202" s="98"/>
      <c r="AF202" s="211"/>
      <c r="AG202" s="211"/>
      <c r="AH202" s="211"/>
      <c r="AI202" s="211"/>
      <c r="AJ202" s="92"/>
    </row>
    <row r="203" spans="1:36" s="99" customFormat="1" ht="65.099999999999994" customHeight="1">
      <c r="A203" s="89"/>
      <c r="B203" s="89"/>
      <c r="C203" s="90"/>
      <c r="D203" s="91"/>
      <c r="E203" s="92"/>
      <c r="F203" s="92"/>
      <c r="G203" s="92"/>
      <c r="H203" s="92"/>
      <c r="I203" s="93"/>
      <c r="J203" s="94"/>
      <c r="K203" s="94"/>
      <c r="L203" s="95"/>
      <c r="M203" s="66"/>
      <c r="N203" s="96"/>
      <c r="O203" s="97"/>
      <c r="P203" s="58"/>
      <c r="Q203" s="69"/>
      <c r="R203" s="70"/>
      <c r="S203" s="66"/>
      <c r="T203" s="55"/>
      <c r="U203" s="55"/>
      <c r="V203" s="55"/>
      <c r="W203" s="98"/>
      <c r="X203" s="98"/>
      <c r="Y203" s="98"/>
      <c r="Z203" s="98"/>
      <c r="AA203" s="98"/>
      <c r="AB203" s="98"/>
      <c r="AC203" s="98"/>
      <c r="AD203" s="98"/>
      <c r="AE203" s="98"/>
      <c r="AF203" s="211"/>
      <c r="AG203" s="211"/>
      <c r="AH203" s="211"/>
      <c r="AI203" s="211"/>
      <c r="AJ203" s="92"/>
    </row>
    <row r="204" spans="1:36" s="99" customFormat="1" ht="65.099999999999994" customHeight="1">
      <c r="A204" s="89"/>
      <c r="B204" s="89"/>
      <c r="C204" s="90"/>
      <c r="D204" s="91"/>
      <c r="E204" s="92"/>
      <c r="F204" s="92"/>
      <c r="G204" s="92"/>
      <c r="H204" s="92"/>
      <c r="I204" s="93"/>
      <c r="J204" s="94"/>
      <c r="K204" s="94"/>
      <c r="L204" s="95"/>
      <c r="M204" s="66"/>
      <c r="N204" s="96"/>
      <c r="O204" s="97"/>
      <c r="P204" s="58"/>
      <c r="Q204" s="69"/>
      <c r="R204" s="70"/>
      <c r="S204" s="66"/>
      <c r="T204" s="55"/>
      <c r="U204" s="55"/>
      <c r="V204" s="55"/>
      <c r="W204" s="98"/>
      <c r="X204" s="98"/>
      <c r="Y204" s="98"/>
      <c r="Z204" s="98"/>
      <c r="AA204" s="98"/>
      <c r="AB204" s="98"/>
      <c r="AC204" s="98"/>
      <c r="AD204" s="98"/>
      <c r="AE204" s="98"/>
      <c r="AF204" s="211"/>
      <c r="AG204" s="211"/>
      <c r="AH204" s="211"/>
      <c r="AI204" s="211"/>
      <c r="AJ204" s="92"/>
    </row>
    <row r="205" spans="1:36" s="99" customFormat="1" ht="65.099999999999994" customHeight="1">
      <c r="A205" s="89"/>
      <c r="B205" s="89"/>
      <c r="C205" s="90"/>
      <c r="D205" s="91"/>
      <c r="E205" s="92"/>
      <c r="F205" s="92"/>
      <c r="G205" s="92"/>
      <c r="H205" s="92"/>
      <c r="I205" s="93"/>
      <c r="J205" s="94"/>
      <c r="K205" s="94"/>
      <c r="L205" s="95"/>
      <c r="M205" s="66"/>
      <c r="N205" s="96"/>
      <c r="O205" s="97"/>
      <c r="P205" s="58"/>
      <c r="Q205" s="69"/>
      <c r="R205" s="70"/>
      <c r="S205" s="66"/>
      <c r="T205" s="55"/>
      <c r="U205" s="55"/>
      <c r="V205" s="55"/>
      <c r="W205" s="98"/>
      <c r="X205" s="98"/>
      <c r="Y205" s="98"/>
      <c r="Z205" s="98"/>
      <c r="AA205" s="98"/>
      <c r="AB205" s="98"/>
      <c r="AC205" s="98"/>
      <c r="AD205" s="98"/>
      <c r="AE205" s="98"/>
      <c r="AF205" s="211"/>
      <c r="AG205" s="211"/>
      <c r="AH205" s="211"/>
      <c r="AI205" s="211"/>
      <c r="AJ205" s="92"/>
    </row>
    <row r="206" spans="1:36" s="99" customFormat="1" ht="65.099999999999994" customHeight="1">
      <c r="A206" s="89"/>
      <c r="B206" s="89"/>
      <c r="C206" s="90"/>
      <c r="D206" s="91"/>
      <c r="E206" s="92"/>
      <c r="F206" s="92"/>
      <c r="G206" s="92"/>
      <c r="H206" s="92"/>
      <c r="I206" s="93"/>
      <c r="J206" s="94"/>
      <c r="K206" s="94"/>
      <c r="L206" s="95"/>
      <c r="M206" s="66"/>
      <c r="N206" s="96"/>
      <c r="O206" s="97"/>
      <c r="P206" s="58"/>
      <c r="Q206" s="69"/>
      <c r="R206" s="70"/>
      <c r="S206" s="66"/>
      <c r="T206" s="55"/>
      <c r="U206" s="55"/>
      <c r="V206" s="55"/>
      <c r="W206" s="98"/>
      <c r="X206" s="98"/>
      <c r="Y206" s="98"/>
      <c r="Z206" s="98"/>
      <c r="AA206" s="98"/>
      <c r="AB206" s="98"/>
      <c r="AC206" s="98"/>
      <c r="AD206" s="98"/>
      <c r="AE206" s="98"/>
      <c r="AF206" s="211"/>
      <c r="AG206" s="211"/>
      <c r="AH206" s="211"/>
      <c r="AI206" s="211"/>
      <c r="AJ206" s="92"/>
    </row>
    <row r="207" spans="1:36" s="99" customFormat="1" ht="65.099999999999994" customHeight="1">
      <c r="A207" s="89"/>
      <c r="B207" s="89"/>
      <c r="C207" s="90"/>
      <c r="D207" s="91"/>
      <c r="E207" s="92"/>
      <c r="F207" s="92"/>
      <c r="G207" s="92"/>
      <c r="H207" s="92"/>
      <c r="I207" s="93"/>
      <c r="J207" s="94"/>
      <c r="K207" s="94"/>
      <c r="L207" s="95"/>
      <c r="M207" s="66"/>
      <c r="N207" s="96"/>
      <c r="O207" s="97"/>
      <c r="P207" s="58"/>
      <c r="Q207" s="69"/>
      <c r="R207" s="70"/>
      <c r="S207" s="66"/>
      <c r="T207" s="55"/>
      <c r="U207" s="55"/>
      <c r="V207" s="55"/>
      <c r="W207" s="98"/>
      <c r="X207" s="98"/>
      <c r="Y207" s="98"/>
      <c r="Z207" s="98"/>
      <c r="AA207" s="98"/>
      <c r="AB207" s="98"/>
      <c r="AC207" s="98"/>
      <c r="AD207" s="98"/>
      <c r="AE207" s="98"/>
      <c r="AF207" s="211"/>
      <c r="AG207" s="211"/>
      <c r="AH207" s="211"/>
      <c r="AI207" s="211"/>
      <c r="AJ207" s="92"/>
    </row>
    <row r="208" spans="1:36" s="99" customFormat="1" ht="65.099999999999994" customHeight="1">
      <c r="A208" s="89"/>
      <c r="B208" s="89"/>
      <c r="C208" s="90"/>
      <c r="D208" s="91"/>
      <c r="E208" s="92"/>
      <c r="F208" s="92"/>
      <c r="G208" s="92"/>
      <c r="H208" s="92"/>
      <c r="I208" s="93"/>
      <c r="J208" s="94"/>
      <c r="K208" s="94"/>
      <c r="L208" s="95"/>
      <c r="M208" s="66"/>
      <c r="N208" s="96"/>
      <c r="O208" s="97"/>
      <c r="P208" s="58"/>
      <c r="Q208" s="69"/>
      <c r="R208" s="70"/>
      <c r="S208" s="66"/>
      <c r="T208" s="55"/>
      <c r="U208" s="55"/>
      <c r="V208" s="55"/>
      <c r="W208" s="98"/>
      <c r="X208" s="98"/>
      <c r="Y208" s="98"/>
      <c r="Z208" s="98"/>
      <c r="AA208" s="98"/>
      <c r="AB208" s="98"/>
      <c r="AC208" s="98"/>
      <c r="AD208" s="98"/>
      <c r="AE208" s="98"/>
      <c r="AF208" s="211"/>
      <c r="AG208" s="211"/>
      <c r="AH208" s="211"/>
      <c r="AI208" s="211"/>
      <c r="AJ208" s="92"/>
    </row>
    <row r="209" spans="1:36" s="99" customFormat="1" ht="65.099999999999994" customHeight="1">
      <c r="A209" s="89"/>
      <c r="B209" s="89"/>
      <c r="C209" s="90"/>
      <c r="D209" s="91"/>
      <c r="E209" s="92"/>
      <c r="F209" s="92"/>
      <c r="G209" s="92"/>
      <c r="H209" s="92"/>
      <c r="I209" s="93"/>
      <c r="J209" s="94"/>
      <c r="K209" s="94"/>
      <c r="L209" s="95"/>
      <c r="M209" s="66"/>
      <c r="N209" s="96"/>
      <c r="O209" s="97"/>
      <c r="P209" s="58"/>
      <c r="Q209" s="69"/>
      <c r="R209" s="70"/>
      <c r="S209" s="66"/>
      <c r="T209" s="55"/>
      <c r="U209" s="55"/>
      <c r="V209" s="55"/>
      <c r="W209" s="98"/>
      <c r="X209" s="98"/>
      <c r="Y209" s="98"/>
      <c r="Z209" s="98"/>
      <c r="AA209" s="98"/>
      <c r="AB209" s="98"/>
      <c r="AC209" s="98"/>
      <c r="AD209" s="98"/>
      <c r="AE209" s="98"/>
      <c r="AF209" s="211"/>
      <c r="AG209" s="211"/>
      <c r="AH209" s="211"/>
      <c r="AI209" s="211"/>
      <c r="AJ209" s="92"/>
    </row>
    <row r="210" spans="1:36" s="99" customFormat="1" ht="65.099999999999994" customHeight="1">
      <c r="A210" s="89"/>
      <c r="B210" s="89"/>
      <c r="C210" s="90"/>
      <c r="D210" s="91"/>
      <c r="E210" s="92"/>
      <c r="F210" s="92"/>
      <c r="G210" s="92"/>
      <c r="H210" s="92"/>
      <c r="I210" s="93"/>
      <c r="J210" s="94"/>
      <c r="K210" s="94"/>
      <c r="L210" s="95"/>
      <c r="M210" s="66"/>
      <c r="N210" s="96"/>
      <c r="O210" s="97"/>
      <c r="P210" s="58"/>
      <c r="Q210" s="69"/>
      <c r="R210" s="70"/>
      <c r="S210" s="66"/>
      <c r="T210" s="55"/>
      <c r="U210" s="55"/>
      <c r="V210" s="55"/>
      <c r="W210" s="98"/>
      <c r="X210" s="98"/>
      <c r="Y210" s="98"/>
      <c r="Z210" s="98"/>
      <c r="AA210" s="98"/>
      <c r="AB210" s="98"/>
      <c r="AC210" s="98"/>
      <c r="AD210" s="98"/>
      <c r="AE210" s="98"/>
      <c r="AF210" s="211"/>
      <c r="AG210" s="211"/>
      <c r="AH210" s="211"/>
      <c r="AI210" s="211"/>
      <c r="AJ210" s="92"/>
    </row>
    <row r="211" spans="1:36" s="99" customFormat="1" ht="65.099999999999994" customHeight="1">
      <c r="A211" s="89"/>
      <c r="B211" s="89"/>
      <c r="C211" s="90"/>
      <c r="D211" s="91"/>
      <c r="E211" s="92"/>
      <c r="F211" s="92"/>
      <c r="G211" s="92"/>
      <c r="H211" s="92"/>
      <c r="I211" s="93"/>
      <c r="J211" s="94"/>
      <c r="K211" s="94"/>
      <c r="L211" s="95"/>
      <c r="M211" s="66"/>
      <c r="N211" s="96"/>
      <c r="O211" s="97"/>
      <c r="P211" s="58"/>
      <c r="Q211" s="69"/>
      <c r="R211" s="70"/>
      <c r="S211" s="66"/>
      <c r="T211" s="55"/>
      <c r="U211" s="55"/>
      <c r="V211" s="55"/>
      <c r="W211" s="98"/>
      <c r="X211" s="98"/>
      <c r="Y211" s="98"/>
      <c r="Z211" s="98"/>
      <c r="AA211" s="98"/>
      <c r="AB211" s="98"/>
      <c r="AC211" s="98"/>
      <c r="AD211" s="98"/>
      <c r="AE211" s="98"/>
      <c r="AF211" s="211"/>
      <c r="AG211" s="211"/>
      <c r="AH211" s="211"/>
      <c r="AI211" s="211"/>
      <c r="AJ211" s="92"/>
    </row>
    <row r="212" spans="1:36" s="99" customFormat="1" ht="65.099999999999994" customHeight="1">
      <c r="A212" s="89"/>
      <c r="B212" s="89"/>
      <c r="C212" s="90"/>
      <c r="D212" s="91"/>
      <c r="E212" s="92"/>
      <c r="F212" s="92"/>
      <c r="G212" s="92"/>
      <c r="H212" s="92"/>
      <c r="I212" s="93"/>
      <c r="J212" s="94"/>
      <c r="K212" s="94"/>
      <c r="L212" s="95"/>
      <c r="M212" s="66"/>
      <c r="N212" s="96"/>
      <c r="O212" s="97"/>
      <c r="P212" s="58"/>
      <c r="Q212" s="69"/>
      <c r="R212" s="70"/>
      <c r="S212" s="66"/>
      <c r="T212" s="55"/>
      <c r="U212" s="55"/>
      <c r="V212" s="55"/>
      <c r="W212" s="98"/>
      <c r="X212" s="98"/>
      <c r="Y212" s="98"/>
      <c r="Z212" s="98"/>
      <c r="AA212" s="98"/>
      <c r="AB212" s="98"/>
      <c r="AC212" s="98"/>
      <c r="AD212" s="98"/>
      <c r="AE212" s="98"/>
      <c r="AF212" s="211"/>
      <c r="AG212" s="211"/>
      <c r="AH212" s="211"/>
      <c r="AI212" s="211"/>
      <c r="AJ212" s="92"/>
    </row>
  </sheetData>
  <autoFilter ref="A1:AJ15">
    <filterColumn colId="22" showButton="0"/>
    <filterColumn colId="23" showButton="0"/>
    <filterColumn colId="25" showButton="0"/>
    <filterColumn colId="26" showButton="0"/>
  </autoFilter>
  <mergeCells count="267">
    <mergeCell ref="Q1:Q2"/>
    <mergeCell ref="R1:R2"/>
    <mergeCell ref="G1:G2"/>
    <mergeCell ref="H1:H2"/>
    <mergeCell ref="I1:I2"/>
    <mergeCell ref="J1:J2"/>
    <mergeCell ref="K1:K2"/>
    <mergeCell ref="L1:L2"/>
    <mergeCell ref="A1:A2"/>
    <mergeCell ref="B1:B2"/>
    <mergeCell ref="C1:C2"/>
    <mergeCell ref="D1:D2"/>
    <mergeCell ref="E1:E2"/>
    <mergeCell ref="F1:F2"/>
    <mergeCell ref="AJ1:AJ2"/>
    <mergeCell ref="A3:A7"/>
    <mergeCell ref="W3:Y3"/>
    <mergeCell ref="Z3:AB3"/>
    <mergeCell ref="AC3:AE3"/>
    <mergeCell ref="AG3:AG7"/>
    <mergeCell ref="AH3:AH7"/>
    <mergeCell ref="W4:Y4"/>
    <mergeCell ref="Z4:AB4"/>
    <mergeCell ref="AC1:AE1"/>
    <mergeCell ref="AF1:AF2"/>
    <mergeCell ref="AG1:AG2"/>
    <mergeCell ref="AH1:AH2"/>
    <mergeCell ref="AI1:AI2"/>
    <mergeCell ref="S1:S2"/>
    <mergeCell ref="T1:T2"/>
    <mergeCell ref="U1:U2"/>
    <mergeCell ref="V1:V2"/>
    <mergeCell ref="W1:Y1"/>
    <mergeCell ref="Z1:AB1"/>
    <mergeCell ref="M1:M2"/>
    <mergeCell ref="N1:N2"/>
    <mergeCell ref="O1:O2"/>
    <mergeCell ref="P1:P2"/>
    <mergeCell ref="W6:Y6"/>
    <mergeCell ref="Z6:AB6"/>
    <mergeCell ref="AC6:AE6"/>
    <mergeCell ref="W7:Y7"/>
    <mergeCell ref="Z7:AB7"/>
    <mergeCell ref="AC7:AE7"/>
    <mergeCell ref="AC4:AE4"/>
    <mergeCell ref="W5:Y5"/>
    <mergeCell ref="Z5:AB5"/>
    <mergeCell ref="AC5:AE5"/>
    <mergeCell ref="AG8:AG9"/>
    <mergeCell ref="AH8:AH9"/>
    <mergeCell ref="W9:Y9"/>
    <mergeCell ref="Z9:AB9"/>
    <mergeCell ref="AC9:AE9"/>
    <mergeCell ref="A8:A9"/>
    <mergeCell ref="W8:Y8"/>
    <mergeCell ref="Z8:AB8"/>
    <mergeCell ref="AC8:AE8"/>
    <mergeCell ref="A13:A18"/>
    <mergeCell ref="W13:Y13"/>
    <mergeCell ref="Z13:AB13"/>
    <mergeCell ref="AC13:AE13"/>
    <mergeCell ref="W16:Y16"/>
    <mergeCell ref="AG10:AG12"/>
    <mergeCell ref="AH10:AH12"/>
    <mergeCell ref="W11:Y11"/>
    <mergeCell ref="Z11:AB11"/>
    <mergeCell ref="AC11:AE11"/>
    <mergeCell ref="W12:Y12"/>
    <mergeCell ref="Z12:AB12"/>
    <mergeCell ref="AC12:AE12"/>
    <mergeCell ref="A10:A12"/>
    <mergeCell ref="W10:Y10"/>
    <mergeCell ref="Z10:AB10"/>
    <mergeCell ref="AC10:AE10"/>
    <mergeCell ref="Z16:AB16"/>
    <mergeCell ref="AC16:AE16"/>
    <mergeCell ref="W17:Y17"/>
    <mergeCell ref="Z17:AB17"/>
    <mergeCell ref="AC17:AE17"/>
    <mergeCell ref="AG13:AG18"/>
    <mergeCell ref="AH13:AH18"/>
    <mergeCell ref="W14:Y14"/>
    <mergeCell ref="Z14:AB14"/>
    <mergeCell ref="AC14:AE14"/>
    <mergeCell ref="W15:Y15"/>
    <mergeCell ref="Z15:AB15"/>
    <mergeCell ref="AC15:AE15"/>
    <mergeCell ref="AG19:AG23"/>
    <mergeCell ref="AH19:AH23"/>
    <mergeCell ref="W20:Y20"/>
    <mergeCell ref="Z20:AB20"/>
    <mergeCell ref="AC20:AE20"/>
    <mergeCell ref="W21:Y21"/>
    <mergeCell ref="Z21:AB21"/>
    <mergeCell ref="AC21:AE21"/>
    <mergeCell ref="W18:Y18"/>
    <mergeCell ref="Z18:AB18"/>
    <mergeCell ref="AC18:AE18"/>
    <mergeCell ref="W19:Y19"/>
    <mergeCell ref="Z19:AB19"/>
    <mergeCell ref="AC19:AE19"/>
    <mergeCell ref="W22:Y22"/>
    <mergeCell ref="A24:A29"/>
    <mergeCell ref="W24:Y24"/>
    <mergeCell ref="Z24:AB24"/>
    <mergeCell ref="AC24:AE24"/>
    <mergeCell ref="W27:Y27"/>
    <mergeCell ref="Z22:AB22"/>
    <mergeCell ref="AC22:AE22"/>
    <mergeCell ref="W23:Y23"/>
    <mergeCell ref="Z23:AB23"/>
    <mergeCell ref="AC23:AE23"/>
    <mergeCell ref="A19:A23"/>
    <mergeCell ref="AC29:AE29"/>
    <mergeCell ref="Z29:AB29"/>
    <mergeCell ref="W29:Y29"/>
    <mergeCell ref="Z27:AB27"/>
    <mergeCell ref="AC27:AE27"/>
    <mergeCell ref="W28:Y28"/>
    <mergeCell ref="Z28:AB28"/>
    <mergeCell ref="AC28:AE28"/>
    <mergeCell ref="AG24:AG29"/>
    <mergeCell ref="AH24:AH29"/>
    <mergeCell ref="W25:Y25"/>
    <mergeCell ref="Z25:AB25"/>
    <mergeCell ref="AC25:AE25"/>
    <mergeCell ref="W26:Y26"/>
    <mergeCell ref="Z26:AB26"/>
    <mergeCell ref="AC26:AE26"/>
    <mergeCell ref="AG30:AG32"/>
    <mergeCell ref="AH30:AH32"/>
    <mergeCell ref="W31:Y31"/>
    <mergeCell ref="Z31:AB31"/>
    <mergeCell ref="AC31:AE31"/>
    <mergeCell ref="W32:Y32"/>
    <mergeCell ref="Z32:AB32"/>
    <mergeCell ref="AC32:AE32"/>
    <mergeCell ref="W30:Y30"/>
    <mergeCell ref="Z30:AB30"/>
    <mergeCell ref="AC30:AE30"/>
    <mergeCell ref="A33:A38"/>
    <mergeCell ref="W33:Y33"/>
    <mergeCell ref="Z33:AB33"/>
    <mergeCell ref="AC33:AE33"/>
    <mergeCell ref="W36:Y36"/>
    <mergeCell ref="A30:A32"/>
    <mergeCell ref="Z36:AB36"/>
    <mergeCell ref="AC36:AE36"/>
    <mergeCell ref="W37:Y37"/>
    <mergeCell ref="Z37:AB37"/>
    <mergeCell ref="AC37:AE37"/>
    <mergeCell ref="AG33:AG38"/>
    <mergeCell ref="AH33:AH38"/>
    <mergeCell ref="W34:Y34"/>
    <mergeCell ref="Z34:AB34"/>
    <mergeCell ref="AC34:AE34"/>
    <mergeCell ref="W35:Y35"/>
    <mergeCell ref="Z35:AB35"/>
    <mergeCell ref="AC35:AE35"/>
    <mergeCell ref="AG39:AG44"/>
    <mergeCell ref="AH39:AH44"/>
    <mergeCell ref="W40:Y40"/>
    <mergeCell ref="Z40:AB40"/>
    <mergeCell ref="AC40:AE40"/>
    <mergeCell ref="W41:Y41"/>
    <mergeCell ref="Z41:AB41"/>
    <mergeCell ref="AC41:AE41"/>
    <mergeCell ref="W38:Y38"/>
    <mergeCell ref="Z38:AB38"/>
    <mergeCell ref="AC38:AE38"/>
    <mergeCell ref="W39:Y39"/>
    <mergeCell ref="Z39:AB39"/>
    <mergeCell ref="AC39:AE39"/>
    <mergeCell ref="W42:Y42"/>
    <mergeCell ref="W44:Y44"/>
    <mergeCell ref="Z44:AB44"/>
    <mergeCell ref="AC44:AE44"/>
    <mergeCell ref="A45:A50"/>
    <mergeCell ref="W45:Y45"/>
    <mergeCell ref="Z45:AB45"/>
    <mergeCell ref="AC45:AE45"/>
    <mergeCell ref="W48:Y48"/>
    <mergeCell ref="Z42:AB42"/>
    <mergeCell ref="AC42:AE42"/>
    <mergeCell ref="W43:Y43"/>
    <mergeCell ref="Z43:AB43"/>
    <mergeCell ref="AC43:AE43"/>
    <mergeCell ref="A39:A44"/>
    <mergeCell ref="Z48:AB48"/>
    <mergeCell ref="AC48:AE48"/>
    <mergeCell ref="W49:Y49"/>
    <mergeCell ref="Z49:AB49"/>
    <mergeCell ref="AC49:AE49"/>
    <mergeCell ref="AG45:AG50"/>
    <mergeCell ref="AH45:AH50"/>
    <mergeCell ref="W46:Y46"/>
    <mergeCell ref="Z46:AB46"/>
    <mergeCell ref="AC46:AE46"/>
    <mergeCell ref="W47:Y47"/>
    <mergeCell ref="Z47:AB47"/>
    <mergeCell ref="AC47:AE47"/>
    <mergeCell ref="AG51:AG56"/>
    <mergeCell ref="AH51:AH56"/>
    <mergeCell ref="W52:Y52"/>
    <mergeCell ref="Z52:AB52"/>
    <mergeCell ref="AC52:AE52"/>
    <mergeCell ref="W53:Y53"/>
    <mergeCell ref="Z53:AB53"/>
    <mergeCell ref="AC53:AE53"/>
    <mergeCell ref="W50:Y50"/>
    <mergeCell ref="Z50:AB50"/>
    <mergeCell ref="AC50:AE50"/>
    <mergeCell ref="W51:Y51"/>
    <mergeCell ref="Z51:AB51"/>
    <mergeCell ref="AC51:AE51"/>
    <mergeCell ref="W54:Y54"/>
    <mergeCell ref="W56:Y56"/>
    <mergeCell ref="Z56:AB56"/>
    <mergeCell ref="AC56:AE56"/>
    <mergeCell ref="A57:A62"/>
    <mergeCell ref="W57:Y57"/>
    <mergeCell ref="Z57:AB57"/>
    <mergeCell ref="AC57:AE57"/>
    <mergeCell ref="W60:Y60"/>
    <mergeCell ref="Z54:AB54"/>
    <mergeCell ref="AC54:AE54"/>
    <mergeCell ref="W55:Y55"/>
    <mergeCell ref="Z55:AB55"/>
    <mergeCell ref="AC55:AE55"/>
    <mergeCell ref="A51:A56"/>
    <mergeCell ref="W67:Y67"/>
    <mergeCell ref="A63:A68"/>
    <mergeCell ref="W63:Y63"/>
    <mergeCell ref="Z63:AB63"/>
    <mergeCell ref="AC63:AE63"/>
    <mergeCell ref="W66:Y66"/>
    <mergeCell ref="Z60:AB60"/>
    <mergeCell ref="AC60:AE60"/>
    <mergeCell ref="W61:Y61"/>
    <mergeCell ref="Z61:AB61"/>
    <mergeCell ref="AC61:AE61"/>
    <mergeCell ref="Z67:AB67"/>
    <mergeCell ref="AC67:AE67"/>
    <mergeCell ref="AG63:AG68"/>
    <mergeCell ref="AH63:AH68"/>
    <mergeCell ref="W64:Y64"/>
    <mergeCell ref="Z64:AB64"/>
    <mergeCell ref="AC64:AE64"/>
    <mergeCell ref="W65:Y65"/>
    <mergeCell ref="Z65:AB65"/>
    <mergeCell ref="AC65:AE65"/>
    <mergeCell ref="W62:Y62"/>
    <mergeCell ref="Z62:AB62"/>
    <mergeCell ref="AC62:AE62"/>
    <mergeCell ref="AG57:AG62"/>
    <mergeCell ref="AH57:AH62"/>
    <mergeCell ref="W58:Y58"/>
    <mergeCell ref="Z58:AB58"/>
    <mergeCell ref="AC58:AE58"/>
    <mergeCell ref="W59:Y59"/>
    <mergeCell ref="Z59:AB59"/>
    <mergeCell ref="AC59:AE59"/>
    <mergeCell ref="W68:Y68"/>
    <mergeCell ref="Z68:AB68"/>
    <mergeCell ref="AC68:AE68"/>
    <mergeCell ref="Z66:AB66"/>
    <mergeCell ref="AC66:AE66"/>
  </mergeCells>
  <conditionalFormatting sqref="G3:H23 AF4:AF68 G32:H68">
    <cfRule type="containsText" dxfId="116" priority="7" operator="containsText" text="NO">
      <formula>NOT(ISERROR(SEARCH("NO",G3)))</formula>
    </cfRule>
  </conditionalFormatting>
  <conditionalFormatting sqref="AF3:AH3 AG8:AH8 AG10:AH10 AG13:AH13 AG19:AH19 AG24:AH24 AG30:AH30 AG33:AH33 AG39:AH39 AG45:AH45 AG51:AH51 AG57:AH57 AG63:AH63">
    <cfRule type="containsText" dxfId="115" priority="5" operator="containsText" text="NO">
      <formula>NOT(ISERROR(SEARCH("NO",AF3)))</formula>
    </cfRule>
  </conditionalFormatting>
  <conditionalFormatting sqref="G24:H25">
    <cfRule type="containsText" dxfId="114" priority="4" operator="containsText" text="NO">
      <formula>NOT(ISERROR(SEARCH("NO",G24)))</formula>
    </cfRule>
  </conditionalFormatting>
  <conditionalFormatting sqref="G30:H31">
    <cfRule type="containsText" dxfId="113" priority="1" operator="containsText" text="NO">
      <formula>NOT(ISERROR(SEARCH("NO",G30)))</formula>
    </cfRule>
  </conditionalFormatting>
  <conditionalFormatting sqref="G27:H29">
    <cfRule type="containsText" dxfId="112" priority="3" operator="containsText" text="NO">
      <formula>NOT(ISERROR(SEARCH("NO",G27)))</formula>
    </cfRule>
  </conditionalFormatting>
  <conditionalFormatting sqref="G26:H26">
    <cfRule type="containsText" dxfId="111" priority="2" operator="containsText" text="NO">
      <formula>NOT(ISERROR(SEARCH("NO",G26)))</formula>
    </cfRule>
  </conditionalFormatting>
  <dataValidations count="1">
    <dataValidation type="list" allowBlank="1" showInputMessage="1" showErrorMessage="1" sqref="W3:Y7 G3:H68 Z3:AF68">
      <formula1>$AL$1:$AM$1</formula1>
    </dataValidation>
  </dataValidations>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B198"/>
  <sheetViews>
    <sheetView zoomScale="50" zoomScaleNormal="50" zoomScalePageLayoutView="75" workbookViewId="0">
      <pane xSplit="1" ySplit="2" topLeftCell="K30" activePane="bottomRight" state="frozen"/>
      <selection activeCell="F7" sqref="F7"/>
      <selection pane="topRight" activeCell="F7" sqref="F7"/>
      <selection pane="bottomLeft" activeCell="F7" sqref="F7"/>
      <selection pane="bottomRight" activeCell="Y6" sqref="Y6"/>
    </sheetView>
  </sheetViews>
  <sheetFormatPr baseColWidth="10" defaultColWidth="10.875" defaultRowHeight="15.75"/>
  <cols>
    <col min="1" max="1" width="10.875" style="89" bestFit="1" customWidth="1"/>
    <col min="2" max="2" width="8.875" style="89" customWidth="1"/>
    <col min="3" max="3" width="10.75" style="100" customWidth="1"/>
    <col min="4" max="4" width="19" style="92" customWidth="1"/>
    <col min="5" max="5" width="17.5" style="92" customWidth="1"/>
    <col min="6" max="6" width="66.125" style="101" customWidth="1"/>
    <col min="7" max="7" width="18.5" style="101" customWidth="1"/>
    <col min="8" max="8" width="28.75" style="101" customWidth="1"/>
    <col min="9" max="10" width="18.875" style="101" customWidth="1"/>
    <col min="11" max="11" width="13.625" style="102" customWidth="1"/>
    <col min="12" max="12" width="14" style="103" customWidth="1"/>
    <col min="13" max="13" width="11" style="104" customWidth="1"/>
    <col min="14" max="14" width="11" style="105" customWidth="1"/>
    <col min="15" max="15" width="11" style="68" customWidth="1"/>
    <col min="16" max="16" width="18.5" style="106" customWidth="1"/>
    <col min="17" max="17" width="8.75" style="106" customWidth="1"/>
    <col min="18" max="18" width="9.5" style="68" bestFit="1" customWidth="1"/>
    <col min="19" max="19" width="12.5" style="68" customWidth="1"/>
    <col min="20" max="20" width="9.625" style="68" bestFit="1" customWidth="1"/>
    <col min="21" max="21" width="16.625" style="68" customWidth="1"/>
    <col min="22" max="22" width="15.5" style="68" customWidth="1"/>
    <col min="23" max="23" width="18.375" style="81" customWidth="1"/>
    <col min="24" max="24" width="19.5" style="58" customWidth="1"/>
    <col min="25" max="25" width="59.125" style="92" customWidth="1"/>
    <col min="26" max="28" width="10.875" style="108"/>
    <col min="29" max="30" width="15.125" style="108" bestFit="1" customWidth="1"/>
    <col min="31" max="16384" width="10.875" style="108"/>
  </cols>
  <sheetData>
    <row r="1" spans="1:28" s="56" customFormat="1" ht="15" customHeight="1">
      <c r="A1" s="776" t="s">
        <v>6</v>
      </c>
      <c r="B1" s="776" t="s">
        <v>5</v>
      </c>
      <c r="C1" s="776" t="s">
        <v>174</v>
      </c>
      <c r="D1" s="776" t="s">
        <v>12</v>
      </c>
      <c r="E1" s="776" t="s">
        <v>13</v>
      </c>
      <c r="F1" s="776" t="s">
        <v>14</v>
      </c>
      <c r="G1" s="780" t="s">
        <v>186</v>
      </c>
      <c r="H1" s="780" t="s">
        <v>483</v>
      </c>
      <c r="I1" s="781" t="s">
        <v>187</v>
      </c>
      <c r="J1" s="781" t="s">
        <v>484</v>
      </c>
      <c r="K1" s="782" t="s">
        <v>63</v>
      </c>
      <c r="L1" s="784" t="s">
        <v>15</v>
      </c>
      <c r="M1" s="784" t="s">
        <v>16</v>
      </c>
      <c r="N1" s="831" t="s">
        <v>69</v>
      </c>
      <c r="O1" s="776" t="s">
        <v>68</v>
      </c>
      <c r="P1" s="776" t="s">
        <v>17</v>
      </c>
      <c r="Q1" s="776" t="s">
        <v>18</v>
      </c>
      <c r="R1" s="780" t="s">
        <v>19</v>
      </c>
      <c r="S1" s="780" t="s">
        <v>20</v>
      </c>
      <c r="T1" s="780" t="s">
        <v>21</v>
      </c>
      <c r="U1" s="780" t="s">
        <v>22</v>
      </c>
      <c r="V1" s="776" t="s">
        <v>23</v>
      </c>
      <c r="W1" s="780" t="s">
        <v>485</v>
      </c>
      <c r="X1" s="780" t="s">
        <v>486</v>
      </c>
      <c r="Y1" s="791" t="s">
        <v>3</v>
      </c>
      <c r="AA1" s="57" t="s">
        <v>10</v>
      </c>
      <c r="AB1" s="57" t="s">
        <v>11</v>
      </c>
    </row>
    <row r="2" spans="1:28" s="56" customFormat="1" ht="104.25" customHeight="1" thickBot="1">
      <c r="A2" s="777"/>
      <c r="B2" s="777"/>
      <c r="C2" s="777"/>
      <c r="D2" s="777"/>
      <c r="E2" s="777"/>
      <c r="F2" s="777"/>
      <c r="G2" s="781"/>
      <c r="H2" s="781"/>
      <c r="I2" s="833"/>
      <c r="J2" s="833"/>
      <c r="K2" s="783"/>
      <c r="L2" s="785"/>
      <c r="M2" s="785"/>
      <c r="N2" s="832"/>
      <c r="O2" s="777"/>
      <c r="P2" s="777"/>
      <c r="Q2" s="777"/>
      <c r="R2" s="781"/>
      <c r="S2" s="781"/>
      <c r="T2" s="781"/>
      <c r="U2" s="781"/>
      <c r="V2" s="777"/>
      <c r="W2" s="781"/>
      <c r="X2" s="781"/>
      <c r="Y2" s="792"/>
    </row>
    <row r="3" spans="1:28" s="72" customFormat="1" ht="156" customHeight="1">
      <c r="A3" s="795" t="s">
        <v>228</v>
      </c>
      <c r="B3" s="123" t="s">
        <v>120</v>
      </c>
      <c r="C3" s="124">
        <v>4</v>
      </c>
      <c r="D3" s="125" t="str">
        <f>+IFERROR(INDEX(CONSOLIDADO!$D$4:$D$89,MATCH('EXP ESPEC. 13-19'!B3,CONSOLIDADO!$C$4:$C$89,0)),"")</f>
        <v>VELNEC S.A</v>
      </c>
      <c r="E3" s="126" t="s">
        <v>352</v>
      </c>
      <c r="F3" s="127" t="s">
        <v>355</v>
      </c>
      <c r="G3" s="213" t="s">
        <v>10</v>
      </c>
      <c r="H3" s="279" t="s">
        <v>11</v>
      </c>
      <c r="I3" s="212" t="s">
        <v>10</v>
      </c>
      <c r="J3" s="213" t="s">
        <v>11</v>
      </c>
      <c r="K3" s="128">
        <v>1</v>
      </c>
      <c r="L3" s="129">
        <v>39062</v>
      </c>
      <c r="M3" s="129">
        <v>40476</v>
      </c>
      <c r="N3" s="130">
        <f>IF(M3="","",YEAR(M3))</f>
        <v>2010</v>
      </c>
      <c r="O3" s="131">
        <f>+IFERROR(INDEX(PARÁMETROS!$B$11:$B$37,MATCH(N3,PARÁMETROS!$A$11:$A$37,0)),"")</f>
        <v>515000</v>
      </c>
      <c r="P3" s="132">
        <v>2398644428</v>
      </c>
      <c r="Q3" s="133" t="s">
        <v>25</v>
      </c>
      <c r="R3" s="123" t="s">
        <v>346</v>
      </c>
      <c r="S3" s="134" t="s">
        <v>346</v>
      </c>
      <c r="T3" s="135">
        <v>1</v>
      </c>
      <c r="U3" s="131">
        <f>IF(T3&lt;&gt;"",P3*T3,"")</f>
        <v>2398644428</v>
      </c>
      <c r="V3" s="136">
        <f>+IFERROR(U3/O3,"")</f>
        <v>4657.5619961165048</v>
      </c>
      <c r="W3" s="136">
        <f>IFERROR(V3*K3,"")</f>
        <v>4657.5619961165048</v>
      </c>
      <c r="X3" s="168" t="str">
        <f>+IF(W3="","",IF(W3&gt;=PARÁMETROS!$J$5,"CUMPLE","NO CUMPLE"))</f>
        <v>CUMPLE</v>
      </c>
      <c r="Y3" s="138"/>
      <c r="Z3" s="109"/>
    </row>
    <row r="4" spans="1:28" s="72" customFormat="1" ht="114">
      <c r="A4" s="796"/>
      <c r="B4" s="58" t="s">
        <v>120</v>
      </c>
      <c r="C4" s="59">
        <v>30</v>
      </c>
      <c r="D4" s="60" t="str">
        <f>+IFERROR(INDEX(CONSOLIDADO!$D$4:$D$89,MATCH('EXP ESPEC. 13-19'!B4,CONSOLIDADO!$C$4:$C$89,0)),"")</f>
        <v>VELNEC S.A</v>
      </c>
      <c r="E4" s="61" t="s">
        <v>353</v>
      </c>
      <c r="F4" s="61" t="s">
        <v>356</v>
      </c>
      <c r="G4" s="211" t="s">
        <v>10</v>
      </c>
      <c r="H4" s="211" t="s">
        <v>10</v>
      </c>
      <c r="I4" s="211" t="s">
        <v>10</v>
      </c>
      <c r="J4" s="277" t="s">
        <v>11</v>
      </c>
      <c r="K4" s="73">
        <v>0.2</v>
      </c>
      <c r="L4" s="64">
        <v>40567</v>
      </c>
      <c r="M4" s="64">
        <v>42402</v>
      </c>
      <c r="N4" s="65">
        <f t="shared" ref="N4:N54" si="0">IF(M4="","",YEAR(M4))</f>
        <v>2016</v>
      </c>
      <c r="O4" s="66">
        <f>+IFERROR(INDEX(PARÁMETROS!$B$11:$B$37,MATCH(N4,PARÁMETROS!$A$11:$A$37,0)),"")</f>
        <v>689554</v>
      </c>
      <c r="P4" s="74">
        <v>44197795294</v>
      </c>
      <c r="Q4" s="66" t="s">
        <v>25</v>
      </c>
      <c r="R4" s="58" t="s">
        <v>346</v>
      </c>
      <c r="S4" s="69" t="s">
        <v>346</v>
      </c>
      <c r="T4" s="70">
        <v>1</v>
      </c>
      <c r="U4" s="66">
        <f t="shared" ref="U4:U54" si="1">IF(T4&lt;&gt;"",P4*T4,"")</f>
        <v>44197795294</v>
      </c>
      <c r="V4" s="55">
        <f t="shared" ref="V4:V54" si="2">+IFERROR(U4/O4,"")</f>
        <v>64096.206089733365</v>
      </c>
      <c r="W4" s="55">
        <f t="shared" ref="W4:W54" si="3">IFERROR(V4*K4,"")</f>
        <v>12819.241217946674</v>
      </c>
      <c r="X4" s="211" t="str">
        <f>+IF(W4="","",IF(W4&gt;=PARÁMETROS!$J$5,"CUMPLE","NO CUMPLE"))</f>
        <v>CUMPLE</v>
      </c>
      <c r="Y4" s="139"/>
      <c r="Z4" s="109"/>
    </row>
    <row r="5" spans="1:28" s="72" customFormat="1" ht="65.099999999999994" customHeight="1">
      <c r="A5" s="796"/>
      <c r="B5" s="58" t="s">
        <v>120</v>
      </c>
      <c r="C5" s="59">
        <v>45</v>
      </c>
      <c r="D5" s="60" t="str">
        <f>+IFERROR(INDEX(CONSOLIDADO!$D$4:$D$89,MATCH('EXP ESPEC. 13-19'!B5,CONSOLIDADO!$C$4:$C$89,0)),"")</f>
        <v>VELNEC S.A</v>
      </c>
      <c r="E5" s="61" t="s">
        <v>354</v>
      </c>
      <c r="F5" s="62" t="s">
        <v>357</v>
      </c>
      <c r="G5" s="211" t="s">
        <v>10</v>
      </c>
      <c r="H5" s="277" t="s">
        <v>11</v>
      </c>
      <c r="I5" s="211" t="s">
        <v>10</v>
      </c>
      <c r="J5" s="277" t="s">
        <v>11</v>
      </c>
      <c r="K5" s="63">
        <v>1</v>
      </c>
      <c r="L5" s="64">
        <v>41464</v>
      </c>
      <c r="M5" s="64">
        <v>42035</v>
      </c>
      <c r="N5" s="65">
        <f t="shared" si="0"/>
        <v>2015</v>
      </c>
      <c r="O5" s="66">
        <f>+IFERROR(INDEX(PARÁMETROS!$B$11:$B$37,MATCH(N5,PARÁMETROS!$A$11:$A$37,0)),"")</f>
        <v>644350</v>
      </c>
      <c r="P5" s="67">
        <v>2360705616</v>
      </c>
      <c r="Q5" s="68" t="s">
        <v>25</v>
      </c>
      <c r="R5" s="58" t="s">
        <v>346</v>
      </c>
      <c r="S5" s="69" t="s">
        <v>346</v>
      </c>
      <c r="T5" s="70">
        <v>1</v>
      </c>
      <c r="U5" s="66">
        <f t="shared" si="1"/>
        <v>2360705616</v>
      </c>
      <c r="V5" s="55">
        <f t="shared" si="2"/>
        <v>3663.7008085667726</v>
      </c>
      <c r="W5" s="55">
        <f t="shared" si="3"/>
        <v>3663.7008085667726</v>
      </c>
      <c r="X5" s="211" t="str">
        <f>+IF(W5="","",IF(W5&gt;=PARÁMETROS!$J$5,"CUMPLE","NO CUMPLE"))</f>
        <v>CUMPLE</v>
      </c>
      <c r="Y5" s="140"/>
      <c r="Z5" s="109"/>
    </row>
    <row r="6" spans="1:28" s="72" customFormat="1" ht="171.75" thickBot="1">
      <c r="A6" s="806"/>
      <c r="B6" s="141" t="s">
        <v>120</v>
      </c>
      <c r="C6" s="169">
        <v>116</v>
      </c>
      <c r="D6" s="143" t="str">
        <f>+IFERROR(INDEX(CONSOLIDADO!$D$4:$D$89,MATCH('EXP ESPEC. 13-19'!B6,CONSOLIDADO!$C$4:$C$89,0)),"")</f>
        <v>VELNEC S.A</v>
      </c>
      <c r="E6" s="144" t="s">
        <v>353</v>
      </c>
      <c r="F6" s="145" t="s">
        <v>358</v>
      </c>
      <c r="G6" s="210" t="s">
        <v>10</v>
      </c>
      <c r="H6" s="210" t="s">
        <v>10</v>
      </c>
      <c r="I6" s="210" t="s">
        <v>10</v>
      </c>
      <c r="J6" s="278" t="s">
        <v>11</v>
      </c>
      <c r="K6" s="146">
        <v>0.33329999999999999</v>
      </c>
      <c r="L6" s="147">
        <v>41015</v>
      </c>
      <c r="M6" s="147">
        <v>42040</v>
      </c>
      <c r="N6" s="148">
        <f t="shared" si="0"/>
        <v>2015</v>
      </c>
      <c r="O6" s="149">
        <f>+IFERROR(INDEX(PARÁMETROS!$B$11:$B$37,MATCH(N6,PARÁMETROS!$A$11:$A$37,0)),"")</f>
        <v>644350</v>
      </c>
      <c r="P6" s="150">
        <v>35612578709</v>
      </c>
      <c r="Q6" s="151" t="s">
        <v>25</v>
      </c>
      <c r="R6" s="141" t="s">
        <v>346</v>
      </c>
      <c r="S6" s="152" t="s">
        <v>346</v>
      </c>
      <c r="T6" s="153">
        <v>1</v>
      </c>
      <c r="U6" s="149">
        <f t="shared" si="1"/>
        <v>35612578709</v>
      </c>
      <c r="V6" s="154">
        <f t="shared" si="2"/>
        <v>55268.997763637773</v>
      </c>
      <c r="W6" s="154">
        <f t="shared" si="3"/>
        <v>18421.15695462047</v>
      </c>
      <c r="X6" s="211" t="str">
        <f>+IF(W6="","",IF(W6&gt;=PARÁMETROS!$J$5,"CUMPLE","NO CUMPLE"))</f>
        <v>CUMPLE</v>
      </c>
      <c r="Y6" s="170" t="s">
        <v>738</v>
      </c>
      <c r="Z6" s="109"/>
    </row>
    <row r="7" spans="1:28" s="72" customFormat="1" ht="63">
      <c r="A7" s="808" t="s">
        <v>231</v>
      </c>
      <c r="B7" s="110" t="s">
        <v>122</v>
      </c>
      <c r="C7" s="111">
        <v>7</v>
      </c>
      <c r="D7" s="112" t="str">
        <f>+IFERROR(INDEX(CONSOLIDADO!$D$4:$D$89,MATCH('EXP ESPEC. 13-19'!B7,CONSOLIDADO!$C$4:$C$89,0)),"")</f>
        <v>ARREDONDO MADRID INGENIEROS CIVILES (AIM) LIMITADA</v>
      </c>
      <c r="E7" s="113" t="s">
        <v>353</v>
      </c>
      <c r="F7" s="114" t="s">
        <v>359</v>
      </c>
      <c r="G7" s="216" t="s">
        <v>10</v>
      </c>
      <c r="H7" s="216" t="s">
        <v>10</v>
      </c>
      <c r="I7" s="216" t="s">
        <v>10</v>
      </c>
      <c r="J7" s="280" t="s">
        <v>11</v>
      </c>
      <c r="K7" s="115">
        <v>1</v>
      </c>
      <c r="L7" s="116">
        <v>37186</v>
      </c>
      <c r="M7" s="116">
        <v>38373</v>
      </c>
      <c r="N7" s="160">
        <f t="shared" si="0"/>
        <v>2005</v>
      </c>
      <c r="O7" s="117">
        <f>+IFERROR(INDEX(PARÁMETROS!$B$11:$B$37,MATCH(N7,PARÁMETROS!$A$11:$A$37,0)),"")</f>
        <v>381500</v>
      </c>
      <c r="P7" s="118">
        <v>1577666575</v>
      </c>
      <c r="Q7" s="119" t="s">
        <v>25</v>
      </c>
      <c r="R7" s="110" t="s">
        <v>346</v>
      </c>
      <c r="S7" s="120" t="s">
        <v>346</v>
      </c>
      <c r="T7" s="121">
        <v>1</v>
      </c>
      <c r="U7" s="117">
        <f t="shared" si="1"/>
        <v>1577666575</v>
      </c>
      <c r="V7" s="122">
        <f t="shared" si="2"/>
        <v>4135.4300786369595</v>
      </c>
      <c r="W7" s="122">
        <f t="shared" si="3"/>
        <v>4135.4300786369595</v>
      </c>
      <c r="X7" s="211" t="str">
        <f>+IF(W7="","",IF(W7&gt;=PARÁMETROS!$J$5,"CUMPLE","NO CUMPLE"))</f>
        <v>CUMPLE</v>
      </c>
      <c r="Y7" s="167"/>
      <c r="Z7" s="109"/>
    </row>
    <row r="8" spans="1:28" s="72" customFormat="1" ht="63">
      <c r="A8" s="796"/>
      <c r="B8" s="58" t="s">
        <v>122</v>
      </c>
      <c r="C8" s="75">
        <v>11</v>
      </c>
      <c r="D8" s="60" t="str">
        <f>+IFERROR(INDEX(CONSOLIDADO!$D$4:$D$89,MATCH('EXP ESPEC. 13-19'!B8,CONSOLIDADO!$C$4:$C$89,0)),"")</f>
        <v>ARREDONDO MADRID INGENIEROS CIVILES (AIM) LIMITADA</v>
      </c>
      <c r="E8" s="61" t="s">
        <v>353</v>
      </c>
      <c r="F8" s="62" t="s">
        <v>410</v>
      </c>
      <c r="G8" s="211" t="s">
        <v>10</v>
      </c>
      <c r="H8" s="211" t="s">
        <v>10</v>
      </c>
      <c r="I8" s="211" t="s">
        <v>10</v>
      </c>
      <c r="J8" s="277" t="s">
        <v>11</v>
      </c>
      <c r="K8" s="63">
        <v>0.9</v>
      </c>
      <c r="L8" s="64">
        <v>38385</v>
      </c>
      <c r="M8" s="64">
        <v>39814</v>
      </c>
      <c r="N8" s="65">
        <f t="shared" si="0"/>
        <v>2009</v>
      </c>
      <c r="O8" s="66">
        <f>+IFERROR(INDEX(PARÁMETROS!$B$11:$B$37,MATCH(N8,PARÁMETROS!$A$11:$A$37,0)),"")</f>
        <v>496900</v>
      </c>
      <c r="P8" s="67">
        <v>2250917484</v>
      </c>
      <c r="Q8" s="68" t="s">
        <v>25</v>
      </c>
      <c r="R8" s="58" t="s">
        <v>346</v>
      </c>
      <c r="S8" s="69" t="s">
        <v>346</v>
      </c>
      <c r="T8" s="70">
        <v>1</v>
      </c>
      <c r="U8" s="66">
        <f t="shared" si="1"/>
        <v>2250917484</v>
      </c>
      <c r="V8" s="55">
        <f t="shared" si="2"/>
        <v>4529.9204749446571</v>
      </c>
      <c r="W8" s="55">
        <f t="shared" si="3"/>
        <v>4076.9284274501915</v>
      </c>
      <c r="X8" s="211" t="str">
        <f>+IF(W8="","",IF(W8&gt;=PARÁMETROS!$J$5,"CUMPLE","NO CUMPLE"))</f>
        <v>CUMPLE</v>
      </c>
      <c r="Y8" s="139" t="s">
        <v>366</v>
      </c>
      <c r="Z8" s="109"/>
    </row>
    <row r="9" spans="1:28" s="72" customFormat="1" ht="63">
      <c r="A9" s="796"/>
      <c r="B9" s="58" t="s">
        <v>122</v>
      </c>
      <c r="C9" s="75">
        <v>16</v>
      </c>
      <c r="D9" s="60" t="str">
        <f>+IFERROR(INDEX(CONSOLIDADO!$D$4:$D$89,MATCH('EXP ESPEC. 13-19'!B9,CONSOLIDADO!$C$4:$C$89,0)),"")</f>
        <v>ARREDONDO MADRID INGENIEROS CIVILES (AIM) LIMITADA</v>
      </c>
      <c r="E9" s="61" t="s">
        <v>363</v>
      </c>
      <c r="F9" s="62" t="s">
        <v>364</v>
      </c>
      <c r="G9" s="211" t="s">
        <v>10</v>
      </c>
      <c r="H9" s="277" t="s">
        <v>11</v>
      </c>
      <c r="I9" s="211" t="s">
        <v>10</v>
      </c>
      <c r="J9" s="277" t="s">
        <v>11</v>
      </c>
      <c r="K9" s="63">
        <v>1</v>
      </c>
      <c r="L9" s="64">
        <v>38749</v>
      </c>
      <c r="M9" s="64">
        <v>39692</v>
      </c>
      <c r="N9" s="65">
        <f t="shared" si="0"/>
        <v>2008</v>
      </c>
      <c r="O9" s="66">
        <f>+IFERROR(INDEX(PARÁMETROS!$B$11:$B$37,MATCH(N9,PARÁMETROS!$A$11:$A$37,0)),"")</f>
        <v>461500</v>
      </c>
      <c r="P9" s="67">
        <v>2962992031</v>
      </c>
      <c r="Q9" s="68" t="s">
        <v>25</v>
      </c>
      <c r="R9" s="58" t="s">
        <v>346</v>
      </c>
      <c r="S9" s="69" t="s">
        <v>346</v>
      </c>
      <c r="T9" s="70">
        <v>1</v>
      </c>
      <c r="U9" s="66">
        <f t="shared" si="1"/>
        <v>2962992031</v>
      </c>
      <c r="V9" s="55">
        <f t="shared" si="2"/>
        <v>6420.3510964247016</v>
      </c>
      <c r="W9" s="55">
        <f t="shared" si="3"/>
        <v>6420.3510964247016</v>
      </c>
      <c r="X9" s="211" t="str">
        <f>+IF(W9="","",IF(W9&gt;=PARÁMETROS!$J$5,"CUMPLE","NO CUMPLE"))</f>
        <v>CUMPLE</v>
      </c>
      <c r="Y9" s="139"/>
      <c r="Z9" s="109"/>
    </row>
    <row r="10" spans="1:28" s="72" customFormat="1" ht="57.75" thickBot="1">
      <c r="A10" s="796"/>
      <c r="B10" s="58" t="s">
        <v>123</v>
      </c>
      <c r="C10" s="75">
        <v>19</v>
      </c>
      <c r="D10" s="60" t="str">
        <f>+IFERROR(INDEX(CONSOLIDADO!$D$4:$D$89,MATCH('EXP ESPEC. 13-19'!B10,CONSOLIDADO!$C$4:$C$89,0)),"")</f>
        <v>INGENIERIA INTEGRAL DE OBRAS - INGEOBRAS SAS</v>
      </c>
      <c r="E10" s="61" t="s">
        <v>361</v>
      </c>
      <c r="F10" s="62" t="s">
        <v>365</v>
      </c>
      <c r="G10" s="211" t="s">
        <v>10</v>
      </c>
      <c r="H10" s="277" t="s">
        <v>11</v>
      </c>
      <c r="I10" s="211" t="s">
        <v>10</v>
      </c>
      <c r="J10" s="277" t="s">
        <v>11</v>
      </c>
      <c r="K10" s="63">
        <v>1</v>
      </c>
      <c r="L10" s="64">
        <v>41295</v>
      </c>
      <c r="M10" s="64">
        <v>41841</v>
      </c>
      <c r="N10" s="65">
        <f t="shared" si="0"/>
        <v>2014</v>
      </c>
      <c r="O10" s="66">
        <f>+IFERROR(INDEX(PARÁMETROS!$B$11:$B$37,MATCH(N10,PARÁMETROS!$A$11:$A$37,0)),"")</f>
        <v>616000</v>
      </c>
      <c r="P10" s="67">
        <v>3203004883</v>
      </c>
      <c r="Q10" s="68" t="s">
        <v>25</v>
      </c>
      <c r="R10" s="58" t="s">
        <v>346</v>
      </c>
      <c r="S10" s="69" t="s">
        <v>346</v>
      </c>
      <c r="T10" s="70">
        <v>1</v>
      </c>
      <c r="U10" s="66">
        <f t="shared" si="1"/>
        <v>3203004883</v>
      </c>
      <c r="V10" s="55">
        <f t="shared" si="2"/>
        <v>5199.6832516233762</v>
      </c>
      <c r="W10" s="55">
        <f t="shared" si="3"/>
        <v>5199.6832516233762</v>
      </c>
      <c r="X10" s="211" t="str">
        <f>+IF(W10="","",IF(W10&gt;=PARÁMETROS!$J$5,"CUMPLE","NO CUMPLE"))</f>
        <v>CUMPLE</v>
      </c>
      <c r="Y10" s="139"/>
      <c r="Z10" s="109"/>
    </row>
    <row r="11" spans="1:28" s="72" customFormat="1" ht="85.5">
      <c r="A11" s="795" t="s">
        <v>235</v>
      </c>
      <c r="B11" s="123" t="s">
        <v>124</v>
      </c>
      <c r="C11" s="157">
        <v>6</v>
      </c>
      <c r="D11" s="125" t="str">
        <f>+IFERROR(INDEX(CONSOLIDADO!$D$4:$D$89,MATCH('EXP ESPEC. 13-19'!B11,CONSOLIDADO!$C$4:$C$89,0)),"")</f>
        <v>3B PROYECTOS SAS</v>
      </c>
      <c r="E11" s="126" t="s">
        <v>367</v>
      </c>
      <c r="F11" s="127" t="s">
        <v>368</v>
      </c>
      <c r="G11" s="212" t="s">
        <v>10</v>
      </c>
      <c r="H11" s="279" t="s">
        <v>11</v>
      </c>
      <c r="I11" s="212" t="s">
        <v>10</v>
      </c>
      <c r="J11" s="279" t="s">
        <v>11</v>
      </c>
      <c r="K11" s="128">
        <v>1</v>
      </c>
      <c r="L11" s="129">
        <v>38929</v>
      </c>
      <c r="M11" s="129">
        <v>39553</v>
      </c>
      <c r="N11" s="130">
        <f t="shared" si="0"/>
        <v>2008</v>
      </c>
      <c r="O11" s="131">
        <f>+IFERROR(INDEX(PARÁMETROS!$B$11:$B$37,MATCH(N11,PARÁMETROS!$A$11:$A$37,0)),"")</f>
        <v>461500</v>
      </c>
      <c r="P11" s="132">
        <v>3010928835</v>
      </c>
      <c r="Q11" s="133" t="s">
        <v>25</v>
      </c>
      <c r="R11" s="123" t="s">
        <v>346</v>
      </c>
      <c r="S11" s="134" t="s">
        <v>346</v>
      </c>
      <c r="T11" s="135">
        <v>1</v>
      </c>
      <c r="U11" s="131">
        <f t="shared" si="1"/>
        <v>3010928835</v>
      </c>
      <c r="V11" s="136">
        <f t="shared" si="2"/>
        <v>6524.2228277356444</v>
      </c>
      <c r="W11" s="136">
        <f t="shared" si="3"/>
        <v>6524.2228277356444</v>
      </c>
      <c r="X11" s="211" t="str">
        <f>+IF(W11="","",IF(W11&gt;=PARÁMETROS!$J$5,"CUMPLE","NO CUMPLE"))</f>
        <v>CUMPLE</v>
      </c>
      <c r="Y11" s="138"/>
      <c r="Z11" s="109"/>
    </row>
    <row r="12" spans="1:28" s="72" customFormat="1" ht="99.75">
      <c r="A12" s="796"/>
      <c r="B12" s="58" t="s">
        <v>124</v>
      </c>
      <c r="C12" s="75">
        <v>9</v>
      </c>
      <c r="D12" s="60" t="str">
        <f>+IFERROR(INDEX(CONSOLIDADO!$D$4:$D$89,MATCH('EXP ESPEC. 13-19'!B12,CONSOLIDADO!$C$4:$C$89,0)),"")</f>
        <v>3B PROYECTOS SAS</v>
      </c>
      <c r="E12" s="61" t="s">
        <v>353</v>
      </c>
      <c r="F12" s="61" t="s">
        <v>369</v>
      </c>
      <c r="G12" s="211" t="s">
        <v>10</v>
      </c>
      <c r="H12" s="211" t="s">
        <v>10</v>
      </c>
      <c r="I12" s="211" t="s">
        <v>10</v>
      </c>
      <c r="J12" s="277" t="s">
        <v>11</v>
      </c>
      <c r="K12" s="73">
        <v>0.83499999999999996</v>
      </c>
      <c r="L12" s="64">
        <v>38337</v>
      </c>
      <c r="M12" s="64">
        <v>41440</v>
      </c>
      <c r="N12" s="65">
        <f t="shared" si="0"/>
        <v>2013</v>
      </c>
      <c r="O12" s="66">
        <f>+IFERROR(INDEX(PARÁMETROS!$B$11:$B$37,MATCH(N12,PARÁMETROS!$A$11:$A$37,0)),"")</f>
        <v>589500</v>
      </c>
      <c r="P12" s="74">
        <v>9865877743</v>
      </c>
      <c r="Q12" s="66" t="s">
        <v>25</v>
      </c>
      <c r="R12" s="58" t="s">
        <v>346</v>
      </c>
      <c r="S12" s="69" t="s">
        <v>346</v>
      </c>
      <c r="T12" s="70">
        <v>1</v>
      </c>
      <c r="U12" s="66">
        <f t="shared" si="1"/>
        <v>9865877743</v>
      </c>
      <c r="V12" s="55">
        <f t="shared" si="2"/>
        <v>16736.009742154369</v>
      </c>
      <c r="W12" s="55">
        <f t="shared" si="3"/>
        <v>13974.568134698897</v>
      </c>
      <c r="X12" s="211" t="str">
        <f>+IF(W12="","",IF(W12&gt;=PARÁMETROS!$J$5,"CUMPLE","NO CUMPLE"))</f>
        <v>CUMPLE</v>
      </c>
      <c r="Y12" s="139"/>
      <c r="Z12" s="109"/>
    </row>
    <row r="13" spans="1:28" s="72" customFormat="1" ht="59.25" customHeight="1">
      <c r="A13" s="796"/>
      <c r="B13" s="58" t="s">
        <v>124</v>
      </c>
      <c r="C13" s="75">
        <v>12</v>
      </c>
      <c r="D13" s="60" t="str">
        <f>+IFERROR(INDEX(CONSOLIDADO!$D$4:$D$89,MATCH('EXP ESPEC. 13-19'!B13,CONSOLIDADO!$C$4:$C$89,0)),"")</f>
        <v>3B PROYECTOS SAS</v>
      </c>
      <c r="E13" s="61" t="s">
        <v>371</v>
      </c>
      <c r="F13" s="62" t="s">
        <v>372</v>
      </c>
      <c r="G13" s="211" t="s">
        <v>10</v>
      </c>
      <c r="H13" s="277" t="s">
        <v>11</v>
      </c>
      <c r="I13" s="211" t="s">
        <v>10</v>
      </c>
      <c r="J13" s="277" t="s">
        <v>11</v>
      </c>
      <c r="K13" s="63">
        <v>0.7</v>
      </c>
      <c r="L13" s="64">
        <v>41562</v>
      </c>
      <c r="M13" s="64">
        <v>42200</v>
      </c>
      <c r="N13" s="65">
        <f t="shared" si="0"/>
        <v>2015</v>
      </c>
      <c r="O13" s="66">
        <f>+IFERROR(INDEX(PARÁMETROS!$B$11:$B$37,MATCH(N13,PARÁMETROS!$A$11:$A$37,0)),"")</f>
        <v>644350</v>
      </c>
      <c r="P13" s="67">
        <v>4424310452</v>
      </c>
      <c r="Q13" s="68" t="s">
        <v>25</v>
      </c>
      <c r="R13" s="58" t="s">
        <v>346</v>
      </c>
      <c r="S13" s="69" t="s">
        <v>346</v>
      </c>
      <c r="T13" s="70">
        <v>1</v>
      </c>
      <c r="U13" s="66">
        <f t="shared" si="1"/>
        <v>4424310452</v>
      </c>
      <c r="V13" s="55">
        <f t="shared" si="2"/>
        <v>6866.3155924575158</v>
      </c>
      <c r="W13" s="55">
        <f t="shared" si="3"/>
        <v>4806.420914720261</v>
      </c>
      <c r="X13" s="239" t="str">
        <f>+IF(W13="","",IF(W13&gt;=PARÁMETROS!$J$5,"CUMPLE","NO CUMPLE"))</f>
        <v>CUMPLE</v>
      </c>
      <c r="Y13" s="139" t="s">
        <v>412</v>
      </c>
      <c r="Z13" s="109"/>
    </row>
    <row r="14" spans="1:28" s="72" customFormat="1" ht="79.5" thickBot="1">
      <c r="A14" s="796"/>
      <c r="B14" s="58" t="s">
        <v>124</v>
      </c>
      <c r="C14" s="75">
        <v>19</v>
      </c>
      <c r="D14" s="60" t="str">
        <f>+IFERROR(INDEX(CONSOLIDADO!$D$4:$D$89,MATCH('EXP ESPEC. 13-19'!B14,CONSOLIDADO!$C$4:$C$89,0)),"")</f>
        <v>3B PROYECTOS SAS</v>
      </c>
      <c r="E14" s="61" t="s">
        <v>352</v>
      </c>
      <c r="F14" s="76" t="s">
        <v>370</v>
      </c>
      <c r="G14" s="211" t="s">
        <v>10</v>
      </c>
      <c r="H14" s="277" t="s">
        <v>10</v>
      </c>
      <c r="I14" s="211" t="s">
        <v>10</v>
      </c>
      <c r="J14" s="277" t="s">
        <v>11</v>
      </c>
      <c r="K14" s="63">
        <v>1</v>
      </c>
      <c r="L14" s="64">
        <v>39148</v>
      </c>
      <c r="M14" s="64">
        <v>40072</v>
      </c>
      <c r="N14" s="65">
        <f t="shared" si="0"/>
        <v>2009</v>
      </c>
      <c r="O14" s="66">
        <f>+IFERROR(INDEX(PARÁMETROS!$B$11:$B$37,MATCH(N14,PARÁMETROS!$A$11:$A$37,0)),"")</f>
        <v>496900</v>
      </c>
      <c r="P14" s="67">
        <f>1690448539+901877829</f>
        <v>2592326368</v>
      </c>
      <c r="Q14" s="68" t="s">
        <v>25</v>
      </c>
      <c r="R14" s="58" t="s">
        <v>346</v>
      </c>
      <c r="S14" s="69" t="s">
        <v>346</v>
      </c>
      <c r="T14" s="70">
        <v>1</v>
      </c>
      <c r="U14" s="66">
        <f t="shared" si="1"/>
        <v>2592326368</v>
      </c>
      <c r="V14" s="55">
        <f t="shared" si="2"/>
        <v>5216.9981243711009</v>
      </c>
      <c r="W14" s="55">
        <f t="shared" si="3"/>
        <v>5216.9981243711009</v>
      </c>
      <c r="X14" s="211" t="str">
        <f>+IF(W14="","",IF(W14&gt;=PARÁMETROS!$J$5,"CUMPLE","NO CUMPLE"))</f>
        <v>CUMPLE</v>
      </c>
      <c r="Y14" s="139"/>
      <c r="Z14" s="109"/>
    </row>
    <row r="15" spans="1:28" s="72" customFormat="1" ht="57">
      <c r="A15" s="795" t="s">
        <v>236</v>
      </c>
      <c r="B15" s="123" t="s">
        <v>243</v>
      </c>
      <c r="C15" s="157">
        <v>84</v>
      </c>
      <c r="D15" s="125" t="str">
        <f>+IFERROR(INDEX(CONSOLIDADO!$D$4:$D$89,MATCH('EXP ESPEC. 13-19'!B15,CONSOLIDADO!$C$4:$C$89,0)),"")</f>
        <v>CB INGENIEROS</v>
      </c>
      <c r="E15" s="126" t="s">
        <v>371</v>
      </c>
      <c r="F15" s="127" t="s">
        <v>378</v>
      </c>
      <c r="G15" s="212" t="s">
        <v>10</v>
      </c>
      <c r="H15" s="279" t="s">
        <v>11</v>
      </c>
      <c r="I15" s="212" t="s">
        <v>10</v>
      </c>
      <c r="J15" s="279" t="s">
        <v>11</v>
      </c>
      <c r="K15" s="128">
        <v>0.2</v>
      </c>
      <c r="L15" s="129">
        <v>40079</v>
      </c>
      <c r="M15" s="129">
        <v>42094</v>
      </c>
      <c r="N15" s="130">
        <f t="shared" si="0"/>
        <v>2015</v>
      </c>
      <c r="O15" s="131">
        <f>+IFERROR(INDEX(PARÁMETROS!$B$11:$B$37,MATCH(N15,PARÁMETROS!$A$11:$A$37,0)),"")</f>
        <v>644350</v>
      </c>
      <c r="P15" s="132">
        <v>14008976863</v>
      </c>
      <c r="Q15" s="133" t="s">
        <v>25</v>
      </c>
      <c r="R15" s="123" t="s">
        <v>346</v>
      </c>
      <c r="S15" s="134" t="s">
        <v>346</v>
      </c>
      <c r="T15" s="135">
        <v>1</v>
      </c>
      <c r="U15" s="131">
        <f t="shared" si="1"/>
        <v>14008976863</v>
      </c>
      <c r="V15" s="136">
        <f t="shared" si="2"/>
        <v>21741.253764258556</v>
      </c>
      <c r="W15" s="136">
        <f t="shared" si="3"/>
        <v>4348.2507528517117</v>
      </c>
      <c r="X15" s="211" t="str">
        <f>+IF(W15="","",IF(W15&gt;=PARÁMETROS!$J$5,"CUMPLE","NO CUMPLE"))</f>
        <v>CUMPLE</v>
      </c>
      <c r="Y15" s="138"/>
      <c r="Z15" s="109"/>
    </row>
    <row r="16" spans="1:28" s="72" customFormat="1" ht="42.75">
      <c r="A16" s="796"/>
      <c r="B16" s="58" t="s">
        <v>125</v>
      </c>
      <c r="C16" s="75">
        <v>8</v>
      </c>
      <c r="D16" s="60" t="str">
        <f>+IFERROR(INDEX(CONSOLIDADO!$D$4:$D$89,MATCH('EXP ESPEC. 13-19'!B16,CONSOLIDADO!$C$4:$C$89,0)),"")</f>
        <v>SEDIC</v>
      </c>
      <c r="E16" s="61" t="s">
        <v>373</v>
      </c>
      <c r="F16" s="62" t="s">
        <v>375</v>
      </c>
      <c r="G16" s="211" t="s">
        <v>10</v>
      </c>
      <c r="H16" s="211" t="s">
        <v>10</v>
      </c>
      <c r="I16" s="211" t="s">
        <v>10</v>
      </c>
      <c r="J16" s="277" t="s">
        <v>11</v>
      </c>
      <c r="K16" s="63">
        <v>1</v>
      </c>
      <c r="L16" s="64">
        <v>36298</v>
      </c>
      <c r="M16" s="64">
        <v>37425</v>
      </c>
      <c r="N16" s="65">
        <f t="shared" si="0"/>
        <v>2002</v>
      </c>
      <c r="O16" s="66">
        <f>+IFERROR(INDEX(PARÁMETROS!$B$11:$B$37,MATCH(N16,PARÁMETROS!$A$11:$A$37,0)),"")</f>
        <v>309000</v>
      </c>
      <c r="P16" s="67">
        <v>3800380053</v>
      </c>
      <c r="Q16" s="68" t="s">
        <v>25</v>
      </c>
      <c r="R16" s="58" t="s">
        <v>346</v>
      </c>
      <c r="S16" s="69" t="s">
        <v>346</v>
      </c>
      <c r="T16" s="70">
        <v>1</v>
      </c>
      <c r="U16" s="66">
        <f t="shared" si="1"/>
        <v>3800380053</v>
      </c>
      <c r="V16" s="55">
        <f t="shared" si="2"/>
        <v>12298.964572815534</v>
      </c>
      <c r="W16" s="55">
        <f t="shared" si="3"/>
        <v>12298.964572815534</v>
      </c>
      <c r="X16" s="211" t="str">
        <f>+IF(W16="","",IF(W16&gt;=PARÁMETROS!$J$5,"CUMPLE","NO CUMPLE"))</f>
        <v>CUMPLE</v>
      </c>
      <c r="Y16" s="139"/>
      <c r="Z16" s="109"/>
    </row>
    <row r="17" spans="1:26" s="72" customFormat="1" ht="28.5">
      <c r="A17" s="796"/>
      <c r="B17" s="58" t="s">
        <v>125</v>
      </c>
      <c r="C17" s="75">
        <v>19</v>
      </c>
      <c r="D17" s="60" t="str">
        <f>+IFERROR(INDEX(CONSOLIDADO!$D$4:$D$89,MATCH('EXP ESPEC. 13-19'!B17,CONSOLIDADO!$C$4:$C$89,0)),"")</f>
        <v>SEDIC</v>
      </c>
      <c r="E17" s="61" t="s">
        <v>363</v>
      </c>
      <c r="F17" s="62" t="s">
        <v>374</v>
      </c>
      <c r="G17" s="211" t="s">
        <v>10</v>
      </c>
      <c r="H17" s="277" t="s">
        <v>11</v>
      </c>
      <c r="I17" s="211" t="s">
        <v>10</v>
      </c>
      <c r="J17" s="211" t="s">
        <v>11</v>
      </c>
      <c r="K17" s="63">
        <v>1</v>
      </c>
      <c r="L17" s="64">
        <v>34358</v>
      </c>
      <c r="M17" s="64">
        <v>35828</v>
      </c>
      <c r="N17" s="65">
        <f t="shared" si="0"/>
        <v>1998</v>
      </c>
      <c r="O17" s="66">
        <f>+IFERROR(INDEX(PARÁMETROS!$B$11:$B$37,MATCH(N17,PARÁMETROS!$A$11:$A$37,0)),"")</f>
        <v>203826</v>
      </c>
      <c r="P17" s="67">
        <v>2834448285</v>
      </c>
      <c r="Q17" s="68" t="s">
        <v>25</v>
      </c>
      <c r="R17" s="58" t="s">
        <v>346</v>
      </c>
      <c r="S17" s="69" t="s">
        <v>346</v>
      </c>
      <c r="T17" s="70">
        <v>1</v>
      </c>
      <c r="U17" s="66">
        <f t="shared" si="1"/>
        <v>2834448285</v>
      </c>
      <c r="V17" s="55">
        <f t="shared" si="2"/>
        <v>13906.215522062936</v>
      </c>
      <c r="W17" s="55">
        <f t="shared" si="3"/>
        <v>13906.215522062936</v>
      </c>
      <c r="X17" s="211" t="str">
        <f>+IF(W17="","",IF(W17&gt;=PARÁMETROS!$J$5,"CUMPLE","NO CUMPLE"))</f>
        <v>CUMPLE</v>
      </c>
      <c r="Y17" s="139"/>
      <c r="Z17" s="109"/>
    </row>
    <row r="18" spans="1:26" s="72" customFormat="1" ht="57.75" thickBot="1">
      <c r="A18" s="796"/>
      <c r="B18" s="58" t="s">
        <v>125</v>
      </c>
      <c r="C18" s="75">
        <v>20</v>
      </c>
      <c r="D18" s="60" t="str">
        <f>+IFERROR(INDEX(CONSOLIDADO!$D$4:$D$89,MATCH('EXP ESPEC. 13-19'!B18,CONSOLIDADO!$C$4:$C$89,0)),"")</f>
        <v>SEDIC</v>
      </c>
      <c r="E18" s="61" t="s">
        <v>371</v>
      </c>
      <c r="F18" s="62" t="s">
        <v>376</v>
      </c>
      <c r="G18" s="214"/>
      <c r="H18" s="277" t="s">
        <v>11</v>
      </c>
      <c r="I18" s="211" t="s">
        <v>10</v>
      </c>
      <c r="J18" s="277" t="s">
        <v>11</v>
      </c>
      <c r="K18" s="63">
        <v>1</v>
      </c>
      <c r="L18" s="64">
        <v>33161</v>
      </c>
      <c r="M18" s="64">
        <v>35550</v>
      </c>
      <c r="N18" s="65">
        <f t="shared" si="0"/>
        <v>1997</v>
      </c>
      <c r="O18" s="66">
        <f>+IFERROR(INDEX(PARÁMETROS!$B$11:$B$37,MATCH(N18,PARÁMETROS!$A$11:$A$37,0)),"")</f>
        <v>172005</v>
      </c>
      <c r="P18" s="67">
        <v>1546808187.0699999</v>
      </c>
      <c r="Q18" s="68" t="s">
        <v>25</v>
      </c>
      <c r="R18" s="58" t="s">
        <v>346</v>
      </c>
      <c r="S18" s="69" t="s">
        <v>346</v>
      </c>
      <c r="T18" s="70">
        <v>1</v>
      </c>
      <c r="U18" s="66">
        <f t="shared" si="1"/>
        <v>1546808187.0699999</v>
      </c>
      <c r="V18" s="55">
        <f t="shared" si="2"/>
        <v>8992.8094361791809</v>
      </c>
      <c r="W18" s="55">
        <f t="shared" si="3"/>
        <v>8992.8094361791809</v>
      </c>
      <c r="X18" s="211" t="str">
        <f>+IF(W18="","",IF(W18&gt;=PARÁMETROS!$J$5,"CUMPLE","NO CUMPLE"))</f>
        <v>CUMPLE</v>
      </c>
      <c r="Y18" s="139"/>
      <c r="Z18" s="109"/>
    </row>
    <row r="19" spans="1:26" s="72" customFormat="1" ht="85.5">
      <c r="A19" s="795" t="s">
        <v>237</v>
      </c>
      <c r="B19" s="123" t="s">
        <v>126</v>
      </c>
      <c r="C19" s="157">
        <v>4</v>
      </c>
      <c r="D19" s="125" t="str">
        <f>+IFERROR(INDEX(CONSOLIDADO!$D$4:$D$89,MATCH('EXP ESPEC. 13-19'!B19,CONSOLIDADO!$C$4:$C$89,0)),"")</f>
        <v>SERVINC LTDA</v>
      </c>
      <c r="E19" s="126" t="s">
        <v>393</v>
      </c>
      <c r="F19" s="127" t="s">
        <v>382</v>
      </c>
      <c r="G19" s="222" t="s">
        <v>10</v>
      </c>
      <c r="H19" s="222" t="s">
        <v>10</v>
      </c>
      <c r="I19" s="222" t="s">
        <v>10</v>
      </c>
      <c r="J19" s="279" t="s">
        <v>11</v>
      </c>
      <c r="K19" s="128">
        <v>0.5</v>
      </c>
      <c r="L19" s="129">
        <v>40331</v>
      </c>
      <c r="M19" s="129">
        <v>41215</v>
      </c>
      <c r="N19" s="130">
        <f t="shared" si="0"/>
        <v>2012</v>
      </c>
      <c r="O19" s="131">
        <f>+IFERROR(INDEX(PARÁMETROS!$B$11:$B$37,MATCH(N19,PARÁMETROS!$A$11:$A$37,0)),"")</f>
        <v>566700</v>
      </c>
      <c r="P19" s="132">
        <v>4264498383</v>
      </c>
      <c r="Q19" s="133" t="s">
        <v>25</v>
      </c>
      <c r="R19" s="123" t="s">
        <v>346</v>
      </c>
      <c r="S19" s="134" t="s">
        <v>346</v>
      </c>
      <c r="T19" s="135">
        <v>1</v>
      </c>
      <c r="U19" s="131">
        <f t="shared" si="1"/>
        <v>4264498383</v>
      </c>
      <c r="V19" s="136">
        <f t="shared" si="2"/>
        <v>7525.1427263102169</v>
      </c>
      <c r="W19" s="136">
        <f t="shared" si="3"/>
        <v>3762.5713631551084</v>
      </c>
      <c r="X19" s="211" t="str">
        <f>+IF(W19="","",IF(W19&gt;=PARÁMETROS!$J$5,"CUMPLE","NO CUMPLE"))</f>
        <v>CUMPLE</v>
      </c>
      <c r="Y19" s="138"/>
      <c r="Z19" s="109"/>
    </row>
    <row r="20" spans="1:26" s="72" customFormat="1" ht="71.25">
      <c r="A20" s="796"/>
      <c r="B20" s="58" t="s">
        <v>126</v>
      </c>
      <c r="C20" s="75">
        <v>35</v>
      </c>
      <c r="D20" s="60" t="str">
        <f>+IFERROR(INDEX(CONSOLIDADO!$D$4:$D$89,MATCH('EXP ESPEC. 13-19'!B20,CONSOLIDADO!$C$4:$C$89,0)),"")</f>
        <v>SERVINC LTDA</v>
      </c>
      <c r="E20" s="61" t="s">
        <v>353</v>
      </c>
      <c r="F20" s="62" t="s">
        <v>383</v>
      </c>
      <c r="G20" s="220" t="s">
        <v>10</v>
      </c>
      <c r="H20" s="220" t="s">
        <v>10</v>
      </c>
      <c r="I20" s="220" t="s">
        <v>10</v>
      </c>
      <c r="J20" s="277" t="s">
        <v>11</v>
      </c>
      <c r="K20" s="63">
        <v>0.4</v>
      </c>
      <c r="L20" s="64">
        <v>41075</v>
      </c>
      <c r="M20" s="64">
        <v>42165</v>
      </c>
      <c r="N20" s="65">
        <f t="shared" si="0"/>
        <v>2015</v>
      </c>
      <c r="O20" s="66">
        <f>+IFERROR(INDEX(PARÁMETROS!$B$11:$B$37,MATCH(N20,PARÁMETROS!$A$11:$A$37,0)),"")</f>
        <v>644350</v>
      </c>
      <c r="P20" s="67">
        <v>23762347066</v>
      </c>
      <c r="Q20" s="68" t="s">
        <v>25</v>
      </c>
      <c r="R20" s="58" t="s">
        <v>346</v>
      </c>
      <c r="S20" s="69" t="s">
        <v>346</v>
      </c>
      <c r="T20" s="70">
        <v>1</v>
      </c>
      <c r="U20" s="66">
        <f t="shared" si="1"/>
        <v>23762347066</v>
      </c>
      <c r="V20" s="55">
        <f t="shared" si="2"/>
        <v>36878.012052455961</v>
      </c>
      <c r="W20" s="55">
        <f t="shared" si="3"/>
        <v>14751.204820982384</v>
      </c>
      <c r="X20" s="211" t="str">
        <f>+IF(W20="","",IF(W20&gt;=PARÁMETROS!$J$5,"CUMPLE","NO CUMPLE"))</f>
        <v>CUMPLE</v>
      </c>
      <c r="Y20" s="139"/>
      <c r="Z20" s="109"/>
    </row>
    <row r="21" spans="1:26" s="72" customFormat="1" ht="63">
      <c r="A21" s="796"/>
      <c r="B21" s="58" t="s">
        <v>127</v>
      </c>
      <c r="C21" s="75">
        <v>38</v>
      </c>
      <c r="D21" s="60" t="str">
        <f>+IFERROR(INDEX(CONSOLIDADO!$D$4:$D$89,MATCH('EXP ESPEC. 13-19'!B21,CONSOLIDADO!$C$4:$C$89,0)),"")</f>
        <v>VQM SAS</v>
      </c>
      <c r="E21" s="76" t="s">
        <v>371</v>
      </c>
      <c r="F21" s="76" t="s">
        <v>389</v>
      </c>
      <c r="G21" s="220" t="s">
        <v>10</v>
      </c>
      <c r="H21" s="277" t="s">
        <v>11</v>
      </c>
      <c r="I21" s="220" t="s">
        <v>10</v>
      </c>
      <c r="J21" s="277" t="s">
        <v>11</v>
      </c>
      <c r="K21" s="77">
        <v>0.75</v>
      </c>
      <c r="L21" s="64">
        <v>38672</v>
      </c>
      <c r="M21" s="64">
        <v>39756</v>
      </c>
      <c r="N21" s="65">
        <f t="shared" si="0"/>
        <v>2008</v>
      </c>
      <c r="O21" s="66">
        <f>+IFERROR(INDEX(PARÁMETROS!$B$11:$B$37,MATCH(N21,PARÁMETROS!$A$11:$A$37,0)),"")</f>
        <v>461500</v>
      </c>
      <c r="P21" s="67">
        <v>2323578630</v>
      </c>
      <c r="Q21" s="68" t="s">
        <v>25</v>
      </c>
      <c r="R21" s="58" t="s">
        <v>346</v>
      </c>
      <c r="S21" s="69" t="s">
        <v>346</v>
      </c>
      <c r="T21" s="70">
        <v>1</v>
      </c>
      <c r="U21" s="66">
        <f t="shared" si="1"/>
        <v>2323578630</v>
      </c>
      <c r="V21" s="55">
        <f t="shared" si="2"/>
        <v>5034.839934994583</v>
      </c>
      <c r="W21" s="55">
        <f t="shared" si="3"/>
        <v>3776.1299512459373</v>
      </c>
      <c r="X21" s="211" t="str">
        <f>+IF(W21="","",IF(W21&gt;=PARÁMETROS!$J$5,"CUMPLE","NO CUMPLE"))</f>
        <v>CUMPLE</v>
      </c>
      <c r="Y21" s="166"/>
      <c r="Z21" s="109"/>
    </row>
    <row r="22" spans="1:26" s="82" customFormat="1" ht="214.5" thickBot="1">
      <c r="A22" s="796"/>
      <c r="B22" s="58" t="s">
        <v>126</v>
      </c>
      <c r="C22" s="72">
        <v>60</v>
      </c>
      <c r="D22" s="60" t="str">
        <f>+IFERROR(INDEX(CONSOLIDADO!$D$4:$D$89,MATCH('EXP ESPEC. 13-19'!B22,CONSOLIDADO!$C$4:$C$89,0)),"")</f>
        <v>SERVINC LTDA</v>
      </c>
      <c r="E22" s="61" t="s">
        <v>393</v>
      </c>
      <c r="F22" s="62" t="s">
        <v>392</v>
      </c>
      <c r="G22" s="220" t="s">
        <v>10</v>
      </c>
      <c r="H22" s="220" t="s">
        <v>10</v>
      </c>
      <c r="I22" s="220" t="s">
        <v>10</v>
      </c>
      <c r="J22" s="277" t="s">
        <v>11</v>
      </c>
      <c r="K22" s="78">
        <v>1</v>
      </c>
      <c r="L22" s="79">
        <v>39021</v>
      </c>
      <c r="M22" s="80">
        <v>40487</v>
      </c>
      <c r="N22" s="65">
        <f t="shared" si="0"/>
        <v>2010</v>
      </c>
      <c r="O22" s="66">
        <f>+IFERROR(INDEX(PARÁMETROS!$B$11:$B$37,MATCH(N22,PARÁMETROS!$A$11:$A$37,0)),"")</f>
        <v>515000</v>
      </c>
      <c r="P22" s="68">
        <v>5403026800</v>
      </c>
      <c r="Q22" s="68" t="s">
        <v>25</v>
      </c>
      <c r="R22" s="68" t="s">
        <v>346</v>
      </c>
      <c r="S22" s="68" t="s">
        <v>346</v>
      </c>
      <c r="T22" s="70">
        <v>1</v>
      </c>
      <c r="U22" s="66">
        <f t="shared" si="1"/>
        <v>5403026800</v>
      </c>
      <c r="V22" s="55">
        <f t="shared" si="2"/>
        <v>10491.314174757281</v>
      </c>
      <c r="W22" s="55">
        <f t="shared" si="3"/>
        <v>10491.314174757281</v>
      </c>
      <c r="X22" s="211" t="str">
        <f>+IF(W22="","",IF(W22&gt;=PARÁMETROS!$J$5,"CUMPLE","NO CUMPLE"))</f>
        <v>CUMPLE</v>
      </c>
      <c r="Y22" s="139"/>
      <c r="Z22" s="158"/>
    </row>
    <row r="23" spans="1:26" s="72" customFormat="1" ht="57">
      <c r="A23" s="795" t="s">
        <v>238</v>
      </c>
      <c r="B23" s="123" t="s">
        <v>129</v>
      </c>
      <c r="C23" s="157">
        <v>4</v>
      </c>
      <c r="D23" s="125" t="str">
        <f>+IFERROR(INDEX(CONSOLIDADO!$D$4:$D$89,MATCH('EXP ESPEC. 13-19'!B23,CONSOLIDADO!$C$4:$C$89,0)),"")</f>
        <v>B&amp;C SA</v>
      </c>
      <c r="E23" s="61" t="s">
        <v>386</v>
      </c>
      <c r="F23" s="62" t="s">
        <v>399</v>
      </c>
      <c r="G23" s="222" t="s">
        <v>10</v>
      </c>
      <c r="H23" s="222" t="s">
        <v>10</v>
      </c>
      <c r="I23" s="222" t="s">
        <v>10</v>
      </c>
      <c r="J23" s="279" t="s">
        <v>11</v>
      </c>
      <c r="K23" s="128">
        <v>0.3</v>
      </c>
      <c r="L23" s="129">
        <v>39934</v>
      </c>
      <c r="M23" s="129">
        <v>41029</v>
      </c>
      <c r="N23" s="130">
        <f t="shared" si="0"/>
        <v>2012</v>
      </c>
      <c r="O23" s="131">
        <f>+IFERROR(INDEX(PARÁMETROS!$B$11:$B$37,MATCH(N23,PARÁMETROS!$A$11:$A$37,0)),"")</f>
        <v>566700</v>
      </c>
      <c r="P23" s="132">
        <v>9410306932</v>
      </c>
      <c r="Q23" s="68" t="s">
        <v>25</v>
      </c>
      <c r="R23" s="68" t="s">
        <v>346</v>
      </c>
      <c r="S23" s="68" t="s">
        <v>346</v>
      </c>
      <c r="T23" s="70">
        <v>1</v>
      </c>
      <c r="U23" s="131">
        <f t="shared" si="1"/>
        <v>9410306932</v>
      </c>
      <c r="V23" s="136">
        <f t="shared" si="2"/>
        <v>16605.447206634904</v>
      </c>
      <c r="W23" s="136">
        <f t="shared" si="3"/>
        <v>4981.6341619904715</v>
      </c>
      <c r="X23" s="211" t="str">
        <f>+IF(W23="","",IF(W23&gt;=PARÁMETROS!$J$5,"CUMPLE","NO CUMPLE"))</f>
        <v>CUMPLE</v>
      </c>
      <c r="Y23" s="138"/>
      <c r="Z23" s="109"/>
    </row>
    <row r="24" spans="1:26" s="72" customFormat="1" ht="71.25">
      <c r="A24" s="796"/>
      <c r="B24" s="58" t="s">
        <v>129</v>
      </c>
      <c r="C24" s="75">
        <v>11</v>
      </c>
      <c r="D24" s="60" t="str">
        <f>+IFERROR(INDEX(CONSOLIDADO!$D$4:$D$89,MATCH('EXP ESPEC. 13-19'!B24,CONSOLIDADO!$C$4:$C$89,0)),"")</f>
        <v>B&amp;C SA</v>
      </c>
      <c r="E24" s="61" t="s">
        <v>397</v>
      </c>
      <c r="F24" s="62" t="s">
        <v>398</v>
      </c>
      <c r="G24" s="220" t="s">
        <v>10</v>
      </c>
      <c r="H24" s="220" t="s">
        <v>10</v>
      </c>
      <c r="I24" s="220" t="s">
        <v>10</v>
      </c>
      <c r="J24" s="277" t="s">
        <v>11</v>
      </c>
      <c r="K24" s="63">
        <v>0.5</v>
      </c>
      <c r="L24" s="64">
        <v>36333</v>
      </c>
      <c r="M24" s="64">
        <v>38915</v>
      </c>
      <c r="N24" s="65">
        <f t="shared" si="0"/>
        <v>2006</v>
      </c>
      <c r="O24" s="66">
        <f>+IFERROR(INDEX(PARÁMETROS!$B$11:$B$37,MATCH(N24,PARÁMETROS!$A$11:$A$37,0)),"")</f>
        <v>408000</v>
      </c>
      <c r="P24" s="67">
        <v>19941780178</v>
      </c>
      <c r="Q24" s="68" t="s">
        <v>25</v>
      </c>
      <c r="R24" s="68" t="s">
        <v>346</v>
      </c>
      <c r="S24" s="68" t="s">
        <v>346</v>
      </c>
      <c r="T24" s="70">
        <v>1</v>
      </c>
      <c r="U24" s="66">
        <f t="shared" si="1"/>
        <v>19941780178</v>
      </c>
      <c r="V24" s="55">
        <f t="shared" si="2"/>
        <v>48876.91220098039</v>
      </c>
      <c r="W24" s="55">
        <f t="shared" si="3"/>
        <v>24438.456100490195</v>
      </c>
      <c r="X24" s="211" t="str">
        <f>+IF(W24="","",IF(W24&gt;=PARÁMETROS!$J$5,"CUMPLE","NO CUMPLE"))</f>
        <v>CUMPLE</v>
      </c>
      <c r="Y24" s="139"/>
      <c r="Z24" s="109"/>
    </row>
    <row r="25" spans="1:26" s="72" customFormat="1" ht="114">
      <c r="A25" s="796"/>
      <c r="B25" s="58" t="s">
        <v>129</v>
      </c>
      <c r="C25" s="75">
        <v>26</v>
      </c>
      <c r="D25" s="60" t="str">
        <f>+IFERROR(INDEX(CONSOLIDADO!$D$4:$D$89,MATCH('EXP ESPEC. 13-19'!B25,CONSOLIDADO!$C$4:$C$89,0)),"")</f>
        <v>B&amp;C SA</v>
      </c>
      <c r="E25" s="61" t="s">
        <v>397</v>
      </c>
      <c r="F25" s="62" t="s">
        <v>400</v>
      </c>
      <c r="G25" s="220" t="s">
        <v>10</v>
      </c>
      <c r="H25" s="220" t="s">
        <v>10</v>
      </c>
      <c r="I25" s="220" t="s">
        <v>10</v>
      </c>
      <c r="J25" s="277" t="s">
        <v>11</v>
      </c>
      <c r="K25" s="63">
        <v>0.5</v>
      </c>
      <c r="L25" s="64">
        <v>38916</v>
      </c>
      <c r="M25" s="64">
        <v>40267</v>
      </c>
      <c r="N25" s="65">
        <f t="shared" si="0"/>
        <v>2010</v>
      </c>
      <c r="O25" s="66">
        <f>+IFERROR(INDEX(PARÁMETROS!$B$11:$B$37,MATCH(N25,PARÁMETROS!$A$11:$A$37,0)),"")</f>
        <v>515000</v>
      </c>
      <c r="P25" s="67">
        <v>7564702533</v>
      </c>
      <c r="Q25" s="68" t="s">
        <v>25</v>
      </c>
      <c r="R25" s="68" t="s">
        <v>346</v>
      </c>
      <c r="S25" s="68" t="s">
        <v>346</v>
      </c>
      <c r="T25" s="70">
        <v>1</v>
      </c>
      <c r="U25" s="66">
        <f t="shared" si="1"/>
        <v>7564702533</v>
      </c>
      <c r="V25" s="55">
        <f t="shared" si="2"/>
        <v>14688.742782524272</v>
      </c>
      <c r="W25" s="55">
        <f t="shared" si="3"/>
        <v>7344.3713912621361</v>
      </c>
      <c r="X25" s="211" t="str">
        <f>+IF(W25="","",IF(W25&gt;=PARÁMETROS!$J$5,"CUMPLE","NO CUMPLE"))</f>
        <v>CUMPLE</v>
      </c>
      <c r="Y25" s="139"/>
      <c r="Z25" s="109"/>
    </row>
    <row r="26" spans="1:26" s="72" customFormat="1" ht="100.5" thickBot="1">
      <c r="A26" s="797"/>
      <c r="B26" s="243" t="s">
        <v>128</v>
      </c>
      <c r="C26" s="244">
        <v>33</v>
      </c>
      <c r="D26" s="245" t="str">
        <f>+IFERROR(INDEX(CONSOLIDADO!$D$4:$D$89,MATCH('EXP ESPEC. 13-19'!B26,CONSOLIDADO!$C$4:$C$89,0)),"")</f>
        <v>DIEGO FONSECA CHAVES</v>
      </c>
      <c r="E26" s="669" t="s">
        <v>352</v>
      </c>
      <c r="F26" s="670" t="s">
        <v>394</v>
      </c>
      <c r="G26" s="258" t="s">
        <v>10</v>
      </c>
      <c r="H26" s="258" t="s">
        <v>11</v>
      </c>
      <c r="I26" s="258" t="s">
        <v>10</v>
      </c>
      <c r="J26" s="282" t="s">
        <v>11</v>
      </c>
      <c r="K26" s="249">
        <v>0.5</v>
      </c>
      <c r="L26" s="250">
        <v>40137</v>
      </c>
      <c r="M26" s="250">
        <v>41232</v>
      </c>
      <c r="N26" s="251">
        <f t="shared" si="0"/>
        <v>2012</v>
      </c>
      <c r="O26" s="252">
        <f>+IFERROR(INDEX(PARÁMETROS!$B$11:$B$37,MATCH(N26,PARÁMETROS!$A$11:$A$37,0)),"")</f>
        <v>566700</v>
      </c>
      <c r="P26" s="253">
        <v>4761150509</v>
      </c>
      <c r="Q26" s="254" t="s">
        <v>25</v>
      </c>
      <c r="R26" s="254" t="s">
        <v>346</v>
      </c>
      <c r="S26" s="254" t="s">
        <v>346</v>
      </c>
      <c r="T26" s="256">
        <v>1</v>
      </c>
      <c r="U26" s="252">
        <f t="shared" si="1"/>
        <v>4761150509</v>
      </c>
      <c r="V26" s="257">
        <f t="shared" si="2"/>
        <v>8401.536101994001</v>
      </c>
      <c r="W26" s="257">
        <f t="shared" si="3"/>
        <v>4200.7680509970005</v>
      </c>
      <c r="X26" s="258" t="str">
        <f>+IF(W26="","",IF(W26&gt;=PARÁMETROS!$J$5,"CUMPLE","NO CUMPLE"))</f>
        <v>CUMPLE</v>
      </c>
      <c r="Y26" s="259"/>
      <c r="Z26" s="109"/>
    </row>
    <row r="27" spans="1:26" s="72" customFormat="1" ht="54" customHeight="1">
      <c r="A27" s="795" t="s">
        <v>239</v>
      </c>
      <c r="B27" s="123" t="s">
        <v>130</v>
      </c>
      <c r="C27" s="157">
        <v>6</v>
      </c>
      <c r="D27" s="125" t="str">
        <f>+IFERROR(INDEX(CONSOLIDADO!$D$4:$D$89,MATCH('EXP ESPEC. 13-19'!B27,CONSOLIDADO!$C$4:$C$89,0)),"")</f>
        <v>INTERVENTORIAS Y DISEÑOS S.A.</v>
      </c>
      <c r="E27" s="126" t="s">
        <v>405</v>
      </c>
      <c r="F27" s="127" t="s">
        <v>406</v>
      </c>
      <c r="G27" s="240" t="s">
        <v>10</v>
      </c>
      <c r="H27" s="279" t="s">
        <v>11</v>
      </c>
      <c r="I27" s="240" t="s">
        <v>10</v>
      </c>
      <c r="J27" s="279" t="s">
        <v>11</v>
      </c>
      <c r="K27" s="128">
        <v>0.5</v>
      </c>
      <c r="L27" s="129">
        <v>37411</v>
      </c>
      <c r="M27" s="129">
        <v>38776</v>
      </c>
      <c r="N27" s="130">
        <f t="shared" si="0"/>
        <v>2006</v>
      </c>
      <c r="O27" s="131">
        <f>+IFERROR(INDEX(PARÁMETROS!$B$11:$B$37,MATCH(N27,PARÁMETROS!$A$11:$A$37,0)),"")</f>
        <v>408000</v>
      </c>
      <c r="P27" s="132">
        <v>3791186167</v>
      </c>
      <c r="Q27" s="133" t="s">
        <v>25</v>
      </c>
      <c r="R27" s="123" t="s">
        <v>346</v>
      </c>
      <c r="S27" s="134" t="s">
        <v>346</v>
      </c>
      <c r="T27" s="135">
        <v>1</v>
      </c>
      <c r="U27" s="131">
        <f t="shared" si="1"/>
        <v>3791186167</v>
      </c>
      <c r="V27" s="136">
        <f t="shared" si="2"/>
        <v>9292.1229583333334</v>
      </c>
      <c r="W27" s="136">
        <f t="shared" si="3"/>
        <v>4646.0614791666667</v>
      </c>
      <c r="X27" s="168" t="str">
        <f>+IF(W27="","",IF(W27&gt;=PARÁMETROS!$J$5,"CUMPLE","NO CUMPLE"))</f>
        <v>CUMPLE</v>
      </c>
      <c r="Y27" s="138"/>
      <c r="Z27" s="109"/>
    </row>
    <row r="28" spans="1:26" s="72" customFormat="1" ht="71.25">
      <c r="A28" s="796"/>
      <c r="B28" s="58" t="s">
        <v>130</v>
      </c>
      <c r="C28" s="75">
        <v>41</v>
      </c>
      <c r="D28" s="60" t="str">
        <f>+IFERROR(INDEX(CONSOLIDADO!$D$4:$D$89,MATCH('EXP ESPEC. 13-19'!B28,CONSOLIDADO!$C$4:$C$89,0)),"")</f>
        <v>INTERVENTORIAS Y DISEÑOS S.A.</v>
      </c>
      <c r="E28" s="61" t="s">
        <v>352</v>
      </c>
      <c r="F28" s="62" t="s">
        <v>409</v>
      </c>
      <c r="G28" s="239" t="s">
        <v>10</v>
      </c>
      <c r="H28" s="239" t="s">
        <v>10</v>
      </c>
      <c r="I28" s="239" t="s">
        <v>10</v>
      </c>
      <c r="J28" s="277" t="s">
        <v>11</v>
      </c>
      <c r="K28" s="63">
        <v>0.4</v>
      </c>
      <c r="L28" s="64">
        <v>37910</v>
      </c>
      <c r="M28" s="64">
        <v>40939</v>
      </c>
      <c r="N28" s="65">
        <f t="shared" si="0"/>
        <v>2012</v>
      </c>
      <c r="O28" s="66">
        <f>+IFERROR(INDEX(PARÁMETROS!$B$11:$B$37,MATCH(N28,PARÁMETROS!$A$11:$A$37,0)),"")</f>
        <v>566700</v>
      </c>
      <c r="P28" s="67">
        <v>11747944351</v>
      </c>
      <c r="Q28" s="68" t="s">
        <v>25</v>
      </c>
      <c r="R28" s="58" t="s">
        <v>346</v>
      </c>
      <c r="S28" s="69" t="s">
        <v>346</v>
      </c>
      <c r="T28" s="70">
        <v>1</v>
      </c>
      <c r="U28" s="66">
        <f t="shared" si="1"/>
        <v>11747944351</v>
      </c>
      <c r="V28" s="55">
        <f t="shared" si="2"/>
        <v>20730.447063702137</v>
      </c>
      <c r="W28" s="55">
        <f t="shared" si="3"/>
        <v>8292.1788254808544</v>
      </c>
      <c r="X28" s="239" t="str">
        <f>+IF(W28="","",IF(W28&gt;=PARÁMETROS!$J$5,"CUMPLE","NO CUMPLE"))</f>
        <v>CUMPLE</v>
      </c>
      <c r="Y28" s="139"/>
      <c r="Z28" s="109"/>
    </row>
    <row r="29" spans="1:26" s="72" customFormat="1" ht="57">
      <c r="A29" s="796"/>
      <c r="B29" s="58" t="s">
        <v>131</v>
      </c>
      <c r="C29" s="75">
        <v>172</v>
      </c>
      <c r="D29" s="60" t="str">
        <f>+IFERROR(INDEX(CONSOLIDADO!$D$4:$D$89,MATCH('EXP ESPEC. 13-19'!B29,CONSOLIDADO!$C$4:$C$89,0)),"")</f>
        <v>INGENOBRAS SAS</v>
      </c>
      <c r="E29" s="61" t="s">
        <v>407</v>
      </c>
      <c r="F29" s="62" t="s">
        <v>408</v>
      </c>
      <c r="G29" s="239" t="s">
        <v>10</v>
      </c>
      <c r="H29" s="277" t="s">
        <v>11</v>
      </c>
      <c r="I29" s="239" t="s">
        <v>10</v>
      </c>
      <c r="J29" s="277" t="s">
        <v>11</v>
      </c>
      <c r="K29" s="63">
        <v>0.45</v>
      </c>
      <c r="L29" s="64">
        <v>40805</v>
      </c>
      <c r="M29" s="64">
        <v>41730</v>
      </c>
      <c r="N29" s="65">
        <f t="shared" si="0"/>
        <v>2014</v>
      </c>
      <c r="O29" s="66">
        <f>+IFERROR(INDEX(PARÁMETROS!$B$11:$B$37,MATCH(N29,PARÁMETROS!$A$11:$A$37,0)),"")</f>
        <v>616000</v>
      </c>
      <c r="P29" s="67">
        <v>5922134662</v>
      </c>
      <c r="Q29" s="68" t="s">
        <v>25</v>
      </c>
      <c r="R29" s="58" t="s">
        <v>346</v>
      </c>
      <c r="S29" s="69" t="s">
        <v>346</v>
      </c>
      <c r="T29" s="70">
        <v>1</v>
      </c>
      <c r="U29" s="66">
        <f t="shared" si="1"/>
        <v>5922134662</v>
      </c>
      <c r="V29" s="55">
        <f t="shared" si="2"/>
        <v>9613.8549707792208</v>
      </c>
      <c r="W29" s="55">
        <f t="shared" si="3"/>
        <v>4326.2347368506498</v>
      </c>
      <c r="X29" s="239" t="str">
        <f>+IF(W29="","",IF(W29&gt;=PARÁMETROS!$J$5,"CUMPLE","NO CUMPLE"))</f>
        <v>CUMPLE</v>
      </c>
      <c r="Y29" s="139"/>
      <c r="Z29" s="109"/>
    </row>
    <row r="30" spans="1:26" s="72" customFormat="1" ht="57.75" thickBot="1">
      <c r="A30" s="806"/>
      <c r="B30" s="141" t="s">
        <v>130</v>
      </c>
      <c r="C30" s="142">
        <v>247</v>
      </c>
      <c r="D30" s="143" t="str">
        <f>+IFERROR(INDEX(CONSOLIDADO!$D$4:$D$89,MATCH('EXP ESPEC. 13-19'!B30,CONSOLIDADO!$C$4:$C$89,0)),"")</f>
        <v>INTERVENTORIAS Y DISEÑOS S.A.</v>
      </c>
      <c r="E30" s="667" t="s">
        <v>403</v>
      </c>
      <c r="F30" s="668" t="s">
        <v>404</v>
      </c>
      <c r="G30" s="238" t="s">
        <v>10</v>
      </c>
      <c r="H30" s="278" t="s">
        <v>11</v>
      </c>
      <c r="I30" s="238" t="s">
        <v>10</v>
      </c>
      <c r="J30" s="278" t="s">
        <v>11</v>
      </c>
      <c r="K30" s="285">
        <v>1</v>
      </c>
      <c r="L30" s="286">
        <v>39934</v>
      </c>
      <c r="M30" s="286">
        <v>40724</v>
      </c>
      <c r="N30" s="148">
        <f t="shared" si="0"/>
        <v>2011</v>
      </c>
      <c r="O30" s="149">
        <f>+IFERROR(INDEX(PARÁMETROS!$B$11:$B$37,MATCH(N30,PARÁMETROS!$A$11:$A$37,0)),"")</f>
        <v>535600</v>
      </c>
      <c r="P30" s="287">
        <v>9389034669</v>
      </c>
      <c r="Q30" s="288" t="s">
        <v>25</v>
      </c>
      <c r="R30" s="141" t="s">
        <v>346</v>
      </c>
      <c r="S30" s="152" t="s">
        <v>346</v>
      </c>
      <c r="T30" s="153">
        <v>1</v>
      </c>
      <c r="U30" s="149">
        <f t="shared" si="1"/>
        <v>9389034669</v>
      </c>
      <c r="V30" s="154">
        <f t="shared" si="2"/>
        <v>17529.937768857355</v>
      </c>
      <c r="W30" s="154">
        <f t="shared" si="3"/>
        <v>17529.937768857355</v>
      </c>
      <c r="X30" s="238" t="str">
        <f>+IF(W30="","",IF(W30&gt;=PARÁMETROS!$J$5,"CUMPLE","NO CUMPLE"))</f>
        <v>CUMPLE</v>
      </c>
      <c r="Y30" s="170"/>
      <c r="Z30" s="109"/>
    </row>
    <row r="31" spans="1:26" s="72" customFormat="1" ht="30" customHeight="1">
      <c r="A31" s="808"/>
      <c r="B31" s="110"/>
      <c r="C31" s="111"/>
      <c r="D31" s="112" t="str">
        <f>+IFERROR(INDEX(CONSOLIDADO!$D$4:$D$89,MATCH('EXP ESPEC. 13-19'!B31,CONSOLIDADO!$C$4:$C$89,0)),"")</f>
        <v/>
      </c>
      <c r="E31" s="113"/>
      <c r="F31" s="114"/>
      <c r="G31" s="242"/>
      <c r="H31" s="242"/>
      <c r="I31" s="242"/>
      <c r="J31" s="242"/>
      <c r="K31" s="115"/>
      <c r="L31" s="116"/>
      <c r="M31" s="116"/>
      <c r="N31" s="160" t="str">
        <f t="shared" si="0"/>
        <v/>
      </c>
      <c r="O31" s="117" t="str">
        <f>+IFERROR(INDEX(PARÁMETROS!$B$11:$B$37,MATCH(N31,PARÁMETROS!$A$11:$A$37,0)),"")</f>
        <v/>
      </c>
      <c r="P31" s="118"/>
      <c r="Q31" s="119"/>
      <c r="R31" s="110"/>
      <c r="S31" s="120"/>
      <c r="T31" s="121"/>
      <c r="U31" s="117" t="str">
        <f t="shared" si="1"/>
        <v/>
      </c>
      <c r="V31" s="122" t="str">
        <f t="shared" si="2"/>
        <v/>
      </c>
      <c r="W31" s="122" t="str">
        <f t="shared" si="3"/>
        <v/>
      </c>
      <c r="X31" s="241" t="str">
        <f>+IF(W31="","",IF(W31&gt;=PARÁMETROS!$J$5,"CUMPLE","NO CUMPLE"))</f>
        <v/>
      </c>
      <c r="Y31" s="167"/>
      <c r="Z31" s="109"/>
    </row>
    <row r="32" spans="1:26" s="72" customFormat="1" ht="30" customHeight="1">
      <c r="A32" s="796"/>
      <c r="B32" s="58"/>
      <c r="C32" s="75"/>
      <c r="D32" s="60" t="str">
        <f>+IFERROR(INDEX(CONSOLIDADO!$D$4:$D$89,MATCH('EXP ESPEC. 13-19'!B32,CONSOLIDADO!$C$4:$C$89,0)),"")</f>
        <v/>
      </c>
      <c r="E32" s="61"/>
      <c r="F32" s="62"/>
      <c r="G32" s="214"/>
      <c r="H32" s="214"/>
      <c r="I32" s="214"/>
      <c r="J32" s="214"/>
      <c r="K32" s="63"/>
      <c r="L32" s="64"/>
      <c r="M32" s="64"/>
      <c r="N32" s="65" t="str">
        <f t="shared" si="0"/>
        <v/>
      </c>
      <c r="O32" s="66" t="str">
        <f>+IFERROR(INDEX(PARÁMETROS!$B$11:$B$37,MATCH(N32,PARÁMETROS!$A$11:$A$37,0)),"")</f>
        <v/>
      </c>
      <c r="P32" s="67"/>
      <c r="Q32" s="68"/>
      <c r="R32" s="58"/>
      <c r="S32" s="69"/>
      <c r="T32" s="70"/>
      <c r="U32" s="66" t="str">
        <f t="shared" si="1"/>
        <v/>
      </c>
      <c r="V32" s="55" t="str">
        <f t="shared" si="2"/>
        <v/>
      </c>
      <c r="W32" s="55" t="str">
        <f t="shared" si="3"/>
        <v/>
      </c>
      <c r="X32" s="239" t="str">
        <f>+IF(W32="","",IF(W32&gt;=PARÁMETROS!$J$5,"CUMPLE","NO CUMPLE"))</f>
        <v/>
      </c>
      <c r="Y32" s="139"/>
      <c r="Z32" s="109"/>
    </row>
    <row r="33" spans="1:26" s="72" customFormat="1" ht="30" customHeight="1">
      <c r="A33" s="796"/>
      <c r="B33" s="58"/>
      <c r="C33" s="75"/>
      <c r="D33" s="60" t="str">
        <f>+IFERROR(INDEX(CONSOLIDADO!$D$4:$D$89,MATCH('EXP ESPEC. 13-19'!B33,CONSOLIDADO!$C$4:$C$89,0)),"")</f>
        <v/>
      </c>
      <c r="E33" s="61"/>
      <c r="F33" s="62"/>
      <c r="G33" s="214"/>
      <c r="H33" s="214"/>
      <c r="I33" s="214"/>
      <c r="J33" s="214"/>
      <c r="K33" s="63"/>
      <c r="L33" s="64"/>
      <c r="M33" s="64"/>
      <c r="N33" s="65" t="str">
        <f t="shared" si="0"/>
        <v/>
      </c>
      <c r="O33" s="66" t="str">
        <f>+IFERROR(INDEX(PARÁMETROS!$B$11:$B$37,MATCH(N33,PARÁMETROS!$A$11:$A$37,0)),"")</f>
        <v/>
      </c>
      <c r="P33" s="67"/>
      <c r="Q33" s="68"/>
      <c r="R33" s="58"/>
      <c r="S33" s="69"/>
      <c r="T33" s="70"/>
      <c r="U33" s="66" t="str">
        <f t="shared" si="1"/>
        <v/>
      </c>
      <c r="V33" s="55" t="str">
        <f t="shared" si="2"/>
        <v/>
      </c>
      <c r="W33" s="55" t="str">
        <f t="shared" si="3"/>
        <v/>
      </c>
      <c r="X33" s="239" t="str">
        <f>+IF(W33="","",IF(W33&gt;=PARÁMETROS!$J$5,"CUMPLE","NO CUMPLE"))</f>
        <v/>
      </c>
      <c r="Y33" s="139"/>
      <c r="Z33" s="109"/>
    </row>
    <row r="34" spans="1:26" s="72" customFormat="1" ht="30" customHeight="1" thickBot="1">
      <c r="A34" s="796"/>
      <c r="B34" s="58"/>
      <c r="C34" s="75"/>
      <c r="D34" s="60" t="str">
        <f>+IFERROR(INDEX(CONSOLIDADO!$D$4:$D$89,MATCH('EXP ESPEC. 13-19'!B34,CONSOLIDADO!$C$4:$C$89,0)),"")</f>
        <v/>
      </c>
      <c r="E34" s="61"/>
      <c r="F34" s="62"/>
      <c r="G34" s="214"/>
      <c r="H34" s="214"/>
      <c r="I34" s="214"/>
      <c r="J34" s="214"/>
      <c r="K34" s="63"/>
      <c r="L34" s="64"/>
      <c r="M34" s="64"/>
      <c r="N34" s="65" t="str">
        <f t="shared" si="0"/>
        <v/>
      </c>
      <c r="O34" s="66" t="str">
        <f>+IFERROR(INDEX(PARÁMETROS!$B$11:$B$37,MATCH(N34,PARÁMETROS!$A$11:$A$37,0)),"")</f>
        <v/>
      </c>
      <c r="P34" s="67"/>
      <c r="Q34" s="68"/>
      <c r="R34" s="58"/>
      <c r="S34" s="69"/>
      <c r="T34" s="70"/>
      <c r="U34" s="66" t="str">
        <f t="shared" si="1"/>
        <v/>
      </c>
      <c r="V34" s="55" t="str">
        <f t="shared" si="2"/>
        <v/>
      </c>
      <c r="W34" s="55" t="str">
        <f t="shared" si="3"/>
        <v/>
      </c>
      <c r="X34" s="239" t="str">
        <f>+IF(W34="","",IF(W34&gt;=PARÁMETROS!$J$5,"CUMPLE","NO CUMPLE"))</f>
        <v/>
      </c>
      <c r="Y34" s="139"/>
      <c r="Z34" s="109"/>
    </row>
    <row r="35" spans="1:26" s="72" customFormat="1" ht="30" customHeight="1">
      <c r="A35" s="795"/>
      <c r="B35" s="123"/>
      <c r="C35" s="157"/>
      <c r="D35" s="125" t="str">
        <f>+IFERROR(INDEX(CONSOLIDADO!$D$4:$D$89,MATCH('EXP ESPEC. 13-19'!B35,CONSOLIDADO!$C$4:$C$89,0)),"")</f>
        <v/>
      </c>
      <c r="E35" s="126"/>
      <c r="F35" s="126"/>
      <c r="G35" s="213"/>
      <c r="H35" s="213"/>
      <c r="I35" s="213"/>
      <c r="J35" s="213"/>
      <c r="K35" s="162"/>
      <c r="L35" s="129"/>
      <c r="M35" s="129"/>
      <c r="N35" s="130" t="str">
        <f t="shared" si="0"/>
        <v/>
      </c>
      <c r="O35" s="131" t="str">
        <f>+IFERROR(INDEX(PARÁMETROS!$B$11:$B$37,MATCH(N35,PARÁMETROS!$A$11:$A$37,0)),"")</f>
        <v/>
      </c>
      <c r="P35" s="163"/>
      <c r="Q35" s="131"/>
      <c r="R35" s="123"/>
      <c r="S35" s="134"/>
      <c r="T35" s="135"/>
      <c r="U35" s="131" t="str">
        <f t="shared" si="1"/>
        <v/>
      </c>
      <c r="V35" s="136" t="str">
        <f t="shared" si="2"/>
        <v/>
      </c>
      <c r="W35" s="136" t="str">
        <f t="shared" si="3"/>
        <v/>
      </c>
      <c r="X35" s="239" t="str">
        <f>+IF(W35="","",IF(W35&gt;=PARÁMETROS!$J$5,"CUMPLE","NO CUMPLE"))</f>
        <v/>
      </c>
      <c r="Y35" s="138"/>
      <c r="Z35" s="109"/>
    </row>
    <row r="36" spans="1:26" s="72" customFormat="1" ht="30" customHeight="1">
      <c r="A36" s="796"/>
      <c r="B36" s="58"/>
      <c r="C36" s="75"/>
      <c r="D36" s="60" t="str">
        <f>+IFERROR(INDEX(CONSOLIDADO!$D$4:$D$89,MATCH('EXP ESPEC. 13-19'!B36,CONSOLIDADO!$C$4:$C$89,0)),"")</f>
        <v/>
      </c>
      <c r="E36" s="61"/>
      <c r="F36" s="61"/>
      <c r="G36" s="214"/>
      <c r="H36" s="214"/>
      <c r="I36" s="214"/>
      <c r="J36" s="214"/>
      <c r="K36" s="73"/>
      <c r="L36" s="64"/>
      <c r="M36" s="64"/>
      <c r="N36" s="65" t="str">
        <f t="shared" si="0"/>
        <v/>
      </c>
      <c r="O36" s="66" t="str">
        <f>+IFERROR(INDEX(PARÁMETROS!$B$11:$B$37,MATCH(N36,PARÁMETROS!$A$11:$A$37,0)),"")</f>
        <v/>
      </c>
      <c r="P36" s="74"/>
      <c r="Q36" s="66"/>
      <c r="R36" s="58"/>
      <c r="S36" s="69"/>
      <c r="T36" s="70"/>
      <c r="U36" s="66" t="str">
        <f t="shared" si="1"/>
        <v/>
      </c>
      <c r="V36" s="55" t="str">
        <f t="shared" si="2"/>
        <v/>
      </c>
      <c r="W36" s="55" t="str">
        <f t="shared" si="3"/>
        <v/>
      </c>
      <c r="X36" s="239" t="str">
        <f>+IF(W36="","",IF(W36&gt;=PARÁMETROS!$J$5,"CUMPLE","NO CUMPLE"))</f>
        <v/>
      </c>
      <c r="Y36" s="139"/>
      <c r="Z36" s="109"/>
    </row>
    <row r="37" spans="1:26" s="72" customFormat="1" ht="30" customHeight="1">
      <c r="A37" s="796"/>
      <c r="B37" s="58"/>
      <c r="C37" s="75"/>
      <c r="D37" s="60" t="str">
        <f>+IFERROR(INDEX(CONSOLIDADO!$D$4:$D$89,MATCH('EXP ESPEC. 13-19'!B37,CONSOLIDADO!$C$4:$C$89,0)),"")</f>
        <v/>
      </c>
      <c r="E37" s="61"/>
      <c r="F37" s="61"/>
      <c r="G37" s="214"/>
      <c r="H37" s="214"/>
      <c r="I37" s="214"/>
      <c r="J37" s="214"/>
      <c r="K37" s="73"/>
      <c r="L37" s="64"/>
      <c r="M37" s="64"/>
      <c r="N37" s="65" t="str">
        <f t="shared" si="0"/>
        <v/>
      </c>
      <c r="O37" s="66" t="str">
        <f>+IFERROR(INDEX(PARÁMETROS!$B$11:$B$37,MATCH(N37,PARÁMETROS!$A$11:$A$37,0)),"")</f>
        <v/>
      </c>
      <c r="P37" s="74"/>
      <c r="Q37" s="66"/>
      <c r="R37" s="58"/>
      <c r="S37" s="69"/>
      <c r="T37" s="70"/>
      <c r="U37" s="66" t="str">
        <f t="shared" si="1"/>
        <v/>
      </c>
      <c r="V37" s="55" t="str">
        <f t="shared" si="2"/>
        <v/>
      </c>
      <c r="W37" s="55" t="str">
        <f t="shared" si="3"/>
        <v/>
      </c>
      <c r="X37" s="239" t="str">
        <f>+IF(W37="","",IF(W37&gt;=PARÁMETROS!$J$5,"CUMPLE","NO CUMPLE"))</f>
        <v/>
      </c>
      <c r="Y37" s="139"/>
      <c r="Z37" s="109"/>
    </row>
    <row r="38" spans="1:26" s="72" customFormat="1" ht="30" customHeight="1" thickBot="1">
      <c r="A38" s="796"/>
      <c r="B38" s="58"/>
      <c r="C38" s="75"/>
      <c r="D38" s="60" t="str">
        <f>+IFERROR(INDEX(CONSOLIDADO!$D$4:$D$89,MATCH('EXP ESPEC. 13-19'!B38,CONSOLIDADO!$C$4:$C$89,0)),"")</f>
        <v/>
      </c>
      <c r="E38" s="61"/>
      <c r="F38" s="61"/>
      <c r="G38" s="214"/>
      <c r="H38" s="214"/>
      <c r="I38" s="214"/>
      <c r="J38" s="214"/>
      <c r="K38" s="73"/>
      <c r="L38" s="64"/>
      <c r="M38" s="64"/>
      <c r="N38" s="65" t="str">
        <f t="shared" si="0"/>
        <v/>
      </c>
      <c r="O38" s="66" t="str">
        <f>+IFERROR(INDEX(PARÁMETROS!$B$11:$B$37,MATCH(N38,PARÁMETROS!$A$11:$A$37,0)),"")</f>
        <v/>
      </c>
      <c r="P38" s="74"/>
      <c r="Q38" s="66"/>
      <c r="R38" s="58"/>
      <c r="S38" s="69"/>
      <c r="T38" s="70"/>
      <c r="U38" s="66" t="str">
        <f t="shared" si="1"/>
        <v/>
      </c>
      <c r="V38" s="55" t="str">
        <f t="shared" si="2"/>
        <v/>
      </c>
      <c r="W38" s="55" t="str">
        <f t="shared" si="3"/>
        <v/>
      </c>
      <c r="X38" s="239" t="str">
        <f>+IF(W38="","",IF(W38&gt;=PARÁMETROS!$J$5,"CUMPLE","NO CUMPLE"))</f>
        <v/>
      </c>
      <c r="Y38" s="139"/>
      <c r="Z38" s="109"/>
    </row>
    <row r="39" spans="1:26" s="72" customFormat="1" ht="30" customHeight="1">
      <c r="A39" s="795"/>
      <c r="B39" s="123"/>
      <c r="C39" s="157"/>
      <c r="D39" s="125" t="str">
        <f>+IFERROR(INDEX(CONSOLIDADO!$D$4:$D$89,MATCH('EXP ESPEC. 13-19'!B39,CONSOLIDADO!$C$4:$C$89,0)),"")</f>
        <v/>
      </c>
      <c r="E39" s="126"/>
      <c r="F39" s="126"/>
      <c r="G39" s="213"/>
      <c r="H39" s="213"/>
      <c r="I39" s="213"/>
      <c r="J39" s="213"/>
      <c r="K39" s="162"/>
      <c r="L39" s="129"/>
      <c r="M39" s="129"/>
      <c r="N39" s="130" t="str">
        <f t="shared" si="0"/>
        <v/>
      </c>
      <c r="O39" s="131" t="str">
        <f>+IFERROR(INDEX(PARÁMETROS!$B$11:$B$37,MATCH(N39,PARÁMETROS!$A$11:$A$37,0)),"")</f>
        <v/>
      </c>
      <c r="P39" s="163"/>
      <c r="Q39" s="131"/>
      <c r="R39" s="123"/>
      <c r="S39" s="134"/>
      <c r="T39" s="135"/>
      <c r="U39" s="131" t="str">
        <f t="shared" si="1"/>
        <v/>
      </c>
      <c r="V39" s="136" t="str">
        <f t="shared" si="2"/>
        <v/>
      </c>
      <c r="W39" s="136" t="str">
        <f t="shared" si="3"/>
        <v/>
      </c>
      <c r="X39" s="239" t="str">
        <f>+IF(W39="","",IF(W39&gt;=PARÁMETROS!$J$5,"CUMPLE","NO CUMPLE"))</f>
        <v/>
      </c>
      <c r="Y39" s="138"/>
      <c r="Z39" s="109"/>
    </row>
    <row r="40" spans="1:26" s="72" customFormat="1" ht="30" customHeight="1">
      <c r="A40" s="796"/>
      <c r="B40" s="58"/>
      <c r="C40" s="75"/>
      <c r="D40" s="60" t="str">
        <f>+IFERROR(INDEX(CONSOLIDADO!$D$4:$D$89,MATCH('EXP ESPEC. 13-19'!B40,CONSOLIDADO!$C$4:$C$89,0)),"")</f>
        <v/>
      </c>
      <c r="E40" s="61"/>
      <c r="F40" s="61"/>
      <c r="G40" s="214"/>
      <c r="H40" s="214"/>
      <c r="I40" s="214"/>
      <c r="J40" s="214"/>
      <c r="K40" s="73"/>
      <c r="L40" s="64"/>
      <c r="M40" s="64"/>
      <c r="N40" s="65" t="str">
        <f t="shared" si="0"/>
        <v/>
      </c>
      <c r="O40" s="66" t="str">
        <f>+IFERROR(INDEX(PARÁMETROS!$B$11:$B$37,MATCH(N40,PARÁMETROS!$A$11:$A$37,0)),"")</f>
        <v/>
      </c>
      <c r="P40" s="74"/>
      <c r="Q40" s="66"/>
      <c r="R40" s="58"/>
      <c r="S40" s="69"/>
      <c r="T40" s="70"/>
      <c r="U40" s="66" t="str">
        <f t="shared" si="1"/>
        <v/>
      </c>
      <c r="V40" s="55" t="str">
        <f t="shared" si="2"/>
        <v/>
      </c>
      <c r="W40" s="55" t="str">
        <f t="shared" si="3"/>
        <v/>
      </c>
      <c r="X40" s="239" t="str">
        <f>+IF(W40="","",IF(W40&gt;=PARÁMETROS!$J$5,"CUMPLE","NO CUMPLE"))</f>
        <v/>
      </c>
      <c r="Y40" s="139"/>
      <c r="Z40" s="109"/>
    </row>
    <row r="41" spans="1:26" s="72" customFormat="1" ht="30" customHeight="1">
      <c r="A41" s="796"/>
      <c r="B41" s="58"/>
      <c r="C41" s="75"/>
      <c r="D41" s="60" t="str">
        <f>+IFERROR(INDEX(CONSOLIDADO!$D$4:$D$89,MATCH('EXP ESPEC. 13-19'!B41,CONSOLIDADO!$C$4:$C$89,0)),"")</f>
        <v/>
      </c>
      <c r="E41" s="61"/>
      <c r="F41" s="61"/>
      <c r="G41" s="214"/>
      <c r="H41" s="214"/>
      <c r="I41" s="214"/>
      <c r="J41" s="214"/>
      <c r="K41" s="73"/>
      <c r="L41" s="64"/>
      <c r="M41" s="64"/>
      <c r="N41" s="65" t="str">
        <f t="shared" si="0"/>
        <v/>
      </c>
      <c r="O41" s="66" t="str">
        <f>+IFERROR(INDEX(PARÁMETROS!$B$11:$B$37,MATCH(N41,PARÁMETROS!$A$11:$A$37,0)),"")</f>
        <v/>
      </c>
      <c r="P41" s="74"/>
      <c r="Q41" s="66"/>
      <c r="R41" s="58"/>
      <c r="S41" s="69"/>
      <c r="T41" s="70"/>
      <c r="U41" s="66" t="str">
        <f t="shared" si="1"/>
        <v/>
      </c>
      <c r="V41" s="55" t="str">
        <f t="shared" si="2"/>
        <v/>
      </c>
      <c r="W41" s="55" t="str">
        <f t="shared" si="3"/>
        <v/>
      </c>
      <c r="X41" s="211" t="str">
        <f>+IF(W41="","",IF(W41&gt;=PARÁMETROS!$D$5,"CUMPLE","NO CUMPLE"))</f>
        <v/>
      </c>
      <c r="Y41" s="139"/>
      <c r="Z41" s="109"/>
    </row>
    <row r="42" spans="1:26" s="72" customFormat="1" ht="30" customHeight="1" thickBot="1">
      <c r="A42" s="796"/>
      <c r="B42" s="58"/>
      <c r="C42" s="75"/>
      <c r="D42" s="60" t="str">
        <f>+IFERROR(INDEX(CONSOLIDADO!$D$4:$D$89,MATCH('EXP ESPEC. 13-19'!B42,CONSOLIDADO!$C$4:$C$89,0)),"")</f>
        <v/>
      </c>
      <c r="E42" s="61"/>
      <c r="F42" s="61"/>
      <c r="G42" s="214"/>
      <c r="H42" s="214"/>
      <c r="I42" s="214"/>
      <c r="J42" s="214"/>
      <c r="K42" s="73"/>
      <c r="L42" s="64"/>
      <c r="M42" s="64"/>
      <c r="N42" s="65" t="str">
        <f t="shared" si="0"/>
        <v/>
      </c>
      <c r="O42" s="66" t="str">
        <f>+IFERROR(INDEX(PARÁMETROS!$B$11:$B$37,MATCH(N42,PARÁMETROS!$A$11:$A$37,0)),"")</f>
        <v/>
      </c>
      <c r="P42" s="74"/>
      <c r="Q42" s="66"/>
      <c r="R42" s="58"/>
      <c r="S42" s="69"/>
      <c r="T42" s="70"/>
      <c r="U42" s="66" t="str">
        <f t="shared" si="1"/>
        <v/>
      </c>
      <c r="V42" s="55" t="str">
        <f t="shared" si="2"/>
        <v/>
      </c>
      <c r="W42" s="55" t="str">
        <f t="shared" si="3"/>
        <v/>
      </c>
      <c r="X42" s="210" t="str">
        <f>+IF(W42="","",IF(W42&gt;=PARÁMETROS!$D$5,"CUMPLE","NO CUMPLE"))</f>
        <v/>
      </c>
      <c r="Y42" s="139"/>
      <c r="Z42" s="109"/>
    </row>
    <row r="43" spans="1:26" s="72" customFormat="1" ht="30" customHeight="1">
      <c r="A43" s="795"/>
      <c r="B43" s="123"/>
      <c r="C43" s="157"/>
      <c r="D43" s="125" t="str">
        <f>+IFERROR(INDEX(CONSOLIDADO!$D$4:$D$89,MATCH('EXP ESPEC. 13-19'!B43,CONSOLIDADO!$C$4:$C$89,0)),"")</f>
        <v/>
      </c>
      <c r="E43" s="126"/>
      <c r="F43" s="126"/>
      <c r="G43" s="213"/>
      <c r="H43" s="213"/>
      <c r="I43" s="213"/>
      <c r="J43" s="213"/>
      <c r="K43" s="162"/>
      <c r="L43" s="129"/>
      <c r="M43" s="129"/>
      <c r="N43" s="130" t="str">
        <f t="shared" si="0"/>
        <v/>
      </c>
      <c r="O43" s="131" t="str">
        <f>+IFERROR(INDEX(PARÁMETROS!$B$11:$B$37,MATCH(N43,PARÁMETROS!$A$11:$A$37,0)),"")</f>
        <v/>
      </c>
      <c r="P43" s="163"/>
      <c r="Q43" s="131"/>
      <c r="R43" s="123"/>
      <c r="S43" s="134"/>
      <c r="T43" s="135"/>
      <c r="U43" s="131" t="str">
        <f t="shared" si="1"/>
        <v/>
      </c>
      <c r="V43" s="136" t="str">
        <f t="shared" si="2"/>
        <v/>
      </c>
      <c r="W43" s="136" t="str">
        <f t="shared" si="3"/>
        <v/>
      </c>
      <c r="X43" s="168" t="str">
        <f>+IF(W43="","",IF(W43&gt;=PARÁMETROS!$D$5,"CUMPLE","NO CUMPLE"))</f>
        <v/>
      </c>
      <c r="Y43" s="138"/>
      <c r="Z43" s="109"/>
    </row>
    <row r="44" spans="1:26" s="72" customFormat="1" ht="30" customHeight="1">
      <c r="A44" s="796"/>
      <c r="B44" s="58"/>
      <c r="C44" s="75"/>
      <c r="D44" s="60" t="str">
        <f>+IFERROR(INDEX(CONSOLIDADO!$D$4:$D$89,MATCH('EXP ESPEC. 13-19'!B44,CONSOLIDADO!$C$4:$C$89,0)),"")</f>
        <v/>
      </c>
      <c r="E44" s="61"/>
      <c r="F44" s="61"/>
      <c r="G44" s="214"/>
      <c r="H44" s="214"/>
      <c r="I44" s="214"/>
      <c r="J44" s="214"/>
      <c r="K44" s="73"/>
      <c r="L44" s="64"/>
      <c r="M44" s="64"/>
      <c r="N44" s="65" t="str">
        <f t="shared" si="0"/>
        <v/>
      </c>
      <c r="O44" s="66" t="str">
        <f>+IFERROR(INDEX(PARÁMETROS!$B$11:$B$37,MATCH(N44,PARÁMETROS!$A$11:$A$37,0)),"")</f>
        <v/>
      </c>
      <c r="P44" s="74"/>
      <c r="Q44" s="66"/>
      <c r="R44" s="58"/>
      <c r="S44" s="69"/>
      <c r="T44" s="70"/>
      <c r="U44" s="66" t="str">
        <f t="shared" si="1"/>
        <v/>
      </c>
      <c r="V44" s="55" t="str">
        <f t="shared" si="2"/>
        <v/>
      </c>
      <c r="W44" s="55" t="str">
        <f t="shared" si="3"/>
        <v/>
      </c>
      <c r="X44" s="211" t="str">
        <f>+IF(W44="","",IF(W44&gt;=PARÁMETROS!$D$5,"CUMPLE","NO CUMPLE"))</f>
        <v/>
      </c>
      <c r="Y44" s="139"/>
      <c r="Z44" s="109"/>
    </row>
    <row r="45" spans="1:26" s="72" customFormat="1" ht="30" customHeight="1">
      <c r="A45" s="796"/>
      <c r="B45" s="58"/>
      <c r="C45" s="75"/>
      <c r="D45" s="60" t="str">
        <f>+IFERROR(INDEX(CONSOLIDADO!$D$4:$D$89,MATCH('EXP ESPEC. 13-19'!B45,CONSOLIDADO!$C$4:$C$89,0)),"")</f>
        <v/>
      </c>
      <c r="E45" s="61"/>
      <c r="F45" s="61"/>
      <c r="G45" s="214"/>
      <c r="H45" s="214"/>
      <c r="I45" s="214"/>
      <c r="J45" s="214"/>
      <c r="K45" s="73"/>
      <c r="L45" s="64"/>
      <c r="M45" s="64"/>
      <c r="N45" s="65" t="str">
        <f t="shared" si="0"/>
        <v/>
      </c>
      <c r="O45" s="66" t="str">
        <f>+IFERROR(INDEX(PARÁMETROS!$B$11:$B$37,MATCH(N45,PARÁMETROS!$A$11:$A$37,0)),"")</f>
        <v/>
      </c>
      <c r="P45" s="74"/>
      <c r="Q45" s="66"/>
      <c r="R45" s="58"/>
      <c r="S45" s="69"/>
      <c r="T45" s="70"/>
      <c r="U45" s="66" t="str">
        <f t="shared" si="1"/>
        <v/>
      </c>
      <c r="V45" s="55" t="str">
        <f t="shared" si="2"/>
        <v/>
      </c>
      <c r="W45" s="55" t="str">
        <f t="shared" si="3"/>
        <v/>
      </c>
      <c r="X45" s="211" t="str">
        <f>+IF(W45="","",IF(W45&gt;=PARÁMETROS!$D$5,"CUMPLE","NO CUMPLE"))</f>
        <v/>
      </c>
      <c r="Y45" s="139"/>
      <c r="Z45" s="109"/>
    </row>
    <row r="46" spans="1:26" s="72" customFormat="1" ht="30" customHeight="1" thickBot="1">
      <c r="A46" s="796"/>
      <c r="B46" s="58"/>
      <c r="C46" s="75"/>
      <c r="D46" s="60" t="str">
        <f>+IFERROR(INDEX(CONSOLIDADO!$D$4:$D$89,MATCH('EXP ESPEC. 13-19'!B46,CONSOLIDADO!$C$4:$C$89,0)),"")</f>
        <v/>
      </c>
      <c r="E46" s="61"/>
      <c r="F46" s="61"/>
      <c r="G46" s="214"/>
      <c r="H46" s="214"/>
      <c r="I46" s="214"/>
      <c r="J46" s="214"/>
      <c r="K46" s="73"/>
      <c r="L46" s="64"/>
      <c r="M46" s="64"/>
      <c r="N46" s="65" t="str">
        <f t="shared" si="0"/>
        <v/>
      </c>
      <c r="O46" s="66" t="str">
        <f>+IFERROR(INDEX(PARÁMETROS!$B$11:$B$37,MATCH(N46,PARÁMETROS!$A$11:$A$37,0)),"")</f>
        <v/>
      </c>
      <c r="P46" s="74"/>
      <c r="Q46" s="66"/>
      <c r="R46" s="58"/>
      <c r="S46" s="69"/>
      <c r="T46" s="70"/>
      <c r="U46" s="66" t="str">
        <f t="shared" si="1"/>
        <v/>
      </c>
      <c r="V46" s="55" t="str">
        <f t="shared" si="2"/>
        <v/>
      </c>
      <c r="W46" s="55" t="str">
        <f t="shared" si="3"/>
        <v/>
      </c>
      <c r="X46" s="210" t="str">
        <f>+IF(W46="","",IF(W46&gt;=PARÁMETROS!$D$5,"CUMPLE","NO CUMPLE"))</f>
        <v/>
      </c>
      <c r="Y46" s="139"/>
      <c r="Z46" s="109"/>
    </row>
    <row r="47" spans="1:26" s="72" customFormat="1" ht="30" customHeight="1">
      <c r="A47" s="795"/>
      <c r="B47" s="123"/>
      <c r="C47" s="157"/>
      <c r="D47" s="125" t="str">
        <f>+IFERROR(INDEX(CONSOLIDADO!$D$4:$D$89,MATCH('EXP ESPEC. 13-19'!B47,CONSOLIDADO!$C$4:$C$89,0)),"")</f>
        <v/>
      </c>
      <c r="E47" s="126"/>
      <c r="F47" s="126"/>
      <c r="G47" s="213"/>
      <c r="H47" s="213"/>
      <c r="I47" s="213"/>
      <c r="J47" s="213"/>
      <c r="K47" s="162"/>
      <c r="L47" s="129"/>
      <c r="M47" s="129"/>
      <c r="N47" s="130" t="str">
        <f t="shared" si="0"/>
        <v/>
      </c>
      <c r="O47" s="131" t="str">
        <f>+IFERROR(INDEX(PARÁMETROS!$B$11:$B$37,MATCH(N47,PARÁMETROS!$A$11:$A$37,0)),"")</f>
        <v/>
      </c>
      <c r="P47" s="163"/>
      <c r="Q47" s="131"/>
      <c r="R47" s="123"/>
      <c r="S47" s="134"/>
      <c r="T47" s="135"/>
      <c r="U47" s="131" t="str">
        <f t="shared" si="1"/>
        <v/>
      </c>
      <c r="V47" s="136" t="str">
        <f t="shared" si="2"/>
        <v/>
      </c>
      <c r="W47" s="136" t="str">
        <f t="shared" si="3"/>
        <v/>
      </c>
      <c r="X47" s="168" t="str">
        <f>+IF(W47="","",IF(W47&gt;=PARÁMETROS!$D$5,"CUMPLE","NO CUMPLE"))</f>
        <v/>
      </c>
      <c r="Y47" s="138"/>
      <c r="Z47" s="109"/>
    </row>
    <row r="48" spans="1:26" s="72" customFormat="1" ht="30" customHeight="1">
      <c r="A48" s="796"/>
      <c r="B48" s="58"/>
      <c r="C48" s="75"/>
      <c r="D48" s="60" t="str">
        <f>+IFERROR(INDEX(CONSOLIDADO!$D$4:$D$89,MATCH('EXP ESPEC. 13-19'!B48,CONSOLIDADO!$C$4:$C$89,0)),"")</f>
        <v/>
      </c>
      <c r="E48" s="61"/>
      <c r="F48" s="61"/>
      <c r="G48" s="214"/>
      <c r="H48" s="214"/>
      <c r="I48" s="214"/>
      <c r="J48" s="214"/>
      <c r="K48" s="73"/>
      <c r="L48" s="64"/>
      <c r="M48" s="64"/>
      <c r="N48" s="65" t="str">
        <f t="shared" si="0"/>
        <v/>
      </c>
      <c r="O48" s="66" t="str">
        <f>+IFERROR(INDEX(PARÁMETROS!$B$11:$B$37,MATCH(N48,PARÁMETROS!$A$11:$A$37,0)),"")</f>
        <v/>
      </c>
      <c r="P48" s="74"/>
      <c r="Q48" s="66"/>
      <c r="R48" s="58"/>
      <c r="S48" s="69"/>
      <c r="T48" s="70"/>
      <c r="U48" s="66" t="str">
        <f t="shared" si="1"/>
        <v/>
      </c>
      <c r="V48" s="55" t="str">
        <f t="shared" si="2"/>
        <v/>
      </c>
      <c r="W48" s="55" t="str">
        <f t="shared" si="3"/>
        <v/>
      </c>
      <c r="X48" s="211" t="str">
        <f>+IF(W48="","",IF(W48&gt;=PARÁMETROS!$D$5,"CUMPLE","NO CUMPLE"))</f>
        <v/>
      </c>
      <c r="Y48" s="139"/>
      <c r="Z48" s="109"/>
    </row>
    <row r="49" spans="1:26" s="72" customFormat="1" ht="30" customHeight="1">
      <c r="A49" s="796"/>
      <c r="B49" s="58"/>
      <c r="C49" s="75"/>
      <c r="D49" s="60" t="str">
        <f>+IFERROR(INDEX(CONSOLIDADO!$D$4:$D$89,MATCH('EXP ESPEC. 13-19'!B49,CONSOLIDADO!$C$4:$C$89,0)),"")</f>
        <v/>
      </c>
      <c r="E49" s="61"/>
      <c r="F49" s="61"/>
      <c r="G49" s="214"/>
      <c r="H49" s="214"/>
      <c r="I49" s="214"/>
      <c r="J49" s="214"/>
      <c r="K49" s="73"/>
      <c r="L49" s="64"/>
      <c r="M49" s="64"/>
      <c r="N49" s="65" t="str">
        <f t="shared" si="0"/>
        <v/>
      </c>
      <c r="O49" s="66" t="str">
        <f>+IFERROR(INDEX(PARÁMETROS!$B$11:$B$37,MATCH(N49,PARÁMETROS!$A$11:$A$37,0)),"")</f>
        <v/>
      </c>
      <c r="P49" s="74"/>
      <c r="Q49" s="66"/>
      <c r="R49" s="58"/>
      <c r="S49" s="69"/>
      <c r="T49" s="70"/>
      <c r="U49" s="66" t="str">
        <f t="shared" si="1"/>
        <v/>
      </c>
      <c r="V49" s="55" t="str">
        <f t="shared" si="2"/>
        <v/>
      </c>
      <c r="W49" s="55" t="str">
        <f t="shared" si="3"/>
        <v/>
      </c>
      <c r="X49" s="211" t="str">
        <f>+IF(W49="","",IF(W49&gt;=PARÁMETROS!$D$5,"CUMPLE","NO CUMPLE"))</f>
        <v/>
      </c>
      <c r="Y49" s="139"/>
      <c r="Z49" s="109"/>
    </row>
    <row r="50" spans="1:26" s="72" customFormat="1" ht="30" customHeight="1" thickBot="1">
      <c r="A50" s="796"/>
      <c r="B50" s="58"/>
      <c r="C50" s="75"/>
      <c r="D50" s="60" t="str">
        <f>+IFERROR(INDEX(CONSOLIDADO!$D$4:$D$89,MATCH('EXP ESPEC. 13-19'!B50,CONSOLIDADO!$C$4:$C$89,0)),"")</f>
        <v/>
      </c>
      <c r="E50" s="61"/>
      <c r="F50" s="61"/>
      <c r="G50" s="214"/>
      <c r="H50" s="214"/>
      <c r="I50" s="214"/>
      <c r="J50" s="214"/>
      <c r="K50" s="73"/>
      <c r="L50" s="64"/>
      <c r="M50" s="64"/>
      <c r="N50" s="65" t="str">
        <f t="shared" si="0"/>
        <v/>
      </c>
      <c r="O50" s="66" t="str">
        <f>+IFERROR(INDEX(PARÁMETROS!$B$11:$B$37,MATCH(N50,PARÁMETROS!$A$11:$A$37,0)),"")</f>
        <v/>
      </c>
      <c r="P50" s="74"/>
      <c r="Q50" s="66"/>
      <c r="R50" s="58"/>
      <c r="S50" s="69"/>
      <c r="T50" s="70"/>
      <c r="U50" s="66" t="str">
        <f t="shared" si="1"/>
        <v/>
      </c>
      <c r="V50" s="55" t="str">
        <f t="shared" si="2"/>
        <v/>
      </c>
      <c r="W50" s="55" t="str">
        <f t="shared" si="3"/>
        <v/>
      </c>
      <c r="X50" s="210" t="str">
        <f>+IF(W50="","",IF(W50&gt;=PARÁMETROS!$D$5,"CUMPLE","NO CUMPLE"))</f>
        <v/>
      </c>
      <c r="Y50" s="139"/>
      <c r="Z50" s="109"/>
    </row>
    <row r="51" spans="1:26" s="72" customFormat="1" ht="30" customHeight="1">
      <c r="A51" s="795"/>
      <c r="B51" s="123"/>
      <c r="C51" s="157"/>
      <c r="D51" s="125" t="str">
        <f>+IFERROR(INDEX(CONSOLIDADO!$D$4:$D$89,MATCH('EXP ESPEC. 13-19'!B51,CONSOLIDADO!$C$4:$C$89,0)),"")</f>
        <v/>
      </c>
      <c r="E51" s="126"/>
      <c r="F51" s="126"/>
      <c r="G51" s="213"/>
      <c r="H51" s="213"/>
      <c r="I51" s="213"/>
      <c r="J51" s="213"/>
      <c r="K51" s="162"/>
      <c r="L51" s="129"/>
      <c r="M51" s="129"/>
      <c r="N51" s="130" t="str">
        <f t="shared" si="0"/>
        <v/>
      </c>
      <c r="O51" s="131" t="str">
        <f>+IFERROR(INDEX(PARÁMETROS!$B$11:$B$37,MATCH(N51,PARÁMETROS!$A$11:$A$37,0)),"")</f>
        <v/>
      </c>
      <c r="P51" s="163"/>
      <c r="Q51" s="131"/>
      <c r="R51" s="123"/>
      <c r="S51" s="134"/>
      <c r="T51" s="135"/>
      <c r="U51" s="131" t="str">
        <f t="shared" si="1"/>
        <v/>
      </c>
      <c r="V51" s="136" t="str">
        <f t="shared" si="2"/>
        <v/>
      </c>
      <c r="W51" s="136" t="str">
        <f t="shared" si="3"/>
        <v/>
      </c>
      <c r="X51" s="168" t="str">
        <f>+IF(W51="","",IF(W51&gt;=PARÁMETROS!$D$5,"CUMPLE","NO CUMPLE"))</f>
        <v/>
      </c>
      <c r="Y51" s="138"/>
      <c r="Z51" s="109"/>
    </row>
    <row r="52" spans="1:26" s="72" customFormat="1" ht="30" customHeight="1">
      <c r="A52" s="796"/>
      <c r="B52" s="58"/>
      <c r="C52" s="75"/>
      <c r="D52" s="60" t="str">
        <f>+IFERROR(INDEX(CONSOLIDADO!$D$4:$D$89,MATCH('EXP ESPEC. 13-19'!B52,CONSOLIDADO!$C$4:$C$89,0)),"")</f>
        <v/>
      </c>
      <c r="E52" s="61"/>
      <c r="F52" s="61"/>
      <c r="G52" s="214"/>
      <c r="H52" s="214"/>
      <c r="I52" s="214"/>
      <c r="J52" s="214"/>
      <c r="K52" s="73"/>
      <c r="L52" s="64"/>
      <c r="M52" s="64"/>
      <c r="N52" s="65" t="str">
        <f t="shared" si="0"/>
        <v/>
      </c>
      <c r="O52" s="66" t="str">
        <f>+IFERROR(INDEX(PARÁMETROS!$B$11:$B$37,MATCH(N52,PARÁMETROS!$A$11:$A$37,0)),"")</f>
        <v/>
      </c>
      <c r="P52" s="74"/>
      <c r="Q52" s="66"/>
      <c r="R52" s="58"/>
      <c r="S52" s="69"/>
      <c r="T52" s="70"/>
      <c r="U52" s="66" t="str">
        <f t="shared" si="1"/>
        <v/>
      </c>
      <c r="V52" s="55" t="str">
        <f t="shared" si="2"/>
        <v/>
      </c>
      <c r="W52" s="55" t="str">
        <f t="shared" si="3"/>
        <v/>
      </c>
      <c r="X52" s="211" t="str">
        <f>+IF(W52="","",IF(W52&gt;=PARÁMETROS!$D$5,"CUMPLE","NO CUMPLE"))</f>
        <v/>
      </c>
      <c r="Y52" s="139"/>
      <c r="Z52" s="109"/>
    </row>
    <row r="53" spans="1:26" s="72" customFormat="1" ht="30" customHeight="1">
      <c r="A53" s="796"/>
      <c r="B53" s="58"/>
      <c r="C53" s="75"/>
      <c r="D53" s="60" t="str">
        <f>+IFERROR(INDEX(CONSOLIDADO!$D$4:$D$89,MATCH('EXP ESPEC. 13-19'!B53,CONSOLIDADO!$C$4:$C$89,0)),"")</f>
        <v/>
      </c>
      <c r="E53" s="61"/>
      <c r="F53" s="61"/>
      <c r="G53" s="214"/>
      <c r="H53" s="214"/>
      <c r="I53" s="214"/>
      <c r="J53" s="214"/>
      <c r="K53" s="73"/>
      <c r="L53" s="64"/>
      <c r="M53" s="64"/>
      <c r="N53" s="65" t="str">
        <f t="shared" si="0"/>
        <v/>
      </c>
      <c r="O53" s="66" t="str">
        <f>+IFERROR(INDEX(PARÁMETROS!$B$11:$B$37,MATCH(N53,PARÁMETROS!$A$11:$A$37,0)),"")</f>
        <v/>
      </c>
      <c r="P53" s="74"/>
      <c r="Q53" s="66"/>
      <c r="R53" s="58"/>
      <c r="S53" s="69"/>
      <c r="T53" s="70"/>
      <c r="U53" s="66" t="str">
        <f t="shared" si="1"/>
        <v/>
      </c>
      <c r="V53" s="55" t="str">
        <f t="shared" si="2"/>
        <v/>
      </c>
      <c r="W53" s="55" t="str">
        <f t="shared" si="3"/>
        <v/>
      </c>
      <c r="X53" s="211" t="str">
        <f>+IF(W53="","",IF(W53&gt;=PARÁMETROS!$D$5,"CUMPLE","NO CUMPLE"))</f>
        <v/>
      </c>
      <c r="Y53" s="139"/>
      <c r="Z53" s="109"/>
    </row>
    <row r="54" spans="1:26" s="72" customFormat="1" ht="30" customHeight="1" thickBot="1">
      <c r="A54" s="806"/>
      <c r="B54" s="141"/>
      <c r="C54" s="142"/>
      <c r="D54" s="143" t="str">
        <f>+IFERROR(INDEX(CONSOLIDADO!$D$4:$D$89,MATCH('EXP ESPEC. 13-19'!B54,CONSOLIDADO!$C$4:$C$89,0)),"")</f>
        <v/>
      </c>
      <c r="E54" s="144"/>
      <c r="F54" s="144"/>
      <c r="G54" s="215"/>
      <c r="H54" s="215"/>
      <c r="I54" s="215"/>
      <c r="J54" s="215"/>
      <c r="K54" s="164"/>
      <c r="L54" s="147"/>
      <c r="M54" s="147"/>
      <c r="N54" s="148" t="str">
        <f t="shared" si="0"/>
        <v/>
      </c>
      <c r="O54" s="149" t="str">
        <f>+IFERROR(INDEX(PARÁMETROS!$B$11:$B$37,MATCH(N54,PARÁMETROS!$A$11:$A$37,0)),"")</f>
        <v/>
      </c>
      <c r="P54" s="165"/>
      <c r="Q54" s="149"/>
      <c r="R54" s="141"/>
      <c r="S54" s="152"/>
      <c r="T54" s="153"/>
      <c r="U54" s="149" t="str">
        <f t="shared" si="1"/>
        <v/>
      </c>
      <c r="V54" s="154" t="str">
        <f t="shared" si="2"/>
        <v/>
      </c>
      <c r="W54" s="154" t="str">
        <f t="shared" si="3"/>
        <v/>
      </c>
      <c r="X54" s="210" t="str">
        <f>+IF(W54="","",IF(W54&gt;=PARÁMETROS!$D$5,"CUMPLE","NO CUMPLE"))</f>
        <v/>
      </c>
      <c r="Y54" s="155"/>
      <c r="Z54" s="109"/>
    </row>
    <row r="55" spans="1:26" s="72" customFormat="1" ht="30" customHeight="1">
      <c r="A55" s="110"/>
      <c r="B55" s="110"/>
      <c r="C55" s="111"/>
      <c r="D55" s="112"/>
      <c r="E55" s="113"/>
      <c r="F55" s="113"/>
      <c r="G55" s="113"/>
      <c r="H55" s="113"/>
      <c r="I55" s="113"/>
      <c r="J55" s="113"/>
      <c r="K55" s="159"/>
      <c r="L55" s="116"/>
      <c r="M55" s="116"/>
      <c r="N55" s="160"/>
      <c r="O55" s="117"/>
      <c r="P55" s="161"/>
      <c r="Q55" s="117"/>
      <c r="R55" s="110"/>
      <c r="S55" s="120"/>
      <c r="T55" s="121"/>
      <c r="U55" s="117"/>
      <c r="V55" s="122"/>
      <c r="W55" s="122"/>
      <c r="X55" s="216"/>
      <c r="Y55" s="113"/>
    </row>
    <row r="56" spans="1:26" s="72" customFormat="1" ht="30" customHeight="1">
      <c r="A56" s="58"/>
      <c r="B56" s="58"/>
      <c r="C56" s="75"/>
      <c r="D56" s="60"/>
      <c r="E56" s="61"/>
      <c r="F56" s="61"/>
      <c r="G56" s="61"/>
      <c r="H56" s="61"/>
      <c r="I56" s="61"/>
      <c r="J56" s="61"/>
      <c r="K56" s="73"/>
      <c r="L56" s="64"/>
      <c r="M56" s="64"/>
      <c r="N56" s="65"/>
      <c r="O56" s="66"/>
      <c r="P56" s="74"/>
      <c r="Q56" s="66"/>
      <c r="R56" s="58"/>
      <c r="S56" s="69"/>
      <c r="T56" s="70"/>
      <c r="U56" s="66"/>
      <c r="V56" s="55"/>
      <c r="W56" s="55"/>
      <c r="X56" s="211"/>
      <c r="Y56" s="61"/>
    </row>
    <row r="57" spans="1:26" s="72" customFormat="1" ht="30" customHeight="1">
      <c r="A57" s="58"/>
      <c r="B57" s="58"/>
      <c r="C57" s="75"/>
      <c r="D57" s="60"/>
      <c r="E57" s="61"/>
      <c r="F57" s="61"/>
      <c r="G57" s="61"/>
      <c r="H57" s="61"/>
      <c r="I57" s="61"/>
      <c r="J57" s="61"/>
      <c r="K57" s="73"/>
      <c r="L57" s="64"/>
      <c r="M57" s="64"/>
      <c r="N57" s="65"/>
      <c r="O57" s="66"/>
      <c r="P57" s="74"/>
      <c r="Q57" s="66"/>
      <c r="R57" s="58"/>
      <c r="S57" s="69"/>
      <c r="T57" s="70"/>
      <c r="U57" s="66"/>
      <c r="V57" s="55"/>
      <c r="W57" s="55"/>
      <c r="X57" s="211"/>
      <c r="Y57" s="61"/>
    </row>
    <row r="58" spans="1:26" s="72" customFormat="1" ht="30" customHeight="1">
      <c r="A58" s="58"/>
      <c r="B58" s="58"/>
      <c r="C58" s="75"/>
      <c r="D58" s="60"/>
      <c r="E58" s="61"/>
      <c r="F58" s="61"/>
      <c r="G58" s="61"/>
      <c r="H58" s="61"/>
      <c r="I58" s="61"/>
      <c r="J58" s="61"/>
      <c r="K58" s="73"/>
      <c r="L58" s="64"/>
      <c r="M58" s="64"/>
      <c r="N58" s="65"/>
      <c r="O58" s="66"/>
      <c r="P58" s="74"/>
      <c r="Q58" s="66"/>
      <c r="R58" s="58"/>
      <c r="S58" s="69"/>
      <c r="T58" s="70"/>
      <c r="U58" s="66"/>
      <c r="V58" s="55"/>
      <c r="W58" s="55"/>
      <c r="X58" s="211"/>
      <c r="Y58" s="61"/>
    </row>
    <row r="59" spans="1:26" s="72" customFormat="1" ht="30" customHeight="1">
      <c r="A59" s="58"/>
      <c r="B59" s="58"/>
      <c r="C59" s="75"/>
      <c r="D59" s="60"/>
      <c r="E59" s="61"/>
      <c r="F59" s="61"/>
      <c r="G59" s="61"/>
      <c r="H59" s="61"/>
      <c r="I59" s="61"/>
      <c r="J59" s="61"/>
      <c r="K59" s="73"/>
      <c r="L59" s="64"/>
      <c r="M59" s="64"/>
      <c r="N59" s="65"/>
      <c r="O59" s="66"/>
      <c r="P59" s="74"/>
      <c r="Q59" s="66"/>
      <c r="R59" s="58"/>
      <c r="S59" s="69"/>
      <c r="T59" s="70"/>
      <c r="U59" s="66"/>
      <c r="V59" s="55"/>
      <c r="W59" s="55"/>
      <c r="X59" s="211"/>
      <c r="Y59" s="61"/>
    </row>
    <row r="60" spans="1:26" s="72" customFormat="1" ht="30" customHeight="1">
      <c r="A60" s="58"/>
      <c r="B60" s="58"/>
      <c r="C60" s="75"/>
      <c r="D60" s="60"/>
      <c r="E60" s="61"/>
      <c r="F60" s="61"/>
      <c r="G60" s="61"/>
      <c r="H60" s="61"/>
      <c r="I60" s="61"/>
      <c r="J60" s="61"/>
      <c r="K60" s="73"/>
      <c r="L60" s="64"/>
      <c r="M60" s="64"/>
      <c r="N60" s="65"/>
      <c r="O60" s="66"/>
      <c r="P60" s="74"/>
      <c r="Q60" s="66"/>
      <c r="R60" s="58"/>
      <c r="S60" s="69"/>
      <c r="T60" s="70"/>
      <c r="U60" s="66"/>
      <c r="V60" s="55"/>
      <c r="W60" s="55"/>
      <c r="X60" s="211"/>
      <c r="Y60" s="61"/>
    </row>
    <row r="61" spans="1:26" s="72" customFormat="1" ht="30" customHeight="1">
      <c r="A61" s="58"/>
      <c r="B61" s="58"/>
      <c r="C61" s="75"/>
      <c r="D61" s="60"/>
      <c r="E61" s="61"/>
      <c r="F61" s="61"/>
      <c r="G61" s="61"/>
      <c r="H61" s="61"/>
      <c r="I61" s="61"/>
      <c r="J61" s="61"/>
      <c r="K61" s="73"/>
      <c r="L61" s="64"/>
      <c r="M61" s="64"/>
      <c r="N61" s="65"/>
      <c r="O61" s="66"/>
      <c r="P61" s="74"/>
      <c r="Q61" s="66"/>
      <c r="R61" s="58"/>
      <c r="S61" s="69"/>
      <c r="T61" s="70"/>
      <c r="U61" s="66"/>
      <c r="V61" s="55"/>
      <c r="W61" s="55"/>
      <c r="X61" s="211"/>
      <c r="Y61" s="61"/>
    </row>
    <row r="62" spans="1:26" s="72" customFormat="1" ht="30" customHeight="1">
      <c r="A62" s="58"/>
      <c r="B62" s="58"/>
      <c r="C62" s="75"/>
      <c r="D62" s="60"/>
      <c r="E62" s="61"/>
      <c r="F62" s="61"/>
      <c r="G62" s="61"/>
      <c r="H62" s="61"/>
      <c r="I62" s="61"/>
      <c r="J62" s="61"/>
      <c r="K62" s="73"/>
      <c r="L62" s="64"/>
      <c r="M62" s="64"/>
      <c r="N62" s="65"/>
      <c r="O62" s="66"/>
      <c r="P62" s="74"/>
      <c r="Q62" s="66"/>
      <c r="R62" s="58"/>
      <c r="S62" s="69"/>
      <c r="T62" s="70"/>
      <c r="U62" s="66"/>
      <c r="V62" s="55"/>
      <c r="W62" s="55"/>
      <c r="X62" s="211"/>
      <c r="Y62" s="61"/>
    </row>
    <row r="63" spans="1:26" s="72" customFormat="1" ht="30" customHeight="1">
      <c r="A63" s="58"/>
      <c r="B63" s="58"/>
      <c r="C63" s="75"/>
      <c r="D63" s="60"/>
      <c r="E63" s="61"/>
      <c r="F63" s="61"/>
      <c r="G63" s="61"/>
      <c r="H63" s="61"/>
      <c r="I63" s="61"/>
      <c r="J63" s="61"/>
      <c r="K63" s="73"/>
      <c r="L63" s="64"/>
      <c r="M63" s="64"/>
      <c r="N63" s="65"/>
      <c r="O63" s="66"/>
      <c r="P63" s="74"/>
      <c r="Q63" s="66"/>
      <c r="R63" s="58"/>
      <c r="S63" s="69"/>
      <c r="T63" s="70"/>
      <c r="U63" s="66"/>
      <c r="V63" s="55"/>
      <c r="W63" s="55"/>
      <c r="X63" s="211"/>
      <c r="Y63" s="61"/>
    </row>
    <row r="64" spans="1:26" s="72" customFormat="1" ht="30" customHeight="1">
      <c r="A64" s="58"/>
      <c r="B64" s="58"/>
      <c r="C64" s="75"/>
      <c r="D64" s="60"/>
      <c r="E64" s="61"/>
      <c r="F64" s="61"/>
      <c r="G64" s="61"/>
      <c r="H64" s="61"/>
      <c r="I64" s="61"/>
      <c r="J64" s="61"/>
      <c r="K64" s="73"/>
      <c r="L64" s="64"/>
      <c r="M64" s="64"/>
      <c r="N64" s="65"/>
      <c r="O64" s="66"/>
      <c r="P64" s="74"/>
      <c r="Q64" s="66"/>
      <c r="R64" s="58"/>
      <c r="S64" s="69"/>
      <c r="T64" s="70"/>
      <c r="U64" s="66"/>
      <c r="V64" s="55"/>
      <c r="W64" s="55"/>
      <c r="X64" s="211"/>
      <c r="Y64" s="61"/>
    </row>
    <row r="65" spans="1:25" s="72" customFormat="1" ht="30" customHeight="1">
      <c r="A65" s="58"/>
      <c r="B65" s="58"/>
      <c r="C65" s="75"/>
      <c r="D65" s="60"/>
      <c r="E65" s="61"/>
      <c r="F65" s="61"/>
      <c r="G65" s="61"/>
      <c r="H65" s="61"/>
      <c r="I65" s="61"/>
      <c r="J65" s="61"/>
      <c r="K65" s="73"/>
      <c r="L65" s="64"/>
      <c r="M65" s="64"/>
      <c r="N65" s="65"/>
      <c r="O65" s="66"/>
      <c r="P65" s="74"/>
      <c r="Q65" s="66"/>
      <c r="R65" s="58"/>
      <c r="S65" s="69"/>
      <c r="T65" s="70"/>
      <c r="U65" s="66"/>
      <c r="V65" s="55"/>
      <c r="W65" s="55"/>
      <c r="X65" s="211"/>
      <c r="Y65" s="61"/>
    </row>
    <row r="66" spans="1:25" s="72" customFormat="1" ht="30" customHeight="1">
      <c r="A66" s="58"/>
      <c r="B66" s="58"/>
      <c r="C66" s="75"/>
      <c r="D66" s="60"/>
      <c r="E66" s="61"/>
      <c r="F66" s="61"/>
      <c r="G66" s="61"/>
      <c r="H66" s="61"/>
      <c r="I66" s="61"/>
      <c r="J66" s="61"/>
      <c r="K66" s="73"/>
      <c r="L66" s="64"/>
      <c r="M66" s="64"/>
      <c r="N66" s="65"/>
      <c r="O66" s="66"/>
      <c r="P66" s="74"/>
      <c r="Q66" s="66"/>
      <c r="R66" s="58"/>
      <c r="S66" s="69"/>
      <c r="T66" s="70"/>
      <c r="U66" s="66"/>
      <c r="V66" s="55"/>
      <c r="W66" s="55"/>
      <c r="X66" s="211"/>
      <c r="Y66" s="61"/>
    </row>
    <row r="67" spans="1:25" s="99" customFormat="1" ht="30" customHeight="1">
      <c r="A67" s="89"/>
      <c r="B67" s="89"/>
      <c r="C67" s="90"/>
      <c r="D67" s="91"/>
      <c r="E67" s="92"/>
      <c r="F67" s="92"/>
      <c r="G67" s="92"/>
      <c r="H67" s="92"/>
      <c r="I67" s="92"/>
      <c r="J67" s="92"/>
      <c r="K67" s="93"/>
      <c r="L67" s="94"/>
      <c r="M67" s="94"/>
      <c r="N67" s="95"/>
      <c r="O67" s="66"/>
      <c r="P67" s="96"/>
      <c r="Q67" s="97"/>
      <c r="R67" s="58"/>
      <c r="S67" s="69"/>
      <c r="T67" s="70"/>
      <c r="U67" s="66"/>
      <c r="V67" s="55"/>
      <c r="W67" s="55"/>
      <c r="X67" s="211"/>
      <c r="Y67" s="92"/>
    </row>
    <row r="68" spans="1:25" s="99" customFormat="1" ht="30" customHeight="1">
      <c r="A68" s="89"/>
      <c r="B68" s="89"/>
      <c r="C68" s="90"/>
      <c r="D68" s="91"/>
      <c r="E68" s="92"/>
      <c r="F68" s="92"/>
      <c r="G68" s="92"/>
      <c r="H68" s="92"/>
      <c r="I68" s="92"/>
      <c r="J68" s="92"/>
      <c r="K68" s="93"/>
      <c r="L68" s="94"/>
      <c r="M68" s="94"/>
      <c r="N68" s="95"/>
      <c r="O68" s="66"/>
      <c r="P68" s="96"/>
      <c r="Q68" s="97"/>
      <c r="R68" s="58"/>
      <c r="S68" s="69"/>
      <c r="T68" s="70"/>
      <c r="U68" s="66"/>
      <c r="V68" s="55"/>
      <c r="W68" s="55"/>
      <c r="X68" s="211"/>
      <c r="Y68" s="92"/>
    </row>
    <row r="69" spans="1:25" s="99" customFormat="1" ht="30" customHeight="1">
      <c r="A69" s="89"/>
      <c r="B69" s="89"/>
      <c r="C69" s="90"/>
      <c r="D69" s="91"/>
      <c r="E69" s="92"/>
      <c r="F69" s="92"/>
      <c r="G69" s="92"/>
      <c r="H69" s="92"/>
      <c r="I69" s="92"/>
      <c r="J69" s="92"/>
      <c r="K69" s="93"/>
      <c r="L69" s="94"/>
      <c r="M69" s="94"/>
      <c r="N69" s="95"/>
      <c r="O69" s="66"/>
      <c r="P69" s="96"/>
      <c r="Q69" s="97"/>
      <c r="R69" s="58"/>
      <c r="S69" s="69"/>
      <c r="T69" s="70"/>
      <c r="U69" s="66"/>
      <c r="V69" s="55"/>
      <c r="W69" s="55"/>
      <c r="X69" s="211"/>
      <c r="Y69" s="92"/>
    </row>
    <row r="70" spans="1:25" s="99" customFormat="1" ht="30" customHeight="1">
      <c r="A70" s="89"/>
      <c r="B70" s="89"/>
      <c r="C70" s="90"/>
      <c r="D70" s="91"/>
      <c r="E70" s="92"/>
      <c r="F70" s="92"/>
      <c r="G70" s="92"/>
      <c r="H70" s="92"/>
      <c r="I70" s="92"/>
      <c r="J70" s="92"/>
      <c r="K70" s="93"/>
      <c r="L70" s="94"/>
      <c r="M70" s="94"/>
      <c r="N70" s="95"/>
      <c r="O70" s="66"/>
      <c r="P70" s="96"/>
      <c r="Q70" s="97"/>
      <c r="R70" s="58"/>
      <c r="S70" s="69"/>
      <c r="T70" s="70"/>
      <c r="U70" s="66"/>
      <c r="V70" s="55"/>
      <c r="W70" s="55"/>
      <c r="X70" s="211"/>
      <c r="Y70" s="92"/>
    </row>
    <row r="71" spans="1:25" s="99" customFormat="1" ht="30" customHeight="1">
      <c r="A71" s="89"/>
      <c r="B71" s="89"/>
      <c r="C71" s="90"/>
      <c r="D71" s="91"/>
      <c r="E71" s="92"/>
      <c r="F71" s="92"/>
      <c r="G71" s="92"/>
      <c r="H71" s="92"/>
      <c r="I71" s="92"/>
      <c r="J71" s="92"/>
      <c r="K71" s="93"/>
      <c r="L71" s="94"/>
      <c r="M71" s="94"/>
      <c r="N71" s="95"/>
      <c r="O71" s="66"/>
      <c r="P71" s="96"/>
      <c r="Q71" s="97"/>
      <c r="R71" s="58"/>
      <c r="S71" s="69"/>
      <c r="T71" s="70"/>
      <c r="U71" s="66"/>
      <c r="V71" s="55"/>
      <c r="W71" s="55"/>
      <c r="X71" s="211"/>
      <c r="Y71" s="92"/>
    </row>
    <row r="72" spans="1:25" s="99" customFormat="1" ht="30" customHeight="1">
      <c r="A72" s="89"/>
      <c r="B72" s="89"/>
      <c r="C72" s="90"/>
      <c r="D72" s="91"/>
      <c r="E72" s="92"/>
      <c r="F72" s="92"/>
      <c r="G72" s="92"/>
      <c r="H72" s="92"/>
      <c r="I72" s="92"/>
      <c r="J72" s="92"/>
      <c r="K72" s="93"/>
      <c r="L72" s="94"/>
      <c r="M72" s="94"/>
      <c r="N72" s="95"/>
      <c r="O72" s="66"/>
      <c r="P72" s="96"/>
      <c r="Q72" s="97"/>
      <c r="R72" s="58"/>
      <c r="S72" s="69"/>
      <c r="T72" s="70"/>
      <c r="U72" s="66"/>
      <c r="V72" s="55"/>
      <c r="W72" s="55"/>
      <c r="X72" s="211"/>
      <c r="Y72" s="92"/>
    </row>
    <row r="73" spans="1:25" s="99" customFormat="1" ht="30" customHeight="1">
      <c r="A73" s="89"/>
      <c r="B73" s="89"/>
      <c r="C73" s="90"/>
      <c r="D73" s="91"/>
      <c r="E73" s="92"/>
      <c r="F73" s="92"/>
      <c r="G73" s="92"/>
      <c r="H73" s="92"/>
      <c r="I73" s="92"/>
      <c r="J73" s="92"/>
      <c r="K73" s="93"/>
      <c r="L73" s="94"/>
      <c r="M73" s="94"/>
      <c r="N73" s="95"/>
      <c r="O73" s="66"/>
      <c r="P73" s="96"/>
      <c r="Q73" s="97"/>
      <c r="R73" s="58"/>
      <c r="S73" s="69"/>
      <c r="T73" s="70"/>
      <c r="U73" s="66"/>
      <c r="V73" s="55"/>
      <c r="W73" s="55"/>
      <c r="X73" s="211"/>
      <c r="Y73" s="92"/>
    </row>
    <row r="74" spans="1:25" s="99" customFormat="1" ht="30" customHeight="1">
      <c r="A74" s="89"/>
      <c r="B74" s="89"/>
      <c r="C74" s="90"/>
      <c r="D74" s="91"/>
      <c r="E74" s="92"/>
      <c r="F74" s="92"/>
      <c r="G74" s="92"/>
      <c r="H74" s="92"/>
      <c r="I74" s="92"/>
      <c r="J74" s="92"/>
      <c r="K74" s="93"/>
      <c r="L74" s="94"/>
      <c r="M74" s="94"/>
      <c r="N74" s="95"/>
      <c r="O74" s="66"/>
      <c r="P74" s="96"/>
      <c r="Q74" s="97"/>
      <c r="R74" s="58"/>
      <c r="S74" s="69"/>
      <c r="T74" s="70"/>
      <c r="U74" s="66"/>
      <c r="V74" s="55"/>
      <c r="W74" s="55"/>
      <c r="X74" s="211"/>
      <c r="Y74" s="92"/>
    </row>
    <row r="75" spans="1:25" s="99" customFormat="1" ht="30" customHeight="1">
      <c r="A75" s="89"/>
      <c r="B75" s="89"/>
      <c r="C75" s="90"/>
      <c r="D75" s="91"/>
      <c r="E75" s="92"/>
      <c r="F75" s="92"/>
      <c r="G75" s="92"/>
      <c r="H75" s="92"/>
      <c r="I75" s="92"/>
      <c r="J75" s="92"/>
      <c r="K75" s="93"/>
      <c r="L75" s="94"/>
      <c r="M75" s="94"/>
      <c r="N75" s="95"/>
      <c r="O75" s="66"/>
      <c r="P75" s="96"/>
      <c r="Q75" s="97"/>
      <c r="R75" s="58"/>
      <c r="S75" s="69"/>
      <c r="T75" s="70"/>
      <c r="U75" s="66"/>
      <c r="V75" s="55"/>
      <c r="W75" s="55"/>
      <c r="X75" s="211"/>
      <c r="Y75" s="92"/>
    </row>
    <row r="76" spans="1:25" s="99" customFormat="1" ht="30" customHeight="1">
      <c r="A76" s="89"/>
      <c r="B76" s="89"/>
      <c r="C76" s="90"/>
      <c r="D76" s="91"/>
      <c r="E76" s="92"/>
      <c r="F76" s="92"/>
      <c r="G76" s="92"/>
      <c r="H76" s="92"/>
      <c r="I76" s="92"/>
      <c r="J76" s="92"/>
      <c r="K76" s="93"/>
      <c r="L76" s="94"/>
      <c r="M76" s="94"/>
      <c r="N76" s="95"/>
      <c r="O76" s="66"/>
      <c r="P76" s="96"/>
      <c r="Q76" s="97"/>
      <c r="R76" s="58"/>
      <c r="S76" s="69"/>
      <c r="T76" s="70"/>
      <c r="U76" s="66"/>
      <c r="V76" s="55"/>
      <c r="W76" s="55"/>
      <c r="X76" s="211"/>
      <c r="Y76" s="92"/>
    </row>
    <row r="77" spans="1:25" s="99" customFormat="1" ht="30" customHeight="1">
      <c r="A77" s="89"/>
      <c r="B77" s="89"/>
      <c r="C77" s="90"/>
      <c r="D77" s="91"/>
      <c r="E77" s="92"/>
      <c r="F77" s="92"/>
      <c r="G77" s="92"/>
      <c r="H77" s="92"/>
      <c r="I77" s="92"/>
      <c r="J77" s="92"/>
      <c r="K77" s="93"/>
      <c r="L77" s="94"/>
      <c r="M77" s="94"/>
      <c r="N77" s="95"/>
      <c r="O77" s="66"/>
      <c r="P77" s="96"/>
      <c r="Q77" s="97"/>
      <c r="R77" s="58"/>
      <c r="S77" s="69"/>
      <c r="T77" s="70"/>
      <c r="U77" s="66"/>
      <c r="V77" s="55"/>
      <c r="W77" s="55"/>
      <c r="X77" s="211"/>
      <c r="Y77" s="92"/>
    </row>
    <row r="78" spans="1:25" s="99" customFormat="1" ht="30" customHeight="1">
      <c r="A78" s="89"/>
      <c r="B78" s="89"/>
      <c r="C78" s="90"/>
      <c r="D78" s="91"/>
      <c r="E78" s="92"/>
      <c r="F78" s="92"/>
      <c r="G78" s="92"/>
      <c r="H78" s="92"/>
      <c r="I78" s="92"/>
      <c r="J78" s="92"/>
      <c r="K78" s="93"/>
      <c r="L78" s="94"/>
      <c r="M78" s="94"/>
      <c r="N78" s="95"/>
      <c r="O78" s="66"/>
      <c r="P78" s="96"/>
      <c r="Q78" s="97"/>
      <c r="R78" s="58"/>
      <c r="S78" s="69"/>
      <c r="T78" s="70"/>
      <c r="U78" s="66"/>
      <c r="V78" s="55"/>
      <c r="W78" s="55"/>
      <c r="X78" s="211"/>
      <c r="Y78" s="92"/>
    </row>
    <row r="79" spans="1:25" s="99" customFormat="1" ht="30" customHeight="1">
      <c r="A79" s="89"/>
      <c r="B79" s="89"/>
      <c r="C79" s="90"/>
      <c r="D79" s="91"/>
      <c r="E79" s="92"/>
      <c r="F79" s="92"/>
      <c r="G79" s="92"/>
      <c r="H79" s="92"/>
      <c r="I79" s="92"/>
      <c r="J79" s="92"/>
      <c r="K79" s="93"/>
      <c r="L79" s="94"/>
      <c r="M79" s="94"/>
      <c r="N79" s="95"/>
      <c r="O79" s="66"/>
      <c r="P79" s="96"/>
      <c r="Q79" s="97"/>
      <c r="R79" s="58"/>
      <c r="S79" s="69"/>
      <c r="T79" s="70"/>
      <c r="U79" s="66"/>
      <c r="V79" s="55"/>
      <c r="W79" s="55"/>
      <c r="X79" s="211"/>
      <c r="Y79" s="92"/>
    </row>
    <row r="80" spans="1:25" s="99" customFormat="1" ht="30" customHeight="1">
      <c r="A80" s="89"/>
      <c r="B80" s="89"/>
      <c r="C80" s="90"/>
      <c r="D80" s="91"/>
      <c r="E80" s="92"/>
      <c r="F80" s="92"/>
      <c r="G80" s="92"/>
      <c r="H80" s="92"/>
      <c r="I80" s="92"/>
      <c r="J80" s="92"/>
      <c r="K80" s="93"/>
      <c r="L80" s="94"/>
      <c r="M80" s="94"/>
      <c r="N80" s="95"/>
      <c r="O80" s="66"/>
      <c r="P80" s="96"/>
      <c r="Q80" s="97"/>
      <c r="R80" s="58"/>
      <c r="S80" s="69"/>
      <c r="T80" s="70"/>
      <c r="U80" s="66"/>
      <c r="V80" s="55"/>
      <c r="W80" s="55"/>
      <c r="X80" s="211"/>
      <c r="Y80" s="92"/>
    </row>
    <row r="81" spans="1:25" s="99" customFormat="1" ht="30" customHeight="1">
      <c r="A81" s="89"/>
      <c r="B81" s="89"/>
      <c r="C81" s="90"/>
      <c r="D81" s="91"/>
      <c r="E81" s="92"/>
      <c r="F81" s="92"/>
      <c r="G81" s="92"/>
      <c r="H81" s="92"/>
      <c r="I81" s="92"/>
      <c r="J81" s="92"/>
      <c r="K81" s="93"/>
      <c r="L81" s="94"/>
      <c r="M81" s="94"/>
      <c r="N81" s="95"/>
      <c r="O81" s="66"/>
      <c r="P81" s="96"/>
      <c r="Q81" s="97"/>
      <c r="R81" s="58"/>
      <c r="S81" s="69"/>
      <c r="T81" s="70"/>
      <c r="U81" s="66"/>
      <c r="V81" s="55"/>
      <c r="W81" s="55"/>
      <c r="X81" s="211"/>
      <c r="Y81" s="92"/>
    </row>
    <row r="82" spans="1:25" s="99" customFormat="1" ht="30" customHeight="1">
      <c r="A82" s="89"/>
      <c r="B82" s="89"/>
      <c r="C82" s="90"/>
      <c r="D82" s="91"/>
      <c r="E82" s="92"/>
      <c r="F82" s="92"/>
      <c r="G82" s="92"/>
      <c r="H82" s="92"/>
      <c r="I82" s="92"/>
      <c r="J82" s="92"/>
      <c r="K82" s="93"/>
      <c r="L82" s="94"/>
      <c r="M82" s="94"/>
      <c r="N82" s="95"/>
      <c r="O82" s="66"/>
      <c r="P82" s="96"/>
      <c r="Q82" s="97"/>
      <c r="R82" s="58"/>
      <c r="S82" s="69"/>
      <c r="T82" s="70"/>
      <c r="U82" s="66"/>
      <c r="V82" s="55"/>
      <c r="W82" s="55"/>
      <c r="X82" s="211"/>
      <c r="Y82" s="92"/>
    </row>
    <row r="83" spans="1:25" s="99" customFormat="1" ht="30" customHeight="1">
      <c r="A83" s="89"/>
      <c r="B83" s="89"/>
      <c r="C83" s="90"/>
      <c r="D83" s="91"/>
      <c r="E83" s="92"/>
      <c r="F83" s="92"/>
      <c r="G83" s="92"/>
      <c r="H83" s="92"/>
      <c r="I83" s="92"/>
      <c r="J83" s="92"/>
      <c r="K83" s="93"/>
      <c r="L83" s="94"/>
      <c r="M83" s="94"/>
      <c r="N83" s="95"/>
      <c r="O83" s="66"/>
      <c r="P83" s="96"/>
      <c r="Q83" s="97"/>
      <c r="R83" s="58"/>
      <c r="S83" s="69"/>
      <c r="T83" s="70"/>
      <c r="U83" s="66"/>
      <c r="V83" s="55"/>
      <c r="W83" s="55"/>
      <c r="X83" s="211"/>
      <c r="Y83" s="92"/>
    </row>
    <row r="84" spans="1:25" s="99" customFormat="1" ht="30" customHeight="1">
      <c r="A84" s="89"/>
      <c r="B84" s="89"/>
      <c r="C84" s="90"/>
      <c r="D84" s="91"/>
      <c r="E84" s="92"/>
      <c r="F84" s="92"/>
      <c r="G84" s="92"/>
      <c r="H84" s="92"/>
      <c r="I84" s="92"/>
      <c r="J84" s="92"/>
      <c r="K84" s="93"/>
      <c r="L84" s="94"/>
      <c r="M84" s="94"/>
      <c r="N84" s="95"/>
      <c r="O84" s="66"/>
      <c r="P84" s="96"/>
      <c r="Q84" s="97"/>
      <c r="R84" s="58"/>
      <c r="S84" s="69"/>
      <c r="T84" s="70"/>
      <c r="U84" s="66"/>
      <c r="V84" s="55"/>
      <c r="W84" s="55"/>
      <c r="X84" s="211"/>
      <c r="Y84" s="92"/>
    </row>
    <row r="85" spans="1:25" s="99" customFormat="1" ht="30" customHeight="1">
      <c r="A85" s="89"/>
      <c r="B85" s="89"/>
      <c r="C85" s="90"/>
      <c r="D85" s="91"/>
      <c r="E85" s="92"/>
      <c r="F85" s="92"/>
      <c r="G85" s="92"/>
      <c r="H85" s="92"/>
      <c r="I85" s="92"/>
      <c r="J85" s="92"/>
      <c r="K85" s="93"/>
      <c r="L85" s="94"/>
      <c r="M85" s="94"/>
      <c r="N85" s="95"/>
      <c r="O85" s="66"/>
      <c r="P85" s="96"/>
      <c r="Q85" s="97"/>
      <c r="R85" s="58"/>
      <c r="S85" s="69"/>
      <c r="T85" s="70"/>
      <c r="U85" s="66"/>
      <c r="V85" s="55"/>
      <c r="W85" s="55"/>
      <c r="X85" s="211"/>
      <c r="Y85" s="92"/>
    </row>
    <row r="86" spans="1:25" s="99" customFormat="1" ht="30" customHeight="1">
      <c r="A86" s="89"/>
      <c r="B86" s="89"/>
      <c r="C86" s="90"/>
      <c r="D86" s="91"/>
      <c r="E86" s="92"/>
      <c r="F86" s="92"/>
      <c r="G86" s="92"/>
      <c r="H86" s="92"/>
      <c r="I86" s="92"/>
      <c r="J86" s="92"/>
      <c r="K86" s="93"/>
      <c r="L86" s="94"/>
      <c r="M86" s="94"/>
      <c r="N86" s="95"/>
      <c r="O86" s="66"/>
      <c r="P86" s="96"/>
      <c r="Q86" s="97"/>
      <c r="R86" s="58"/>
      <c r="S86" s="69"/>
      <c r="T86" s="70"/>
      <c r="U86" s="66"/>
      <c r="V86" s="55"/>
      <c r="W86" s="55"/>
      <c r="X86" s="211"/>
      <c r="Y86" s="92"/>
    </row>
    <row r="87" spans="1:25" s="99" customFormat="1" ht="30" customHeight="1">
      <c r="A87" s="89"/>
      <c r="B87" s="89"/>
      <c r="C87" s="90"/>
      <c r="D87" s="91"/>
      <c r="E87" s="92"/>
      <c r="F87" s="92"/>
      <c r="G87" s="92"/>
      <c r="H87" s="92"/>
      <c r="I87" s="92"/>
      <c r="J87" s="92"/>
      <c r="K87" s="93"/>
      <c r="L87" s="94"/>
      <c r="M87" s="94"/>
      <c r="N87" s="95"/>
      <c r="O87" s="66"/>
      <c r="P87" s="96"/>
      <c r="Q87" s="97"/>
      <c r="R87" s="58"/>
      <c r="S87" s="69"/>
      <c r="T87" s="70"/>
      <c r="U87" s="66"/>
      <c r="V87" s="55"/>
      <c r="W87" s="55"/>
      <c r="X87" s="211"/>
      <c r="Y87" s="92"/>
    </row>
    <row r="88" spans="1:25" s="99" customFormat="1" ht="30" customHeight="1">
      <c r="A88" s="89"/>
      <c r="B88" s="89"/>
      <c r="C88" s="90"/>
      <c r="D88" s="91"/>
      <c r="E88" s="92"/>
      <c r="F88" s="92"/>
      <c r="G88" s="92"/>
      <c r="H88" s="92"/>
      <c r="I88" s="92"/>
      <c r="J88" s="92"/>
      <c r="K88" s="93"/>
      <c r="L88" s="94"/>
      <c r="M88" s="94"/>
      <c r="N88" s="95"/>
      <c r="O88" s="66"/>
      <c r="P88" s="96"/>
      <c r="Q88" s="97"/>
      <c r="R88" s="58"/>
      <c r="S88" s="69"/>
      <c r="T88" s="70"/>
      <c r="U88" s="66"/>
      <c r="V88" s="55"/>
      <c r="W88" s="55"/>
      <c r="X88" s="211"/>
      <c r="Y88" s="92"/>
    </row>
    <row r="89" spans="1:25" s="99" customFormat="1" ht="30" customHeight="1">
      <c r="A89" s="89"/>
      <c r="B89" s="89"/>
      <c r="C89" s="90"/>
      <c r="D89" s="91"/>
      <c r="E89" s="92"/>
      <c r="F89" s="92"/>
      <c r="G89" s="92"/>
      <c r="H89" s="92"/>
      <c r="I89" s="92"/>
      <c r="J89" s="92"/>
      <c r="K89" s="93"/>
      <c r="L89" s="94"/>
      <c r="M89" s="94"/>
      <c r="N89" s="95"/>
      <c r="O89" s="66"/>
      <c r="P89" s="96"/>
      <c r="Q89" s="97"/>
      <c r="R89" s="58"/>
      <c r="S89" s="69"/>
      <c r="T89" s="70"/>
      <c r="U89" s="66"/>
      <c r="V89" s="55"/>
      <c r="W89" s="55"/>
      <c r="X89" s="211"/>
      <c r="Y89" s="92"/>
    </row>
    <row r="90" spans="1:25" s="99" customFormat="1" ht="30" customHeight="1">
      <c r="A90" s="89"/>
      <c r="B90" s="89"/>
      <c r="C90" s="90"/>
      <c r="D90" s="91"/>
      <c r="E90" s="92"/>
      <c r="F90" s="92"/>
      <c r="G90" s="92"/>
      <c r="H90" s="92"/>
      <c r="I90" s="92"/>
      <c r="J90" s="92"/>
      <c r="K90" s="93"/>
      <c r="L90" s="94"/>
      <c r="M90" s="94"/>
      <c r="N90" s="95"/>
      <c r="O90" s="66"/>
      <c r="P90" s="96"/>
      <c r="Q90" s="97"/>
      <c r="R90" s="58"/>
      <c r="S90" s="69"/>
      <c r="T90" s="70"/>
      <c r="U90" s="66"/>
      <c r="V90" s="55"/>
      <c r="W90" s="55"/>
      <c r="X90" s="211"/>
      <c r="Y90" s="92"/>
    </row>
    <row r="91" spans="1:25" s="99" customFormat="1" ht="30" customHeight="1">
      <c r="A91" s="89"/>
      <c r="B91" s="89"/>
      <c r="C91" s="90"/>
      <c r="D91" s="91"/>
      <c r="E91" s="92"/>
      <c r="F91" s="92"/>
      <c r="G91" s="92"/>
      <c r="H91" s="92"/>
      <c r="I91" s="92"/>
      <c r="J91" s="92"/>
      <c r="K91" s="93"/>
      <c r="L91" s="94"/>
      <c r="M91" s="94"/>
      <c r="N91" s="95"/>
      <c r="O91" s="66"/>
      <c r="P91" s="96"/>
      <c r="Q91" s="97"/>
      <c r="R91" s="58"/>
      <c r="S91" s="69"/>
      <c r="T91" s="70"/>
      <c r="U91" s="66"/>
      <c r="V91" s="55"/>
      <c r="W91" s="55"/>
      <c r="X91" s="211"/>
      <c r="Y91" s="92"/>
    </row>
    <row r="92" spans="1:25" s="99" customFormat="1" ht="30" customHeight="1">
      <c r="A92" s="89"/>
      <c r="B92" s="89"/>
      <c r="C92" s="90"/>
      <c r="D92" s="91"/>
      <c r="E92" s="92"/>
      <c r="F92" s="92"/>
      <c r="G92" s="92"/>
      <c r="H92" s="92"/>
      <c r="I92" s="92"/>
      <c r="J92" s="92"/>
      <c r="K92" s="93"/>
      <c r="L92" s="94"/>
      <c r="M92" s="94"/>
      <c r="N92" s="95"/>
      <c r="O92" s="66"/>
      <c r="P92" s="96"/>
      <c r="Q92" s="97"/>
      <c r="R92" s="58"/>
      <c r="S92" s="69"/>
      <c r="T92" s="70"/>
      <c r="U92" s="66"/>
      <c r="V92" s="55"/>
      <c r="W92" s="55"/>
      <c r="X92" s="211"/>
      <c r="Y92" s="92"/>
    </row>
    <row r="93" spans="1:25" s="99" customFormat="1" ht="30" customHeight="1">
      <c r="A93" s="89"/>
      <c r="B93" s="89"/>
      <c r="C93" s="90"/>
      <c r="D93" s="91"/>
      <c r="E93" s="92"/>
      <c r="F93" s="92"/>
      <c r="G93" s="92"/>
      <c r="H93" s="92"/>
      <c r="I93" s="92"/>
      <c r="J93" s="92"/>
      <c r="K93" s="93"/>
      <c r="L93" s="94"/>
      <c r="M93" s="94"/>
      <c r="N93" s="95"/>
      <c r="O93" s="66"/>
      <c r="P93" s="96"/>
      <c r="Q93" s="97"/>
      <c r="R93" s="58"/>
      <c r="S93" s="69"/>
      <c r="T93" s="70"/>
      <c r="U93" s="66"/>
      <c r="V93" s="55"/>
      <c r="W93" s="55"/>
      <c r="X93" s="211"/>
      <c r="Y93" s="92"/>
    </row>
    <row r="94" spans="1:25" s="99" customFormat="1" ht="30" customHeight="1">
      <c r="A94" s="89"/>
      <c r="B94" s="89"/>
      <c r="C94" s="90"/>
      <c r="D94" s="91"/>
      <c r="E94" s="92"/>
      <c r="F94" s="92"/>
      <c r="G94" s="92"/>
      <c r="H94" s="92"/>
      <c r="I94" s="92"/>
      <c r="J94" s="92"/>
      <c r="K94" s="93"/>
      <c r="L94" s="94"/>
      <c r="M94" s="94"/>
      <c r="N94" s="95"/>
      <c r="O94" s="66"/>
      <c r="P94" s="96"/>
      <c r="Q94" s="97"/>
      <c r="R94" s="58"/>
      <c r="S94" s="69"/>
      <c r="T94" s="70"/>
      <c r="U94" s="66"/>
      <c r="V94" s="55"/>
      <c r="W94" s="55"/>
      <c r="X94" s="211"/>
      <c r="Y94" s="92"/>
    </row>
    <row r="95" spans="1:25" s="99" customFormat="1" ht="30" customHeight="1">
      <c r="A95" s="89"/>
      <c r="B95" s="89"/>
      <c r="C95" s="90"/>
      <c r="D95" s="91"/>
      <c r="E95" s="92"/>
      <c r="F95" s="92"/>
      <c r="G95" s="92"/>
      <c r="H95" s="92"/>
      <c r="I95" s="92"/>
      <c r="J95" s="92"/>
      <c r="K95" s="93"/>
      <c r="L95" s="94"/>
      <c r="M95" s="94"/>
      <c r="N95" s="95"/>
      <c r="O95" s="66"/>
      <c r="P95" s="96"/>
      <c r="Q95" s="97"/>
      <c r="R95" s="58"/>
      <c r="S95" s="69"/>
      <c r="T95" s="70"/>
      <c r="U95" s="66"/>
      <c r="V95" s="55"/>
      <c r="W95" s="55"/>
      <c r="X95" s="211"/>
      <c r="Y95" s="92"/>
    </row>
    <row r="96" spans="1:25" s="99" customFormat="1" ht="30" customHeight="1">
      <c r="A96" s="89"/>
      <c r="B96" s="89"/>
      <c r="C96" s="90"/>
      <c r="D96" s="91"/>
      <c r="E96" s="92"/>
      <c r="F96" s="92"/>
      <c r="G96" s="92"/>
      <c r="H96" s="92"/>
      <c r="I96" s="92"/>
      <c r="J96" s="92"/>
      <c r="K96" s="93"/>
      <c r="L96" s="94"/>
      <c r="M96" s="94"/>
      <c r="N96" s="95"/>
      <c r="O96" s="66"/>
      <c r="P96" s="96"/>
      <c r="Q96" s="97"/>
      <c r="R96" s="58"/>
      <c r="S96" s="69"/>
      <c r="T96" s="70"/>
      <c r="U96" s="66"/>
      <c r="V96" s="55"/>
      <c r="W96" s="55"/>
      <c r="X96" s="211"/>
      <c r="Y96" s="92"/>
    </row>
    <row r="97" spans="1:25" s="99" customFormat="1" ht="30" customHeight="1">
      <c r="A97" s="89"/>
      <c r="B97" s="89"/>
      <c r="C97" s="90"/>
      <c r="D97" s="91"/>
      <c r="E97" s="92"/>
      <c r="F97" s="92"/>
      <c r="G97" s="92"/>
      <c r="H97" s="92"/>
      <c r="I97" s="92"/>
      <c r="J97" s="92"/>
      <c r="K97" s="93"/>
      <c r="L97" s="94"/>
      <c r="M97" s="94"/>
      <c r="N97" s="95"/>
      <c r="O97" s="66"/>
      <c r="P97" s="96"/>
      <c r="Q97" s="97"/>
      <c r="R97" s="58"/>
      <c r="S97" s="69"/>
      <c r="T97" s="70"/>
      <c r="U97" s="66"/>
      <c r="V97" s="55"/>
      <c r="W97" s="55"/>
      <c r="X97" s="211"/>
      <c r="Y97" s="92"/>
    </row>
    <row r="98" spans="1:25" s="99" customFormat="1" ht="30" customHeight="1">
      <c r="A98" s="89"/>
      <c r="B98" s="89"/>
      <c r="C98" s="90"/>
      <c r="D98" s="91"/>
      <c r="E98" s="92"/>
      <c r="F98" s="92"/>
      <c r="G98" s="92"/>
      <c r="H98" s="92"/>
      <c r="I98" s="92"/>
      <c r="J98" s="92"/>
      <c r="K98" s="93"/>
      <c r="L98" s="94"/>
      <c r="M98" s="94"/>
      <c r="N98" s="95"/>
      <c r="O98" s="66"/>
      <c r="P98" s="96"/>
      <c r="Q98" s="97"/>
      <c r="R98" s="58"/>
      <c r="S98" s="69"/>
      <c r="T98" s="70"/>
      <c r="U98" s="66"/>
      <c r="V98" s="55"/>
      <c r="W98" s="55"/>
      <c r="X98" s="211"/>
      <c r="Y98" s="92"/>
    </row>
    <row r="99" spans="1:25" s="99" customFormat="1" ht="30" customHeight="1">
      <c r="A99" s="89"/>
      <c r="B99" s="89"/>
      <c r="C99" s="90"/>
      <c r="D99" s="91"/>
      <c r="E99" s="92"/>
      <c r="F99" s="92"/>
      <c r="G99" s="92"/>
      <c r="H99" s="92"/>
      <c r="I99" s="92"/>
      <c r="J99" s="92"/>
      <c r="K99" s="93"/>
      <c r="L99" s="94"/>
      <c r="M99" s="94"/>
      <c r="N99" s="95"/>
      <c r="O99" s="66"/>
      <c r="P99" s="96"/>
      <c r="Q99" s="97"/>
      <c r="R99" s="58"/>
      <c r="S99" s="69"/>
      <c r="T99" s="70"/>
      <c r="U99" s="66"/>
      <c r="V99" s="55"/>
      <c r="W99" s="55"/>
      <c r="X99" s="211"/>
      <c r="Y99" s="92"/>
    </row>
    <row r="100" spans="1:25" s="99" customFormat="1" ht="30" customHeight="1">
      <c r="A100" s="89"/>
      <c r="B100" s="89"/>
      <c r="C100" s="90"/>
      <c r="D100" s="91"/>
      <c r="E100" s="92"/>
      <c r="F100" s="92"/>
      <c r="G100" s="92"/>
      <c r="H100" s="92"/>
      <c r="I100" s="92"/>
      <c r="J100" s="92"/>
      <c r="K100" s="93"/>
      <c r="L100" s="94"/>
      <c r="M100" s="94"/>
      <c r="N100" s="95"/>
      <c r="O100" s="66"/>
      <c r="P100" s="96"/>
      <c r="Q100" s="97"/>
      <c r="R100" s="58"/>
      <c r="S100" s="69"/>
      <c r="T100" s="70"/>
      <c r="U100" s="66"/>
      <c r="V100" s="55"/>
      <c r="W100" s="55"/>
      <c r="X100" s="211"/>
      <c r="Y100" s="92"/>
    </row>
    <row r="101" spans="1:25" s="99" customFormat="1" ht="30" customHeight="1">
      <c r="A101" s="89"/>
      <c r="B101" s="89"/>
      <c r="C101" s="90"/>
      <c r="D101" s="91"/>
      <c r="E101" s="92"/>
      <c r="F101" s="92"/>
      <c r="G101" s="92"/>
      <c r="H101" s="92"/>
      <c r="I101" s="92"/>
      <c r="J101" s="92"/>
      <c r="K101" s="93"/>
      <c r="L101" s="94"/>
      <c r="M101" s="94"/>
      <c r="N101" s="95"/>
      <c r="O101" s="66"/>
      <c r="P101" s="96"/>
      <c r="Q101" s="97"/>
      <c r="R101" s="58"/>
      <c r="S101" s="69"/>
      <c r="T101" s="70"/>
      <c r="U101" s="66"/>
      <c r="V101" s="55"/>
      <c r="W101" s="55"/>
      <c r="X101" s="211"/>
      <c r="Y101" s="92"/>
    </row>
    <row r="102" spans="1:25" s="99" customFormat="1" ht="30" customHeight="1">
      <c r="A102" s="89"/>
      <c r="B102" s="89"/>
      <c r="C102" s="90"/>
      <c r="D102" s="91"/>
      <c r="E102" s="92"/>
      <c r="F102" s="92"/>
      <c r="G102" s="92"/>
      <c r="H102" s="92"/>
      <c r="I102" s="92"/>
      <c r="J102" s="92"/>
      <c r="K102" s="93"/>
      <c r="L102" s="94"/>
      <c r="M102" s="94"/>
      <c r="N102" s="95"/>
      <c r="O102" s="66"/>
      <c r="P102" s="96"/>
      <c r="Q102" s="97"/>
      <c r="R102" s="58"/>
      <c r="S102" s="69"/>
      <c r="T102" s="70"/>
      <c r="U102" s="66"/>
      <c r="V102" s="55"/>
      <c r="W102" s="55"/>
      <c r="X102" s="211"/>
      <c r="Y102" s="92"/>
    </row>
    <row r="103" spans="1:25" s="99" customFormat="1" ht="30" customHeight="1">
      <c r="A103" s="89"/>
      <c r="B103" s="89"/>
      <c r="C103" s="90"/>
      <c r="D103" s="91"/>
      <c r="E103" s="92"/>
      <c r="F103" s="92"/>
      <c r="G103" s="92"/>
      <c r="H103" s="92"/>
      <c r="I103" s="92"/>
      <c r="J103" s="92"/>
      <c r="K103" s="93"/>
      <c r="L103" s="94"/>
      <c r="M103" s="94"/>
      <c r="N103" s="95"/>
      <c r="O103" s="66"/>
      <c r="P103" s="96"/>
      <c r="Q103" s="97"/>
      <c r="R103" s="58"/>
      <c r="S103" s="69"/>
      <c r="T103" s="70"/>
      <c r="U103" s="66"/>
      <c r="V103" s="55"/>
      <c r="W103" s="55"/>
      <c r="X103" s="211"/>
      <c r="Y103" s="92"/>
    </row>
    <row r="104" spans="1:25" s="99" customFormat="1" ht="30" customHeight="1">
      <c r="A104" s="89"/>
      <c r="B104" s="89"/>
      <c r="C104" s="90"/>
      <c r="D104" s="91"/>
      <c r="E104" s="92"/>
      <c r="F104" s="92"/>
      <c r="G104" s="92"/>
      <c r="H104" s="92"/>
      <c r="I104" s="92"/>
      <c r="J104" s="92"/>
      <c r="K104" s="93"/>
      <c r="L104" s="94"/>
      <c r="M104" s="94"/>
      <c r="N104" s="95"/>
      <c r="O104" s="66"/>
      <c r="P104" s="96"/>
      <c r="Q104" s="97"/>
      <c r="R104" s="58"/>
      <c r="S104" s="69"/>
      <c r="T104" s="70"/>
      <c r="U104" s="66"/>
      <c r="V104" s="55"/>
      <c r="W104" s="55"/>
      <c r="X104" s="211"/>
      <c r="Y104" s="92"/>
    </row>
    <row r="105" spans="1:25" s="99" customFormat="1" ht="30" customHeight="1">
      <c r="A105" s="89"/>
      <c r="B105" s="89"/>
      <c r="C105" s="90"/>
      <c r="D105" s="91"/>
      <c r="E105" s="92"/>
      <c r="F105" s="92"/>
      <c r="G105" s="92"/>
      <c r="H105" s="92"/>
      <c r="I105" s="92"/>
      <c r="J105" s="92"/>
      <c r="K105" s="93"/>
      <c r="L105" s="94"/>
      <c r="M105" s="94"/>
      <c r="N105" s="95"/>
      <c r="O105" s="66"/>
      <c r="P105" s="96"/>
      <c r="Q105" s="97"/>
      <c r="R105" s="58"/>
      <c r="S105" s="69"/>
      <c r="T105" s="70"/>
      <c r="U105" s="66"/>
      <c r="V105" s="55"/>
      <c r="W105" s="55"/>
      <c r="X105" s="211"/>
      <c r="Y105" s="92"/>
    </row>
    <row r="106" spans="1:25" s="99" customFormat="1" ht="30" customHeight="1">
      <c r="A106" s="89"/>
      <c r="B106" s="89"/>
      <c r="C106" s="90"/>
      <c r="D106" s="91"/>
      <c r="E106" s="92"/>
      <c r="F106" s="92"/>
      <c r="G106" s="92"/>
      <c r="H106" s="92"/>
      <c r="I106" s="92"/>
      <c r="J106" s="92"/>
      <c r="K106" s="93"/>
      <c r="L106" s="94"/>
      <c r="M106" s="94"/>
      <c r="N106" s="95"/>
      <c r="O106" s="66"/>
      <c r="P106" s="96"/>
      <c r="Q106" s="97"/>
      <c r="R106" s="58"/>
      <c r="S106" s="69"/>
      <c r="T106" s="70"/>
      <c r="U106" s="66"/>
      <c r="V106" s="55"/>
      <c r="W106" s="55"/>
      <c r="X106" s="211"/>
      <c r="Y106" s="92"/>
    </row>
    <row r="107" spans="1:25" s="99" customFormat="1" ht="30" customHeight="1">
      <c r="A107" s="89"/>
      <c r="B107" s="89"/>
      <c r="C107" s="90"/>
      <c r="D107" s="91"/>
      <c r="E107" s="92"/>
      <c r="F107" s="92"/>
      <c r="G107" s="92"/>
      <c r="H107" s="92"/>
      <c r="I107" s="92"/>
      <c r="J107" s="92"/>
      <c r="K107" s="93"/>
      <c r="L107" s="94"/>
      <c r="M107" s="94"/>
      <c r="N107" s="95"/>
      <c r="O107" s="66"/>
      <c r="P107" s="96"/>
      <c r="Q107" s="97"/>
      <c r="R107" s="58"/>
      <c r="S107" s="69"/>
      <c r="T107" s="70"/>
      <c r="U107" s="66"/>
      <c r="V107" s="55"/>
      <c r="W107" s="55"/>
      <c r="X107" s="211"/>
      <c r="Y107" s="92"/>
    </row>
    <row r="108" spans="1:25" s="99" customFormat="1" ht="30" customHeight="1">
      <c r="A108" s="89"/>
      <c r="B108" s="89"/>
      <c r="C108" s="90"/>
      <c r="D108" s="91"/>
      <c r="E108" s="92"/>
      <c r="F108" s="92"/>
      <c r="G108" s="92"/>
      <c r="H108" s="92"/>
      <c r="I108" s="92"/>
      <c r="J108" s="92"/>
      <c r="K108" s="93"/>
      <c r="L108" s="94"/>
      <c r="M108" s="94"/>
      <c r="N108" s="95"/>
      <c r="O108" s="66"/>
      <c r="P108" s="96"/>
      <c r="Q108" s="97"/>
      <c r="R108" s="58"/>
      <c r="S108" s="69"/>
      <c r="T108" s="70"/>
      <c r="U108" s="66"/>
      <c r="V108" s="55"/>
      <c r="W108" s="55"/>
      <c r="X108" s="211"/>
      <c r="Y108" s="92"/>
    </row>
    <row r="109" spans="1:25" s="99" customFormat="1" ht="30" customHeight="1">
      <c r="A109" s="89"/>
      <c r="B109" s="89"/>
      <c r="C109" s="90"/>
      <c r="D109" s="91"/>
      <c r="E109" s="92"/>
      <c r="F109" s="92"/>
      <c r="G109" s="92"/>
      <c r="H109" s="92"/>
      <c r="I109" s="92"/>
      <c r="J109" s="92"/>
      <c r="K109" s="93"/>
      <c r="L109" s="94"/>
      <c r="M109" s="94"/>
      <c r="N109" s="95"/>
      <c r="O109" s="66"/>
      <c r="P109" s="96"/>
      <c r="Q109" s="97"/>
      <c r="R109" s="58"/>
      <c r="S109" s="69"/>
      <c r="T109" s="70"/>
      <c r="U109" s="66"/>
      <c r="V109" s="55"/>
      <c r="W109" s="55"/>
      <c r="X109" s="211"/>
      <c r="Y109" s="92"/>
    </row>
    <row r="110" spans="1:25" s="99" customFormat="1" ht="65.099999999999994" customHeight="1">
      <c r="A110" s="89"/>
      <c r="B110" s="89"/>
      <c r="C110" s="90"/>
      <c r="D110" s="91"/>
      <c r="E110" s="92"/>
      <c r="F110" s="92"/>
      <c r="G110" s="92"/>
      <c r="H110" s="92"/>
      <c r="I110" s="92"/>
      <c r="J110" s="92"/>
      <c r="K110" s="93"/>
      <c r="L110" s="94"/>
      <c r="M110" s="94"/>
      <c r="N110" s="95"/>
      <c r="O110" s="66"/>
      <c r="P110" s="96"/>
      <c r="Q110" s="97"/>
      <c r="R110" s="58"/>
      <c r="S110" s="69"/>
      <c r="T110" s="70"/>
      <c r="U110" s="66"/>
      <c r="V110" s="55"/>
      <c r="W110" s="55"/>
      <c r="X110" s="211"/>
      <c r="Y110" s="92"/>
    </row>
    <row r="111" spans="1:25" s="99" customFormat="1" ht="65.099999999999994" customHeight="1">
      <c r="A111" s="89"/>
      <c r="B111" s="89"/>
      <c r="C111" s="90"/>
      <c r="D111" s="91"/>
      <c r="E111" s="92"/>
      <c r="F111" s="92"/>
      <c r="G111" s="92"/>
      <c r="H111" s="92"/>
      <c r="I111" s="92"/>
      <c r="J111" s="92"/>
      <c r="K111" s="93"/>
      <c r="L111" s="94"/>
      <c r="M111" s="94"/>
      <c r="N111" s="95"/>
      <c r="O111" s="66"/>
      <c r="P111" s="96"/>
      <c r="Q111" s="97"/>
      <c r="R111" s="58"/>
      <c r="S111" s="69"/>
      <c r="T111" s="70"/>
      <c r="U111" s="66"/>
      <c r="V111" s="55"/>
      <c r="W111" s="55"/>
      <c r="X111" s="211"/>
      <c r="Y111" s="92"/>
    </row>
    <row r="112" spans="1:25" s="99" customFormat="1" ht="65.099999999999994" customHeight="1">
      <c r="A112" s="89"/>
      <c r="B112" s="89"/>
      <c r="C112" s="90"/>
      <c r="D112" s="91"/>
      <c r="E112" s="92"/>
      <c r="F112" s="92"/>
      <c r="G112" s="92"/>
      <c r="H112" s="92"/>
      <c r="I112" s="92"/>
      <c r="J112" s="92"/>
      <c r="K112" s="93"/>
      <c r="L112" s="94"/>
      <c r="M112" s="94"/>
      <c r="N112" s="95"/>
      <c r="O112" s="66"/>
      <c r="P112" s="96"/>
      <c r="Q112" s="97"/>
      <c r="R112" s="58"/>
      <c r="S112" s="69"/>
      <c r="T112" s="70"/>
      <c r="U112" s="66"/>
      <c r="V112" s="55"/>
      <c r="W112" s="55"/>
      <c r="X112" s="211"/>
      <c r="Y112" s="92"/>
    </row>
    <row r="113" spans="1:25" s="99" customFormat="1" ht="65.099999999999994" customHeight="1">
      <c r="A113" s="89"/>
      <c r="B113" s="89"/>
      <c r="C113" s="90"/>
      <c r="D113" s="91"/>
      <c r="E113" s="92"/>
      <c r="F113" s="92"/>
      <c r="G113" s="92"/>
      <c r="H113" s="92"/>
      <c r="I113" s="92"/>
      <c r="J113" s="92"/>
      <c r="K113" s="93"/>
      <c r="L113" s="94"/>
      <c r="M113" s="94"/>
      <c r="N113" s="95"/>
      <c r="O113" s="66"/>
      <c r="P113" s="96"/>
      <c r="Q113" s="97"/>
      <c r="R113" s="58"/>
      <c r="S113" s="69"/>
      <c r="T113" s="70"/>
      <c r="U113" s="66"/>
      <c r="V113" s="55"/>
      <c r="W113" s="55"/>
      <c r="X113" s="211"/>
      <c r="Y113" s="92"/>
    </row>
    <row r="114" spans="1:25" s="99" customFormat="1" ht="65.099999999999994" customHeight="1">
      <c r="A114" s="89"/>
      <c r="B114" s="89"/>
      <c r="C114" s="90"/>
      <c r="D114" s="91"/>
      <c r="E114" s="92"/>
      <c r="F114" s="92"/>
      <c r="G114" s="92"/>
      <c r="H114" s="92"/>
      <c r="I114" s="92"/>
      <c r="J114" s="92"/>
      <c r="K114" s="93"/>
      <c r="L114" s="94"/>
      <c r="M114" s="94"/>
      <c r="N114" s="95"/>
      <c r="O114" s="66"/>
      <c r="P114" s="96"/>
      <c r="Q114" s="97"/>
      <c r="R114" s="58"/>
      <c r="S114" s="69"/>
      <c r="T114" s="70"/>
      <c r="U114" s="66"/>
      <c r="V114" s="55"/>
      <c r="W114" s="55"/>
      <c r="X114" s="211"/>
      <c r="Y114" s="92"/>
    </row>
    <row r="115" spans="1:25" s="99" customFormat="1" ht="65.099999999999994" customHeight="1">
      <c r="A115" s="89"/>
      <c r="B115" s="89"/>
      <c r="C115" s="90"/>
      <c r="D115" s="91"/>
      <c r="E115" s="92"/>
      <c r="F115" s="92"/>
      <c r="G115" s="92"/>
      <c r="H115" s="92"/>
      <c r="I115" s="92"/>
      <c r="J115" s="92"/>
      <c r="K115" s="93"/>
      <c r="L115" s="94"/>
      <c r="M115" s="94"/>
      <c r="N115" s="95"/>
      <c r="O115" s="66"/>
      <c r="P115" s="96"/>
      <c r="Q115" s="97"/>
      <c r="R115" s="58"/>
      <c r="S115" s="69"/>
      <c r="T115" s="70"/>
      <c r="U115" s="66"/>
      <c r="V115" s="55"/>
      <c r="W115" s="55"/>
      <c r="X115" s="211"/>
      <c r="Y115" s="92"/>
    </row>
    <row r="116" spans="1:25" s="99" customFormat="1" ht="65.099999999999994" customHeight="1">
      <c r="A116" s="89"/>
      <c r="B116" s="89"/>
      <c r="C116" s="90"/>
      <c r="D116" s="91"/>
      <c r="E116" s="92"/>
      <c r="F116" s="92"/>
      <c r="G116" s="92"/>
      <c r="H116" s="92"/>
      <c r="I116" s="92"/>
      <c r="J116" s="92"/>
      <c r="K116" s="93"/>
      <c r="L116" s="94"/>
      <c r="M116" s="94"/>
      <c r="N116" s="95"/>
      <c r="O116" s="66"/>
      <c r="P116" s="96"/>
      <c r="Q116" s="97"/>
      <c r="R116" s="58"/>
      <c r="S116" s="69"/>
      <c r="T116" s="70"/>
      <c r="U116" s="66"/>
      <c r="V116" s="55"/>
      <c r="W116" s="55"/>
      <c r="X116" s="211"/>
      <c r="Y116" s="92"/>
    </row>
    <row r="117" spans="1:25" s="99" customFormat="1" ht="65.099999999999994" customHeight="1">
      <c r="A117" s="89"/>
      <c r="B117" s="89"/>
      <c r="C117" s="90"/>
      <c r="D117" s="91"/>
      <c r="E117" s="92"/>
      <c r="F117" s="92"/>
      <c r="G117" s="92"/>
      <c r="H117" s="92"/>
      <c r="I117" s="92"/>
      <c r="J117" s="92"/>
      <c r="K117" s="93"/>
      <c r="L117" s="94"/>
      <c r="M117" s="94"/>
      <c r="N117" s="95"/>
      <c r="O117" s="66"/>
      <c r="P117" s="96"/>
      <c r="Q117" s="97"/>
      <c r="R117" s="58"/>
      <c r="S117" s="69"/>
      <c r="T117" s="70"/>
      <c r="U117" s="66"/>
      <c r="V117" s="55"/>
      <c r="W117" s="55"/>
      <c r="X117" s="211"/>
      <c r="Y117" s="92"/>
    </row>
    <row r="118" spans="1:25" s="99" customFormat="1" ht="65.099999999999994" customHeight="1">
      <c r="A118" s="89"/>
      <c r="B118" s="89"/>
      <c r="C118" s="90"/>
      <c r="D118" s="91"/>
      <c r="E118" s="92"/>
      <c r="F118" s="92"/>
      <c r="G118" s="92"/>
      <c r="H118" s="92"/>
      <c r="I118" s="92"/>
      <c r="J118" s="92"/>
      <c r="K118" s="93"/>
      <c r="L118" s="94"/>
      <c r="M118" s="94"/>
      <c r="N118" s="95"/>
      <c r="O118" s="66"/>
      <c r="P118" s="96"/>
      <c r="Q118" s="97"/>
      <c r="R118" s="58"/>
      <c r="S118" s="69"/>
      <c r="T118" s="70"/>
      <c r="U118" s="66"/>
      <c r="V118" s="55"/>
      <c r="W118" s="55"/>
      <c r="X118" s="211"/>
      <c r="Y118" s="92"/>
    </row>
    <row r="119" spans="1:25" s="99" customFormat="1" ht="65.099999999999994" customHeight="1">
      <c r="A119" s="89"/>
      <c r="B119" s="89"/>
      <c r="C119" s="90"/>
      <c r="D119" s="91"/>
      <c r="E119" s="92"/>
      <c r="F119" s="92"/>
      <c r="G119" s="92"/>
      <c r="H119" s="92"/>
      <c r="I119" s="92"/>
      <c r="J119" s="92"/>
      <c r="K119" s="93"/>
      <c r="L119" s="94"/>
      <c r="M119" s="94"/>
      <c r="N119" s="95"/>
      <c r="O119" s="66"/>
      <c r="P119" s="96"/>
      <c r="Q119" s="97"/>
      <c r="R119" s="58"/>
      <c r="S119" s="69"/>
      <c r="T119" s="70"/>
      <c r="U119" s="66"/>
      <c r="V119" s="55"/>
      <c r="W119" s="55"/>
      <c r="X119" s="211"/>
      <c r="Y119" s="92"/>
    </row>
    <row r="120" spans="1:25" s="99" customFormat="1" ht="65.099999999999994" customHeight="1">
      <c r="A120" s="89"/>
      <c r="B120" s="89"/>
      <c r="C120" s="90"/>
      <c r="D120" s="91"/>
      <c r="E120" s="92"/>
      <c r="F120" s="92"/>
      <c r="G120" s="92"/>
      <c r="H120" s="92"/>
      <c r="I120" s="92"/>
      <c r="J120" s="92"/>
      <c r="K120" s="93"/>
      <c r="L120" s="94"/>
      <c r="M120" s="94"/>
      <c r="N120" s="95"/>
      <c r="O120" s="66"/>
      <c r="P120" s="96"/>
      <c r="Q120" s="97"/>
      <c r="R120" s="58"/>
      <c r="S120" s="69"/>
      <c r="T120" s="70"/>
      <c r="U120" s="66"/>
      <c r="V120" s="55"/>
      <c r="W120" s="55"/>
      <c r="X120" s="211"/>
      <c r="Y120" s="92"/>
    </row>
    <row r="121" spans="1:25" s="99" customFormat="1" ht="65.099999999999994" customHeight="1">
      <c r="A121" s="89"/>
      <c r="B121" s="89"/>
      <c r="C121" s="90"/>
      <c r="D121" s="91"/>
      <c r="E121" s="92"/>
      <c r="F121" s="92"/>
      <c r="G121" s="92"/>
      <c r="H121" s="92"/>
      <c r="I121" s="92"/>
      <c r="J121" s="92"/>
      <c r="K121" s="93"/>
      <c r="L121" s="94"/>
      <c r="M121" s="94"/>
      <c r="N121" s="95"/>
      <c r="O121" s="66"/>
      <c r="P121" s="96"/>
      <c r="Q121" s="97"/>
      <c r="R121" s="58"/>
      <c r="S121" s="69"/>
      <c r="T121" s="70"/>
      <c r="U121" s="66"/>
      <c r="V121" s="55"/>
      <c r="W121" s="55"/>
      <c r="X121" s="211"/>
      <c r="Y121" s="92"/>
    </row>
    <row r="122" spans="1:25" s="99" customFormat="1" ht="65.099999999999994" customHeight="1">
      <c r="A122" s="89"/>
      <c r="B122" s="89"/>
      <c r="C122" s="90"/>
      <c r="D122" s="91"/>
      <c r="E122" s="92"/>
      <c r="F122" s="92"/>
      <c r="G122" s="92"/>
      <c r="H122" s="92"/>
      <c r="I122" s="92"/>
      <c r="J122" s="92"/>
      <c r="K122" s="93"/>
      <c r="L122" s="94"/>
      <c r="M122" s="94"/>
      <c r="N122" s="95"/>
      <c r="O122" s="66"/>
      <c r="P122" s="96"/>
      <c r="Q122" s="97"/>
      <c r="R122" s="58"/>
      <c r="S122" s="69"/>
      <c r="T122" s="70"/>
      <c r="U122" s="66"/>
      <c r="V122" s="55"/>
      <c r="W122" s="55"/>
      <c r="X122" s="211"/>
      <c r="Y122" s="92"/>
    </row>
    <row r="123" spans="1:25" s="99" customFormat="1" ht="65.099999999999994" customHeight="1">
      <c r="A123" s="89"/>
      <c r="B123" s="89"/>
      <c r="C123" s="90"/>
      <c r="D123" s="91"/>
      <c r="E123" s="92"/>
      <c r="F123" s="92"/>
      <c r="G123" s="92"/>
      <c r="H123" s="92"/>
      <c r="I123" s="92"/>
      <c r="J123" s="92"/>
      <c r="K123" s="93"/>
      <c r="L123" s="94"/>
      <c r="M123" s="94"/>
      <c r="N123" s="95"/>
      <c r="O123" s="66"/>
      <c r="P123" s="96"/>
      <c r="Q123" s="97"/>
      <c r="R123" s="58"/>
      <c r="S123" s="69"/>
      <c r="T123" s="70"/>
      <c r="U123" s="66"/>
      <c r="V123" s="55"/>
      <c r="W123" s="55"/>
      <c r="X123" s="211"/>
      <c r="Y123" s="92"/>
    </row>
    <row r="124" spans="1:25" s="99" customFormat="1" ht="65.099999999999994" customHeight="1">
      <c r="A124" s="89"/>
      <c r="B124" s="89"/>
      <c r="C124" s="90"/>
      <c r="D124" s="91"/>
      <c r="E124" s="92"/>
      <c r="F124" s="92"/>
      <c r="G124" s="92"/>
      <c r="H124" s="92"/>
      <c r="I124" s="92"/>
      <c r="J124" s="92"/>
      <c r="K124" s="93"/>
      <c r="L124" s="94"/>
      <c r="M124" s="94"/>
      <c r="N124" s="95"/>
      <c r="O124" s="66"/>
      <c r="P124" s="96"/>
      <c r="Q124" s="97"/>
      <c r="R124" s="58"/>
      <c r="S124" s="69"/>
      <c r="T124" s="70"/>
      <c r="U124" s="66"/>
      <c r="V124" s="55"/>
      <c r="W124" s="55"/>
      <c r="X124" s="211"/>
      <c r="Y124" s="92"/>
    </row>
    <row r="125" spans="1:25" s="99" customFormat="1" ht="65.099999999999994" customHeight="1">
      <c r="A125" s="89"/>
      <c r="B125" s="89"/>
      <c r="C125" s="90"/>
      <c r="D125" s="91"/>
      <c r="E125" s="92"/>
      <c r="F125" s="92"/>
      <c r="G125" s="92"/>
      <c r="H125" s="92"/>
      <c r="I125" s="92"/>
      <c r="J125" s="92"/>
      <c r="K125" s="93"/>
      <c r="L125" s="94"/>
      <c r="M125" s="94"/>
      <c r="N125" s="95"/>
      <c r="O125" s="66"/>
      <c r="P125" s="96"/>
      <c r="Q125" s="97"/>
      <c r="R125" s="58"/>
      <c r="S125" s="69"/>
      <c r="T125" s="70"/>
      <c r="U125" s="66"/>
      <c r="V125" s="55"/>
      <c r="W125" s="55"/>
      <c r="X125" s="211"/>
      <c r="Y125" s="92"/>
    </row>
    <row r="126" spans="1:25" s="99" customFormat="1" ht="65.099999999999994" customHeight="1">
      <c r="A126" s="89"/>
      <c r="B126" s="89"/>
      <c r="C126" s="90"/>
      <c r="D126" s="91"/>
      <c r="E126" s="92"/>
      <c r="F126" s="92"/>
      <c r="G126" s="92"/>
      <c r="H126" s="92"/>
      <c r="I126" s="92"/>
      <c r="J126" s="92"/>
      <c r="K126" s="93"/>
      <c r="L126" s="94"/>
      <c r="M126" s="94"/>
      <c r="N126" s="95"/>
      <c r="O126" s="66"/>
      <c r="P126" s="96"/>
      <c r="Q126" s="97"/>
      <c r="R126" s="58"/>
      <c r="S126" s="69"/>
      <c r="T126" s="70"/>
      <c r="U126" s="66"/>
      <c r="V126" s="55"/>
      <c r="W126" s="55"/>
      <c r="X126" s="211"/>
      <c r="Y126" s="92"/>
    </row>
    <row r="127" spans="1:25" s="99" customFormat="1" ht="65.099999999999994" customHeight="1">
      <c r="A127" s="89"/>
      <c r="B127" s="89"/>
      <c r="C127" s="90"/>
      <c r="D127" s="91"/>
      <c r="E127" s="92"/>
      <c r="F127" s="92"/>
      <c r="G127" s="92"/>
      <c r="H127" s="92"/>
      <c r="I127" s="92"/>
      <c r="J127" s="92"/>
      <c r="K127" s="93"/>
      <c r="L127" s="94"/>
      <c r="M127" s="94"/>
      <c r="N127" s="95"/>
      <c r="O127" s="66"/>
      <c r="P127" s="96"/>
      <c r="Q127" s="97"/>
      <c r="R127" s="58"/>
      <c r="S127" s="69"/>
      <c r="T127" s="70"/>
      <c r="U127" s="66"/>
      <c r="V127" s="55"/>
      <c r="W127" s="55"/>
      <c r="X127" s="211"/>
      <c r="Y127" s="92"/>
    </row>
    <row r="128" spans="1:25" s="99" customFormat="1" ht="65.099999999999994" customHeight="1">
      <c r="A128" s="89"/>
      <c r="B128" s="89"/>
      <c r="C128" s="90"/>
      <c r="D128" s="91"/>
      <c r="E128" s="92"/>
      <c r="F128" s="92"/>
      <c r="G128" s="92"/>
      <c r="H128" s="92"/>
      <c r="I128" s="92"/>
      <c r="J128" s="92"/>
      <c r="K128" s="93"/>
      <c r="L128" s="94"/>
      <c r="M128" s="94"/>
      <c r="N128" s="95"/>
      <c r="O128" s="66"/>
      <c r="P128" s="96"/>
      <c r="Q128" s="97"/>
      <c r="R128" s="58"/>
      <c r="S128" s="69"/>
      <c r="T128" s="70"/>
      <c r="U128" s="66"/>
      <c r="V128" s="55"/>
      <c r="W128" s="55"/>
      <c r="X128" s="211"/>
      <c r="Y128" s="92"/>
    </row>
    <row r="129" spans="1:25" s="99" customFormat="1" ht="65.099999999999994" customHeight="1">
      <c r="A129" s="89"/>
      <c r="B129" s="89"/>
      <c r="C129" s="90"/>
      <c r="D129" s="91"/>
      <c r="E129" s="92"/>
      <c r="F129" s="92"/>
      <c r="G129" s="92"/>
      <c r="H129" s="92"/>
      <c r="I129" s="92"/>
      <c r="J129" s="92"/>
      <c r="K129" s="93"/>
      <c r="L129" s="94"/>
      <c r="M129" s="94"/>
      <c r="N129" s="95"/>
      <c r="O129" s="66"/>
      <c r="P129" s="96"/>
      <c r="Q129" s="97"/>
      <c r="R129" s="58"/>
      <c r="S129" s="69"/>
      <c r="T129" s="70"/>
      <c r="U129" s="66"/>
      <c r="V129" s="55"/>
      <c r="W129" s="55"/>
      <c r="X129" s="211"/>
      <c r="Y129" s="92"/>
    </row>
    <row r="130" spans="1:25" s="99" customFormat="1" ht="65.099999999999994" customHeight="1">
      <c r="A130" s="89"/>
      <c r="B130" s="89"/>
      <c r="C130" s="90"/>
      <c r="D130" s="91"/>
      <c r="E130" s="92"/>
      <c r="F130" s="92"/>
      <c r="G130" s="92"/>
      <c r="H130" s="92"/>
      <c r="I130" s="92"/>
      <c r="J130" s="92"/>
      <c r="K130" s="93"/>
      <c r="L130" s="94"/>
      <c r="M130" s="94"/>
      <c r="N130" s="95"/>
      <c r="O130" s="66"/>
      <c r="P130" s="96"/>
      <c r="Q130" s="97"/>
      <c r="R130" s="58"/>
      <c r="S130" s="69"/>
      <c r="T130" s="70"/>
      <c r="U130" s="66"/>
      <c r="V130" s="55"/>
      <c r="W130" s="55"/>
      <c r="X130" s="211"/>
      <c r="Y130" s="92"/>
    </row>
    <row r="131" spans="1:25" s="99" customFormat="1" ht="65.099999999999994" customHeight="1">
      <c r="A131" s="89"/>
      <c r="B131" s="89"/>
      <c r="C131" s="90"/>
      <c r="D131" s="91"/>
      <c r="E131" s="92"/>
      <c r="F131" s="92"/>
      <c r="G131" s="92"/>
      <c r="H131" s="92"/>
      <c r="I131" s="92"/>
      <c r="J131" s="92"/>
      <c r="K131" s="93"/>
      <c r="L131" s="94"/>
      <c r="M131" s="94"/>
      <c r="N131" s="95"/>
      <c r="O131" s="66"/>
      <c r="P131" s="96"/>
      <c r="Q131" s="97"/>
      <c r="R131" s="58"/>
      <c r="S131" s="69"/>
      <c r="T131" s="70"/>
      <c r="U131" s="66"/>
      <c r="V131" s="55"/>
      <c r="W131" s="55"/>
      <c r="X131" s="211"/>
      <c r="Y131" s="92"/>
    </row>
    <row r="132" spans="1:25" s="99" customFormat="1" ht="65.099999999999994" customHeight="1">
      <c r="A132" s="89"/>
      <c r="B132" s="89"/>
      <c r="C132" s="90"/>
      <c r="D132" s="91"/>
      <c r="E132" s="92"/>
      <c r="F132" s="92"/>
      <c r="G132" s="92"/>
      <c r="H132" s="92"/>
      <c r="I132" s="92"/>
      <c r="J132" s="92"/>
      <c r="K132" s="93"/>
      <c r="L132" s="94"/>
      <c r="M132" s="94"/>
      <c r="N132" s="95"/>
      <c r="O132" s="66"/>
      <c r="P132" s="96"/>
      <c r="Q132" s="97"/>
      <c r="R132" s="58"/>
      <c r="S132" s="69"/>
      <c r="T132" s="70"/>
      <c r="U132" s="66"/>
      <c r="V132" s="55"/>
      <c r="W132" s="55"/>
      <c r="X132" s="211"/>
      <c r="Y132" s="92"/>
    </row>
    <row r="133" spans="1:25" s="99" customFormat="1" ht="65.099999999999994" customHeight="1">
      <c r="A133" s="89"/>
      <c r="B133" s="89"/>
      <c r="C133" s="90"/>
      <c r="D133" s="91"/>
      <c r="E133" s="92"/>
      <c r="F133" s="92"/>
      <c r="G133" s="92"/>
      <c r="H133" s="92"/>
      <c r="I133" s="92"/>
      <c r="J133" s="92"/>
      <c r="K133" s="93"/>
      <c r="L133" s="94"/>
      <c r="M133" s="94"/>
      <c r="N133" s="95"/>
      <c r="O133" s="66"/>
      <c r="P133" s="96"/>
      <c r="Q133" s="97"/>
      <c r="R133" s="58"/>
      <c r="S133" s="69"/>
      <c r="T133" s="70"/>
      <c r="U133" s="66"/>
      <c r="V133" s="55"/>
      <c r="W133" s="55"/>
      <c r="X133" s="211"/>
      <c r="Y133" s="92"/>
    </row>
    <row r="134" spans="1:25" s="99" customFormat="1" ht="65.099999999999994" customHeight="1">
      <c r="A134" s="89"/>
      <c r="B134" s="89"/>
      <c r="C134" s="90"/>
      <c r="D134" s="91"/>
      <c r="E134" s="92"/>
      <c r="F134" s="92"/>
      <c r="G134" s="92"/>
      <c r="H134" s="92"/>
      <c r="I134" s="92"/>
      <c r="J134" s="92"/>
      <c r="K134" s="93"/>
      <c r="L134" s="94"/>
      <c r="M134" s="94"/>
      <c r="N134" s="95"/>
      <c r="O134" s="66"/>
      <c r="P134" s="96"/>
      <c r="Q134" s="97"/>
      <c r="R134" s="58"/>
      <c r="S134" s="69"/>
      <c r="T134" s="70"/>
      <c r="U134" s="66"/>
      <c r="V134" s="55"/>
      <c r="W134" s="55"/>
      <c r="X134" s="211"/>
      <c r="Y134" s="92"/>
    </row>
    <row r="135" spans="1:25" s="99" customFormat="1" ht="65.099999999999994" customHeight="1">
      <c r="A135" s="89"/>
      <c r="B135" s="89"/>
      <c r="C135" s="90"/>
      <c r="D135" s="91"/>
      <c r="E135" s="92"/>
      <c r="F135" s="92"/>
      <c r="G135" s="92"/>
      <c r="H135" s="92"/>
      <c r="I135" s="92"/>
      <c r="J135" s="92"/>
      <c r="K135" s="93"/>
      <c r="L135" s="94"/>
      <c r="M135" s="94"/>
      <c r="N135" s="95"/>
      <c r="O135" s="66"/>
      <c r="P135" s="96"/>
      <c r="Q135" s="97"/>
      <c r="R135" s="58"/>
      <c r="S135" s="69"/>
      <c r="T135" s="70"/>
      <c r="U135" s="66"/>
      <c r="V135" s="55"/>
      <c r="W135" s="55"/>
      <c r="X135" s="211"/>
      <c r="Y135" s="92"/>
    </row>
    <row r="136" spans="1:25" s="99" customFormat="1" ht="65.099999999999994" customHeight="1">
      <c r="A136" s="89"/>
      <c r="B136" s="89"/>
      <c r="C136" s="90"/>
      <c r="D136" s="91"/>
      <c r="E136" s="92"/>
      <c r="F136" s="92"/>
      <c r="G136" s="92"/>
      <c r="H136" s="92"/>
      <c r="I136" s="92"/>
      <c r="J136" s="92"/>
      <c r="K136" s="93"/>
      <c r="L136" s="94"/>
      <c r="M136" s="94"/>
      <c r="N136" s="95"/>
      <c r="O136" s="66"/>
      <c r="P136" s="96"/>
      <c r="Q136" s="97"/>
      <c r="R136" s="58"/>
      <c r="S136" s="69"/>
      <c r="T136" s="70"/>
      <c r="U136" s="66"/>
      <c r="V136" s="55"/>
      <c r="W136" s="55"/>
      <c r="X136" s="211"/>
      <c r="Y136" s="92"/>
    </row>
    <row r="137" spans="1:25" s="99" customFormat="1" ht="65.099999999999994" customHeight="1">
      <c r="A137" s="89"/>
      <c r="B137" s="89"/>
      <c r="C137" s="90"/>
      <c r="D137" s="91"/>
      <c r="E137" s="92"/>
      <c r="F137" s="92"/>
      <c r="G137" s="92"/>
      <c r="H137" s="92"/>
      <c r="I137" s="92"/>
      <c r="J137" s="92"/>
      <c r="K137" s="93"/>
      <c r="L137" s="94"/>
      <c r="M137" s="94"/>
      <c r="N137" s="95"/>
      <c r="O137" s="66"/>
      <c r="P137" s="96"/>
      <c r="Q137" s="97"/>
      <c r="R137" s="58"/>
      <c r="S137" s="69"/>
      <c r="T137" s="70"/>
      <c r="U137" s="66"/>
      <c r="V137" s="55"/>
      <c r="W137" s="55"/>
      <c r="X137" s="211"/>
      <c r="Y137" s="92"/>
    </row>
    <row r="138" spans="1:25" s="99" customFormat="1" ht="65.099999999999994" customHeight="1">
      <c r="A138" s="89"/>
      <c r="B138" s="89"/>
      <c r="C138" s="90"/>
      <c r="D138" s="91"/>
      <c r="E138" s="92"/>
      <c r="F138" s="92"/>
      <c r="G138" s="92"/>
      <c r="H138" s="92"/>
      <c r="I138" s="92"/>
      <c r="J138" s="92"/>
      <c r="K138" s="93"/>
      <c r="L138" s="94"/>
      <c r="M138" s="94"/>
      <c r="N138" s="95"/>
      <c r="O138" s="66"/>
      <c r="P138" s="96"/>
      <c r="Q138" s="97"/>
      <c r="R138" s="58"/>
      <c r="S138" s="69"/>
      <c r="T138" s="70"/>
      <c r="U138" s="66"/>
      <c r="V138" s="55"/>
      <c r="W138" s="55"/>
      <c r="X138" s="211"/>
      <c r="Y138" s="92"/>
    </row>
    <row r="139" spans="1:25" s="99" customFormat="1" ht="65.099999999999994" customHeight="1">
      <c r="A139" s="89"/>
      <c r="B139" s="89"/>
      <c r="C139" s="90"/>
      <c r="D139" s="91"/>
      <c r="E139" s="92"/>
      <c r="F139" s="92"/>
      <c r="G139" s="92"/>
      <c r="H139" s="92"/>
      <c r="I139" s="92"/>
      <c r="J139" s="92"/>
      <c r="K139" s="93"/>
      <c r="L139" s="94"/>
      <c r="M139" s="94"/>
      <c r="N139" s="95"/>
      <c r="O139" s="66"/>
      <c r="P139" s="96"/>
      <c r="Q139" s="97"/>
      <c r="R139" s="58"/>
      <c r="S139" s="69"/>
      <c r="T139" s="70"/>
      <c r="U139" s="66"/>
      <c r="V139" s="55"/>
      <c r="W139" s="55"/>
      <c r="X139" s="211"/>
      <c r="Y139" s="92"/>
    </row>
    <row r="140" spans="1:25" s="99" customFormat="1" ht="65.099999999999994" customHeight="1">
      <c r="A140" s="89"/>
      <c r="B140" s="89"/>
      <c r="C140" s="90"/>
      <c r="D140" s="91"/>
      <c r="E140" s="92"/>
      <c r="F140" s="92"/>
      <c r="G140" s="92"/>
      <c r="H140" s="92"/>
      <c r="I140" s="92"/>
      <c r="J140" s="92"/>
      <c r="K140" s="93"/>
      <c r="L140" s="94"/>
      <c r="M140" s="94"/>
      <c r="N140" s="95"/>
      <c r="O140" s="66"/>
      <c r="P140" s="96"/>
      <c r="Q140" s="97"/>
      <c r="R140" s="58"/>
      <c r="S140" s="69"/>
      <c r="T140" s="70"/>
      <c r="U140" s="66"/>
      <c r="V140" s="55"/>
      <c r="W140" s="55"/>
      <c r="X140" s="211"/>
      <c r="Y140" s="92"/>
    </row>
    <row r="141" spans="1:25" s="99" customFormat="1" ht="65.099999999999994" customHeight="1">
      <c r="A141" s="89"/>
      <c r="B141" s="89"/>
      <c r="C141" s="90"/>
      <c r="D141" s="91"/>
      <c r="E141" s="92"/>
      <c r="F141" s="92"/>
      <c r="G141" s="92"/>
      <c r="H141" s="92"/>
      <c r="I141" s="92"/>
      <c r="J141" s="92"/>
      <c r="K141" s="93"/>
      <c r="L141" s="94"/>
      <c r="M141" s="94"/>
      <c r="N141" s="95"/>
      <c r="O141" s="66"/>
      <c r="P141" s="96"/>
      <c r="Q141" s="97"/>
      <c r="R141" s="58"/>
      <c r="S141" s="69"/>
      <c r="T141" s="70"/>
      <c r="U141" s="66"/>
      <c r="V141" s="55"/>
      <c r="W141" s="55"/>
      <c r="X141" s="211"/>
      <c r="Y141" s="92"/>
    </row>
    <row r="142" spans="1:25" s="99" customFormat="1" ht="65.099999999999994" customHeight="1">
      <c r="A142" s="89"/>
      <c r="B142" s="89"/>
      <c r="C142" s="90"/>
      <c r="D142" s="91"/>
      <c r="E142" s="92"/>
      <c r="F142" s="92"/>
      <c r="G142" s="92"/>
      <c r="H142" s="92"/>
      <c r="I142" s="92"/>
      <c r="J142" s="92"/>
      <c r="K142" s="93"/>
      <c r="L142" s="94"/>
      <c r="M142" s="94"/>
      <c r="N142" s="95"/>
      <c r="O142" s="66"/>
      <c r="P142" s="96"/>
      <c r="Q142" s="97"/>
      <c r="R142" s="58"/>
      <c r="S142" s="69"/>
      <c r="T142" s="70"/>
      <c r="U142" s="66"/>
      <c r="V142" s="55"/>
      <c r="W142" s="55"/>
      <c r="X142" s="211"/>
      <c r="Y142" s="92"/>
    </row>
    <row r="143" spans="1:25" s="99" customFormat="1" ht="65.099999999999994" customHeight="1">
      <c r="A143" s="89"/>
      <c r="B143" s="89"/>
      <c r="C143" s="90"/>
      <c r="D143" s="91"/>
      <c r="E143" s="92"/>
      <c r="F143" s="92"/>
      <c r="G143" s="92"/>
      <c r="H143" s="92"/>
      <c r="I143" s="92"/>
      <c r="J143" s="92"/>
      <c r="K143" s="93"/>
      <c r="L143" s="94"/>
      <c r="M143" s="94"/>
      <c r="N143" s="95"/>
      <c r="O143" s="66"/>
      <c r="P143" s="96"/>
      <c r="Q143" s="97"/>
      <c r="R143" s="58"/>
      <c r="S143" s="69"/>
      <c r="T143" s="70"/>
      <c r="U143" s="66"/>
      <c r="V143" s="55"/>
      <c r="W143" s="55"/>
      <c r="X143" s="211"/>
      <c r="Y143" s="92"/>
    </row>
    <row r="144" spans="1:25" s="99" customFormat="1" ht="65.099999999999994" customHeight="1">
      <c r="A144" s="89"/>
      <c r="B144" s="89"/>
      <c r="C144" s="90"/>
      <c r="D144" s="91"/>
      <c r="E144" s="92"/>
      <c r="F144" s="92"/>
      <c r="G144" s="92"/>
      <c r="H144" s="92"/>
      <c r="I144" s="92"/>
      <c r="J144" s="92"/>
      <c r="K144" s="93"/>
      <c r="L144" s="94"/>
      <c r="M144" s="94"/>
      <c r="N144" s="95"/>
      <c r="O144" s="66"/>
      <c r="P144" s="96"/>
      <c r="Q144" s="97"/>
      <c r="R144" s="58"/>
      <c r="S144" s="69"/>
      <c r="T144" s="70"/>
      <c r="U144" s="66"/>
      <c r="V144" s="55"/>
      <c r="W144" s="55"/>
      <c r="X144" s="211"/>
      <c r="Y144" s="92"/>
    </row>
    <row r="145" spans="1:25" s="99" customFormat="1" ht="65.099999999999994" customHeight="1">
      <c r="A145" s="89"/>
      <c r="B145" s="89"/>
      <c r="C145" s="90"/>
      <c r="D145" s="91"/>
      <c r="E145" s="92"/>
      <c r="F145" s="92"/>
      <c r="G145" s="92"/>
      <c r="H145" s="92"/>
      <c r="I145" s="92"/>
      <c r="J145" s="92"/>
      <c r="K145" s="93"/>
      <c r="L145" s="94"/>
      <c r="M145" s="94"/>
      <c r="N145" s="95"/>
      <c r="O145" s="66"/>
      <c r="P145" s="96"/>
      <c r="Q145" s="97"/>
      <c r="R145" s="58"/>
      <c r="S145" s="69"/>
      <c r="T145" s="70"/>
      <c r="U145" s="66"/>
      <c r="V145" s="55"/>
      <c r="W145" s="55"/>
      <c r="X145" s="211"/>
      <c r="Y145" s="92"/>
    </row>
    <row r="146" spans="1:25" s="99" customFormat="1" ht="65.099999999999994" customHeight="1">
      <c r="A146" s="89"/>
      <c r="B146" s="89"/>
      <c r="C146" s="90"/>
      <c r="D146" s="91"/>
      <c r="E146" s="92"/>
      <c r="F146" s="92"/>
      <c r="G146" s="92"/>
      <c r="H146" s="92"/>
      <c r="I146" s="92"/>
      <c r="J146" s="92"/>
      <c r="K146" s="93"/>
      <c r="L146" s="94"/>
      <c r="M146" s="94"/>
      <c r="N146" s="95"/>
      <c r="O146" s="66"/>
      <c r="P146" s="96"/>
      <c r="Q146" s="97"/>
      <c r="R146" s="58"/>
      <c r="S146" s="69"/>
      <c r="T146" s="70"/>
      <c r="U146" s="66"/>
      <c r="V146" s="55"/>
      <c r="W146" s="55"/>
      <c r="X146" s="211"/>
      <c r="Y146" s="92"/>
    </row>
    <row r="147" spans="1:25" s="99" customFormat="1" ht="65.099999999999994" customHeight="1">
      <c r="A147" s="89"/>
      <c r="B147" s="89"/>
      <c r="C147" s="90"/>
      <c r="D147" s="91"/>
      <c r="E147" s="92"/>
      <c r="F147" s="92"/>
      <c r="G147" s="92"/>
      <c r="H147" s="92"/>
      <c r="I147" s="92"/>
      <c r="J147" s="92"/>
      <c r="K147" s="93"/>
      <c r="L147" s="94"/>
      <c r="M147" s="94"/>
      <c r="N147" s="95"/>
      <c r="O147" s="66"/>
      <c r="P147" s="96"/>
      <c r="Q147" s="97"/>
      <c r="R147" s="58"/>
      <c r="S147" s="69"/>
      <c r="T147" s="70"/>
      <c r="U147" s="66"/>
      <c r="V147" s="55"/>
      <c r="W147" s="55"/>
      <c r="X147" s="211"/>
      <c r="Y147" s="92"/>
    </row>
    <row r="148" spans="1:25" s="99" customFormat="1" ht="65.099999999999994" customHeight="1">
      <c r="A148" s="89"/>
      <c r="B148" s="89"/>
      <c r="C148" s="90"/>
      <c r="D148" s="91"/>
      <c r="E148" s="92"/>
      <c r="F148" s="92"/>
      <c r="G148" s="92"/>
      <c r="H148" s="92"/>
      <c r="I148" s="92"/>
      <c r="J148" s="92"/>
      <c r="K148" s="93"/>
      <c r="L148" s="94"/>
      <c r="M148" s="94"/>
      <c r="N148" s="95"/>
      <c r="O148" s="66"/>
      <c r="P148" s="96"/>
      <c r="Q148" s="97"/>
      <c r="R148" s="58"/>
      <c r="S148" s="69"/>
      <c r="T148" s="70"/>
      <c r="U148" s="66"/>
      <c r="V148" s="55"/>
      <c r="W148" s="55"/>
      <c r="X148" s="211"/>
      <c r="Y148" s="92"/>
    </row>
    <row r="149" spans="1:25" s="99" customFormat="1" ht="65.099999999999994" customHeight="1">
      <c r="A149" s="89"/>
      <c r="B149" s="89"/>
      <c r="C149" s="90"/>
      <c r="D149" s="91"/>
      <c r="E149" s="92"/>
      <c r="F149" s="92"/>
      <c r="G149" s="92"/>
      <c r="H149" s="92"/>
      <c r="I149" s="92"/>
      <c r="J149" s="92"/>
      <c r="K149" s="93"/>
      <c r="L149" s="94"/>
      <c r="M149" s="94"/>
      <c r="N149" s="95"/>
      <c r="O149" s="66"/>
      <c r="P149" s="96"/>
      <c r="Q149" s="97"/>
      <c r="R149" s="58"/>
      <c r="S149" s="69"/>
      <c r="T149" s="70"/>
      <c r="U149" s="66"/>
      <c r="V149" s="55"/>
      <c r="W149" s="55"/>
      <c r="X149" s="211"/>
      <c r="Y149" s="92"/>
    </row>
    <row r="150" spans="1:25" s="99" customFormat="1" ht="65.099999999999994" customHeight="1">
      <c r="A150" s="89"/>
      <c r="B150" s="89"/>
      <c r="C150" s="90"/>
      <c r="D150" s="91"/>
      <c r="E150" s="92"/>
      <c r="F150" s="92"/>
      <c r="G150" s="92"/>
      <c r="H150" s="92"/>
      <c r="I150" s="92"/>
      <c r="J150" s="92"/>
      <c r="K150" s="93"/>
      <c r="L150" s="94"/>
      <c r="M150" s="94"/>
      <c r="N150" s="95"/>
      <c r="O150" s="66"/>
      <c r="P150" s="96"/>
      <c r="Q150" s="97"/>
      <c r="R150" s="58"/>
      <c r="S150" s="69"/>
      <c r="T150" s="70"/>
      <c r="U150" s="66"/>
      <c r="V150" s="55"/>
      <c r="W150" s="55"/>
      <c r="X150" s="211"/>
      <c r="Y150" s="92"/>
    </row>
    <row r="151" spans="1:25" s="99" customFormat="1" ht="65.099999999999994" customHeight="1">
      <c r="A151" s="89"/>
      <c r="B151" s="89"/>
      <c r="C151" s="90"/>
      <c r="D151" s="91"/>
      <c r="E151" s="92"/>
      <c r="F151" s="92"/>
      <c r="G151" s="92"/>
      <c r="H151" s="92"/>
      <c r="I151" s="92"/>
      <c r="J151" s="92"/>
      <c r="K151" s="93"/>
      <c r="L151" s="94"/>
      <c r="M151" s="94"/>
      <c r="N151" s="95"/>
      <c r="O151" s="66"/>
      <c r="P151" s="96"/>
      <c r="Q151" s="97"/>
      <c r="R151" s="58"/>
      <c r="S151" s="69"/>
      <c r="T151" s="70"/>
      <c r="U151" s="66"/>
      <c r="V151" s="55"/>
      <c r="W151" s="55"/>
      <c r="X151" s="211"/>
      <c r="Y151" s="92"/>
    </row>
    <row r="152" spans="1:25" s="99" customFormat="1" ht="65.099999999999994" customHeight="1">
      <c r="A152" s="89"/>
      <c r="B152" s="89"/>
      <c r="C152" s="90"/>
      <c r="D152" s="91"/>
      <c r="E152" s="92"/>
      <c r="F152" s="92"/>
      <c r="G152" s="92"/>
      <c r="H152" s="92"/>
      <c r="I152" s="92"/>
      <c r="J152" s="92"/>
      <c r="K152" s="93"/>
      <c r="L152" s="94"/>
      <c r="M152" s="94"/>
      <c r="N152" s="95"/>
      <c r="O152" s="66"/>
      <c r="P152" s="96"/>
      <c r="Q152" s="97"/>
      <c r="R152" s="58"/>
      <c r="S152" s="69"/>
      <c r="T152" s="70"/>
      <c r="U152" s="66"/>
      <c r="V152" s="55"/>
      <c r="W152" s="55"/>
      <c r="X152" s="211"/>
      <c r="Y152" s="92"/>
    </row>
    <row r="153" spans="1:25" s="99" customFormat="1" ht="65.099999999999994" customHeight="1">
      <c r="A153" s="89"/>
      <c r="B153" s="89"/>
      <c r="C153" s="90"/>
      <c r="D153" s="91"/>
      <c r="E153" s="92"/>
      <c r="F153" s="92"/>
      <c r="G153" s="92"/>
      <c r="H153" s="92"/>
      <c r="I153" s="92"/>
      <c r="J153" s="92"/>
      <c r="K153" s="93"/>
      <c r="L153" s="94"/>
      <c r="M153" s="94"/>
      <c r="N153" s="95"/>
      <c r="O153" s="66"/>
      <c r="P153" s="96"/>
      <c r="Q153" s="97"/>
      <c r="R153" s="58"/>
      <c r="S153" s="69"/>
      <c r="T153" s="70"/>
      <c r="U153" s="66"/>
      <c r="V153" s="55"/>
      <c r="W153" s="55"/>
      <c r="X153" s="211"/>
      <c r="Y153" s="92"/>
    </row>
    <row r="154" spans="1:25" s="99" customFormat="1" ht="65.099999999999994" customHeight="1">
      <c r="A154" s="89"/>
      <c r="B154" s="89"/>
      <c r="C154" s="90"/>
      <c r="D154" s="91"/>
      <c r="E154" s="92"/>
      <c r="F154" s="92"/>
      <c r="G154" s="92"/>
      <c r="H154" s="92"/>
      <c r="I154" s="92"/>
      <c r="J154" s="92"/>
      <c r="K154" s="93"/>
      <c r="L154" s="94"/>
      <c r="M154" s="94"/>
      <c r="N154" s="95"/>
      <c r="O154" s="66"/>
      <c r="P154" s="96"/>
      <c r="Q154" s="97"/>
      <c r="R154" s="58"/>
      <c r="S154" s="69"/>
      <c r="T154" s="70"/>
      <c r="U154" s="66"/>
      <c r="V154" s="55"/>
      <c r="W154" s="55"/>
      <c r="X154" s="211"/>
      <c r="Y154" s="92"/>
    </row>
    <row r="155" spans="1:25" s="99" customFormat="1" ht="65.099999999999994" customHeight="1">
      <c r="A155" s="89"/>
      <c r="B155" s="89"/>
      <c r="C155" s="90"/>
      <c r="D155" s="91"/>
      <c r="E155" s="92"/>
      <c r="F155" s="92"/>
      <c r="G155" s="92"/>
      <c r="H155" s="92"/>
      <c r="I155" s="92"/>
      <c r="J155" s="92"/>
      <c r="K155" s="93"/>
      <c r="L155" s="94"/>
      <c r="M155" s="94"/>
      <c r="N155" s="95"/>
      <c r="O155" s="66"/>
      <c r="P155" s="96"/>
      <c r="Q155" s="97"/>
      <c r="R155" s="58"/>
      <c r="S155" s="69"/>
      <c r="T155" s="70"/>
      <c r="U155" s="66"/>
      <c r="V155" s="55"/>
      <c r="W155" s="55"/>
      <c r="X155" s="211"/>
      <c r="Y155" s="92"/>
    </row>
    <row r="156" spans="1:25" s="99" customFormat="1" ht="65.099999999999994" customHeight="1">
      <c r="A156" s="89"/>
      <c r="B156" s="89"/>
      <c r="C156" s="90"/>
      <c r="D156" s="91"/>
      <c r="E156" s="92"/>
      <c r="F156" s="92"/>
      <c r="G156" s="92"/>
      <c r="H156" s="92"/>
      <c r="I156" s="92"/>
      <c r="J156" s="92"/>
      <c r="K156" s="93"/>
      <c r="L156" s="94"/>
      <c r="M156" s="94"/>
      <c r="N156" s="95"/>
      <c r="O156" s="66"/>
      <c r="P156" s="96"/>
      <c r="Q156" s="97"/>
      <c r="R156" s="58"/>
      <c r="S156" s="69"/>
      <c r="T156" s="70"/>
      <c r="U156" s="66"/>
      <c r="V156" s="55"/>
      <c r="W156" s="55"/>
      <c r="X156" s="211"/>
      <c r="Y156" s="92"/>
    </row>
    <row r="157" spans="1:25" s="99" customFormat="1" ht="65.099999999999994" customHeight="1">
      <c r="A157" s="89"/>
      <c r="B157" s="89"/>
      <c r="C157" s="90"/>
      <c r="D157" s="91"/>
      <c r="E157" s="92"/>
      <c r="F157" s="92"/>
      <c r="G157" s="92"/>
      <c r="H157" s="92"/>
      <c r="I157" s="92"/>
      <c r="J157" s="92"/>
      <c r="K157" s="93"/>
      <c r="L157" s="94"/>
      <c r="M157" s="94"/>
      <c r="N157" s="95"/>
      <c r="O157" s="66"/>
      <c r="P157" s="96"/>
      <c r="Q157" s="97"/>
      <c r="R157" s="58"/>
      <c r="S157" s="69"/>
      <c r="T157" s="70"/>
      <c r="U157" s="66"/>
      <c r="V157" s="55"/>
      <c r="W157" s="55"/>
      <c r="X157" s="211"/>
      <c r="Y157" s="92"/>
    </row>
    <row r="158" spans="1:25" s="99" customFormat="1" ht="65.099999999999994" customHeight="1">
      <c r="A158" s="89"/>
      <c r="B158" s="89"/>
      <c r="C158" s="90"/>
      <c r="D158" s="91"/>
      <c r="E158" s="92"/>
      <c r="F158" s="92"/>
      <c r="G158" s="92"/>
      <c r="H158" s="92"/>
      <c r="I158" s="92"/>
      <c r="J158" s="92"/>
      <c r="K158" s="93"/>
      <c r="L158" s="94"/>
      <c r="M158" s="94"/>
      <c r="N158" s="95"/>
      <c r="O158" s="66"/>
      <c r="P158" s="96"/>
      <c r="Q158" s="97"/>
      <c r="R158" s="58"/>
      <c r="S158" s="69"/>
      <c r="T158" s="70"/>
      <c r="U158" s="66"/>
      <c r="V158" s="55"/>
      <c r="W158" s="55"/>
      <c r="X158" s="211"/>
      <c r="Y158" s="92"/>
    </row>
    <row r="159" spans="1:25" s="99" customFormat="1" ht="65.099999999999994" customHeight="1">
      <c r="A159" s="89"/>
      <c r="B159" s="89"/>
      <c r="C159" s="90"/>
      <c r="D159" s="91"/>
      <c r="E159" s="92"/>
      <c r="F159" s="92"/>
      <c r="G159" s="92"/>
      <c r="H159" s="92"/>
      <c r="I159" s="92"/>
      <c r="J159" s="92"/>
      <c r="K159" s="93"/>
      <c r="L159" s="94"/>
      <c r="M159" s="94"/>
      <c r="N159" s="95"/>
      <c r="O159" s="66"/>
      <c r="P159" s="96"/>
      <c r="Q159" s="97"/>
      <c r="R159" s="58"/>
      <c r="S159" s="69"/>
      <c r="T159" s="70"/>
      <c r="U159" s="66"/>
      <c r="V159" s="55"/>
      <c r="W159" s="55"/>
      <c r="X159" s="211"/>
      <c r="Y159" s="92"/>
    </row>
    <row r="160" spans="1:25" s="99" customFormat="1" ht="65.099999999999994" customHeight="1">
      <c r="A160" s="89"/>
      <c r="B160" s="89"/>
      <c r="C160" s="90"/>
      <c r="D160" s="91"/>
      <c r="E160" s="92"/>
      <c r="F160" s="92"/>
      <c r="G160" s="92"/>
      <c r="H160" s="92"/>
      <c r="I160" s="92"/>
      <c r="J160" s="92"/>
      <c r="K160" s="93"/>
      <c r="L160" s="94"/>
      <c r="M160" s="94"/>
      <c r="N160" s="95"/>
      <c r="O160" s="66"/>
      <c r="P160" s="96"/>
      <c r="Q160" s="97"/>
      <c r="R160" s="58"/>
      <c r="S160" s="69"/>
      <c r="T160" s="70"/>
      <c r="U160" s="66"/>
      <c r="V160" s="55"/>
      <c r="W160" s="55"/>
      <c r="X160" s="211"/>
      <c r="Y160" s="92"/>
    </row>
    <row r="161" spans="1:25" s="99" customFormat="1" ht="65.099999999999994" customHeight="1">
      <c r="A161" s="89"/>
      <c r="B161" s="89"/>
      <c r="C161" s="90"/>
      <c r="D161" s="91"/>
      <c r="E161" s="92"/>
      <c r="F161" s="92"/>
      <c r="G161" s="92"/>
      <c r="H161" s="92"/>
      <c r="I161" s="92"/>
      <c r="J161" s="92"/>
      <c r="K161" s="93"/>
      <c r="L161" s="94"/>
      <c r="M161" s="94"/>
      <c r="N161" s="95"/>
      <c r="O161" s="66"/>
      <c r="P161" s="96"/>
      <c r="Q161" s="97"/>
      <c r="R161" s="58"/>
      <c r="S161" s="69"/>
      <c r="T161" s="70"/>
      <c r="U161" s="66"/>
      <c r="V161" s="55"/>
      <c r="W161" s="55"/>
      <c r="X161" s="211"/>
      <c r="Y161" s="92"/>
    </row>
    <row r="162" spans="1:25" s="99" customFormat="1" ht="65.099999999999994" customHeight="1">
      <c r="A162" s="89"/>
      <c r="B162" s="89"/>
      <c r="C162" s="90"/>
      <c r="D162" s="91"/>
      <c r="E162" s="92"/>
      <c r="F162" s="92"/>
      <c r="G162" s="92"/>
      <c r="H162" s="92"/>
      <c r="I162" s="92"/>
      <c r="J162" s="92"/>
      <c r="K162" s="93"/>
      <c r="L162" s="94"/>
      <c r="M162" s="94"/>
      <c r="N162" s="95"/>
      <c r="O162" s="66"/>
      <c r="P162" s="96"/>
      <c r="Q162" s="97"/>
      <c r="R162" s="58"/>
      <c r="S162" s="69"/>
      <c r="T162" s="70"/>
      <c r="U162" s="66"/>
      <c r="V162" s="55"/>
      <c r="W162" s="55"/>
      <c r="X162" s="211"/>
      <c r="Y162" s="92"/>
    </row>
    <row r="163" spans="1:25" s="99" customFormat="1" ht="65.099999999999994" customHeight="1">
      <c r="A163" s="89"/>
      <c r="B163" s="89"/>
      <c r="C163" s="90"/>
      <c r="D163" s="91"/>
      <c r="E163" s="92"/>
      <c r="F163" s="92"/>
      <c r="G163" s="92"/>
      <c r="H163" s="92"/>
      <c r="I163" s="92"/>
      <c r="J163" s="92"/>
      <c r="K163" s="93"/>
      <c r="L163" s="94"/>
      <c r="M163" s="94"/>
      <c r="N163" s="95"/>
      <c r="O163" s="66"/>
      <c r="P163" s="96"/>
      <c r="Q163" s="97"/>
      <c r="R163" s="58"/>
      <c r="S163" s="69"/>
      <c r="T163" s="70"/>
      <c r="U163" s="66"/>
      <c r="V163" s="55"/>
      <c r="W163" s="55"/>
      <c r="X163" s="211"/>
      <c r="Y163" s="92"/>
    </row>
    <row r="164" spans="1:25" s="99" customFormat="1" ht="65.099999999999994" customHeight="1">
      <c r="A164" s="89"/>
      <c r="B164" s="89"/>
      <c r="C164" s="90"/>
      <c r="D164" s="91"/>
      <c r="E164" s="92"/>
      <c r="F164" s="92"/>
      <c r="G164" s="92"/>
      <c r="H164" s="92"/>
      <c r="I164" s="92"/>
      <c r="J164" s="92"/>
      <c r="K164" s="93"/>
      <c r="L164" s="94"/>
      <c r="M164" s="94"/>
      <c r="N164" s="95"/>
      <c r="O164" s="66"/>
      <c r="P164" s="96"/>
      <c r="Q164" s="97"/>
      <c r="R164" s="58"/>
      <c r="S164" s="69"/>
      <c r="T164" s="70"/>
      <c r="U164" s="66"/>
      <c r="V164" s="55"/>
      <c r="W164" s="55"/>
      <c r="X164" s="211"/>
      <c r="Y164" s="92"/>
    </row>
    <row r="165" spans="1:25" s="99" customFormat="1" ht="65.099999999999994" customHeight="1">
      <c r="A165" s="89"/>
      <c r="B165" s="89"/>
      <c r="C165" s="90"/>
      <c r="D165" s="91"/>
      <c r="E165" s="92"/>
      <c r="F165" s="92"/>
      <c r="G165" s="92"/>
      <c r="H165" s="92"/>
      <c r="I165" s="92"/>
      <c r="J165" s="92"/>
      <c r="K165" s="93"/>
      <c r="L165" s="94"/>
      <c r="M165" s="94"/>
      <c r="N165" s="95"/>
      <c r="O165" s="66"/>
      <c r="P165" s="96"/>
      <c r="Q165" s="97"/>
      <c r="R165" s="58"/>
      <c r="S165" s="69"/>
      <c r="T165" s="70"/>
      <c r="U165" s="66"/>
      <c r="V165" s="55"/>
      <c r="W165" s="55"/>
      <c r="X165" s="211"/>
      <c r="Y165" s="92"/>
    </row>
    <row r="166" spans="1:25" s="99" customFormat="1" ht="65.099999999999994" customHeight="1">
      <c r="A166" s="89"/>
      <c r="B166" s="89"/>
      <c r="C166" s="90"/>
      <c r="D166" s="91"/>
      <c r="E166" s="92"/>
      <c r="F166" s="92"/>
      <c r="G166" s="92"/>
      <c r="H166" s="92"/>
      <c r="I166" s="92"/>
      <c r="J166" s="92"/>
      <c r="K166" s="93"/>
      <c r="L166" s="94"/>
      <c r="M166" s="94"/>
      <c r="N166" s="95"/>
      <c r="O166" s="66"/>
      <c r="P166" s="96"/>
      <c r="Q166" s="97"/>
      <c r="R166" s="58"/>
      <c r="S166" s="69"/>
      <c r="T166" s="70"/>
      <c r="U166" s="66"/>
      <c r="V166" s="55"/>
      <c r="W166" s="55"/>
      <c r="X166" s="211"/>
      <c r="Y166" s="92"/>
    </row>
    <row r="167" spans="1:25" s="99" customFormat="1" ht="65.099999999999994" customHeight="1">
      <c r="A167" s="89"/>
      <c r="B167" s="89"/>
      <c r="C167" s="90"/>
      <c r="D167" s="91"/>
      <c r="E167" s="92"/>
      <c r="F167" s="92"/>
      <c r="G167" s="92"/>
      <c r="H167" s="92"/>
      <c r="I167" s="92"/>
      <c r="J167" s="92"/>
      <c r="K167" s="93"/>
      <c r="L167" s="94"/>
      <c r="M167" s="94"/>
      <c r="N167" s="95"/>
      <c r="O167" s="66"/>
      <c r="P167" s="96"/>
      <c r="Q167" s="97"/>
      <c r="R167" s="58"/>
      <c r="S167" s="69"/>
      <c r="T167" s="70"/>
      <c r="U167" s="66"/>
      <c r="V167" s="55"/>
      <c r="W167" s="55"/>
      <c r="X167" s="211"/>
      <c r="Y167" s="92"/>
    </row>
    <row r="168" spans="1:25" s="99" customFormat="1" ht="65.099999999999994" customHeight="1">
      <c r="A168" s="89"/>
      <c r="B168" s="89"/>
      <c r="C168" s="90"/>
      <c r="D168" s="91"/>
      <c r="E168" s="92"/>
      <c r="F168" s="92"/>
      <c r="G168" s="92"/>
      <c r="H168" s="92"/>
      <c r="I168" s="92"/>
      <c r="J168" s="92"/>
      <c r="K168" s="93"/>
      <c r="L168" s="94"/>
      <c r="M168" s="94"/>
      <c r="N168" s="95"/>
      <c r="O168" s="66"/>
      <c r="P168" s="96"/>
      <c r="Q168" s="97"/>
      <c r="R168" s="58"/>
      <c r="S168" s="69"/>
      <c r="T168" s="70"/>
      <c r="U168" s="66"/>
      <c r="V168" s="55"/>
      <c r="W168" s="55"/>
      <c r="X168" s="211"/>
      <c r="Y168" s="92"/>
    </row>
    <row r="169" spans="1:25" s="99" customFormat="1" ht="65.099999999999994" customHeight="1">
      <c r="A169" s="89"/>
      <c r="B169" s="89"/>
      <c r="C169" s="90"/>
      <c r="D169" s="91"/>
      <c r="E169" s="92"/>
      <c r="F169" s="92"/>
      <c r="G169" s="92"/>
      <c r="H169" s="92"/>
      <c r="I169" s="92"/>
      <c r="J169" s="92"/>
      <c r="K169" s="93"/>
      <c r="L169" s="94"/>
      <c r="M169" s="94"/>
      <c r="N169" s="95"/>
      <c r="O169" s="66"/>
      <c r="P169" s="96"/>
      <c r="Q169" s="97"/>
      <c r="R169" s="58"/>
      <c r="S169" s="69"/>
      <c r="T169" s="70"/>
      <c r="U169" s="66"/>
      <c r="V169" s="55"/>
      <c r="W169" s="55"/>
      <c r="X169" s="211"/>
      <c r="Y169" s="92"/>
    </row>
    <row r="170" spans="1:25" s="99" customFormat="1" ht="65.099999999999994" customHeight="1">
      <c r="A170" s="89"/>
      <c r="B170" s="89"/>
      <c r="C170" s="90"/>
      <c r="D170" s="91"/>
      <c r="E170" s="92"/>
      <c r="F170" s="92"/>
      <c r="G170" s="92"/>
      <c r="H170" s="92"/>
      <c r="I170" s="92"/>
      <c r="J170" s="92"/>
      <c r="K170" s="93"/>
      <c r="L170" s="94"/>
      <c r="M170" s="94"/>
      <c r="N170" s="95"/>
      <c r="O170" s="66"/>
      <c r="P170" s="96"/>
      <c r="Q170" s="97"/>
      <c r="R170" s="58"/>
      <c r="S170" s="69"/>
      <c r="T170" s="70"/>
      <c r="U170" s="66"/>
      <c r="V170" s="55"/>
      <c r="W170" s="55"/>
      <c r="X170" s="211"/>
      <c r="Y170" s="92"/>
    </row>
    <row r="171" spans="1:25" s="99" customFormat="1" ht="65.099999999999994" customHeight="1">
      <c r="A171" s="89"/>
      <c r="B171" s="89"/>
      <c r="C171" s="90"/>
      <c r="D171" s="91"/>
      <c r="E171" s="92"/>
      <c r="F171" s="92"/>
      <c r="G171" s="92"/>
      <c r="H171" s="92"/>
      <c r="I171" s="92"/>
      <c r="J171" s="92"/>
      <c r="K171" s="93"/>
      <c r="L171" s="94"/>
      <c r="M171" s="94"/>
      <c r="N171" s="95"/>
      <c r="O171" s="66"/>
      <c r="P171" s="96"/>
      <c r="Q171" s="97"/>
      <c r="R171" s="58"/>
      <c r="S171" s="69"/>
      <c r="T171" s="70"/>
      <c r="U171" s="66"/>
      <c r="V171" s="55"/>
      <c r="W171" s="55"/>
      <c r="X171" s="211"/>
      <c r="Y171" s="92"/>
    </row>
    <row r="172" spans="1:25" s="99" customFormat="1" ht="65.099999999999994" customHeight="1">
      <c r="A172" s="89"/>
      <c r="B172" s="89"/>
      <c r="C172" s="90"/>
      <c r="D172" s="91"/>
      <c r="E172" s="92"/>
      <c r="F172" s="92"/>
      <c r="G172" s="92"/>
      <c r="H172" s="92"/>
      <c r="I172" s="92"/>
      <c r="J172" s="92"/>
      <c r="K172" s="93"/>
      <c r="L172" s="94"/>
      <c r="M172" s="94"/>
      <c r="N172" s="95"/>
      <c r="O172" s="66"/>
      <c r="P172" s="96"/>
      <c r="Q172" s="97"/>
      <c r="R172" s="58"/>
      <c r="S172" s="69"/>
      <c r="T172" s="70"/>
      <c r="U172" s="66"/>
      <c r="V172" s="55"/>
      <c r="W172" s="55"/>
      <c r="X172" s="211"/>
      <c r="Y172" s="92"/>
    </row>
    <row r="173" spans="1:25" s="99" customFormat="1" ht="65.099999999999994" customHeight="1">
      <c r="A173" s="89"/>
      <c r="B173" s="89"/>
      <c r="C173" s="90"/>
      <c r="D173" s="91"/>
      <c r="E173" s="92"/>
      <c r="F173" s="92"/>
      <c r="G173" s="92"/>
      <c r="H173" s="92"/>
      <c r="I173" s="92"/>
      <c r="J173" s="92"/>
      <c r="K173" s="93"/>
      <c r="L173" s="94"/>
      <c r="M173" s="94"/>
      <c r="N173" s="95"/>
      <c r="O173" s="66"/>
      <c r="P173" s="96"/>
      <c r="Q173" s="97"/>
      <c r="R173" s="58"/>
      <c r="S173" s="69"/>
      <c r="T173" s="70"/>
      <c r="U173" s="66"/>
      <c r="V173" s="55"/>
      <c r="W173" s="55"/>
      <c r="X173" s="211"/>
      <c r="Y173" s="92"/>
    </row>
    <row r="174" spans="1:25" s="99" customFormat="1" ht="65.099999999999994" customHeight="1">
      <c r="A174" s="89"/>
      <c r="B174" s="89"/>
      <c r="C174" s="90"/>
      <c r="D174" s="91"/>
      <c r="E174" s="92"/>
      <c r="F174" s="92"/>
      <c r="G174" s="92"/>
      <c r="H174" s="92"/>
      <c r="I174" s="92"/>
      <c r="J174" s="92"/>
      <c r="K174" s="93"/>
      <c r="L174" s="94"/>
      <c r="M174" s="94"/>
      <c r="N174" s="95"/>
      <c r="O174" s="66"/>
      <c r="P174" s="96"/>
      <c r="Q174" s="97"/>
      <c r="R174" s="58"/>
      <c r="S174" s="69"/>
      <c r="T174" s="70"/>
      <c r="U174" s="66"/>
      <c r="V174" s="55"/>
      <c r="W174" s="55"/>
      <c r="X174" s="211"/>
      <c r="Y174" s="92"/>
    </row>
    <row r="175" spans="1:25" s="99" customFormat="1" ht="65.099999999999994" customHeight="1">
      <c r="A175" s="89"/>
      <c r="B175" s="89"/>
      <c r="C175" s="90"/>
      <c r="D175" s="91"/>
      <c r="E175" s="92"/>
      <c r="F175" s="92"/>
      <c r="G175" s="92"/>
      <c r="H175" s="92"/>
      <c r="I175" s="92"/>
      <c r="J175" s="92"/>
      <c r="K175" s="93"/>
      <c r="L175" s="94"/>
      <c r="M175" s="94"/>
      <c r="N175" s="95"/>
      <c r="O175" s="66"/>
      <c r="P175" s="96"/>
      <c r="Q175" s="97"/>
      <c r="R175" s="58"/>
      <c r="S175" s="69"/>
      <c r="T175" s="70"/>
      <c r="U175" s="66"/>
      <c r="V175" s="55"/>
      <c r="W175" s="55"/>
      <c r="X175" s="211"/>
      <c r="Y175" s="92"/>
    </row>
    <row r="176" spans="1:25" s="99" customFormat="1" ht="65.099999999999994" customHeight="1">
      <c r="A176" s="89"/>
      <c r="B176" s="89"/>
      <c r="C176" s="90"/>
      <c r="D176" s="91"/>
      <c r="E176" s="92"/>
      <c r="F176" s="92"/>
      <c r="G176" s="92"/>
      <c r="H176" s="92"/>
      <c r="I176" s="92"/>
      <c r="J176" s="92"/>
      <c r="K176" s="93"/>
      <c r="L176" s="94"/>
      <c r="M176" s="94"/>
      <c r="N176" s="95"/>
      <c r="O176" s="66"/>
      <c r="P176" s="96"/>
      <c r="Q176" s="97"/>
      <c r="R176" s="58"/>
      <c r="S176" s="69"/>
      <c r="T176" s="70"/>
      <c r="U176" s="66"/>
      <c r="V176" s="55"/>
      <c r="W176" s="55"/>
      <c r="X176" s="211"/>
      <c r="Y176" s="92"/>
    </row>
    <row r="177" spans="1:25" s="99" customFormat="1" ht="65.099999999999994" customHeight="1">
      <c r="A177" s="89"/>
      <c r="B177" s="89"/>
      <c r="C177" s="90"/>
      <c r="D177" s="91"/>
      <c r="E177" s="92"/>
      <c r="F177" s="92"/>
      <c r="G177" s="92"/>
      <c r="H177" s="92"/>
      <c r="I177" s="92"/>
      <c r="J177" s="92"/>
      <c r="K177" s="93"/>
      <c r="L177" s="94"/>
      <c r="M177" s="94"/>
      <c r="N177" s="95"/>
      <c r="O177" s="66"/>
      <c r="P177" s="96"/>
      <c r="Q177" s="97"/>
      <c r="R177" s="58"/>
      <c r="S177" s="69"/>
      <c r="T177" s="70"/>
      <c r="U177" s="66"/>
      <c r="V177" s="55"/>
      <c r="W177" s="55"/>
      <c r="X177" s="211"/>
      <c r="Y177" s="92"/>
    </row>
    <row r="178" spans="1:25" s="99" customFormat="1" ht="65.099999999999994" customHeight="1">
      <c r="A178" s="89"/>
      <c r="B178" s="89"/>
      <c r="C178" s="90"/>
      <c r="D178" s="91"/>
      <c r="E178" s="92"/>
      <c r="F178" s="92"/>
      <c r="G178" s="92"/>
      <c r="H178" s="92"/>
      <c r="I178" s="92"/>
      <c r="J178" s="92"/>
      <c r="K178" s="93"/>
      <c r="L178" s="94"/>
      <c r="M178" s="94"/>
      <c r="N178" s="95"/>
      <c r="O178" s="66"/>
      <c r="P178" s="96"/>
      <c r="Q178" s="97"/>
      <c r="R178" s="58"/>
      <c r="S178" s="69"/>
      <c r="T178" s="70"/>
      <c r="U178" s="66"/>
      <c r="V178" s="55"/>
      <c r="W178" s="55"/>
      <c r="X178" s="211"/>
      <c r="Y178" s="92"/>
    </row>
    <row r="179" spans="1:25" s="99" customFormat="1" ht="65.099999999999994" customHeight="1">
      <c r="A179" s="89"/>
      <c r="B179" s="89"/>
      <c r="C179" s="90"/>
      <c r="D179" s="91"/>
      <c r="E179" s="92"/>
      <c r="F179" s="92"/>
      <c r="G179" s="92"/>
      <c r="H179" s="92"/>
      <c r="I179" s="92"/>
      <c r="J179" s="92"/>
      <c r="K179" s="93"/>
      <c r="L179" s="94"/>
      <c r="M179" s="94"/>
      <c r="N179" s="95"/>
      <c r="O179" s="66"/>
      <c r="P179" s="96"/>
      <c r="Q179" s="97"/>
      <c r="R179" s="58"/>
      <c r="S179" s="69"/>
      <c r="T179" s="70"/>
      <c r="U179" s="66"/>
      <c r="V179" s="55"/>
      <c r="W179" s="55"/>
      <c r="X179" s="211"/>
      <c r="Y179" s="92"/>
    </row>
    <row r="180" spans="1:25" s="99" customFormat="1" ht="65.099999999999994" customHeight="1">
      <c r="A180" s="89"/>
      <c r="B180" s="89"/>
      <c r="C180" s="90"/>
      <c r="D180" s="91"/>
      <c r="E180" s="92"/>
      <c r="F180" s="92"/>
      <c r="G180" s="92"/>
      <c r="H180" s="92"/>
      <c r="I180" s="92"/>
      <c r="J180" s="92"/>
      <c r="K180" s="93"/>
      <c r="L180" s="94"/>
      <c r="M180" s="94"/>
      <c r="N180" s="95"/>
      <c r="O180" s="66"/>
      <c r="P180" s="96"/>
      <c r="Q180" s="97"/>
      <c r="R180" s="58"/>
      <c r="S180" s="69"/>
      <c r="T180" s="70"/>
      <c r="U180" s="66"/>
      <c r="V180" s="55"/>
      <c r="W180" s="55"/>
      <c r="X180" s="211"/>
      <c r="Y180" s="92"/>
    </row>
    <row r="181" spans="1:25" s="99" customFormat="1" ht="65.099999999999994" customHeight="1">
      <c r="A181" s="89"/>
      <c r="B181" s="89"/>
      <c r="C181" s="90"/>
      <c r="D181" s="91"/>
      <c r="E181" s="92"/>
      <c r="F181" s="92"/>
      <c r="G181" s="92"/>
      <c r="H181" s="92"/>
      <c r="I181" s="92"/>
      <c r="J181" s="92"/>
      <c r="K181" s="93"/>
      <c r="L181" s="94"/>
      <c r="M181" s="94"/>
      <c r="N181" s="95"/>
      <c r="O181" s="66"/>
      <c r="P181" s="96"/>
      <c r="Q181" s="97"/>
      <c r="R181" s="58"/>
      <c r="S181" s="69"/>
      <c r="T181" s="70"/>
      <c r="U181" s="66"/>
      <c r="V181" s="55"/>
      <c r="W181" s="55"/>
      <c r="X181" s="211"/>
      <c r="Y181" s="92"/>
    </row>
    <row r="182" spans="1:25" s="99" customFormat="1" ht="65.099999999999994" customHeight="1">
      <c r="A182" s="89"/>
      <c r="B182" s="89"/>
      <c r="C182" s="90"/>
      <c r="D182" s="91"/>
      <c r="E182" s="92"/>
      <c r="F182" s="92"/>
      <c r="G182" s="92"/>
      <c r="H182" s="92"/>
      <c r="I182" s="92"/>
      <c r="J182" s="92"/>
      <c r="K182" s="93"/>
      <c r="L182" s="94"/>
      <c r="M182" s="94"/>
      <c r="N182" s="95"/>
      <c r="O182" s="66"/>
      <c r="P182" s="96"/>
      <c r="Q182" s="97"/>
      <c r="R182" s="58"/>
      <c r="S182" s="69"/>
      <c r="T182" s="70"/>
      <c r="U182" s="66"/>
      <c r="V182" s="55"/>
      <c r="W182" s="55"/>
      <c r="X182" s="211"/>
      <c r="Y182" s="92"/>
    </row>
    <row r="183" spans="1:25" s="99" customFormat="1" ht="65.099999999999994" customHeight="1">
      <c r="A183" s="89"/>
      <c r="B183" s="89"/>
      <c r="C183" s="90"/>
      <c r="D183" s="91"/>
      <c r="E183" s="92"/>
      <c r="F183" s="92"/>
      <c r="G183" s="92"/>
      <c r="H183" s="92"/>
      <c r="I183" s="92"/>
      <c r="J183" s="92"/>
      <c r="K183" s="93"/>
      <c r="L183" s="94"/>
      <c r="M183" s="94"/>
      <c r="N183" s="95"/>
      <c r="O183" s="66"/>
      <c r="P183" s="96"/>
      <c r="Q183" s="97"/>
      <c r="R183" s="58"/>
      <c r="S183" s="69"/>
      <c r="T183" s="70"/>
      <c r="U183" s="66"/>
      <c r="V183" s="55"/>
      <c r="W183" s="55"/>
      <c r="X183" s="211"/>
      <c r="Y183" s="92"/>
    </row>
    <row r="184" spans="1:25" s="99" customFormat="1" ht="65.099999999999994" customHeight="1">
      <c r="A184" s="89"/>
      <c r="B184" s="89"/>
      <c r="C184" s="90"/>
      <c r="D184" s="91"/>
      <c r="E184" s="92"/>
      <c r="F184" s="92"/>
      <c r="G184" s="92"/>
      <c r="H184" s="92"/>
      <c r="I184" s="92"/>
      <c r="J184" s="92"/>
      <c r="K184" s="93"/>
      <c r="L184" s="94"/>
      <c r="M184" s="94"/>
      <c r="N184" s="95"/>
      <c r="O184" s="66"/>
      <c r="P184" s="96"/>
      <c r="Q184" s="97"/>
      <c r="R184" s="58"/>
      <c r="S184" s="69"/>
      <c r="T184" s="70"/>
      <c r="U184" s="66"/>
      <c r="V184" s="55"/>
      <c r="W184" s="55"/>
      <c r="X184" s="211"/>
      <c r="Y184" s="92"/>
    </row>
    <row r="185" spans="1:25" s="99" customFormat="1" ht="65.099999999999994" customHeight="1">
      <c r="A185" s="89"/>
      <c r="B185" s="89"/>
      <c r="C185" s="90"/>
      <c r="D185" s="91"/>
      <c r="E185" s="92"/>
      <c r="F185" s="92"/>
      <c r="G185" s="92"/>
      <c r="H185" s="92"/>
      <c r="I185" s="92"/>
      <c r="J185" s="92"/>
      <c r="K185" s="93"/>
      <c r="L185" s="94"/>
      <c r="M185" s="94"/>
      <c r="N185" s="95"/>
      <c r="O185" s="66"/>
      <c r="P185" s="96"/>
      <c r="Q185" s="97"/>
      <c r="R185" s="58"/>
      <c r="S185" s="69"/>
      <c r="T185" s="70"/>
      <c r="U185" s="66"/>
      <c r="V185" s="55"/>
      <c r="W185" s="55"/>
      <c r="X185" s="211"/>
      <c r="Y185" s="92"/>
    </row>
    <row r="186" spans="1:25" s="99" customFormat="1" ht="65.099999999999994" customHeight="1">
      <c r="A186" s="89"/>
      <c r="B186" s="89"/>
      <c r="C186" s="90"/>
      <c r="D186" s="91"/>
      <c r="E186" s="92"/>
      <c r="F186" s="92"/>
      <c r="G186" s="92"/>
      <c r="H186" s="92"/>
      <c r="I186" s="92"/>
      <c r="J186" s="92"/>
      <c r="K186" s="93"/>
      <c r="L186" s="94"/>
      <c r="M186" s="94"/>
      <c r="N186" s="95"/>
      <c r="O186" s="66"/>
      <c r="P186" s="96"/>
      <c r="Q186" s="97"/>
      <c r="R186" s="58"/>
      <c r="S186" s="69"/>
      <c r="T186" s="70"/>
      <c r="U186" s="66"/>
      <c r="V186" s="55"/>
      <c r="W186" s="55"/>
      <c r="X186" s="211"/>
      <c r="Y186" s="92"/>
    </row>
    <row r="187" spans="1:25" s="99" customFormat="1" ht="65.099999999999994" customHeight="1">
      <c r="A187" s="89"/>
      <c r="B187" s="89"/>
      <c r="C187" s="90"/>
      <c r="D187" s="91"/>
      <c r="E187" s="92"/>
      <c r="F187" s="92"/>
      <c r="G187" s="92"/>
      <c r="H187" s="92"/>
      <c r="I187" s="92"/>
      <c r="J187" s="92"/>
      <c r="K187" s="93"/>
      <c r="L187" s="94"/>
      <c r="M187" s="94"/>
      <c r="N187" s="95"/>
      <c r="O187" s="66"/>
      <c r="P187" s="96"/>
      <c r="Q187" s="97"/>
      <c r="R187" s="58"/>
      <c r="S187" s="69"/>
      <c r="T187" s="70"/>
      <c r="U187" s="66"/>
      <c r="V187" s="55"/>
      <c r="W187" s="55"/>
      <c r="X187" s="211"/>
      <c r="Y187" s="92"/>
    </row>
    <row r="188" spans="1:25" s="99" customFormat="1" ht="65.099999999999994" customHeight="1">
      <c r="A188" s="89"/>
      <c r="B188" s="89"/>
      <c r="C188" s="90"/>
      <c r="D188" s="91"/>
      <c r="E188" s="92"/>
      <c r="F188" s="92"/>
      <c r="G188" s="92"/>
      <c r="H188" s="92"/>
      <c r="I188" s="92"/>
      <c r="J188" s="92"/>
      <c r="K188" s="93"/>
      <c r="L188" s="94"/>
      <c r="M188" s="94"/>
      <c r="N188" s="95"/>
      <c r="O188" s="66"/>
      <c r="P188" s="96"/>
      <c r="Q188" s="97"/>
      <c r="R188" s="58"/>
      <c r="S188" s="69"/>
      <c r="T188" s="70"/>
      <c r="U188" s="66"/>
      <c r="V188" s="55"/>
      <c r="W188" s="55"/>
      <c r="X188" s="211"/>
      <c r="Y188" s="92"/>
    </row>
    <row r="189" spans="1:25" s="99" customFormat="1" ht="65.099999999999994" customHeight="1">
      <c r="A189" s="89"/>
      <c r="B189" s="89"/>
      <c r="C189" s="90"/>
      <c r="D189" s="91"/>
      <c r="E189" s="92"/>
      <c r="F189" s="92"/>
      <c r="G189" s="92"/>
      <c r="H189" s="92"/>
      <c r="I189" s="92"/>
      <c r="J189" s="92"/>
      <c r="K189" s="93"/>
      <c r="L189" s="94"/>
      <c r="M189" s="94"/>
      <c r="N189" s="95"/>
      <c r="O189" s="66"/>
      <c r="P189" s="96"/>
      <c r="Q189" s="97"/>
      <c r="R189" s="58"/>
      <c r="S189" s="69"/>
      <c r="T189" s="70"/>
      <c r="U189" s="66"/>
      <c r="V189" s="55"/>
      <c r="W189" s="55"/>
      <c r="X189" s="211"/>
      <c r="Y189" s="92"/>
    </row>
    <row r="190" spans="1:25" s="99" customFormat="1" ht="65.099999999999994" customHeight="1">
      <c r="A190" s="89"/>
      <c r="B190" s="89"/>
      <c r="C190" s="90"/>
      <c r="D190" s="91"/>
      <c r="E190" s="92"/>
      <c r="F190" s="92"/>
      <c r="G190" s="92"/>
      <c r="H190" s="92"/>
      <c r="I190" s="92"/>
      <c r="J190" s="92"/>
      <c r="K190" s="93"/>
      <c r="L190" s="94"/>
      <c r="M190" s="94"/>
      <c r="N190" s="95"/>
      <c r="O190" s="66"/>
      <c r="P190" s="96"/>
      <c r="Q190" s="97"/>
      <c r="R190" s="58"/>
      <c r="S190" s="69"/>
      <c r="T190" s="70"/>
      <c r="U190" s="66"/>
      <c r="V190" s="55"/>
      <c r="W190" s="55"/>
      <c r="X190" s="211"/>
      <c r="Y190" s="92"/>
    </row>
    <row r="191" spans="1:25" s="99" customFormat="1" ht="65.099999999999994" customHeight="1">
      <c r="A191" s="89"/>
      <c r="B191" s="89"/>
      <c r="C191" s="90"/>
      <c r="D191" s="91"/>
      <c r="E191" s="92"/>
      <c r="F191" s="92"/>
      <c r="G191" s="92"/>
      <c r="H191" s="92"/>
      <c r="I191" s="92"/>
      <c r="J191" s="92"/>
      <c r="K191" s="93"/>
      <c r="L191" s="94"/>
      <c r="M191" s="94"/>
      <c r="N191" s="95"/>
      <c r="O191" s="66"/>
      <c r="P191" s="96"/>
      <c r="Q191" s="97"/>
      <c r="R191" s="58"/>
      <c r="S191" s="69"/>
      <c r="T191" s="70"/>
      <c r="U191" s="66"/>
      <c r="V191" s="55"/>
      <c r="W191" s="55"/>
      <c r="X191" s="211"/>
      <c r="Y191" s="92"/>
    </row>
    <row r="192" spans="1:25" s="99" customFormat="1" ht="65.099999999999994" customHeight="1">
      <c r="A192" s="89"/>
      <c r="B192" s="89"/>
      <c r="C192" s="90"/>
      <c r="D192" s="91"/>
      <c r="E192" s="92"/>
      <c r="F192" s="92"/>
      <c r="G192" s="92"/>
      <c r="H192" s="92"/>
      <c r="I192" s="92"/>
      <c r="J192" s="92"/>
      <c r="K192" s="93"/>
      <c r="L192" s="94"/>
      <c r="M192" s="94"/>
      <c r="N192" s="95"/>
      <c r="O192" s="66"/>
      <c r="P192" s="96"/>
      <c r="Q192" s="97"/>
      <c r="R192" s="58"/>
      <c r="S192" s="69"/>
      <c r="T192" s="70"/>
      <c r="U192" s="66"/>
      <c r="V192" s="55"/>
      <c r="W192" s="55"/>
      <c r="X192" s="211"/>
      <c r="Y192" s="92"/>
    </row>
    <row r="193" spans="1:25" s="99" customFormat="1" ht="65.099999999999994" customHeight="1">
      <c r="A193" s="89"/>
      <c r="B193" s="89"/>
      <c r="C193" s="90"/>
      <c r="D193" s="91"/>
      <c r="E193" s="92"/>
      <c r="F193" s="92"/>
      <c r="G193" s="92"/>
      <c r="H193" s="92"/>
      <c r="I193" s="92"/>
      <c r="J193" s="92"/>
      <c r="K193" s="93"/>
      <c r="L193" s="94"/>
      <c r="M193" s="94"/>
      <c r="N193" s="95"/>
      <c r="O193" s="66"/>
      <c r="P193" s="96"/>
      <c r="Q193" s="97"/>
      <c r="R193" s="58"/>
      <c r="S193" s="69"/>
      <c r="T193" s="70"/>
      <c r="U193" s="66"/>
      <c r="V193" s="55"/>
      <c r="W193" s="55"/>
      <c r="X193" s="211"/>
      <c r="Y193" s="92"/>
    </row>
    <row r="194" spans="1:25" s="99" customFormat="1" ht="65.099999999999994" customHeight="1">
      <c r="A194" s="89"/>
      <c r="B194" s="89"/>
      <c r="C194" s="90"/>
      <c r="D194" s="91"/>
      <c r="E194" s="92"/>
      <c r="F194" s="92"/>
      <c r="G194" s="92"/>
      <c r="H194" s="92"/>
      <c r="I194" s="92"/>
      <c r="J194" s="92"/>
      <c r="K194" s="93"/>
      <c r="L194" s="94"/>
      <c r="M194" s="94"/>
      <c r="N194" s="95"/>
      <c r="O194" s="66"/>
      <c r="P194" s="96"/>
      <c r="Q194" s="97"/>
      <c r="R194" s="58"/>
      <c r="S194" s="69"/>
      <c r="T194" s="70"/>
      <c r="U194" s="66"/>
      <c r="V194" s="55"/>
      <c r="W194" s="55"/>
      <c r="X194" s="211"/>
      <c r="Y194" s="92"/>
    </row>
    <row r="195" spans="1:25" s="99" customFormat="1" ht="65.099999999999994" customHeight="1">
      <c r="A195" s="89"/>
      <c r="B195" s="89"/>
      <c r="C195" s="90"/>
      <c r="D195" s="91"/>
      <c r="E195" s="92"/>
      <c r="F195" s="92"/>
      <c r="G195" s="92"/>
      <c r="H195" s="92"/>
      <c r="I195" s="92"/>
      <c r="J195" s="92"/>
      <c r="K195" s="93"/>
      <c r="L195" s="94"/>
      <c r="M195" s="94"/>
      <c r="N195" s="95"/>
      <c r="O195" s="66"/>
      <c r="P195" s="96"/>
      <c r="Q195" s="97"/>
      <c r="R195" s="58"/>
      <c r="S195" s="69"/>
      <c r="T195" s="70"/>
      <c r="U195" s="66"/>
      <c r="V195" s="55"/>
      <c r="W195" s="55"/>
      <c r="X195" s="211"/>
      <c r="Y195" s="92"/>
    </row>
    <row r="196" spans="1:25" s="99" customFormat="1" ht="65.099999999999994" customHeight="1">
      <c r="A196" s="89"/>
      <c r="B196" s="89"/>
      <c r="C196" s="90"/>
      <c r="D196" s="91"/>
      <c r="E196" s="92"/>
      <c r="F196" s="92"/>
      <c r="G196" s="92"/>
      <c r="H196" s="92"/>
      <c r="I196" s="92"/>
      <c r="J196" s="92"/>
      <c r="K196" s="93"/>
      <c r="L196" s="94"/>
      <c r="M196" s="94"/>
      <c r="N196" s="95"/>
      <c r="O196" s="66"/>
      <c r="P196" s="96"/>
      <c r="Q196" s="97"/>
      <c r="R196" s="58"/>
      <c r="S196" s="69"/>
      <c r="T196" s="70"/>
      <c r="U196" s="66"/>
      <c r="V196" s="55"/>
      <c r="W196" s="55"/>
      <c r="X196" s="211"/>
      <c r="Y196" s="92"/>
    </row>
    <row r="197" spans="1:25" s="99" customFormat="1" ht="65.099999999999994" customHeight="1">
      <c r="A197" s="89"/>
      <c r="B197" s="89"/>
      <c r="C197" s="90"/>
      <c r="D197" s="91"/>
      <c r="E197" s="92"/>
      <c r="F197" s="92"/>
      <c r="G197" s="92"/>
      <c r="H197" s="92"/>
      <c r="I197" s="92"/>
      <c r="J197" s="92"/>
      <c r="K197" s="93"/>
      <c r="L197" s="94"/>
      <c r="M197" s="94"/>
      <c r="N197" s="95"/>
      <c r="O197" s="66"/>
      <c r="P197" s="96"/>
      <c r="Q197" s="97"/>
      <c r="R197" s="58"/>
      <c r="S197" s="69"/>
      <c r="T197" s="70"/>
      <c r="U197" s="66"/>
      <c r="V197" s="55"/>
      <c r="W197" s="55"/>
      <c r="X197" s="211"/>
      <c r="Y197" s="92"/>
    </row>
    <row r="198" spans="1:25" s="99" customFormat="1" ht="65.099999999999994" customHeight="1">
      <c r="A198" s="89"/>
      <c r="B198" s="89"/>
      <c r="C198" s="90"/>
      <c r="D198" s="91"/>
      <c r="E198" s="92"/>
      <c r="F198" s="92"/>
      <c r="G198" s="92"/>
      <c r="H198" s="92"/>
      <c r="I198" s="92"/>
      <c r="J198" s="92"/>
      <c r="K198" s="93"/>
      <c r="L198" s="94"/>
      <c r="M198" s="94"/>
      <c r="N198" s="95"/>
      <c r="O198" s="66"/>
      <c r="P198" s="96"/>
      <c r="Q198" s="97"/>
      <c r="R198" s="58"/>
      <c r="S198" s="69"/>
      <c r="T198" s="70"/>
      <c r="U198" s="66"/>
      <c r="V198" s="55"/>
      <c r="W198" s="55"/>
      <c r="X198" s="211"/>
      <c r="Y198" s="92"/>
    </row>
  </sheetData>
  <autoFilter ref="A1:Y17"/>
  <mergeCells count="38">
    <mergeCell ref="A19:A22"/>
    <mergeCell ref="S1:S2"/>
    <mergeCell ref="T1:T2"/>
    <mergeCell ref="U1:U2"/>
    <mergeCell ref="V1:V2"/>
    <mergeCell ref="M1:M2"/>
    <mergeCell ref="N1:N2"/>
    <mergeCell ref="O1:O2"/>
    <mergeCell ref="P1:P2"/>
    <mergeCell ref="Q1:Q2"/>
    <mergeCell ref="R1:R2"/>
    <mergeCell ref="G1:G2"/>
    <mergeCell ref="H1:H2"/>
    <mergeCell ref="I1:I2"/>
    <mergeCell ref="J1:J2"/>
    <mergeCell ref="K1:K2"/>
    <mergeCell ref="Y1:Y2"/>
    <mergeCell ref="A3:A6"/>
    <mergeCell ref="A7:A10"/>
    <mergeCell ref="A11:A14"/>
    <mergeCell ref="A15:A18"/>
    <mergeCell ref="W1:W2"/>
    <mergeCell ref="X1:X2"/>
    <mergeCell ref="L1:L2"/>
    <mergeCell ref="A1:A2"/>
    <mergeCell ref="B1:B2"/>
    <mergeCell ref="C1:C2"/>
    <mergeCell ref="D1:D2"/>
    <mergeCell ref="E1:E2"/>
    <mergeCell ref="F1:F2"/>
    <mergeCell ref="A47:A50"/>
    <mergeCell ref="A51:A54"/>
    <mergeCell ref="A23:A26"/>
    <mergeCell ref="A27:A30"/>
    <mergeCell ref="A31:A34"/>
    <mergeCell ref="A35:A38"/>
    <mergeCell ref="A39:A42"/>
    <mergeCell ref="A43:A46"/>
  </mergeCells>
  <conditionalFormatting sqref="G3:J54">
    <cfRule type="containsText" dxfId="110" priority="8" operator="containsText" text="NO">
      <formula>NOT(ISERROR(SEARCH("NO",G3)))</formula>
    </cfRule>
  </conditionalFormatting>
  <conditionalFormatting sqref="X3">
    <cfRule type="containsText" dxfId="109" priority="7" operator="containsText" text="NO CUMPLE">
      <formula>NOT(ISERROR(SEARCH("NO CUMPLE",X3)))</formula>
    </cfRule>
  </conditionalFormatting>
  <conditionalFormatting sqref="X4">
    <cfRule type="containsText" dxfId="108" priority="6" operator="containsText" text="NO CUMPLE">
      <formula>NOT(ISERROR(SEARCH("NO CUMPLE",X4)))</formula>
    </cfRule>
  </conditionalFormatting>
  <conditionalFormatting sqref="X5:X26">
    <cfRule type="containsText" dxfId="107" priority="5" operator="containsText" text="NO CUMPLE">
      <formula>NOT(ISERROR(SEARCH("NO CUMPLE",X5)))</formula>
    </cfRule>
  </conditionalFormatting>
  <conditionalFormatting sqref="X42 X46 X50 X54">
    <cfRule type="containsText" dxfId="106" priority="3" operator="containsText" text="NO CUMPLE">
      <formula>NOT(ISERROR(SEARCH("NO CUMPLE",X42)))</formula>
    </cfRule>
  </conditionalFormatting>
  <conditionalFormatting sqref="X44:X45 X48:X49 X52:X53 X28:X41">
    <cfRule type="containsText" dxfId="105" priority="2" operator="containsText" text="NO CUMPLE">
      <formula>NOT(ISERROR(SEARCH("NO CUMPLE",X28)))</formula>
    </cfRule>
  </conditionalFormatting>
  <conditionalFormatting sqref="X27 X43 X47 X51">
    <cfRule type="containsText" dxfId="104" priority="1" operator="containsText" text="NO CUMPLE">
      <formula>NOT(ISERROR(SEARCH("NO CUMPLE",X27)))</formula>
    </cfRule>
  </conditionalFormatting>
  <dataValidations count="1">
    <dataValidation type="list" allowBlank="1" showInputMessage="1" showErrorMessage="1" sqref="G3:J54">
      <formula1>$AA$1:$AB$1</formula1>
    </dataValidation>
  </dataValidations>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M213"/>
  <sheetViews>
    <sheetView topLeftCell="W11" zoomScaleNormal="100" workbookViewId="0">
      <selection activeCell="AI14" sqref="AI14"/>
    </sheetView>
  </sheetViews>
  <sheetFormatPr baseColWidth="10" defaultColWidth="10.875" defaultRowHeight="15.75"/>
  <cols>
    <col min="1" max="1" width="10.875" style="89" bestFit="1" customWidth="1"/>
    <col min="2" max="2" width="8.875" style="89" customWidth="1"/>
    <col min="3" max="3" width="10.75" style="100" customWidth="1"/>
    <col min="4" max="4" width="15.25" style="92" customWidth="1"/>
    <col min="5" max="5" width="17.5" style="92" customWidth="1"/>
    <col min="6" max="6" width="66.125" style="101" customWidth="1"/>
    <col min="7" max="7" width="18.5" style="101" customWidth="1"/>
    <col min="8" max="8" width="12.5" style="101" customWidth="1"/>
    <col min="9" max="9" width="13.625" style="102" customWidth="1"/>
    <col min="10" max="10" width="10.625" style="103" customWidth="1"/>
    <col min="11" max="11" width="11" style="104" customWidth="1"/>
    <col min="12" max="12" width="11" style="105" customWidth="1"/>
    <col min="13" max="13" width="11" style="68" customWidth="1"/>
    <col min="14" max="14" width="24.75" style="106" customWidth="1"/>
    <col min="15" max="15" width="8.75" style="106" customWidth="1"/>
    <col min="16" max="16" width="9.5" style="68" bestFit="1" customWidth="1"/>
    <col min="17" max="17" width="17.75" style="68" customWidth="1"/>
    <col min="18" max="18" width="9.625" style="68" bestFit="1" customWidth="1"/>
    <col min="19" max="19" width="29.875" style="68" customWidth="1"/>
    <col min="20" max="20" width="15.5" style="68" customWidth="1"/>
    <col min="21" max="21" width="18.375" style="81" customWidth="1"/>
    <col min="22" max="22" width="16.5" style="81" customWidth="1"/>
    <col min="23" max="23" width="10" style="89" customWidth="1"/>
    <col min="24" max="24" width="7.875" style="107" customWidth="1"/>
    <col min="25" max="25" width="8.875" style="107" customWidth="1"/>
    <col min="26" max="26" width="10" style="89" customWidth="1"/>
    <col min="27" max="27" width="7.875" style="107" customWidth="1"/>
    <col min="28" max="28" width="8.875" style="107" customWidth="1"/>
    <col min="29" max="29" width="10" style="89" customWidth="1"/>
    <col min="30" max="30" width="7.875" style="107" customWidth="1"/>
    <col min="31" max="31" width="8.875" style="107" customWidth="1"/>
    <col min="32" max="32" width="14.25" style="107" customWidth="1"/>
    <col min="33" max="35" width="19.5" style="58" customWidth="1"/>
    <col min="36" max="36" width="59.125" style="92" customWidth="1"/>
    <col min="37" max="37" width="13.625" style="108" bestFit="1" customWidth="1"/>
    <col min="38" max="39" width="10.875" style="108"/>
    <col min="40" max="41" width="15.125" style="108" bestFit="1" customWidth="1"/>
    <col min="42" max="16384" width="10.875" style="108"/>
  </cols>
  <sheetData>
    <row r="1" spans="1:39" s="56" customFormat="1" ht="15" customHeight="1">
      <c r="A1" s="776" t="s">
        <v>6</v>
      </c>
      <c r="B1" s="776" t="s">
        <v>5</v>
      </c>
      <c r="C1" s="776" t="s">
        <v>174</v>
      </c>
      <c r="D1" s="778" t="s">
        <v>12</v>
      </c>
      <c r="E1" s="776" t="s">
        <v>13</v>
      </c>
      <c r="F1" s="776" t="s">
        <v>14</v>
      </c>
      <c r="G1" s="780" t="s">
        <v>64</v>
      </c>
      <c r="H1" s="780" t="s">
        <v>187</v>
      </c>
      <c r="I1" s="782" t="s">
        <v>63</v>
      </c>
      <c r="J1" s="784" t="s">
        <v>15</v>
      </c>
      <c r="K1" s="784" t="s">
        <v>16</v>
      </c>
      <c r="L1" s="786" t="s">
        <v>69</v>
      </c>
      <c r="M1" s="778" t="s">
        <v>68</v>
      </c>
      <c r="N1" s="845" t="s">
        <v>17</v>
      </c>
      <c r="O1" s="776" t="s">
        <v>18</v>
      </c>
      <c r="P1" s="780" t="s">
        <v>19</v>
      </c>
      <c r="Q1" s="780" t="s">
        <v>20</v>
      </c>
      <c r="R1" s="780" t="s">
        <v>21</v>
      </c>
      <c r="S1" s="778" t="s">
        <v>22</v>
      </c>
      <c r="T1" s="778" t="s">
        <v>23</v>
      </c>
      <c r="U1" s="778" t="s">
        <v>482</v>
      </c>
      <c r="V1" s="776" t="s">
        <v>62</v>
      </c>
      <c r="W1" s="776" t="s">
        <v>28</v>
      </c>
      <c r="X1" s="776"/>
      <c r="Y1" s="776"/>
      <c r="Z1" s="776" t="s">
        <v>29</v>
      </c>
      <c r="AA1" s="776"/>
      <c r="AB1" s="776"/>
      <c r="AC1" s="776" t="s">
        <v>30</v>
      </c>
      <c r="AD1" s="776"/>
      <c r="AE1" s="776"/>
      <c r="AF1" s="780" t="s">
        <v>31</v>
      </c>
      <c r="AG1" s="778" t="s">
        <v>339</v>
      </c>
      <c r="AH1" s="789" t="s">
        <v>175</v>
      </c>
      <c r="AI1" s="788" t="s">
        <v>736</v>
      </c>
      <c r="AJ1" s="791" t="s">
        <v>3</v>
      </c>
      <c r="AL1" s="57" t="s">
        <v>10</v>
      </c>
      <c r="AM1" s="57" t="s">
        <v>11</v>
      </c>
    </row>
    <row r="2" spans="1:39" s="56" customFormat="1" ht="72.75" customHeight="1" thickBot="1">
      <c r="A2" s="777"/>
      <c r="B2" s="777"/>
      <c r="C2" s="777"/>
      <c r="D2" s="779"/>
      <c r="E2" s="777"/>
      <c r="F2" s="777"/>
      <c r="G2" s="781"/>
      <c r="H2" s="781"/>
      <c r="I2" s="783"/>
      <c r="J2" s="785"/>
      <c r="K2" s="785"/>
      <c r="L2" s="787"/>
      <c r="M2" s="779"/>
      <c r="N2" s="846"/>
      <c r="O2" s="777"/>
      <c r="P2" s="781"/>
      <c r="Q2" s="781"/>
      <c r="R2" s="781"/>
      <c r="S2" s="779"/>
      <c r="T2" s="779"/>
      <c r="U2" s="779"/>
      <c r="V2" s="777"/>
      <c r="W2" s="281" t="s">
        <v>32</v>
      </c>
      <c r="X2" s="281" t="s">
        <v>33</v>
      </c>
      <c r="Y2" s="281" t="s">
        <v>34</v>
      </c>
      <c r="Z2" s="281" t="s">
        <v>35</v>
      </c>
      <c r="AA2" s="281" t="s">
        <v>33</v>
      </c>
      <c r="AB2" s="281" t="s">
        <v>36</v>
      </c>
      <c r="AC2" s="281" t="s">
        <v>35</v>
      </c>
      <c r="AD2" s="281" t="s">
        <v>33</v>
      </c>
      <c r="AE2" s="281" t="s">
        <v>37</v>
      </c>
      <c r="AF2" s="781"/>
      <c r="AG2" s="779"/>
      <c r="AH2" s="790"/>
      <c r="AI2" s="789"/>
      <c r="AJ2" s="792"/>
    </row>
    <row r="3" spans="1:39" s="72" customFormat="1" ht="63">
      <c r="A3" s="795" t="s">
        <v>240</v>
      </c>
      <c r="B3" s="123" t="s">
        <v>132</v>
      </c>
      <c r="C3" s="124">
        <v>97</v>
      </c>
      <c r="D3" s="125" t="str">
        <f>+IFERROR(INDEX([5]CONSOLIDADO!$D$4:$D$91,MATCH('EXP GEN. 20-26'!B3,[5]CONSOLIDADO!$C$4:$C$91,0)),"")</f>
        <v>GETINSA INGENIERIA SL SUCURSAL COLOMBIA</v>
      </c>
      <c r="E3" s="126" t="s">
        <v>505</v>
      </c>
      <c r="F3" s="127" t="s">
        <v>506</v>
      </c>
      <c r="G3" s="291" t="s">
        <v>10</v>
      </c>
      <c r="H3" s="291" t="s">
        <v>10</v>
      </c>
      <c r="I3" s="128">
        <v>1</v>
      </c>
      <c r="J3" s="129">
        <v>39087</v>
      </c>
      <c r="K3" s="129">
        <v>40334</v>
      </c>
      <c r="L3" s="130">
        <f>IF(K3="","",YEAR(K3))</f>
        <v>2010</v>
      </c>
      <c r="M3" s="131">
        <f>+IFERROR(INDEX([5]PARÁMETROS!$B$11:$B$37,MATCH(L3,[5]PARÁMETROS!$A$11:$A$37,0)),"")</f>
        <v>515000</v>
      </c>
      <c r="N3" s="424">
        <v>1306037.8500000001</v>
      </c>
      <c r="O3" s="133" t="s">
        <v>419</v>
      </c>
      <c r="P3" s="123">
        <v>1.2085600000000001</v>
      </c>
      <c r="Q3" s="135">
        <f>+P3*N3</f>
        <v>1578425.1039960003</v>
      </c>
      <c r="R3" s="425">
        <v>1965.83</v>
      </c>
      <c r="S3" s="426">
        <f>+R3*Q3</f>
        <v>3102915422.188457</v>
      </c>
      <c r="T3" s="136">
        <f>+IFERROR(S3/M3,"")</f>
        <v>6025.0784896863242</v>
      </c>
      <c r="U3" s="136">
        <f>IFERROR(T3*I3,"")</f>
        <v>6025.0784896863242</v>
      </c>
      <c r="V3" s="137">
        <v>28</v>
      </c>
      <c r="W3" s="798" t="s">
        <v>10</v>
      </c>
      <c r="X3" s="798"/>
      <c r="Y3" s="798"/>
      <c r="Z3" s="798" t="s">
        <v>10</v>
      </c>
      <c r="AA3" s="798"/>
      <c r="AB3" s="798"/>
      <c r="AC3" s="798" t="s">
        <v>11</v>
      </c>
      <c r="AD3" s="798"/>
      <c r="AE3" s="798"/>
      <c r="AF3" s="291" t="s">
        <v>10</v>
      </c>
      <c r="AG3" s="798" t="str">
        <f>IF(U3="","",IF(SUM(U3:U6)&gt;=[5]PARÁMETROS!$D$5,"HÁBIL","NO HÁBIL"))</f>
        <v>HÁBIL</v>
      </c>
      <c r="AH3" s="798" t="str">
        <f>IF(U3="","",IF(SUM(U3:U4)&gt;=[5]PARÁMETROS!$H$5,"HÁBIL","NO HÁBIL"))</f>
        <v>HÁBIL</v>
      </c>
      <c r="AI3" s="291" t="str">
        <f>+IF(U3="","",IF(U3&gt;=[5]PARÁMETROS!$F$5,"CUMPLE","NO CUMPLE"))</f>
        <v>CUMPLE</v>
      </c>
      <c r="AJ3" s="138"/>
      <c r="AK3" s="427"/>
    </row>
    <row r="4" spans="1:39" s="72" customFormat="1" ht="72.75" customHeight="1">
      <c r="A4" s="796"/>
      <c r="B4" s="58" t="s">
        <v>132</v>
      </c>
      <c r="C4" s="59">
        <v>104</v>
      </c>
      <c r="D4" s="60" t="str">
        <f>+IFERROR(INDEX([5]CONSOLIDADO!$D$4:$D$91,MATCH('EXP GEN. 20-26'!B4,[5]CONSOLIDADO!$C$4:$C$91,0)),"")</f>
        <v>GETINSA INGENIERIA SL SUCURSAL COLOMBIA</v>
      </c>
      <c r="E4" s="61" t="s">
        <v>505</v>
      </c>
      <c r="F4" s="61" t="s">
        <v>507</v>
      </c>
      <c r="G4" s="290" t="s">
        <v>10</v>
      </c>
      <c r="H4" s="290" t="s">
        <v>10</v>
      </c>
      <c r="I4" s="73">
        <v>1</v>
      </c>
      <c r="J4" s="64">
        <v>38681</v>
      </c>
      <c r="K4" s="64">
        <v>39777</v>
      </c>
      <c r="L4" s="65">
        <f t="shared" ref="L4:L56" si="0">IF(K4="","",YEAR(K4))</f>
        <v>2008</v>
      </c>
      <c r="M4" s="66">
        <f>+IFERROR(INDEX([5]PARÁMETROS!$B$11:$B$37,MATCH(L4,[5]PARÁMETROS!$A$11:$A$37,0)),"")</f>
        <v>461500</v>
      </c>
      <c r="N4" s="428">
        <v>763582.06</v>
      </c>
      <c r="O4" s="66" t="s">
        <v>419</v>
      </c>
      <c r="P4" s="58">
        <v>1.2687600000000001</v>
      </c>
      <c r="Q4" s="70">
        <f>+P4*N4</f>
        <v>968802.3744456002</v>
      </c>
      <c r="R4" s="429">
        <v>2314.7199999999998</v>
      </c>
      <c r="S4" s="430">
        <f>+R4*Q4</f>
        <v>2242506232.1767197</v>
      </c>
      <c r="T4" s="55">
        <f t="shared" ref="T4:T56" si="1">+IFERROR(S4/M4,"")</f>
        <v>4859.168433752372</v>
      </c>
      <c r="U4" s="55">
        <f t="shared" ref="U4:U56" si="2">IFERROR(T4*I4,"")</f>
        <v>4859.168433752372</v>
      </c>
      <c r="V4" s="71">
        <v>30</v>
      </c>
      <c r="W4" s="799" t="s">
        <v>10</v>
      </c>
      <c r="X4" s="799"/>
      <c r="Y4" s="799"/>
      <c r="Z4" s="799" t="s">
        <v>10</v>
      </c>
      <c r="AA4" s="799"/>
      <c r="AB4" s="799"/>
      <c r="AC4" s="799" t="s">
        <v>11</v>
      </c>
      <c r="AD4" s="799"/>
      <c r="AE4" s="799"/>
      <c r="AF4" s="290" t="s">
        <v>10</v>
      </c>
      <c r="AG4" s="799"/>
      <c r="AH4" s="799"/>
      <c r="AI4" s="290" t="str">
        <f>+IF(U4="","",IF(U4&gt;=[5]PARÁMETROS!$F$5,"CUMPLE","NO CUMPLE"))</f>
        <v>CUMPLE</v>
      </c>
      <c r="AJ4" s="139"/>
      <c r="AK4" s="109"/>
    </row>
    <row r="5" spans="1:39" s="72" customFormat="1" ht="65.099999999999994" customHeight="1">
      <c r="A5" s="796"/>
      <c r="B5" s="58" t="s">
        <v>133</v>
      </c>
      <c r="C5" s="59">
        <v>111</v>
      </c>
      <c r="D5" s="60" t="str">
        <f>+IFERROR(INDEX([5]CONSOLIDADO!$D$4:$D$91,MATCH('EXP GEN. 20-26'!B5,[5]CONSOLIDADO!$C$4:$C$91,0)),"")</f>
        <v>EUROESTUDIOS INGENIEROS DE CONSULTA SA</v>
      </c>
      <c r="E5" s="61" t="s">
        <v>508</v>
      </c>
      <c r="F5" s="62" t="s">
        <v>509</v>
      </c>
      <c r="G5" s="290" t="s">
        <v>10</v>
      </c>
      <c r="H5" s="290" t="s">
        <v>10</v>
      </c>
      <c r="I5" s="63">
        <v>0.75</v>
      </c>
      <c r="J5" s="64">
        <v>39521</v>
      </c>
      <c r="K5" s="64">
        <v>40999</v>
      </c>
      <c r="L5" s="65">
        <f t="shared" si="0"/>
        <v>2012</v>
      </c>
      <c r="M5" s="66">
        <f>+IFERROR(INDEX([5]PARÁMETROS!$B$11:$B$37,MATCH(L5,[5]PARÁMETROS!$A$11:$A$37,0)),"")</f>
        <v>566700</v>
      </c>
      <c r="N5" s="67">
        <v>7072964150</v>
      </c>
      <c r="O5" s="68" t="s">
        <v>25</v>
      </c>
      <c r="P5" s="58" t="s">
        <v>346</v>
      </c>
      <c r="Q5" s="69" t="s">
        <v>346</v>
      </c>
      <c r="R5" s="70">
        <v>1</v>
      </c>
      <c r="S5" s="66">
        <f t="shared" ref="S5:S57" si="3">IF(R5&lt;&gt;"",N5*R5,"")</f>
        <v>7072964150</v>
      </c>
      <c r="T5" s="55">
        <f t="shared" si="1"/>
        <v>12480.967266631375</v>
      </c>
      <c r="U5" s="55">
        <f t="shared" si="2"/>
        <v>9360.7254499735318</v>
      </c>
      <c r="V5" s="71">
        <v>31</v>
      </c>
      <c r="W5" s="799" t="s">
        <v>11</v>
      </c>
      <c r="X5" s="799"/>
      <c r="Y5" s="799"/>
      <c r="Z5" s="799" t="s">
        <v>10</v>
      </c>
      <c r="AA5" s="799"/>
      <c r="AB5" s="799"/>
      <c r="AC5" s="799" t="s">
        <v>11</v>
      </c>
      <c r="AD5" s="799"/>
      <c r="AE5" s="799"/>
      <c r="AF5" s="290" t="s">
        <v>10</v>
      </c>
      <c r="AG5" s="799"/>
      <c r="AH5" s="799"/>
      <c r="AI5" s="290" t="str">
        <f>+IF(U5="","",IF(U5&gt;=[5]PARÁMETROS!$F$5,"CUMPLE","NO CUMPLE"))</f>
        <v>CUMPLE</v>
      </c>
      <c r="AJ5" s="140"/>
      <c r="AK5" s="109"/>
    </row>
    <row r="6" spans="1:39" s="72" customFormat="1" ht="72" thickBot="1">
      <c r="A6" s="806"/>
      <c r="B6" s="141" t="s">
        <v>133</v>
      </c>
      <c r="C6" s="169">
        <v>130</v>
      </c>
      <c r="D6" s="143" t="str">
        <f>+IFERROR(INDEX([5]CONSOLIDADO!$D$4:$D$91,MATCH('EXP GEN. 20-26'!B6,[5]CONSOLIDADO!$C$4:$C$91,0)),"")</f>
        <v>EUROESTUDIOS INGENIEROS DE CONSULTA SA</v>
      </c>
      <c r="E6" s="144" t="s">
        <v>510</v>
      </c>
      <c r="F6" s="145" t="s">
        <v>511</v>
      </c>
      <c r="G6" s="289" t="s">
        <v>10</v>
      </c>
      <c r="H6" s="289" t="s">
        <v>10</v>
      </c>
      <c r="I6" s="146">
        <v>0.5</v>
      </c>
      <c r="J6" s="147">
        <v>39694</v>
      </c>
      <c r="K6" s="147">
        <v>40283</v>
      </c>
      <c r="L6" s="148">
        <f t="shared" si="0"/>
        <v>2010</v>
      </c>
      <c r="M6" s="149">
        <f>+IFERROR(INDEX([5]PARÁMETROS!$B$11:$B$37,MATCH(L6,[5]PARÁMETROS!$A$11:$A$37,0)),"")</f>
        <v>515000</v>
      </c>
      <c r="N6" s="150">
        <v>3136622318</v>
      </c>
      <c r="O6" s="151" t="s">
        <v>25</v>
      </c>
      <c r="P6" s="141" t="s">
        <v>346</v>
      </c>
      <c r="Q6" s="152" t="s">
        <v>346</v>
      </c>
      <c r="R6" s="153">
        <v>1</v>
      </c>
      <c r="S6" s="149">
        <f t="shared" si="3"/>
        <v>3136622318</v>
      </c>
      <c r="T6" s="154">
        <f t="shared" si="1"/>
        <v>6090.5287728155336</v>
      </c>
      <c r="U6" s="154">
        <f t="shared" si="2"/>
        <v>3045.2643864077668</v>
      </c>
      <c r="V6" s="322">
        <v>33</v>
      </c>
      <c r="W6" s="825" t="s">
        <v>11</v>
      </c>
      <c r="X6" s="826"/>
      <c r="Y6" s="827"/>
      <c r="Z6" s="825" t="s">
        <v>10</v>
      </c>
      <c r="AA6" s="826"/>
      <c r="AB6" s="827"/>
      <c r="AC6" s="825" t="s">
        <v>11</v>
      </c>
      <c r="AD6" s="826"/>
      <c r="AE6" s="827"/>
      <c r="AF6" s="558" t="s">
        <v>10</v>
      </c>
      <c r="AG6" s="801"/>
      <c r="AH6" s="801"/>
      <c r="AI6" s="289" t="str">
        <f>+IF(U6="","",IF(U6&gt;=[5]PARÁMETROS!$F$5,"CUMPLE","NO CUMPLE"))</f>
        <v>CUMPLE</v>
      </c>
      <c r="AJ6" s="170"/>
      <c r="AK6" s="109"/>
    </row>
    <row r="7" spans="1:39" s="72" customFormat="1" ht="57">
      <c r="A7" s="808" t="s">
        <v>254</v>
      </c>
      <c r="B7" s="110" t="s">
        <v>135</v>
      </c>
      <c r="C7" s="597">
        <v>102</v>
      </c>
      <c r="D7" s="112" t="str">
        <f>+IFERROR(INDEX([5]CONSOLIDADO!$D$4:$D$91,MATCH('EXP GEN. 20-26'!B7,[5]CONSOLIDADO!$C$4:$C$91,0)),"")</f>
        <v>CANO JIMENEZ ESTUDIOS SA</v>
      </c>
      <c r="E7" s="113" t="s">
        <v>397</v>
      </c>
      <c r="F7" s="114" t="s">
        <v>512</v>
      </c>
      <c r="G7" s="280" t="s">
        <v>10</v>
      </c>
      <c r="H7" s="280" t="s">
        <v>10</v>
      </c>
      <c r="I7" s="115">
        <v>1</v>
      </c>
      <c r="J7" s="116">
        <v>38622</v>
      </c>
      <c r="K7" s="116">
        <v>39930</v>
      </c>
      <c r="L7" s="160">
        <f t="shared" si="0"/>
        <v>2009</v>
      </c>
      <c r="M7" s="117">
        <f>+IFERROR(INDEX([5]PARÁMETROS!$B$11:$B$37,MATCH(L7,[5]PARÁMETROS!$A$11:$A$37,0)),"")</f>
        <v>496900</v>
      </c>
      <c r="N7" s="118">
        <v>7034470356</v>
      </c>
      <c r="O7" s="119" t="s">
        <v>25</v>
      </c>
      <c r="P7" s="110" t="s">
        <v>346</v>
      </c>
      <c r="Q7" s="120" t="s">
        <v>346</v>
      </c>
      <c r="R7" s="121">
        <v>1</v>
      </c>
      <c r="S7" s="117">
        <f t="shared" si="3"/>
        <v>7034470356</v>
      </c>
      <c r="T7" s="122">
        <f t="shared" si="1"/>
        <v>14156.712328436304</v>
      </c>
      <c r="U7" s="122">
        <f t="shared" si="2"/>
        <v>14156.712328436304</v>
      </c>
      <c r="V7" s="431">
        <v>1</v>
      </c>
      <c r="W7" s="809" t="s">
        <v>11</v>
      </c>
      <c r="X7" s="809"/>
      <c r="Y7" s="809"/>
      <c r="Z7" s="809" t="s">
        <v>10</v>
      </c>
      <c r="AA7" s="809"/>
      <c r="AB7" s="809"/>
      <c r="AC7" s="809" t="s">
        <v>11</v>
      </c>
      <c r="AD7" s="809"/>
      <c r="AE7" s="809"/>
      <c r="AF7" s="292" t="s">
        <v>10</v>
      </c>
      <c r="AG7" s="809" t="str">
        <f>IF(U7="","",IF(SUM(U7:U10)&gt;=[5]PARÁMETROS!$D$5,"HÁBIL","NO HÁBIL"))</f>
        <v>HÁBIL</v>
      </c>
      <c r="AH7" s="809" t="str">
        <f>IF(U7="","",IF(SUM(U7:U9)&gt;=[5]PARÁMETROS!$H$5,"HÁBIL","NO HÁBIL"))</f>
        <v>HÁBIL</v>
      </c>
      <c r="AI7" s="292" t="str">
        <f>+IF(U7="","",IF(U7&gt;=[5]PARÁMETROS!$F$5,"CUMPLE","NO CUMPLE"))</f>
        <v>CUMPLE</v>
      </c>
      <c r="AJ7" s="167"/>
      <c r="AK7" s="109"/>
    </row>
    <row r="8" spans="1:39" s="72" customFormat="1" ht="57">
      <c r="A8" s="796"/>
      <c r="B8" s="58" t="s">
        <v>135</v>
      </c>
      <c r="C8" s="59">
        <v>111</v>
      </c>
      <c r="D8" s="60" t="str">
        <f>+IFERROR(INDEX([5]CONSOLIDADO!$D$4:$D$91,MATCH('EXP GEN. 20-26'!B8,[5]CONSOLIDADO!$C$4:$C$91,0)),"")</f>
        <v>CANO JIMENEZ ESTUDIOS SA</v>
      </c>
      <c r="E8" s="61" t="s">
        <v>397</v>
      </c>
      <c r="F8" s="62" t="s">
        <v>513</v>
      </c>
      <c r="G8" s="277" t="s">
        <v>10</v>
      </c>
      <c r="H8" s="277" t="s">
        <v>10</v>
      </c>
      <c r="I8" s="63">
        <v>1</v>
      </c>
      <c r="J8" s="64">
        <v>39909</v>
      </c>
      <c r="K8" s="64">
        <v>41186</v>
      </c>
      <c r="L8" s="65">
        <f t="shared" si="0"/>
        <v>2012</v>
      </c>
      <c r="M8" s="66">
        <f>+IFERROR(INDEX([5]PARÁMETROS!$B$11:$B$37,MATCH(L8,[5]PARÁMETROS!$A$11:$A$37,0)),"")</f>
        <v>566700</v>
      </c>
      <c r="N8" s="67">
        <v>10196799946</v>
      </c>
      <c r="O8" s="68" t="s">
        <v>25</v>
      </c>
      <c r="P8" s="58" t="s">
        <v>346</v>
      </c>
      <c r="Q8" s="69" t="s">
        <v>346</v>
      </c>
      <c r="R8" s="70">
        <v>1</v>
      </c>
      <c r="S8" s="66">
        <f t="shared" si="3"/>
        <v>10196799946</v>
      </c>
      <c r="T8" s="55">
        <f t="shared" si="1"/>
        <v>17993.294416799014</v>
      </c>
      <c r="U8" s="55">
        <f t="shared" si="2"/>
        <v>17993.294416799014</v>
      </c>
      <c r="V8" s="432">
        <v>3</v>
      </c>
      <c r="W8" s="799" t="s">
        <v>11</v>
      </c>
      <c r="X8" s="799"/>
      <c r="Y8" s="799"/>
      <c r="Z8" s="799" t="s">
        <v>10</v>
      </c>
      <c r="AA8" s="799"/>
      <c r="AB8" s="799"/>
      <c r="AC8" s="799" t="s">
        <v>11</v>
      </c>
      <c r="AD8" s="799"/>
      <c r="AE8" s="799"/>
      <c r="AF8" s="290" t="s">
        <v>10</v>
      </c>
      <c r="AG8" s="799"/>
      <c r="AH8" s="799"/>
      <c r="AI8" s="277" t="str">
        <f>+IF(U8="","",IF(U8&gt;=[5]PARÁMETROS!$F$5,"CUMPLE","NO CUMPLE"))</f>
        <v>CUMPLE</v>
      </c>
      <c r="AJ8" s="139"/>
      <c r="AK8" s="109"/>
    </row>
    <row r="9" spans="1:39" s="72" customFormat="1" ht="57">
      <c r="A9" s="796"/>
      <c r="B9" s="58" t="s">
        <v>135</v>
      </c>
      <c r="C9" s="59">
        <v>117</v>
      </c>
      <c r="D9" s="60" t="str">
        <f>+IFERROR(INDEX([5]CONSOLIDADO!$D$4:$D$91,MATCH('EXP GEN. 20-26'!B9,[5]CONSOLIDADO!$C$4:$C$91,0)),"")</f>
        <v>CANO JIMENEZ ESTUDIOS SA</v>
      </c>
      <c r="E9" s="61" t="s">
        <v>397</v>
      </c>
      <c r="F9" s="62" t="s">
        <v>514</v>
      </c>
      <c r="G9" s="277" t="s">
        <v>10</v>
      </c>
      <c r="H9" s="277" t="s">
        <v>10</v>
      </c>
      <c r="I9" s="63">
        <v>1</v>
      </c>
      <c r="J9" s="64">
        <v>39542</v>
      </c>
      <c r="K9" s="64">
        <v>40669</v>
      </c>
      <c r="L9" s="65">
        <f t="shared" si="0"/>
        <v>2011</v>
      </c>
      <c r="M9" s="66">
        <f>+IFERROR(INDEX([5]PARÁMETROS!$B$11:$B$37,MATCH(L9,[5]PARÁMETROS!$A$11:$A$37,0)),"")</f>
        <v>535600</v>
      </c>
      <c r="N9" s="67">
        <v>4384894733</v>
      </c>
      <c r="O9" s="68" t="s">
        <v>25</v>
      </c>
      <c r="P9" s="58" t="s">
        <v>346</v>
      </c>
      <c r="Q9" s="69" t="s">
        <v>346</v>
      </c>
      <c r="R9" s="70">
        <v>1</v>
      </c>
      <c r="S9" s="66">
        <f t="shared" si="3"/>
        <v>4384894733</v>
      </c>
      <c r="T9" s="55">
        <f t="shared" si="1"/>
        <v>8186.8833700522782</v>
      </c>
      <c r="U9" s="55">
        <f t="shared" si="2"/>
        <v>8186.8833700522782</v>
      </c>
      <c r="V9" s="432">
        <v>2</v>
      </c>
      <c r="W9" s="799" t="s">
        <v>11</v>
      </c>
      <c r="X9" s="799"/>
      <c r="Y9" s="799"/>
      <c r="Z9" s="799" t="s">
        <v>10</v>
      </c>
      <c r="AA9" s="799"/>
      <c r="AB9" s="799"/>
      <c r="AC9" s="799" t="s">
        <v>11</v>
      </c>
      <c r="AD9" s="799"/>
      <c r="AE9" s="799"/>
      <c r="AF9" s="290" t="s">
        <v>10</v>
      </c>
      <c r="AG9" s="799"/>
      <c r="AH9" s="799"/>
      <c r="AI9" s="277" t="str">
        <f>+IF(U9="","",IF(U9&gt;=[5]PARÁMETROS!$F$5,"CUMPLE","NO CUMPLE"))</f>
        <v>CUMPLE</v>
      </c>
      <c r="AJ9" s="139"/>
      <c r="AK9" s="109"/>
    </row>
    <row r="10" spans="1:39" s="72" customFormat="1" ht="243" thickBot="1">
      <c r="A10" s="796"/>
      <c r="B10" s="58" t="s">
        <v>134</v>
      </c>
      <c r="C10" s="59">
        <v>120</v>
      </c>
      <c r="D10" s="60" t="str">
        <f>+IFERROR(INDEX([5]CONSOLIDADO!$D$4:$D$91,MATCH('EXP GEN. 20-26'!B10,[5]CONSOLIDADO!$C$4:$C$91,0)),"")</f>
        <v>INFRAESTRUCTURA INTEGRAL SAS</v>
      </c>
      <c r="E10" s="61" t="s">
        <v>27</v>
      </c>
      <c r="F10" s="62" t="s">
        <v>515</v>
      </c>
      <c r="G10" s="277" t="s">
        <v>10</v>
      </c>
      <c r="H10" s="277" t="s">
        <v>10</v>
      </c>
      <c r="I10" s="63">
        <v>0.2</v>
      </c>
      <c r="J10" s="64">
        <v>39615</v>
      </c>
      <c r="K10" s="64">
        <v>41502</v>
      </c>
      <c r="L10" s="65">
        <f t="shared" si="0"/>
        <v>2013</v>
      </c>
      <c r="M10" s="66">
        <f>+IFERROR(INDEX([5]PARÁMETROS!$B$11:$B$37,MATCH(L10,[5]PARÁMETROS!$A$11:$A$37,0)),"")</f>
        <v>589500</v>
      </c>
      <c r="N10" s="67">
        <f>28736581560</f>
        <v>28736581560</v>
      </c>
      <c r="O10" s="68" t="s">
        <v>25</v>
      </c>
      <c r="P10" s="58" t="s">
        <v>346</v>
      </c>
      <c r="Q10" s="69" t="s">
        <v>346</v>
      </c>
      <c r="R10" s="70">
        <v>1</v>
      </c>
      <c r="S10" s="66">
        <f>IF(R10&lt;&gt;"",N10*R10,"")</f>
        <v>28736581560</v>
      </c>
      <c r="T10" s="55">
        <f>+IFERROR(S10/M10,"")</f>
        <v>48747.381781170487</v>
      </c>
      <c r="U10" s="55">
        <f>IFERROR(T10*I10,"")</f>
        <v>9749.4763562340977</v>
      </c>
      <c r="V10" s="432">
        <v>42</v>
      </c>
      <c r="W10" s="799" t="s">
        <v>11</v>
      </c>
      <c r="X10" s="799"/>
      <c r="Y10" s="799"/>
      <c r="Z10" s="799" t="s">
        <v>10</v>
      </c>
      <c r="AA10" s="799"/>
      <c r="AB10" s="799"/>
      <c r="AC10" s="799" t="s">
        <v>11</v>
      </c>
      <c r="AD10" s="799"/>
      <c r="AE10" s="799"/>
      <c r="AF10" s="290" t="s">
        <v>10</v>
      </c>
      <c r="AG10" s="799"/>
      <c r="AH10" s="799"/>
      <c r="AI10" s="277" t="str">
        <f>+IF(U10="","",IF(U10&gt;=[5]PARÁMETROS!$F$5,"CUMPLE","NO CUMPLE"))</f>
        <v>CUMPLE</v>
      </c>
      <c r="AJ10" s="139"/>
      <c r="AK10" s="109"/>
    </row>
    <row r="11" spans="1:39" s="72" customFormat="1" ht="71.25">
      <c r="A11" s="795" t="s">
        <v>258</v>
      </c>
      <c r="B11" s="123" t="s">
        <v>136</v>
      </c>
      <c r="C11" s="124">
        <v>86</v>
      </c>
      <c r="D11" s="125" t="str">
        <f>+IFERROR(INDEX([5]CONSOLIDADO!$D$4:$D$91,MATCH('EXP GEN. 20-26'!B11,[5]CONSOLIDADO!$C$4:$C$91,0)),"")</f>
        <v>MAB INGENIERIA DE VALOR S.A.</v>
      </c>
      <c r="E11" s="126" t="s">
        <v>27</v>
      </c>
      <c r="F11" s="127" t="s">
        <v>516</v>
      </c>
      <c r="G11" s="279" t="s">
        <v>10</v>
      </c>
      <c r="H11" s="279" t="s">
        <v>10</v>
      </c>
      <c r="I11" s="128">
        <v>0.7</v>
      </c>
      <c r="J11" s="129">
        <v>39615</v>
      </c>
      <c r="K11" s="129">
        <v>41502</v>
      </c>
      <c r="L11" s="130">
        <f t="shared" si="0"/>
        <v>2013</v>
      </c>
      <c r="M11" s="131">
        <f>+IFERROR(INDEX([5]PARÁMETROS!$B$11:$B$37,MATCH(L11,[5]PARÁMETROS!$A$11:$A$37,0)),"")</f>
        <v>589500</v>
      </c>
      <c r="N11" s="132">
        <v>28736581560</v>
      </c>
      <c r="O11" s="133" t="s">
        <v>25</v>
      </c>
      <c r="P11" s="123" t="s">
        <v>346</v>
      </c>
      <c r="Q11" s="134" t="s">
        <v>346</v>
      </c>
      <c r="R11" s="135">
        <v>1</v>
      </c>
      <c r="S11" s="131">
        <f t="shared" si="3"/>
        <v>28736581560</v>
      </c>
      <c r="T11" s="136">
        <f t="shared" si="1"/>
        <v>48747.381781170487</v>
      </c>
      <c r="U11" s="136">
        <f t="shared" si="2"/>
        <v>34123.167246819336</v>
      </c>
      <c r="V11" s="136">
        <v>1</v>
      </c>
      <c r="W11" s="798" t="s">
        <v>11</v>
      </c>
      <c r="X11" s="798"/>
      <c r="Y11" s="798"/>
      <c r="Z11" s="798" t="s">
        <v>10</v>
      </c>
      <c r="AA11" s="798"/>
      <c r="AB11" s="798"/>
      <c r="AC11" s="798" t="s">
        <v>11</v>
      </c>
      <c r="AD11" s="798"/>
      <c r="AE11" s="798"/>
      <c r="AF11" s="291" t="s">
        <v>10</v>
      </c>
      <c r="AG11" s="798" t="str">
        <f>IF(U11="","",IF(SUM(U11:U14)&gt;=[5]PARÁMETROS!$D$5,"HÁBIL","NO HÁBIL"))</f>
        <v>HÁBIL</v>
      </c>
      <c r="AH11" s="798" t="str">
        <f>IF(U11="","",IF(SUM(U11:U13)&gt;=[5]PARÁMETROS!$H$5,"HÁBIL","NO HÁBIL"))</f>
        <v>HÁBIL</v>
      </c>
      <c r="AI11" s="279" t="str">
        <f>+IF(U11="","",IF(U11&gt;=[5]PARÁMETROS!$F$5,"CUMPLE","NO CUMPLE"))</f>
        <v>CUMPLE</v>
      </c>
      <c r="AJ11" s="138"/>
      <c r="AK11" s="109"/>
    </row>
    <row r="12" spans="1:39" s="72" customFormat="1" ht="57">
      <c r="A12" s="796"/>
      <c r="B12" s="58" t="s">
        <v>136</v>
      </c>
      <c r="C12" s="59">
        <v>96</v>
      </c>
      <c r="D12" s="60" t="str">
        <f>+IFERROR(INDEX([5]CONSOLIDADO!$D$4:$D$91,MATCH('EXP GEN. 20-26'!B12,[5]CONSOLIDADO!$C$4:$C$91,0)),"")</f>
        <v>MAB INGENIERIA DE VALOR S.A.</v>
      </c>
      <c r="E12" s="61" t="s">
        <v>371</v>
      </c>
      <c r="F12" s="61" t="s">
        <v>517</v>
      </c>
      <c r="G12" s="277" t="s">
        <v>10</v>
      </c>
      <c r="H12" s="277" t="s">
        <v>10</v>
      </c>
      <c r="I12" s="73">
        <v>0.55000000000000004</v>
      </c>
      <c r="J12" s="64">
        <v>39856</v>
      </c>
      <c r="K12" s="64">
        <v>40979</v>
      </c>
      <c r="L12" s="65">
        <f t="shared" si="0"/>
        <v>2012</v>
      </c>
      <c r="M12" s="66">
        <f>+IFERROR(INDEX([5]PARÁMETROS!$B$11:$B$37,MATCH(L12,[5]PARÁMETROS!$A$11:$A$37,0)),"")</f>
        <v>566700</v>
      </c>
      <c r="N12" s="74">
        <v>3720919329.1999998</v>
      </c>
      <c r="O12" s="66" t="s">
        <v>25</v>
      </c>
      <c r="P12" s="58" t="s">
        <v>346</v>
      </c>
      <c r="Q12" s="69" t="s">
        <v>346</v>
      </c>
      <c r="R12" s="70">
        <v>1</v>
      </c>
      <c r="S12" s="66">
        <f t="shared" si="3"/>
        <v>3720919329.1999998</v>
      </c>
      <c r="T12" s="55">
        <f t="shared" si="1"/>
        <v>6565.9419961178755</v>
      </c>
      <c r="U12" s="55">
        <f t="shared" si="2"/>
        <v>3611.2680978648318</v>
      </c>
      <c r="V12" s="55">
        <v>2</v>
      </c>
      <c r="W12" s="799" t="s">
        <v>10</v>
      </c>
      <c r="X12" s="799"/>
      <c r="Y12" s="799"/>
      <c r="Z12" s="799" t="s">
        <v>10</v>
      </c>
      <c r="AA12" s="799"/>
      <c r="AB12" s="799"/>
      <c r="AC12" s="799" t="s">
        <v>11</v>
      </c>
      <c r="AD12" s="799"/>
      <c r="AE12" s="799"/>
      <c r="AF12" s="290" t="s">
        <v>10</v>
      </c>
      <c r="AG12" s="799"/>
      <c r="AH12" s="799"/>
      <c r="AI12" s="277" t="str">
        <f>+IF(U12="","",IF(U12&gt;=[5]PARÁMETROS!$F$5,"CUMPLE","NO CUMPLE"))</f>
        <v>CUMPLE</v>
      </c>
      <c r="AJ12" s="139"/>
      <c r="AK12" s="109"/>
    </row>
    <row r="13" spans="1:39" s="72" customFormat="1" ht="71.25">
      <c r="A13" s="796"/>
      <c r="B13" s="58" t="s">
        <v>136</v>
      </c>
      <c r="C13" s="59">
        <v>106</v>
      </c>
      <c r="D13" s="60" t="str">
        <f>+IFERROR(INDEX([5]CONSOLIDADO!$D$4:$D$91,MATCH('EXP GEN. 20-26'!B13,[5]CONSOLIDADO!$C$4:$C$91,0)),"")</f>
        <v>MAB INGENIERIA DE VALOR S.A.</v>
      </c>
      <c r="E13" s="61" t="s">
        <v>510</v>
      </c>
      <c r="F13" s="62" t="s">
        <v>511</v>
      </c>
      <c r="G13" s="277" t="s">
        <v>10</v>
      </c>
      <c r="H13" s="277" t="s">
        <v>10</v>
      </c>
      <c r="I13" s="63">
        <v>0.45</v>
      </c>
      <c r="J13" s="64">
        <v>40339</v>
      </c>
      <c r="K13" s="64">
        <v>41182</v>
      </c>
      <c r="L13" s="65">
        <f t="shared" si="0"/>
        <v>2012</v>
      </c>
      <c r="M13" s="66">
        <f>+IFERROR(INDEX([5]PARÁMETROS!$B$11:$B$37,MATCH(L13,[5]PARÁMETROS!$A$11:$A$37,0)),"")</f>
        <v>566700</v>
      </c>
      <c r="N13" s="67">
        <v>3404850468</v>
      </c>
      <c r="O13" s="68" t="s">
        <v>25</v>
      </c>
      <c r="P13" s="58" t="s">
        <v>346</v>
      </c>
      <c r="Q13" s="69" t="s">
        <v>346</v>
      </c>
      <c r="R13" s="70">
        <v>1</v>
      </c>
      <c r="S13" s="66">
        <f t="shared" si="3"/>
        <v>3404850468</v>
      </c>
      <c r="T13" s="55">
        <f t="shared" si="1"/>
        <v>6008.2062255161463</v>
      </c>
      <c r="U13" s="55">
        <f t="shared" si="2"/>
        <v>2703.6928014822661</v>
      </c>
      <c r="V13" s="55">
        <v>3</v>
      </c>
      <c r="W13" s="799" t="s">
        <v>10</v>
      </c>
      <c r="X13" s="799"/>
      <c r="Y13" s="799"/>
      <c r="Z13" s="799" t="s">
        <v>10</v>
      </c>
      <c r="AA13" s="799"/>
      <c r="AB13" s="799"/>
      <c r="AC13" s="799" t="s">
        <v>11</v>
      </c>
      <c r="AD13" s="799"/>
      <c r="AE13" s="799"/>
      <c r="AF13" s="290" t="s">
        <v>10</v>
      </c>
      <c r="AG13" s="799"/>
      <c r="AH13" s="799"/>
      <c r="AI13" s="277" t="str">
        <f>+IF(U13="","",IF(U13&gt;=[5]PARÁMETROS!$F$5,"CUMPLE","NO CUMPLE"))</f>
        <v>CUMPLE</v>
      </c>
      <c r="AJ13" s="139"/>
      <c r="AK13" s="109"/>
    </row>
    <row r="14" spans="1:39" s="72" customFormat="1" ht="57.75" thickBot="1">
      <c r="A14" s="796"/>
      <c r="B14" s="58" t="s">
        <v>137</v>
      </c>
      <c r="C14" s="59">
        <v>109</v>
      </c>
      <c r="D14" s="60" t="str">
        <f>+IFERROR(INDEX([5]CONSOLIDADO!$D$4:$D$91,MATCH('EXP GEN. 20-26'!B14,[5]CONSOLIDADO!$C$4:$C$91,0)),"")</f>
        <v>PROYECTOS Y ESTRUCTURAS ESPECIALES S.A</v>
      </c>
      <c r="E14" s="61" t="s">
        <v>518</v>
      </c>
      <c r="F14" s="76" t="s">
        <v>519</v>
      </c>
      <c r="G14" s="277" t="s">
        <v>10</v>
      </c>
      <c r="H14" s="277" t="s">
        <v>10</v>
      </c>
      <c r="I14" s="63">
        <v>1</v>
      </c>
      <c r="J14" s="64">
        <v>39673</v>
      </c>
      <c r="K14" s="64">
        <v>40678</v>
      </c>
      <c r="L14" s="65">
        <f t="shared" si="0"/>
        <v>2011</v>
      </c>
      <c r="M14" s="66">
        <f>+IFERROR(INDEX([5]PARÁMETROS!$B$11:$B$37,MATCH(L14,[5]PARÁMETROS!$A$11:$A$37,0)),"")</f>
        <v>535600</v>
      </c>
      <c r="N14" s="67">
        <v>3323000000</v>
      </c>
      <c r="O14" s="68" t="s">
        <v>520</v>
      </c>
      <c r="P14" s="433">
        <v>1</v>
      </c>
      <c r="Q14" s="69">
        <v>3323000000</v>
      </c>
      <c r="R14" s="433">
        <v>1805.37</v>
      </c>
      <c r="S14" s="66">
        <f>+R14*Q14</f>
        <v>5999244510000</v>
      </c>
      <c r="T14" s="55">
        <f t="shared" si="1"/>
        <v>11200979.29424944</v>
      </c>
      <c r="U14" s="55">
        <f t="shared" si="2"/>
        <v>11200979.29424944</v>
      </c>
      <c r="V14" s="55">
        <v>6</v>
      </c>
      <c r="W14" s="799" t="s">
        <v>11</v>
      </c>
      <c r="X14" s="799"/>
      <c r="Y14" s="799"/>
      <c r="Z14" s="799" t="s">
        <v>10</v>
      </c>
      <c r="AA14" s="799"/>
      <c r="AB14" s="799"/>
      <c r="AC14" s="799" t="s">
        <v>11</v>
      </c>
      <c r="AD14" s="799"/>
      <c r="AE14" s="799"/>
      <c r="AF14" s="290" t="s">
        <v>10</v>
      </c>
      <c r="AG14" s="799"/>
      <c r="AH14" s="799"/>
      <c r="AI14" s="277" t="s">
        <v>747</v>
      </c>
      <c r="AJ14" s="139"/>
      <c r="AK14" s="109"/>
    </row>
    <row r="15" spans="1:39" s="72" customFormat="1" ht="78.75">
      <c r="A15" s="795" t="s">
        <v>261</v>
      </c>
      <c r="B15" s="123" t="s">
        <v>138</v>
      </c>
      <c r="C15" s="124">
        <v>211</v>
      </c>
      <c r="D15" s="125" t="str">
        <f>+IFERROR(INDEX([5]CONSOLIDADO!$D$4:$D$91,MATCH('EXP GEN. 20-26'!B15,[5]CONSOLIDADO!$C$4:$C$91,0)),"")</f>
        <v>AYESA COLOMBIA INGENIERIA Y ARQUITECTURA SAS</v>
      </c>
      <c r="E15" s="126" t="s">
        <v>521</v>
      </c>
      <c r="F15" s="127" t="s">
        <v>522</v>
      </c>
      <c r="G15" s="279" t="s">
        <v>10</v>
      </c>
      <c r="H15" s="279" t="s">
        <v>10</v>
      </c>
      <c r="I15" s="128">
        <v>1</v>
      </c>
      <c r="J15" s="129">
        <v>37591</v>
      </c>
      <c r="K15" s="129">
        <v>40116</v>
      </c>
      <c r="L15" s="130">
        <f t="shared" si="0"/>
        <v>2009</v>
      </c>
      <c r="M15" s="131">
        <f>+IFERROR(INDEX([5]PARÁMETROS!$B$11:$B$37,MATCH(L15,[5]PARÁMETROS!$A$11:$A$37,0)),"")</f>
        <v>496900</v>
      </c>
      <c r="N15" s="134">
        <f>(3847834.36+458292.09)</f>
        <v>4306126.45</v>
      </c>
      <c r="O15" s="133" t="s">
        <v>419</v>
      </c>
      <c r="P15" s="123">
        <v>1.4757800000000001</v>
      </c>
      <c r="Q15" s="134">
        <f>+P15*N15</f>
        <v>6354895.2923810007</v>
      </c>
      <c r="R15" s="135">
        <v>2004.37</v>
      </c>
      <c r="S15" s="131">
        <f>+R15*Q15</f>
        <v>12737561477.189705</v>
      </c>
      <c r="T15" s="136">
        <f t="shared" si="1"/>
        <v>25634.054089735771</v>
      </c>
      <c r="U15" s="136">
        <f t="shared" si="2"/>
        <v>25634.054089735771</v>
      </c>
      <c r="V15" s="136">
        <v>2</v>
      </c>
      <c r="W15" s="798" t="s">
        <v>10</v>
      </c>
      <c r="X15" s="798"/>
      <c r="Y15" s="798"/>
      <c r="Z15" s="798" t="s">
        <v>10</v>
      </c>
      <c r="AA15" s="798"/>
      <c r="AB15" s="798"/>
      <c r="AC15" s="798" t="s">
        <v>11</v>
      </c>
      <c r="AD15" s="798"/>
      <c r="AE15" s="798"/>
      <c r="AF15" s="291" t="s">
        <v>10</v>
      </c>
      <c r="AG15" s="798" t="str">
        <f>IF(U15="","",IF(SUM(U15:U17)&gt;=[5]PARÁMETROS!$D$5,"HÁBIL","NO HÁBIL"))</f>
        <v>HÁBIL</v>
      </c>
      <c r="AH15" s="798" t="str">
        <f>IF(U15="","",IF(SUM(U15)&gt;=[5]PARÁMETROS!$H$5,"HÁBIL","NO HÁBIL"))</f>
        <v>HÁBIL</v>
      </c>
      <c r="AI15" s="279" t="str">
        <f>+IF(U15="","",IF(U15&gt;=[5]PARÁMETROS!$F$5,"CUMPLE","NO CUMPLE"))</f>
        <v>CUMPLE</v>
      </c>
      <c r="AJ15" s="138"/>
      <c r="AK15" s="109"/>
    </row>
    <row r="16" spans="1:39" s="72" customFormat="1" ht="57">
      <c r="A16" s="796"/>
      <c r="B16" s="58" t="s">
        <v>139</v>
      </c>
      <c r="C16" s="59">
        <v>219</v>
      </c>
      <c r="D16" s="60" t="str">
        <f>+IFERROR(INDEX([5]CONSOLIDADO!$D$4:$D$91,MATCH('EXP GEN. 20-26'!B16,[5]CONSOLIDADO!$C$4:$C$91,0)),"")</f>
        <v>INTERSA SA</v>
      </c>
      <c r="E16" s="61" t="s">
        <v>508</v>
      </c>
      <c r="F16" s="62" t="s">
        <v>523</v>
      </c>
      <c r="G16" s="277" t="s">
        <v>10</v>
      </c>
      <c r="H16" s="277" t="s">
        <v>10</v>
      </c>
      <c r="I16" s="63">
        <v>0.5</v>
      </c>
      <c r="J16" s="64">
        <v>38772</v>
      </c>
      <c r="K16" s="64">
        <v>40656</v>
      </c>
      <c r="L16" s="65">
        <f t="shared" si="0"/>
        <v>2011</v>
      </c>
      <c r="M16" s="66">
        <f>+IFERROR(INDEX([5]PARÁMETROS!$B$11:$B$37,MATCH(L16,[5]PARÁMETROS!$A$11:$A$37,0)),"")</f>
        <v>535600</v>
      </c>
      <c r="N16" s="67">
        <f>2886785280+115909520+305080445+1344546519+141503092</f>
        <v>4793824856</v>
      </c>
      <c r="O16" s="68" t="s">
        <v>25</v>
      </c>
      <c r="P16" s="58" t="s">
        <v>346</v>
      </c>
      <c r="Q16" s="69" t="s">
        <v>346</v>
      </c>
      <c r="R16" s="70">
        <v>1</v>
      </c>
      <c r="S16" s="66">
        <f t="shared" si="3"/>
        <v>4793824856</v>
      </c>
      <c r="T16" s="55">
        <f t="shared" si="1"/>
        <v>8950.3824794622851</v>
      </c>
      <c r="U16" s="55">
        <f t="shared" si="2"/>
        <v>4475.1912397311426</v>
      </c>
      <c r="V16" s="55">
        <v>21</v>
      </c>
      <c r="W16" s="799" t="s">
        <v>10</v>
      </c>
      <c r="X16" s="799"/>
      <c r="Y16" s="799"/>
      <c r="Z16" s="799" t="s">
        <v>10</v>
      </c>
      <c r="AA16" s="799"/>
      <c r="AB16" s="799"/>
      <c r="AC16" s="799" t="s">
        <v>11</v>
      </c>
      <c r="AD16" s="799"/>
      <c r="AE16" s="799"/>
      <c r="AF16" s="290" t="s">
        <v>10</v>
      </c>
      <c r="AG16" s="799"/>
      <c r="AH16" s="799"/>
      <c r="AI16" s="277" t="str">
        <f>+IF(U16="","",IF(U16&gt;=[5]PARÁMETROS!$F$5,"CUMPLE","NO CUMPLE"))</f>
        <v>CUMPLE</v>
      </c>
      <c r="AJ16" s="139"/>
      <c r="AK16" s="109"/>
    </row>
    <row r="17" spans="1:37" s="72" customFormat="1" ht="57.75" thickBot="1">
      <c r="A17" s="796"/>
      <c r="B17" s="58" t="s">
        <v>139</v>
      </c>
      <c r="C17" s="59">
        <v>224</v>
      </c>
      <c r="D17" s="60" t="str">
        <f>+IFERROR(INDEX([5]CONSOLIDADO!$D$4:$D$91,MATCH('EXP GEN. 20-26'!B17,[5]CONSOLIDADO!$C$4:$C$91,0)),"")</f>
        <v>INTERSA SA</v>
      </c>
      <c r="E17" s="61" t="s">
        <v>371</v>
      </c>
      <c r="F17" s="62" t="s">
        <v>524</v>
      </c>
      <c r="G17" s="277" t="s">
        <v>10</v>
      </c>
      <c r="H17" s="277" t="s">
        <v>10</v>
      </c>
      <c r="I17" s="63">
        <v>1</v>
      </c>
      <c r="J17" s="64">
        <v>36992</v>
      </c>
      <c r="K17" s="64">
        <v>37539</v>
      </c>
      <c r="L17" s="65">
        <f t="shared" si="0"/>
        <v>2002</v>
      </c>
      <c r="M17" s="66">
        <f>+IFERROR(INDEX([5]PARÁMETROS!$B$11:$B$37,MATCH(L17,[5]PARÁMETROS!$A$11:$A$37,0)),"")</f>
        <v>309000</v>
      </c>
      <c r="N17" s="67">
        <v>999929000</v>
      </c>
      <c r="O17" s="68" t="s">
        <v>25</v>
      </c>
      <c r="P17" s="58" t="s">
        <v>346</v>
      </c>
      <c r="Q17" s="69" t="s">
        <v>346</v>
      </c>
      <c r="R17" s="70">
        <v>1</v>
      </c>
      <c r="S17" s="66">
        <f t="shared" si="3"/>
        <v>999929000</v>
      </c>
      <c r="T17" s="55">
        <f t="shared" si="1"/>
        <v>3236.0161812297733</v>
      </c>
      <c r="U17" s="55">
        <f t="shared" si="2"/>
        <v>3236.0161812297733</v>
      </c>
      <c r="V17" s="55">
        <v>44</v>
      </c>
      <c r="W17" s="799" t="s">
        <v>11</v>
      </c>
      <c r="X17" s="799"/>
      <c r="Y17" s="799"/>
      <c r="Z17" s="799" t="s">
        <v>10</v>
      </c>
      <c r="AA17" s="799"/>
      <c r="AB17" s="799"/>
      <c r="AC17" s="799" t="s">
        <v>11</v>
      </c>
      <c r="AD17" s="799"/>
      <c r="AE17" s="799"/>
      <c r="AF17" s="290" t="s">
        <v>10</v>
      </c>
      <c r="AG17" s="799"/>
      <c r="AH17" s="799"/>
      <c r="AI17" s="277" t="str">
        <f>+IF(U17="","",IF(U17&gt;=[5]PARÁMETROS!$F$5,"CUMPLE","NO CUMPLE"))</f>
        <v>CUMPLE</v>
      </c>
      <c r="AJ17" s="139"/>
      <c r="AK17" s="109"/>
    </row>
    <row r="18" spans="1:37" s="72" customFormat="1" ht="71.25">
      <c r="A18" s="795" t="s">
        <v>265</v>
      </c>
      <c r="B18" s="123" t="s">
        <v>140</v>
      </c>
      <c r="C18" s="124">
        <v>343</v>
      </c>
      <c r="D18" s="125" t="str">
        <f>+IFERROR(INDEX([5]CONSOLIDADO!$D$4:$D$91,MATCH('EXP GEN. 20-26'!B18,[5]CONSOLIDADO!$C$4:$C$91,0)),"")</f>
        <v>JAHVM MCGREGOR SAS</v>
      </c>
      <c r="E18" s="126" t="s">
        <v>525</v>
      </c>
      <c r="F18" s="127" t="s">
        <v>526</v>
      </c>
      <c r="G18" s="279" t="s">
        <v>10</v>
      </c>
      <c r="H18" s="279" t="s">
        <v>10</v>
      </c>
      <c r="I18" s="128">
        <v>1</v>
      </c>
      <c r="J18" s="64">
        <v>39473</v>
      </c>
      <c r="K18" s="129" t="s">
        <v>422</v>
      </c>
      <c r="L18" s="130">
        <v>2013</v>
      </c>
      <c r="M18" s="131">
        <f>+IFERROR(INDEX([5]PARÁMETROS!$B$11:$B$37,MATCH(L18,[5]PARÁMETROS!$A$11:$A$37,0)),"")</f>
        <v>589500</v>
      </c>
      <c r="N18" s="132">
        <v>15239096240</v>
      </c>
      <c r="O18" s="133" t="s">
        <v>25</v>
      </c>
      <c r="P18" s="123" t="s">
        <v>346</v>
      </c>
      <c r="Q18" s="134" t="s">
        <v>346</v>
      </c>
      <c r="R18" s="135">
        <v>1</v>
      </c>
      <c r="S18" s="131">
        <f t="shared" si="3"/>
        <v>15239096240</v>
      </c>
      <c r="T18" s="136">
        <f t="shared" si="1"/>
        <v>25850.884206955048</v>
      </c>
      <c r="U18" s="136">
        <f t="shared" si="2"/>
        <v>25850.884206955048</v>
      </c>
      <c r="V18" s="136" t="s">
        <v>527</v>
      </c>
      <c r="W18" s="798"/>
      <c r="X18" s="798"/>
      <c r="Y18" s="798"/>
      <c r="Z18" s="798"/>
      <c r="AA18" s="798"/>
      <c r="AB18" s="798"/>
      <c r="AC18" s="798"/>
      <c r="AD18" s="798"/>
      <c r="AE18" s="798"/>
      <c r="AF18" s="291"/>
      <c r="AG18" s="798" t="str">
        <f>IF(U18="","",IF(SUM(U18:U23)&gt;=[5]PARÁMETROS!$D$5,"HÁBIL","NO HÁBIL"))</f>
        <v>HÁBIL</v>
      </c>
      <c r="AH18" s="798" t="str">
        <f>IF(U18="","",IF(SUM(U18)&gt;=[5]PARÁMETROS!$H$5,"HÁBIL","NO HÁBIL"))</f>
        <v>HÁBIL</v>
      </c>
      <c r="AI18" s="279" t="str">
        <f>+IF(U18="","",IF(U18&gt;=[5]PARÁMETROS!$F$5,"CUMPLE","NO CUMPLE"))</f>
        <v>CUMPLE</v>
      </c>
      <c r="AJ18" s="138"/>
      <c r="AK18" s="109"/>
    </row>
    <row r="19" spans="1:37" s="72" customFormat="1" ht="71.25">
      <c r="A19" s="796"/>
      <c r="B19" s="58" t="s">
        <v>142</v>
      </c>
      <c r="C19" s="59">
        <v>351</v>
      </c>
      <c r="D19" s="60" t="str">
        <f>+IFERROR(INDEX([5]CONSOLIDADO!$D$4:$D$91,MATCH('EXP GEN. 20-26'!B19,[5]CONSOLIDADO!$C$4:$C$91,0)),"")</f>
        <v>PROYECTOS CONTRUCCIONES CIVILES Y VIALES LTDA</v>
      </c>
      <c r="E19" s="61" t="s">
        <v>371</v>
      </c>
      <c r="F19" s="62" t="s">
        <v>528</v>
      </c>
      <c r="G19" s="277" t="s">
        <v>10</v>
      </c>
      <c r="H19" s="277" t="s">
        <v>10</v>
      </c>
      <c r="I19" s="63">
        <v>0.5</v>
      </c>
      <c r="J19" s="64">
        <v>35076</v>
      </c>
      <c r="K19" s="64">
        <v>35881</v>
      </c>
      <c r="L19" s="65">
        <f t="shared" si="0"/>
        <v>1998</v>
      </c>
      <c r="M19" s="66">
        <f>+IFERROR(INDEX([5]PARÁMETROS!$B$11:$B$37,MATCH(L19,[5]PARÁMETROS!$A$11:$A$37,0)),"")</f>
        <v>203826</v>
      </c>
      <c r="N19" s="67">
        <v>1603996630</v>
      </c>
      <c r="O19" s="68" t="s">
        <v>25</v>
      </c>
      <c r="P19" s="58" t="s">
        <v>346</v>
      </c>
      <c r="Q19" s="69" t="s">
        <v>346</v>
      </c>
      <c r="R19" s="70">
        <v>1</v>
      </c>
      <c r="S19" s="66">
        <f t="shared" si="3"/>
        <v>1603996630</v>
      </c>
      <c r="T19" s="55">
        <f t="shared" si="1"/>
        <v>7869.4407484815483</v>
      </c>
      <c r="U19" s="55">
        <f t="shared" si="2"/>
        <v>3934.7203742407742</v>
      </c>
      <c r="V19" s="55">
        <v>101</v>
      </c>
      <c r="W19" s="799" t="s">
        <v>10</v>
      </c>
      <c r="X19" s="799"/>
      <c r="Y19" s="799"/>
      <c r="Z19" s="799" t="s">
        <v>10</v>
      </c>
      <c r="AA19" s="799"/>
      <c r="AB19" s="799"/>
      <c r="AC19" s="799" t="s">
        <v>11</v>
      </c>
      <c r="AD19" s="799"/>
      <c r="AE19" s="799"/>
      <c r="AF19" s="290" t="s">
        <v>10</v>
      </c>
      <c r="AG19" s="799"/>
      <c r="AH19" s="799"/>
      <c r="AI19" s="277" t="str">
        <f>+IF(U19="","",IF(U19&gt;=[5]PARÁMETROS!$F$5,"CUMPLE","NO CUMPLE"))</f>
        <v>CUMPLE</v>
      </c>
      <c r="AJ19" s="139"/>
      <c r="AK19" s="109"/>
    </row>
    <row r="20" spans="1:37" s="72" customFormat="1" ht="63">
      <c r="A20" s="796"/>
      <c r="B20" s="58" t="s">
        <v>142</v>
      </c>
      <c r="C20" s="59">
        <v>382</v>
      </c>
      <c r="D20" s="60" t="str">
        <f>+IFERROR(INDEX([5]CONSOLIDADO!$D$4:$D$91,MATCH('EXP GEN. 20-26'!B20,[5]CONSOLIDADO!$C$4:$C$91,0)),"")</f>
        <v>PROYECTOS CONTRUCCIONES CIVILES Y VIALES LTDA</v>
      </c>
      <c r="E20" s="76" t="s">
        <v>371</v>
      </c>
      <c r="F20" s="76" t="s">
        <v>529</v>
      </c>
      <c r="G20" s="277" t="s">
        <v>10</v>
      </c>
      <c r="H20" s="277" t="s">
        <v>10</v>
      </c>
      <c r="I20" s="77">
        <v>0.75</v>
      </c>
      <c r="J20" s="79">
        <v>37411</v>
      </c>
      <c r="K20" s="64">
        <v>38518</v>
      </c>
      <c r="L20" s="65">
        <f t="shared" si="0"/>
        <v>2005</v>
      </c>
      <c r="M20" s="66">
        <f>+IFERROR(INDEX([5]PARÁMETROS!$B$11:$B$37,MATCH(L20,[5]PARÁMETROS!$A$11:$A$37,0)),"")</f>
        <v>381500</v>
      </c>
      <c r="N20" s="67">
        <v>2982660825</v>
      </c>
      <c r="O20" s="68" t="s">
        <v>25</v>
      </c>
      <c r="P20" s="58" t="s">
        <v>346</v>
      </c>
      <c r="Q20" s="69" t="s">
        <v>346</v>
      </c>
      <c r="R20" s="70">
        <v>1</v>
      </c>
      <c r="S20" s="66">
        <f t="shared" si="3"/>
        <v>2982660825</v>
      </c>
      <c r="T20" s="55">
        <f t="shared" si="1"/>
        <v>7818.2459370904326</v>
      </c>
      <c r="U20" s="55">
        <f t="shared" si="2"/>
        <v>5863.6844528178244</v>
      </c>
      <c r="V20" s="55">
        <v>130</v>
      </c>
      <c r="W20" s="799" t="s">
        <v>10</v>
      </c>
      <c r="X20" s="799"/>
      <c r="Y20" s="799"/>
      <c r="Z20" s="799" t="s">
        <v>10</v>
      </c>
      <c r="AA20" s="799"/>
      <c r="AB20" s="799"/>
      <c r="AC20" s="799" t="s">
        <v>11</v>
      </c>
      <c r="AD20" s="799"/>
      <c r="AE20" s="799"/>
      <c r="AF20" s="290" t="s">
        <v>10</v>
      </c>
      <c r="AG20" s="799"/>
      <c r="AH20" s="799"/>
      <c r="AI20" s="277" t="str">
        <f>+IF(U20="","",IF(U20&gt;=[5]PARÁMETROS!$F$5,"CUMPLE","NO CUMPLE"))</f>
        <v>CUMPLE</v>
      </c>
      <c r="AJ20" s="166"/>
      <c r="AK20" s="109"/>
    </row>
    <row r="21" spans="1:37" s="82" customFormat="1" ht="57">
      <c r="A21" s="796"/>
      <c r="B21" s="58" t="s">
        <v>269</v>
      </c>
      <c r="C21" s="59">
        <v>423</v>
      </c>
      <c r="D21" s="60" t="str">
        <f>+IFERROR(INDEX([5]CONSOLIDADO!$D$4:$D$91,MATCH('EXP GEN. 20-26'!B21,[5]CONSOLIDADO!$C$4:$C$91,0)),"")</f>
        <v>TOP SUELOS INGENIERIA S.A.S.</v>
      </c>
      <c r="E21" s="61" t="s">
        <v>371</v>
      </c>
      <c r="F21" s="62" t="s">
        <v>530</v>
      </c>
      <c r="G21" s="277" t="s">
        <v>10</v>
      </c>
      <c r="H21" s="277" t="s">
        <v>10</v>
      </c>
      <c r="I21" s="78">
        <v>0.6</v>
      </c>
      <c r="J21" s="79">
        <v>40064</v>
      </c>
      <c r="K21" s="80">
        <v>41999</v>
      </c>
      <c r="L21" s="65">
        <f t="shared" si="0"/>
        <v>2014</v>
      </c>
      <c r="M21" s="66">
        <f>+IFERROR(INDEX([5]PARÁMETROS!$B$11:$B$37,MATCH(L21,[5]PARÁMETROS!$A$11:$A$37,0)),"")</f>
        <v>616000</v>
      </c>
      <c r="N21" s="67">
        <v>8501000000</v>
      </c>
      <c r="O21" s="68" t="s">
        <v>25</v>
      </c>
      <c r="P21" s="68" t="s">
        <v>346</v>
      </c>
      <c r="Q21" s="68" t="s">
        <v>346</v>
      </c>
      <c r="R21" s="70">
        <v>1</v>
      </c>
      <c r="S21" s="66">
        <f t="shared" si="3"/>
        <v>8501000000</v>
      </c>
      <c r="T21" s="55">
        <f t="shared" si="1"/>
        <v>13800.324675324675</v>
      </c>
      <c r="U21" s="55">
        <f t="shared" si="2"/>
        <v>8280.1948051948038</v>
      </c>
      <c r="V21" s="81">
        <v>80</v>
      </c>
      <c r="W21" s="799" t="s">
        <v>10</v>
      </c>
      <c r="X21" s="799"/>
      <c r="Y21" s="799"/>
      <c r="Z21" s="799" t="s">
        <v>10</v>
      </c>
      <c r="AA21" s="799"/>
      <c r="AB21" s="799"/>
      <c r="AC21" s="799" t="s">
        <v>11</v>
      </c>
      <c r="AD21" s="799"/>
      <c r="AE21" s="799"/>
      <c r="AF21" s="290" t="s">
        <v>10</v>
      </c>
      <c r="AG21" s="799"/>
      <c r="AH21" s="799"/>
      <c r="AI21" s="277" t="str">
        <f>+IF(U21="","",IF(U21&gt;=[5]PARÁMETROS!$F$5,"CUMPLE","NO CUMPLE"))</f>
        <v>CUMPLE</v>
      </c>
      <c r="AJ21" s="139"/>
      <c r="AK21" s="158"/>
    </row>
    <row r="22" spans="1:37" s="72" customFormat="1" ht="85.5">
      <c r="A22" s="796"/>
      <c r="B22" s="58" t="s">
        <v>269</v>
      </c>
      <c r="C22" s="59">
        <v>432</v>
      </c>
      <c r="D22" s="60" t="str">
        <f>+IFERROR(INDEX([5]CONSOLIDADO!$D$4:$D$91,MATCH('EXP GEN. 20-26'!B22,[5]CONSOLIDADO!$C$4:$C$91,0)),"")</f>
        <v>TOP SUELOS INGENIERIA S.A.S.</v>
      </c>
      <c r="E22" s="61" t="s">
        <v>531</v>
      </c>
      <c r="F22" s="62" t="s">
        <v>532</v>
      </c>
      <c r="G22" s="277" t="s">
        <v>10</v>
      </c>
      <c r="H22" s="277" t="s">
        <v>10</v>
      </c>
      <c r="I22" s="63">
        <v>0.65</v>
      </c>
      <c r="J22" s="64">
        <v>38629</v>
      </c>
      <c r="K22" s="64">
        <v>39116</v>
      </c>
      <c r="L22" s="65">
        <f t="shared" si="0"/>
        <v>2007</v>
      </c>
      <c r="M22" s="66">
        <f>+IFERROR(INDEX([5]PARÁMETROS!$B$11:$B$37,MATCH(L22,[5]PARÁMETROS!$A$11:$A$37,0)),"")</f>
        <v>433700</v>
      </c>
      <c r="N22" s="67">
        <v>1810471500</v>
      </c>
      <c r="O22" s="68" t="s">
        <v>25</v>
      </c>
      <c r="P22" s="58" t="s">
        <v>346</v>
      </c>
      <c r="Q22" s="69" t="s">
        <v>346</v>
      </c>
      <c r="R22" s="70">
        <v>1</v>
      </c>
      <c r="S22" s="66">
        <f t="shared" si="3"/>
        <v>1810471500</v>
      </c>
      <c r="T22" s="55">
        <f t="shared" si="1"/>
        <v>4174.4789024671436</v>
      </c>
      <c r="U22" s="55">
        <f t="shared" si="2"/>
        <v>2713.4112866036435</v>
      </c>
      <c r="V22" s="55">
        <v>14</v>
      </c>
      <c r="W22" s="799" t="s">
        <v>10</v>
      </c>
      <c r="X22" s="799"/>
      <c r="Y22" s="799"/>
      <c r="Z22" s="799" t="s">
        <v>10</v>
      </c>
      <c r="AA22" s="799"/>
      <c r="AB22" s="799"/>
      <c r="AC22" s="799" t="s">
        <v>11</v>
      </c>
      <c r="AD22" s="799"/>
      <c r="AE22" s="799"/>
      <c r="AF22" s="290" t="s">
        <v>11</v>
      </c>
      <c r="AG22" s="799"/>
      <c r="AH22" s="799"/>
      <c r="AI22" s="277" t="str">
        <f>+IF(U22="","",IF(U22&gt;=[5]PARÁMETROS!$F$5,"CUMPLE","NO CUMPLE"))</f>
        <v>CUMPLE</v>
      </c>
      <c r="AJ22" s="139"/>
      <c r="AK22" s="109"/>
    </row>
    <row r="23" spans="1:37" s="72" customFormat="1" ht="72" thickBot="1">
      <c r="A23" s="806"/>
      <c r="B23" s="141" t="s">
        <v>269</v>
      </c>
      <c r="C23" s="404">
        <v>442</v>
      </c>
      <c r="D23" s="143" t="str">
        <f>+IFERROR(INDEX([5]CONSOLIDADO!$D$4:$D$91,MATCH('EXP GEN. 20-26'!B23,[5]CONSOLIDADO!$C$4:$C$91,0)),"")</f>
        <v>TOP SUELOS INGENIERIA S.A.S.</v>
      </c>
      <c r="E23" s="144" t="s">
        <v>531</v>
      </c>
      <c r="F23" s="145" t="s">
        <v>533</v>
      </c>
      <c r="G23" s="278" t="s">
        <v>10</v>
      </c>
      <c r="H23" s="278" t="s">
        <v>10</v>
      </c>
      <c r="I23" s="146">
        <v>1</v>
      </c>
      <c r="J23" s="147">
        <v>37552</v>
      </c>
      <c r="K23" s="147">
        <v>37904</v>
      </c>
      <c r="L23" s="148">
        <f t="shared" si="0"/>
        <v>2003</v>
      </c>
      <c r="M23" s="149">
        <f>+IFERROR(INDEX([5]PARÁMETROS!$B$11:$B$37,MATCH(L23,[5]PARÁMETROS!$A$11:$A$37,0)),"")</f>
        <v>332000</v>
      </c>
      <c r="N23" s="150">
        <v>778874000</v>
      </c>
      <c r="O23" s="151" t="s">
        <v>25</v>
      </c>
      <c r="P23" s="141" t="s">
        <v>346</v>
      </c>
      <c r="Q23" s="152" t="s">
        <v>346</v>
      </c>
      <c r="R23" s="153">
        <v>1</v>
      </c>
      <c r="S23" s="149">
        <f t="shared" si="3"/>
        <v>778874000</v>
      </c>
      <c r="T23" s="154">
        <f t="shared" si="1"/>
        <v>2346.0060240963853</v>
      </c>
      <c r="U23" s="154">
        <f t="shared" si="2"/>
        <v>2346.0060240963853</v>
      </c>
      <c r="V23" s="154">
        <v>47</v>
      </c>
      <c r="W23" s="801" t="s">
        <v>10</v>
      </c>
      <c r="X23" s="801"/>
      <c r="Y23" s="801"/>
      <c r="Z23" s="801" t="s">
        <v>10</v>
      </c>
      <c r="AA23" s="801"/>
      <c r="AB23" s="801"/>
      <c r="AC23" s="801" t="s">
        <v>11</v>
      </c>
      <c r="AD23" s="801"/>
      <c r="AE23" s="801"/>
      <c r="AF23" s="289" t="s">
        <v>10</v>
      </c>
      <c r="AG23" s="801"/>
      <c r="AH23" s="801"/>
      <c r="AI23" s="278" t="str">
        <f>+IF(U23="","",IF(U23&gt;=[5]PARÁMETROS!$F$5,"CUMPLE","NO CUMPLE"))</f>
        <v>CUMPLE</v>
      </c>
      <c r="AJ23" s="155"/>
      <c r="AK23" s="109"/>
    </row>
    <row r="24" spans="1:37" s="72" customFormat="1" ht="42.75">
      <c r="A24" s="795" t="s">
        <v>270</v>
      </c>
      <c r="B24" s="123" t="s">
        <v>141</v>
      </c>
      <c r="C24" s="124">
        <v>158</v>
      </c>
      <c r="D24" s="125" t="str">
        <f>+IFERROR(INDEX([5]CONSOLIDADO!$D$4:$D$91,MATCH('EXP GEN. 20-26'!B24,[5]CONSOLIDADO!$C$4:$C$91,0)),"")</f>
        <v>EUROCONTROL SA</v>
      </c>
      <c r="E24" s="126" t="s">
        <v>505</v>
      </c>
      <c r="F24" s="127" t="s">
        <v>534</v>
      </c>
      <c r="G24" s="279" t="s">
        <v>10</v>
      </c>
      <c r="H24" s="279" t="s">
        <v>10</v>
      </c>
      <c r="I24" s="128">
        <v>0.5</v>
      </c>
      <c r="J24" s="129">
        <v>38864</v>
      </c>
      <c r="K24" s="129">
        <v>40052</v>
      </c>
      <c r="L24" s="130">
        <f t="shared" si="0"/>
        <v>2009</v>
      </c>
      <c r="M24" s="131">
        <f>+IFERROR(INDEX([5]PARÁMETROS!$B$11:$B$37,MATCH(L24,[5]PARÁMETROS!$A$11:$A$37,0)),"")</f>
        <v>496900</v>
      </c>
      <c r="N24" s="424">
        <v>64930.95</v>
      </c>
      <c r="O24" s="133" t="s">
        <v>419</v>
      </c>
      <c r="P24" s="123">
        <v>1.42787</v>
      </c>
      <c r="Q24" s="134">
        <f>+P24*N24</f>
        <v>92712.955576499997</v>
      </c>
      <c r="R24" s="123">
        <v>2044.79</v>
      </c>
      <c r="S24" s="131">
        <f>+R24*Q24</f>
        <v>189578524.43327144</v>
      </c>
      <c r="T24" s="136">
        <f t="shared" si="1"/>
        <v>381.52248829396547</v>
      </c>
      <c r="U24" s="136">
        <f t="shared" si="2"/>
        <v>190.76124414698273</v>
      </c>
      <c r="V24" s="136" t="s">
        <v>527</v>
      </c>
      <c r="W24" s="798"/>
      <c r="X24" s="798"/>
      <c r="Y24" s="798"/>
      <c r="Z24" s="798"/>
      <c r="AA24" s="798"/>
      <c r="AB24" s="798"/>
      <c r="AC24" s="798"/>
      <c r="AD24" s="798"/>
      <c r="AE24" s="798"/>
      <c r="AF24" s="291"/>
      <c r="AG24" s="798" t="str">
        <f>IF(U24="","",IF(SUM(U24:U28)&gt;=[5]PARÁMETROS!$D$5,"HÁBIL","NO HÁBIL"))</f>
        <v>HÁBIL</v>
      </c>
      <c r="AH24" s="798" t="str">
        <f>IF(U24="","",IF(SUM(U24:U26)&gt;=[5]PARÁMETROS!$H$5,"HÁBIL","NO HÁBIL"))</f>
        <v>HÁBIL</v>
      </c>
      <c r="AI24" s="279" t="str">
        <f>+IF(U24="","",IF(U24&gt;=[5]PARÁMETROS!$F$5,"CUMPLE","NO CUMPLE"))</f>
        <v>NO CUMPLE</v>
      </c>
      <c r="AJ24" s="138"/>
      <c r="AK24" s="109"/>
    </row>
    <row r="25" spans="1:37" s="72" customFormat="1" ht="42.75">
      <c r="A25" s="796"/>
      <c r="B25" s="58" t="s">
        <v>141</v>
      </c>
      <c r="C25" s="59">
        <v>167</v>
      </c>
      <c r="D25" s="60" t="str">
        <f>+IFERROR(INDEX([5]CONSOLIDADO!$D$4:$D$91,MATCH('EXP GEN. 20-26'!B25,[5]CONSOLIDADO!$C$4:$C$91,0)),"")</f>
        <v>EUROCONTROL SA</v>
      </c>
      <c r="E25" s="61" t="s">
        <v>505</v>
      </c>
      <c r="F25" s="62" t="s">
        <v>535</v>
      </c>
      <c r="G25" s="277" t="s">
        <v>10</v>
      </c>
      <c r="H25" s="277" t="s">
        <v>10</v>
      </c>
      <c r="I25" s="63">
        <v>1</v>
      </c>
      <c r="J25" s="64">
        <v>38660</v>
      </c>
      <c r="K25" s="64">
        <v>40122</v>
      </c>
      <c r="L25" s="65">
        <f t="shared" si="0"/>
        <v>2009</v>
      </c>
      <c r="M25" s="66">
        <f>+IFERROR(INDEX([5]PARÁMETROS!$B$11:$B$37,MATCH(L25,[5]PARÁMETROS!$A$11:$A$37,0)),"")</f>
        <v>496900</v>
      </c>
      <c r="N25" s="428">
        <v>949157.05</v>
      </c>
      <c r="O25" s="68" t="s">
        <v>419</v>
      </c>
      <c r="P25" s="58">
        <v>1.47681</v>
      </c>
      <c r="Q25" s="69">
        <f t="shared" ref="Q25:Q26" si="4">+P25*N25</f>
        <v>1401724.6230105001</v>
      </c>
      <c r="R25" s="58">
        <v>1963.7</v>
      </c>
      <c r="S25" s="66">
        <f t="shared" ref="S25:S26" si="5">+R25*Q25</f>
        <v>2752566642.205719</v>
      </c>
      <c r="T25" s="55">
        <f t="shared" si="1"/>
        <v>5539.4780483109662</v>
      </c>
      <c r="U25" s="55">
        <f t="shared" si="2"/>
        <v>5539.4780483109662</v>
      </c>
      <c r="V25" s="55" t="s">
        <v>527</v>
      </c>
      <c r="W25" s="799"/>
      <c r="X25" s="799"/>
      <c r="Y25" s="799"/>
      <c r="Z25" s="799"/>
      <c r="AA25" s="799"/>
      <c r="AB25" s="799"/>
      <c r="AC25" s="799"/>
      <c r="AD25" s="799"/>
      <c r="AE25" s="799"/>
      <c r="AF25" s="290"/>
      <c r="AG25" s="799"/>
      <c r="AH25" s="799"/>
      <c r="AI25" s="277" t="str">
        <f>+IF(U25="","",IF(U25&gt;=[5]PARÁMETROS!$F$5,"CUMPLE","NO CUMPLE"))</f>
        <v>CUMPLE</v>
      </c>
      <c r="AJ25" s="139"/>
      <c r="AK25" s="109"/>
    </row>
    <row r="26" spans="1:37" s="72" customFormat="1" ht="42.75">
      <c r="A26" s="796"/>
      <c r="B26" s="58" t="s">
        <v>141</v>
      </c>
      <c r="C26" s="59">
        <v>176</v>
      </c>
      <c r="D26" s="60" t="str">
        <f>+IFERROR(INDEX([5]CONSOLIDADO!$D$4:$D$91,MATCH('EXP GEN. 20-26'!B26,[5]CONSOLIDADO!$C$4:$C$91,0)),"")</f>
        <v>EUROCONTROL SA</v>
      </c>
      <c r="E26" s="61" t="s">
        <v>505</v>
      </c>
      <c r="F26" s="62" t="s">
        <v>536</v>
      </c>
      <c r="G26" s="277" t="s">
        <v>10</v>
      </c>
      <c r="H26" s="277" t="s">
        <v>10</v>
      </c>
      <c r="I26" s="63">
        <v>1</v>
      </c>
      <c r="J26" s="64">
        <v>38296</v>
      </c>
      <c r="K26" s="64">
        <v>39360</v>
      </c>
      <c r="L26" s="65">
        <f t="shared" si="0"/>
        <v>2007</v>
      </c>
      <c r="M26" s="66">
        <f>+IFERROR(INDEX([5]PARÁMETROS!$B$11:$B$37,MATCH(L26,[5]PARÁMETROS!$A$11:$A$37,0)),"")</f>
        <v>433700</v>
      </c>
      <c r="N26" s="428">
        <v>1248500.53</v>
      </c>
      <c r="O26" s="68" t="s">
        <v>419</v>
      </c>
      <c r="P26" s="58">
        <v>1.4105700000000001</v>
      </c>
      <c r="Q26" s="69">
        <f t="shared" si="4"/>
        <v>1761097.3926021003</v>
      </c>
      <c r="R26" s="58">
        <v>2018.45</v>
      </c>
      <c r="S26" s="66">
        <f t="shared" si="5"/>
        <v>3554687032.0977092</v>
      </c>
      <c r="T26" s="55">
        <f t="shared" si="1"/>
        <v>8196.188683647013</v>
      </c>
      <c r="U26" s="55">
        <f t="shared" si="2"/>
        <v>8196.188683647013</v>
      </c>
      <c r="V26" s="55" t="s">
        <v>527</v>
      </c>
      <c r="W26" s="799"/>
      <c r="X26" s="799"/>
      <c r="Y26" s="799"/>
      <c r="Z26" s="799"/>
      <c r="AA26" s="799"/>
      <c r="AB26" s="799"/>
      <c r="AC26" s="799"/>
      <c r="AD26" s="799"/>
      <c r="AE26" s="799"/>
      <c r="AF26" s="290"/>
      <c r="AG26" s="799"/>
      <c r="AH26" s="799"/>
      <c r="AI26" s="277" t="str">
        <f>+IF(U26="","",IF(U26&gt;=[5]PARÁMETROS!$F$5,"CUMPLE","NO CUMPLE"))</f>
        <v>CUMPLE</v>
      </c>
      <c r="AJ26" s="139"/>
      <c r="AK26" s="109"/>
    </row>
    <row r="27" spans="1:37" s="72" customFormat="1" ht="57">
      <c r="A27" s="796"/>
      <c r="B27" s="58" t="s">
        <v>275</v>
      </c>
      <c r="C27" s="59">
        <v>187</v>
      </c>
      <c r="D27" s="60" t="str">
        <f>+IFERROR(INDEX([5]CONSOLIDADO!$D$4:$D$91,MATCH('EXP GEN. 20-26'!B27,[5]CONSOLIDADO!$C$4:$C$91,0)),"")</f>
        <v>GARPER INGENIERÍA CIA S.A.S.</v>
      </c>
      <c r="E27" s="61" t="s">
        <v>537</v>
      </c>
      <c r="F27" s="62" t="s">
        <v>538</v>
      </c>
      <c r="G27" s="277" t="s">
        <v>10</v>
      </c>
      <c r="H27" s="277" t="s">
        <v>10</v>
      </c>
      <c r="I27" s="63">
        <v>0.55000000000000004</v>
      </c>
      <c r="J27" s="64">
        <v>34338</v>
      </c>
      <c r="K27" s="64">
        <v>36305</v>
      </c>
      <c r="L27" s="65">
        <f t="shared" si="0"/>
        <v>1999</v>
      </c>
      <c r="M27" s="66">
        <f>+IFERROR(INDEX([5]PARÁMETROS!$B$11:$B$37,MATCH(L27,[5]PARÁMETROS!$A$11:$A$37,0)),"")</f>
        <v>236460</v>
      </c>
      <c r="N27" s="67">
        <v>4644921688</v>
      </c>
      <c r="O27" s="68" t="s">
        <v>25</v>
      </c>
      <c r="P27" s="58" t="s">
        <v>346</v>
      </c>
      <c r="Q27" s="69" t="s">
        <v>346</v>
      </c>
      <c r="R27" s="70">
        <v>1</v>
      </c>
      <c r="S27" s="66">
        <v>4491569047</v>
      </c>
      <c r="T27" s="55">
        <f t="shared" si="1"/>
        <v>18995.04798697454</v>
      </c>
      <c r="U27" s="55">
        <f t="shared" si="2"/>
        <v>10447.276392835998</v>
      </c>
      <c r="V27" s="55">
        <v>2</v>
      </c>
      <c r="W27" s="799" t="s">
        <v>10</v>
      </c>
      <c r="X27" s="799"/>
      <c r="Y27" s="799"/>
      <c r="Z27" s="799" t="s">
        <v>10</v>
      </c>
      <c r="AA27" s="799"/>
      <c r="AB27" s="799"/>
      <c r="AC27" s="799"/>
      <c r="AD27" s="799"/>
      <c r="AE27" s="799"/>
      <c r="AF27" s="290" t="s">
        <v>10</v>
      </c>
      <c r="AG27" s="799"/>
      <c r="AH27" s="799"/>
      <c r="AI27" s="277" t="str">
        <f>+IF(U27="","",IF(U27&gt;=[5]PARÁMETROS!$F$5,"CUMPLE","NO CUMPLE"))</f>
        <v>CUMPLE</v>
      </c>
      <c r="AJ27" s="139"/>
      <c r="AK27" s="109"/>
    </row>
    <row r="28" spans="1:37" s="72" customFormat="1" ht="129" thickBot="1">
      <c r="A28" s="797"/>
      <c r="B28" s="243" t="s">
        <v>273</v>
      </c>
      <c r="C28" s="262">
        <v>206</v>
      </c>
      <c r="D28" s="245" t="str">
        <f>+IFERROR(INDEX([5]CONSOLIDADO!$D$4:$D$91,MATCH('EXP GEN. 20-26'!B28,[5]CONSOLIDADO!$C$4:$C$91,0)),"")</f>
        <v>CAYCO SAS</v>
      </c>
      <c r="E28" s="246" t="s">
        <v>27</v>
      </c>
      <c r="F28" s="247" t="s">
        <v>539</v>
      </c>
      <c r="G28" s="293" t="s">
        <v>10</v>
      </c>
      <c r="H28" s="293" t="s">
        <v>10</v>
      </c>
      <c r="I28" s="249">
        <v>0.1</v>
      </c>
      <c r="J28" s="250">
        <v>39615</v>
      </c>
      <c r="K28" s="250">
        <v>41152</v>
      </c>
      <c r="L28" s="251">
        <f t="shared" si="0"/>
        <v>2012</v>
      </c>
      <c r="M28" s="252">
        <f>+IFERROR(INDEX([5]PARÁMETROS!$B$11:$B$37,MATCH(L28,[5]PARÁMETROS!$A$11:$A$37,0)),"")</f>
        <v>566700</v>
      </c>
      <c r="N28" s="253">
        <v>19146251489</v>
      </c>
      <c r="O28" s="254" t="s">
        <v>25</v>
      </c>
      <c r="P28" s="243" t="s">
        <v>346</v>
      </c>
      <c r="Q28" s="255" t="s">
        <v>346</v>
      </c>
      <c r="R28" s="256">
        <v>1</v>
      </c>
      <c r="S28" s="252">
        <f t="shared" si="3"/>
        <v>19146251489</v>
      </c>
      <c r="T28" s="257">
        <f t="shared" si="1"/>
        <v>33785.515244397386</v>
      </c>
      <c r="U28" s="257">
        <f t="shared" si="2"/>
        <v>3378.5515244397388</v>
      </c>
      <c r="V28" s="257">
        <v>22</v>
      </c>
      <c r="W28" s="800" t="s">
        <v>10</v>
      </c>
      <c r="X28" s="800"/>
      <c r="Y28" s="800"/>
      <c r="Z28" s="800" t="s">
        <v>10</v>
      </c>
      <c r="AA28" s="800"/>
      <c r="AB28" s="800"/>
      <c r="AC28" s="800"/>
      <c r="AD28" s="800"/>
      <c r="AE28" s="800"/>
      <c r="AF28" s="293" t="s">
        <v>10</v>
      </c>
      <c r="AG28" s="800"/>
      <c r="AH28" s="800"/>
      <c r="AI28" s="293" t="str">
        <f>+IF(U28="","",IF(U28&gt;=[5]PARÁMETROS!$F$5,"CUMPLE","NO CUMPLE"))</f>
        <v>CUMPLE</v>
      </c>
      <c r="AJ28" s="259"/>
      <c r="AK28" s="109"/>
    </row>
    <row r="29" spans="1:37" s="72" customFormat="1" ht="57">
      <c r="A29" s="795" t="s">
        <v>276</v>
      </c>
      <c r="B29" s="123" t="s">
        <v>143</v>
      </c>
      <c r="C29" s="157">
        <v>179</v>
      </c>
      <c r="D29" s="125" t="str">
        <f>+IFERROR(INDEX([5]CONSOLIDADO!$D$4:$D$91,MATCH('EXP GEN. 20-26'!B29,[5]CONSOLIDADO!$C$4:$C$91,0)),"")</f>
        <v>PROGIN SA</v>
      </c>
      <c r="E29" s="126" t="s">
        <v>540</v>
      </c>
      <c r="F29" s="127" t="s">
        <v>541</v>
      </c>
      <c r="G29" s="291" t="s">
        <v>10</v>
      </c>
      <c r="H29" s="291" t="s">
        <v>10</v>
      </c>
      <c r="I29" s="434">
        <v>0.60419999999999996</v>
      </c>
      <c r="J29" s="129">
        <v>38397</v>
      </c>
      <c r="K29" s="129">
        <v>40468</v>
      </c>
      <c r="L29" s="130">
        <f t="shared" si="0"/>
        <v>2010</v>
      </c>
      <c r="M29" s="131">
        <f>+IFERROR(INDEX([5]PARÁMETROS!$B$11:$B$37,MATCH(L29,[5]PARÁMETROS!$A$11:$A$37,0)),"")</f>
        <v>515000</v>
      </c>
      <c r="N29" s="435">
        <f>1449512.87</f>
        <v>1449512.87</v>
      </c>
      <c r="O29" s="436" t="s">
        <v>419</v>
      </c>
      <c r="P29" s="672">
        <v>1.32236</v>
      </c>
      <c r="Q29" s="673">
        <f t="shared" ref="Q29" si="6">+N29*P29</f>
        <v>1916777.8387732001</v>
      </c>
      <c r="R29" s="446">
        <v>1916.09</v>
      </c>
      <c r="S29" s="426">
        <f t="shared" ref="S29" si="7">+Q29*R29</f>
        <v>3672718849.0949407</v>
      </c>
      <c r="T29" s="136">
        <f t="shared" si="1"/>
        <v>7131.4929108639626</v>
      </c>
      <c r="U29" s="136">
        <f t="shared" si="2"/>
        <v>4308.8480167440057</v>
      </c>
      <c r="V29" s="136">
        <v>17</v>
      </c>
      <c r="W29" s="798" t="s">
        <v>10</v>
      </c>
      <c r="X29" s="798"/>
      <c r="Y29" s="798"/>
      <c r="Z29" s="798" t="s">
        <v>10</v>
      </c>
      <c r="AA29" s="798"/>
      <c r="AB29" s="798"/>
      <c r="AC29" s="798" t="s">
        <v>11</v>
      </c>
      <c r="AD29" s="798"/>
      <c r="AE29" s="798"/>
      <c r="AF29" s="291" t="s">
        <v>10</v>
      </c>
      <c r="AG29" s="798" t="str">
        <f>IF(U29="","",IF(SUM(U29:U33)&gt;=[5]PARÁMETROS!$D$5,"HÁBIL","NO HÁBIL"))</f>
        <v>HÁBIL</v>
      </c>
      <c r="AH29" s="798" t="str">
        <f>IF(U29="","",IF(SUM(U29:U30)&gt;=[5]PARÁMETROS!$H$5,"HÁBIL","NO HÁBIL"))</f>
        <v>HÁBIL</v>
      </c>
      <c r="AI29" s="291" t="str">
        <f>+IF(U29="","",IF(U29&gt;=[5]PARÁMETROS!$F$5,"CUMPLE","NO CUMPLE"))</f>
        <v>CUMPLE</v>
      </c>
      <c r="AJ29" s="138"/>
      <c r="AK29" s="427"/>
    </row>
    <row r="30" spans="1:37" s="72" customFormat="1" ht="42.75">
      <c r="A30" s="796"/>
      <c r="B30" s="58" t="s">
        <v>143</v>
      </c>
      <c r="C30" s="75">
        <v>188</v>
      </c>
      <c r="D30" s="60" t="str">
        <f>+IFERROR(INDEX([5]CONSOLIDADO!$D$4:$D$91,MATCH('EXP GEN. 20-26'!B30,[5]CONSOLIDADO!$C$4:$C$91,0)),"")</f>
        <v>PROGIN SA</v>
      </c>
      <c r="E30" s="61" t="s">
        <v>542</v>
      </c>
      <c r="F30" s="62" t="s">
        <v>543</v>
      </c>
      <c r="G30" s="290" t="s">
        <v>10</v>
      </c>
      <c r="H30" s="290" t="s">
        <v>10</v>
      </c>
      <c r="I30" s="63">
        <v>0.23</v>
      </c>
      <c r="J30" s="64">
        <v>33527</v>
      </c>
      <c r="K30" s="64">
        <v>36734</v>
      </c>
      <c r="L30" s="65">
        <f t="shared" si="0"/>
        <v>2000</v>
      </c>
      <c r="M30" s="66">
        <f>+IFERROR(INDEX([5]PARÁMETROS!$B$11:$B$37,MATCH(L30,[5]PARÁMETROS!$A$11:$A$37,0)),"")</f>
        <v>260100</v>
      </c>
      <c r="N30" s="437"/>
      <c r="O30" s="68" t="s">
        <v>419</v>
      </c>
      <c r="P30" s="58">
        <v>0.94181999999999999</v>
      </c>
      <c r="Q30" s="69">
        <f>+P30*N30</f>
        <v>0</v>
      </c>
      <c r="R30" s="58">
        <v>2165.37</v>
      </c>
      <c r="S30" s="66">
        <f>+R30*Q30</f>
        <v>0</v>
      </c>
      <c r="T30" s="55">
        <f t="shared" si="1"/>
        <v>0</v>
      </c>
      <c r="U30" s="55">
        <f t="shared" si="2"/>
        <v>0</v>
      </c>
      <c r="V30" s="55">
        <v>2</v>
      </c>
      <c r="W30" s="799" t="s">
        <v>10</v>
      </c>
      <c r="X30" s="799"/>
      <c r="Y30" s="799"/>
      <c r="Z30" s="799" t="s">
        <v>10</v>
      </c>
      <c r="AA30" s="799"/>
      <c r="AB30" s="799"/>
      <c r="AC30" s="799" t="s">
        <v>11</v>
      </c>
      <c r="AD30" s="799"/>
      <c r="AE30" s="799"/>
      <c r="AF30" s="290" t="s">
        <v>10</v>
      </c>
      <c r="AG30" s="799"/>
      <c r="AH30" s="799"/>
      <c r="AI30" s="290" t="str">
        <f>+IF(U30="","",IF(U30&gt;=[5]PARÁMETROS!$F$5,"CUMPLE","NO CUMPLE"))</f>
        <v>NO CUMPLE</v>
      </c>
      <c r="AJ30" s="139" t="s">
        <v>740</v>
      </c>
      <c r="AK30" s="109"/>
    </row>
    <row r="31" spans="1:37" s="72" customFormat="1" ht="71.25">
      <c r="A31" s="796"/>
      <c r="B31" s="58" t="s">
        <v>144</v>
      </c>
      <c r="C31" s="75">
        <v>219</v>
      </c>
      <c r="D31" s="60" t="str">
        <f>+IFERROR(INDEX([5]CONSOLIDADO!$D$4:$D$91,MATCH('EXP GEN. 20-26'!B31,[5]CONSOLIDADO!$C$4:$C$91,0)),"")</f>
        <v>PLANES S.A.</v>
      </c>
      <c r="E31" s="61" t="s">
        <v>544</v>
      </c>
      <c r="F31" s="62" t="s">
        <v>545</v>
      </c>
      <c r="G31" s="290" t="s">
        <v>10</v>
      </c>
      <c r="H31" s="290" t="s">
        <v>10</v>
      </c>
      <c r="I31" s="63">
        <v>0.245</v>
      </c>
      <c r="J31" s="64">
        <v>40186</v>
      </c>
      <c r="K31" s="64" t="s">
        <v>422</v>
      </c>
      <c r="L31" s="65">
        <v>2014</v>
      </c>
      <c r="M31" s="66">
        <f>+IFERROR(INDEX([5]PARÁMETROS!$B$11:$B$37,MATCH(L31,[5]PARÁMETROS!$A$11:$A$37,0)),"")</f>
        <v>616000</v>
      </c>
      <c r="N31" s="67">
        <v>10922423850.5</v>
      </c>
      <c r="O31" s="68" t="s">
        <v>25</v>
      </c>
      <c r="P31" s="58" t="s">
        <v>346</v>
      </c>
      <c r="Q31" s="69" t="s">
        <v>346</v>
      </c>
      <c r="R31" s="70">
        <v>1</v>
      </c>
      <c r="S31" s="66">
        <f t="shared" si="3"/>
        <v>10922423850.5</v>
      </c>
      <c r="T31" s="55">
        <f t="shared" si="1"/>
        <v>17731.207549512987</v>
      </c>
      <c r="U31" s="55">
        <f t="shared" si="2"/>
        <v>4344.1458496306814</v>
      </c>
      <c r="V31" s="55" t="s">
        <v>687</v>
      </c>
      <c r="W31" s="799"/>
      <c r="X31" s="799"/>
      <c r="Y31" s="799"/>
      <c r="Z31" s="799"/>
      <c r="AA31" s="799"/>
      <c r="AB31" s="799"/>
      <c r="AC31" s="799"/>
      <c r="AD31" s="799"/>
      <c r="AE31" s="799"/>
      <c r="AF31" s="290"/>
      <c r="AG31" s="799"/>
      <c r="AH31" s="799"/>
      <c r="AI31" s="290" t="str">
        <f>+IF(U31="","",IF(U31&gt;=[5]PARÁMETROS!$F$5,"CUMPLE","NO CUMPLE"))</f>
        <v>CUMPLE</v>
      </c>
      <c r="AJ31" s="139"/>
      <c r="AK31" s="109"/>
    </row>
    <row r="32" spans="1:37" s="72" customFormat="1" ht="71.25">
      <c r="A32" s="796"/>
      <c r="B32" s="58" t="s">
        <v>144</v>
      </c>
      <c r="C32" s="75">
        <v>221</v>
      </c>
      <c r="D32" s="60" t="str">
        <f>+IFERROR(INDEX([5]CONSOLIDADO!$D$4:$D$91,MATCH('EXP GEN. 20-26'!B32,[5]CONSOLIDADO!$C$4:$C$91,0)),"")</f>
        <v>PLANES S.A.</v>
      </c>
      <c r="E32" s="83" t="s">
        <v>546</v>
      </c>
      <c r="F32" s="84" t="s">
        <v>547</v>
      </c>
      <c r="G32" s="290" t="s">
        <v>10</v>
      </c>
      <c r="H32" s="290" t="s">
        <v>10</v>
      </c>
      <c r="I32" s="85">
        <v>0.25</v>
      </c>
      <c r="J32" s="86">
        <v>38718</v>
      </c>
      <c r="K32" s="86" t="s">
        <v>422</v>
      </c>
      <c r="L32" s="65">
        <v>2016</v>
      </c>
      <c r="M32" s="66">
        <f>+IFERROR(INDEX([5]PARÁMETROS!$B$11:$B$37,MATCH(L32,[5]PARÁMETROS!$A$11:$A$37,0)),"")</f>
        <v>689554</v>
      </c>
      <c r="N32" s="87">
        <v>9471953326</v>
      </c>
      <c r="O32" s="88" t="s">
        <v>25</v>
      </c>
      <c r="P32" s="58" t="s">
        <v>346</v>
      </c>
      <c r="Q32" s="69" t="s">
        <v>346</v>
      </c>
      <c r="R32" s="70">
        <v>1</v>
      </c>
      <c r="S32" s="66">
        <f t="shared" si="3"/>
        <v>9471953326</v>
      </c>
      <c r="T32" s="55">
        <f t="shared" si="1"/>
        <v>13736.347444870162</v>
      </c>
      <c r="U32" s="55">
        <f t="shared" si="2"/>
        <v>3434.0868612175404</v>
      </c>
      <c r="V32" s="55" t="s">
        <v>687</v>
      </c>
      <c r="W32" s="799"/>
      <c r="X32" s="799"/>
      <c r="Y32" s="799"/>
      <c r="Z32" s="799"/>
      <c r="AA32" s="799"/>
      <c r="AB32" s="799"/>
      <c r="AC32" s="799"/>
      <c r="AD32" s="799"/>
      <c r="AE32" s="799"/>
      <c r="AF32" s="290"/>
      <c r="AG32" s="799"/>
      <c r="AH32" s="799"/>
      <c r="AI32" s="290" t="str">
        <f>+IF(U32="","",IF(U32&gt;=[5]PARÁMETROS!$F$5,"CUMPLE","NO CUMPLE"))</f>
        <v>CUMPLE</v>
      </c>
      <c r="AJ32" s="140"/>
      <c r="AK32" s="109"/>
    </row>
    <row r="33" spans="1:37" s="72" customFormat="1" ht="57.75" thickBot="1">
      <c r="A33" s="806"/>
      <c r="B33" s="141" t="s">
        <v>144</v>
      </c>
      <c r="C33" s="142">
        <v>225</v>
      </c>
      <c r="D33" s="143" t="str">
        <f>+IFERROR(INDEX([5]CONSOLIDADO!$D$4:$D$91,MATCH('EXP GEN. 20-26'!B33,[5]CONSOLIDADO!$C$4:$C$91,0)),"")</f>
        <v>PLANES S.A.</v>
      </c>
      <c r="E33" s="144" t="s">
        <v>548</v>
      </c>
      <c r="F33" s="145" t="s">
        <v>549</v>
      </c>
      <c r="G33" s="289" t="s">
        <v>10</v>
      </c>
      <c r="H33" s="289" t="s">
        <v>10</v>
      </c>
      <c r="I33" s="146">
        <v>0.5</v>
      </c>
      <c r="J33" s="147">
        <v>37288</v>
      </c>
      <c r="K33" s="147" t="s">
        <v>422</v>
      </c>
      <c r="L33" s="148">
        <v>2014</v>
      </c>
      <c r="M33" s="149">
        <f>+IFERROR(INDEX([5]PARÁMETROS!$B$11:$B$37,MATCH(L33,[5]PARÁMETROS!$A$11:$A$37,0)),"")</f>
        <v>616000</v>
      </c>
      <c r="N33" s="150">
        <f>15268.52*M33</f>
        <v>9405408320</v>
      </c>
      <c r="O33" s="151" t="s">
        <v>25</v>
      </c>
      <c r="P33" s="141" t="s">
        <v>346</v>
      </c>
      <c r="Q33" s="152" t="s">
        <v>346</v>
      </c>
      <c r="R33" s="153">
        <v>1</v>
      </c>
      <c r="S33" s="149">
        <f t="shared" si="3"/>
        <v>9405408320</v>
      </c>
      <c r="T33" s="154">
        <f t="shared" si="1"/>
        <v>15268.52</v>
      </c>
      <c r="U33" s="154">
        <f t="shared" si="2"/>
        <v>7634.26</v>
      </c>
      <c r="V33" s="154" t="s">
        <v>687</v>
      </c>
      <c r="W33" s="801"/>
      <c r="X33" s="801"/>
      <c r="Y33" s="801"/>
      <c r="Z33" s="801"/>
      <c r="AA33" s="801"/>
      <c r="AB33" s="801"/>
      <c r="AC33" s="801"/>
      <c r="AD33" s="801"/>
      <c r="AE33" s="801"/>
      <c r="AF33" s="289"/>
      <c r="AG33" s="801"/>
      <c r="AH33" s="801"/>
      <c r="AI33" s="289" t="str">
        <f>+IF(U33="","",IF(U33&gt;=[5]PARÁMETROS!$F$5,"CUMPLE","NO CUMPLE"))</f>
        <v>CUMPLE</v>
      </c>
      <c r="AJ33" s="155"/>
      <c r="AK33" s="109"/>
    </row>
    <row r="34" spans="1:37" s="72" customFormat="1" ht="30" customHeight="1">
      <c r="A34" s="795"/>
      <c r="B34" s="123"/>
      <c r="C34" s="157"/>
      <c r="D34" s="125" t="str">
        <f>+IFERROR(INDEX([5]CONSOLIDADO!$D$4:$D$91,MATCH('EXP GEN. 20-26'!B34,[5]CONSOLIDADO!$C$4:$C$91,0)),"")</f>
        <v/>
      </c>
      <c r="E34" s="126"/>
      <c r="F34" s="127"/>
      <c r="G34" s="279"/>
      <c r="H34" s="279"/>
      <c r="I34" s="128"/>
      <c r="J34" s="129"/>
      <c r="K34" s="129"/>
      <c r="L34" s="130" t="str">
        <f t="shared" si="0"/>
        <v/>
      </c>
      <c r="M34" s="131" t="str">
        <f>+IFERROR(INDEX([5]PARÁMETROS!$B$11:$B$37,MATCH(L34,[5]PARÁMETROS!$A$11:$A$37,0)),"")</f>
        <v/>
      </c>
      <c r="N34" s="132"/>
      <c r="O34" s="133"/>
      <c r="P34" s="123"/>
      <c r="Q34" s="134"/>
      <c r="R34" s="135"/>
      <c r="S34" s="131" t="str">
        <f t="shared" si="3"/>
        <v/>
      </c>
      <c r="T34" s="136" t="str">
        <f t="shared" si="1"/>
        <v/>
      </c>
      <c r="U34" s="136" t="str">
        <f t="shared" si="2"/>
        <v/>
      </c>
      <c r="V34" s="136"/>
      <c r="W34" s="798"/>
      <c r="X34" s="798"/>
      <c r="Y34" s="798"/>
      <c r="Z34" s="798"/>
      <c r="AA34" s="798"/>
      <c r="AB34" s="798"/>
      <c r="AC34" s="798"/>
      <c r="AD34" s="798"/>
      <c r="AE34" s="798"/>
      <c r="AF34" s="291"/>
      <c r="AG34" s="798" t="str">
        <f>IF(U34="","",IF(SUM(U34:U39)&gt;=[5]PARÁMETROS!$D$5,"HÁBIL","NO HÁBIL"))</f>
        <v/>
      </c>
      <c r="AH34" s="798" t="str">
        <f>IF(U34="","",IF(SUM(U34:U35)&gt;=[5]PARÁMETROS!$H$5,"HÁBIL","NO HÁBIL"))</f>
        <v/>
      </c>
      <c r="AI34" s="279" t="str">
        <f>+IF(U34="","",IF(U34&gt;=[5]PARÁMETROS!$F$5,"CUMPLE","NO CUMPLE"))</f>
        <v/>
      </c>
      <c r="AJ34" s="138"/>
      <c r="AK34" s="109"/>
    </row>
    <row r="35" spans="1:37" s="72" customFormat="1" ht="30" customHeight="1">
      <c r="A35" s="796"/>
      <c r="B35" s="58"/>
      <c r="C35" s="75"/>
      <c r="D35" s="60" t="str">
        <f>+IFERROR(INDEX([5]CONSOLIDADO!$D$4:$D$91,MATCH('EXP GEN. 20-26'!B35,[5]CONSOLIDADO!$C$4:$C$91,0)),"")</f>
        <v/>
      </c>
      <c r="E35" s="61"/>
      <c r="F35" s="62"/>
      <c r="G35" s="277"/>
      <c r="H35" s="277"/>
      <c r="I35" s="63"/>
      <c r="J35" s="64"/>
      <c r="K35" s="64"/>
      <c r="L35" s="65" t="str">
        <f t="shared" si="0"/>
        <v/>
      </c>
      <c r="M35" s="66" t="str">
        <f>+IFERROR(INDEX([5]PARÁMETROS!$B$11:$B$37,MATCH(L35,[5]PARÁMETROS!$A$11:$A$37,0)),"")</f>
        <v/>
      </c>
      <c r="N35" s="67"/>
      <c r="O35" s="68"/>
      <c r="P35" s="58"/>
      <c r="Q35" s="69"/>
      <c r="R35" s="70"/>
      <c r="S35" s="66" t="str">
        <f t="shared" si="3"/>
        <v/>
      </c>
      <c r="T35" s="55" t="str">
        <f t="shared" si="1"/>
        <v/>
      </c>
      <c r="U35" s="55" t="str">
        <f t="shared" si="2"/>
        <v/>
      </c>
      <c r="V35" s="55"/>
      <c r="W35" s="799"/>
      <c r="X35" s="799"/>
      <c r="Y35" s="799"/>
      <c r="Z35" s="799"/>
      <c r="AA35" s="799"/>
      <c r="AB35" s="799"/>
      <c r="AC35" s="799"/>
      <c r="AD35" s="799"/>
      <c r="AE35" s="799"/>
      <c r="AF35" s="290"/>
      <c r="AG35" s="799"/>
      <c r="AH35" s="799"/>
      <c r="AI35" s="277" t="str">
        <f>+IF(U35="","",IF(U35&gt;=[5]PARÁMETROS!$F$5,"CUMPLE","NO CUMPLE"))</f>
        <v/>
      </c>
      <c r="AJ35" s="139"/>
      <c r="AK35" s="109"/>
    </row>
    <row r="36" spans="1:37" s="72" customFormat="1" ht="30" customHeight="1">
      <c r="A36" s="796"/>
      <c r="B36" s="58"/>
      <c r="C36" s="75"/>
      <c r="D36" s="60" t="str">
        <f>+IFERROR(INDEX([5]CONSOLIDADO!$D$4:$D$91,MATCH('EXP GEN. 20-26'!B36,[5]CONSOLIDADO!$C$4:$C$91,0)),"")</f>
        <v/>
      </c>
      <c r="E36" s="61"/>
      <c r="F36" s="62"/>
      <c r="G36" s="277"/>
      <c r="H36" s="277"/>
      <c r="I36" s="63"/>
      <c r="J36" s="64"/>
      <c r="K36" s="64"/>
      <c r="L36" s="65" t="str">
        <f t="shared" si="0"/>
        <v/>
      </c>
      <c r="M36" s="66" t="str">
        <f>+IFERROR(INDEX([5]PARÁMETROS!$B$11:$B$37,MATCH(L36,[5]PARÁMETROS!$A$11:$A$37,0)),"")</f>
        <v/>
      </c>
      <c r="N36" s="67"/>
      <c r="O36" s="68"/>
      <c r="P36" s="58"/>
      <c r="Q36" s="69"/>
      <c r="R36" s="70"/>
      <c r="S36" s="66" t="str">
        <f t="shared" si="3"/>
        <v/>
      </c>
      <c r="T36" s="55" t="str">
        <f t="shared" si="1"/>
        <v/>
      </c>
      <c r="U36" s="55" t="str">
        <f t="shared" si="2"/>
        <v/>
      </c>
      <c r="V36" s="55"/>
      <c r="W36" s="799"/>
      <c r="X36" s="799"/>
      <c r="Y36" s="799"/>
      <c r="Z36" s="799"/>
      <c r="AA36" s="799"/>
      <c r="AB36" s="799"/>
      <c r="AC36" s="799"/>
      <c r="AD36" s="799"/>
      <c r="AE36" s="799"/>
      <c r="AF36" s="290"/>
      <c r="AG36" s="799"/>
      <c r="AH36" s="799"/>
      <c r="AI36" s="277" t="str">
        <f>+IF(U36="","",IF(U36&gt;=[5]PARÁMETROS!$F$5,"CUMPLE","NO CUMPLE"))</f>
        <v/>
      </c>
      <c r="AJ36" s="139"/>
      <c r="AK36" s="109"/>
    </row>
    <row r="37" spans="1:37" s="72" customFormat="1" ht="30" customHeight="1">
      <c r="A37" s="796"/>
      <c r="B37" s="58"/>
      <c r="C37" s="75"/>
      <c r="D37" s="60" t="str">
        <f>+IFERROR(INDEX([5]CONSOLIDADO!$D$4:$D$91,MATCH('EXP GEN. 20-26'!B37,[5]CONSOLIDADO!$C$4:$C$91,0)),"")</f>
        <v/>
      </c>
      <c r="E37" s="61"/>
      <c r="F37" s="62"/>
      <c r="G37" s="277"/>
      <c r="H37" s="277"/>
      <c r="I37" s="63"/>
      <c r="J37" s="64"/>
      <c r="K37" s="64"/>
      <c r="L37" s="65" t="str">
        <f t="shared" si="0"/>
        <v/>
      </c>
      <c r="M37" s="66" t="str">
        <f>+IFERROR(INDEX([5]PARÁMETROS!$B$11:$B$37,MATCH(L37,[5]PARÁMETROS!$A$11:$A$37,0)),"")</f>
        <v/>
      </c>
      <c r="N37" s="67"/>
      <c r="O37" s="68"/>
      <c r="P37" s="58"/>
      <c r="Q37" s="69"/>
      <c r="R37" s="70"/>
      <c r="S37" s="66" t="str">
        <f t="shared" si="3"/>
        <v/>
      </c>
      <c r="T37" s="55" t="str">
        <f t="shared" si="1"/>
        <v/>
      </c>
      <c r="U37" s="55" t="str">
        <f t="shared" si="2"/>
        <v/>
      </c>
      <c r="V37" s="55"/>
      <c r="W37" s="799"/>
      <c r="X37" s="799"/>
      <c r="Y37" s="799"/>
      <c r="Z37" s="799"/>
      <c r="AA37" s="799"/>
      <c r="AB37" s="799"/>
      <c r="AC37" s="799"/>
      <c r="AD37" s="799"/>
      <c r="AE37" s="799"/>
      <c r="AF37" s="290"/>
      <c r="AG37" s="799"/>
      <c r="AH37" s="799"/>
      <c r="AI37" s="277" t="str">
        <f>+IF(U37="","",IF(U37&gt;=[5]PARÁMETROS!$F$5,"CUMPLE","NO CUMPLE"))</f>
        <v/>
      </c>
      <c r="AJ37" s="139"/>
      <c r="AK37" s="109"/>
    </row>
    <row r="38" spans="1:37" s="72" customFormat="1" ht="30" customHeight="1">
      <c r="A38" s="796"/>
      <c r="B38" s="58"/>
      <c r="C38" s="75"/>
      <c r="D38" s="60" t="str">
        <f>+IFERROR(INDEX([5]CONSOLIDADO!$D$4:$D$91,MATCH('EXP GEN. 20-26'!B38,[5]CONSOLIDADO!$C$4:$C$91,0)),"")</f>
        <v/>
      </c>
      <c r="E38" s="61"/>
      <c r="F38" s="61"/>
      <c r="G38" s="277"/>
      <c r="H38" s="277"/>
      <c r="I38" s="73"/>
      <c r="J38" s="64"/>
      <c r="K38" s="64"/>
      <c r="L38" s="65" t="str">
        <f t="shared" si="0"/>
        <v/>
      </c>
      <c r="M38" s="66" t="str">
        <f>+IFERROR(INDEX([5]PARÁMETROS!$B$11:$B$37,MATCH(L38,[5]PARÁMETROS!$A$11:$A$37,0)),"")</f>
        <v/>
      </c>
      <c r="N38" s="74"/>
      <c r="O38" s="66"/>
      <c r="P38" s="58"/>
      <c r="Q38" s="69"/>
      <c r="R38" s="70"/>
      <c r="S38" s="66" t="str">
        <f t="shared" si="3"/>
        <v/>
      </c>
      <c r="T38" s="55" t="str">
        <f t="shared" si="1"/>
        <v/>
      </c>
      <c r="U38" s="55" t="str">
        <f t="shared" si="2"/>
        <v/>
      </c>
      <c r="V38" s="55"/>
      <c r="W38" s="799"/>
      <c r="X38" s="799"/>
      <c r="Y38" s="799"/>
      <c r="Z38" s="799"/>
      <c r="AA38" s="799"/>
      <c r="AB38" s="799"/>
      <c r="AC38" s="799"/>
      <c r="AD38" s="799"/>
      <c r="AE38" s="799"/>
      <c r="AF38" s="290"/>
      <c r="AG38" s="799"/>
      <c r="AH38" s="799"/>
      <c r="AI38" s="277" t="str">
        <f>+IF(U38="","",IF(U38&gt;=[5]PARÁMETROS!$F$5,"CUMPLE","NO CUMPLE"))</f>
        <v/>
      </c>
      <c r="AJ38" s="139"/>
      <c r="AK38" s="109"/>
    </row>
    <row r="39" spans="1:37" s="72" customFormat="1" ht="30" customHeight="1" thickBot="1">
      <c r="A39" s="806"/>
      <c r="B39" s="141"/>
      <c r="C39" s="142"/>
      <c r="D39" s="143" t="str">
        <f>+IFERROR(INDEX([5]CONSOLIDADO!$D$4:$D$91,MATCH('EXP GEN. 20-26'!B39,[5]CONSOLIDADO!$C$4:$C$91,0)),"")</f>
        <v/>
      </c>
      <c r="E39" s="144"/>
      <c r="F39" s="144"/>
      <c r="G39" s="278"/>
      <c r="H39" s="278"/>
      <c r="I39" s="164"/>
      <c r="J39" s="147"/>
      <c r="K39" s="147"/>
      <c r="L39" s="148" t="str">
        <f t="shared" si="0"/>
        <v/>
      </c>
      <c r="M39" s="149" t="str">
        <f>+IFERROR(INDEX([5]PARÁMETROS!$B$11:$B$37,MATCH(L39,[5]PARÁMETROS!$A$11:$A$37,0)),"")</f>
        <v/>
      </c>
      <c r="N39" s="165"/>
      <c r="O39" s="149"/>
      <c r="P39" s="141"/>
      <c r="Q39" s="152"/>
      <c r="R39" s="153"/>
      <c r="S39" s="149" t="str">
        <f t="shared" si="3"/>
        <v/>
      </c>
      <c r="T39" s="154" t="str">
        <f t="shared" si="1"/>
        <v/>
      </c>
      <c r="U39" s="154" t="str">
        <f t="shared" si="2"/>
        <v/>
      </c>
      <c r="V39" s="154"/>
      <c r="W39" s="801"/>
      <c r="X39" s="801"/>
      <c r="Y39" s="801"/>
      <c r="Z39" s="801"/>
      <c r="AA39" s="801"/>
      <c r="AB39" s="801"/>
      <c r="AC39" s="801"/>
      <c r="AD39" s="801"/>
      <c r="AE39" s="801"/>
      <c r="AF39" s="289"/>
      <c r="AG39" s="801"/>
      <c r="AH39" s="801"/>
      <c r="AI39" s="278" t="str">
        <f>+IF(U39="","",IF(U39&gt;=[5]PARÁMETROS!$F$5,"CUMPLE","NO CUMPLE"))</f>
        <v/>
      </c>
      <c r="AJ39" s="155"/>
      <c r="AK39" s="109"/>
    </row>
    <row r="40" spans="1:37" s="72" customFormat="1" ht="30" customHeight="1">
      <c r="A40" s="795"/>
      <c r="B40" s="123"/>
      <c r="C40" s="157"/>
      <c r="D40" s="125" t="str">
        <f>+IFERROR(INDEX([5]CONSOLIDADO!$D$4:$D$91,MATCH('EXP GEN. 20-26'!B40,[5]CONSOLIDADO!$C$4:$C$91,0)),"")</f>
        <v/>
      </c>
      <c r="E40" s="126"/>
      <c r="F40" s="126"/>
      <c r="G40" s="279"/>
      <c r="H40" s="279"/>
      <c r="I40" s="162"/>
      <c r="J40" s="129"/>
      <c r="K40" s="129"/>
      <c r="L40" s="130" t="str">
        <f t="shared" si="0"/>
        <v/>
      </c>
      <c r="M40" s="131" t="str">
        <f>+IFERROR(INDEX([5]PARÁMETROS!$B$11:$B$37,MATCH(L40,[5]PARÁMETROS!$A$11:$A$37,0)),"")</f>
        <v/>
      </c>
      <c r="N40" s="163"/>
      <c r="O40" s="131"/>
      <c r="P40" s="123"/>
      <c r="Q40" s="134"/>
      <c r="R40" s="135"/>
      <c r="S40" s="131" t="str">
        <f t="shared" si="3"/>
        <v/>
      </c>
      <c r="T40" s="136" t="str">
        <f t="shared" si="1"/>
        <v/>
      </c>
      <c r="U40" s="136" t="str">
        <f t="shared" si="2"/>
        <v/>
      </c>
      <c r="V40" s="136"/>
      <c r="W40" s="798"/>
      <c r="X40" s="798"/>
      <c r="Y40" s="798"/>
      <c r="Z40" s="798"/>
      <c r="AA40" s="798"/>
      <c r="AB40" s="798"/>
      <c r="AC40" s="798"/>
      <c r="AD40" s="798"/>
      <c r="AE40" s="798"/>
      <c r="AF40" s="291"/>
      <c r="AG40" s="798" t="str">
        <f>IF(U40="","",IF(SUM(U40:U45)&gt;=[5]PARÁMETROS!$D$5,"HÁBIL","NO HÁBIL"))</f>
        <v/>
      </c>
      <c r="AH40" s="798" t="str">
        <f>IF(U40="","",IF(SUM(U40:U41)&gt;=[5]PARÁMETROS!$H$5,"HÁBIL","NO HÁBIL"))</f>
        <v/>
      </c>
      <c r="AI40" s="279" t="str">
        <f>+IF(U40="","",IF(U40&gt;=[5]PARÁMETROS!$F$5,"CUMPLE","NO CUMPLE"))</f>
        <v/>
      </c>
      <c r="AJ40" s="138"/>
      <c r="AK40" s="109"/>
    </row>
    <row r="41" spans="1:37" s="72" customFormat="1" ht="30" customHeight="1">
      <c r="A41" s="796"/>
      <c r="B41" s="58"/>
      <c r="C41" s="75"/>
      <c r="D41" s="60" t="str">
        <f>+IFERROR(INDEX([5]CONSOLIDADO!$D$4:$D$91,MATCH('EXP GEN. 20-26'!B41,[5]CONSOLIDADO!$C$4:$C$91,0)),"")</f>
        <v/>
      </c>
      <c r="E41" s="61"/>
      <c r="F41" s="61"/>
      <c r="G41" s="277"/>
      <c r="H41" s="277"/>
      <c r="I41" s="73"/>
      <c r="J41" s="64"/>
      <c r="K41" s="64"/>
      <c r="L41" s="65" t="str">
        <f t="shared" si="0"/>
        <v/>
      </c>
      <c r="M41" s="66" t="str">
        <f>+IFERROR(INDEX([5]PARÁMETROS!$B$11:$B$37,MATCH(L41,[5]PARÁMETROS!$A$11:$A$37,0)),"")</f>
        <v/>
      </c>
      <c r="N41" s="74"/>
      <c r="O41" s="66"/>
      <c r="P41" s="58"/>
      <c r="Q41" s="69"/>
      <c r="R41" s="70"/>
      <c r="S41" s="66" t="str">
        <f t="shared" si="3"/>
        <v/>
      </c>
      <c r="T41" s="55" t="str">
        <f t="shared" si="1"/>
        <v/>
      </c>
      <c r="U41" s="55" t="str">
        <f t="shared" si="2"/>
        <v/>
      </c>
      <c r="V41" s="55"/>
      <c r="W41" s="799"/>
      <c r="X41" s="799"/>
      <c r="Y41" s="799"/>
      <c r="Z41" s="799"/>
      <c r="AA41" s="799"/>
      <c r="AB41" s="799"/>
      <c r="AC41" s="799"/>
      <c r="AD41" s="799"/>
      <c r="AE41" s="799"/>
      <c r="AF41" s="290"/>
      <c r="AG41" s="799"/>
      <c r="AH41" s="799"/>
      <c r="AI41" s="277" t="str">
        <f>+IF(U41="","",IF(U41&gt;=[5]PARÁMETROS!$F$5,"CUMPLE","NO CUMPLE"))</f>
        <v/>
      </c>
      <c r="AJ41" s="139"/>
      <c r="AK41" s="109"/>
    </row>
    <row r="42" spans="1:37" s="72" customFormat="1" ht="30" customHeight="1">
      <c r="A42" s="796"/>
      <c r="B42" s="58"/>
      <c r="C42" s="75"/>
      <c r="D42" s="60" t="str">
        <f>+IFERROR(INDEX([5]CONSOLIDADO!$D$4:$D$91,MATCH('EXP GEN. 20-26'!B42,[5]CONSOLIDADO!$C$4:$C$91,0)),"")</f>
        <v/>
      </c>
      <c r="E42" s="61"/>
      <c r="F42" s="61"/>
      <c r="G42" s="277"/>
      <c r="H42" s="277"/>
      <c r="I42" s="73"/>
      <c r="J42" s="64"/>
      <c r="K42" s="64"/>
      <c r="L42" s="65" t="str">
        <f t="shared" si="0"/>
        <v/>
      </c>
      <c r="M42" s="66" t="str">
        <f>+IFERROR(INDEX([5]PARÁMETROS!$B$11:$B$37,MATCH(L42,[5]PARÁMETROS!$A$11:$A$37,0)),"")</f>
        <v/>
      </c>
      <c r="N42" s="74"/>
      <c r="O42" s="66"/>
      <c r="P42" s="58"/>
      <c r="Q42" s="69"/>
      <c r="R42" s="70"/>
      <c r="S42" s="66" t="str">
        <f t="shared" si="3"/>
        <v/>
      </c>
      <c r="T42" s="55" t="str">
        <f t="shared" si="1"/>
        <v/>
      </c>
      <c r="U42" s="55" t="str">
        <f t="shared" si="2"/>
        <v/>
      </c>
      <c r="V42" s="55"/>
      <c r="W42" s="799"/>
      <c r="X42" s="799"/>
      <c r="Y42" s="799"/>
      <c r="Z42" s="799"/>
      <c r="AA42" s="799"/>
      <c r="AB42" s="799"/>
      <c r="AC42" s="799"/>
      <c r="AD42" s="799"/>
      <c r="AE42" s="799"/>
      <c r="AF42" s="290"/>
      <c r="AG42" s="799"/>
      <c r="AH42" s="799"/>
      <c r="AI42" s="277" t="str">
        <f>+IF(U42="","",IF(U42&gt;=[5]PARÁMETROS!$F$5,"CUMPLE","NO CUMPLE"))</f>
        <v/>
      </c>
      <c r="AJ42" s="139"/>
      <c r="AK42" s="109"/>
    </row>
    <row r="43" spans="1:37" s="72" customFormat="1" ht="30" customHeight="1">
      <c r="A43" s="796"/>
      <c r="B43" s="58"/>
      <c r="C43" s="75"/>
      <c r="D43" s="60" t="str">
        <f>+IFERROR(INDEX([5]CONSOLIDADO!$D$4:$D$91,MATCH('EXP GEN. 20-26'!B43,[5]CONSOLIDADO!$C$4:$C$91,0)),"")</f>
        <v/>
      </c>
      <c r="E43" s="61"/>
      <c r="F43" s="61"/>
      <c r="G43" s="277"/>
      <c r="H43" s="277"/>
      <c r="I43" s="73"/>
      <c r="J43" s="64"/>
      <c r="K43" s="64"/>
      <c r="L43" s="65" t="str">
        <f t="shared" si="0"/>
        <v/>
      </c>
      <c r="M43" s="66" t="str">
        <f>+IFERROR(INDEX([5]PARÁMETROS!$B$11:$B$37,MATCH(L43,[5]PARÁMETROS!$A$11:$A$37,0)),"")</f>
        <v/>
      </c>
      <c r="N43" s="74"/>
      <c r="O43" s="66"/>
      <c r="P43" s="58"/>
      <c r="Q43" s="69"/>
      <c r="R43" s="70"/>
      <c r="S43" s="66" t="str">
        <f t="shared" si="3"/>
        <v/>
      </c>
      <c r="T43" s="55" t="str">
        <f t="shared" si="1"/>
        <v/>
      </c>
      <c r="U43" s="55" t="str">
        <f t="shared" si="2"/>
        <v/>
      </c>
      <c r="V43" s="55"/>
      <c r="W43" s="799"/>
      <c r="X43" s="799"/>
      <c r="Y43" s="799"/>
      <c r="Z43" s="799"/>
      <c r="AA43" s="799"/>
      <c r="AB43" s="799"/>
      <c r="AC43" s="799"/>
      <c r="AD43" s="799"/>
      <c r="AE43" s="799"/>
      <c r="AF43" s="290"/>
      <c r="AG43" s="799"/>
      <c r="AH43" s="799"/>
      <c r="AI43" s="277" t="str">
        <f>+IF(U43="","",IF(U43&gt;=[5]PARÁMETROS!$F$5,"CUMPLE","NO CUMPLE"))</f>
        <v/>
      </c>
      <c r="AJ43" s="139"/>
      <c r="AK43" s="109"/>
    </row>
    <row r="44" spans="1:37" s="72" customFormat="1" ht="30" customHeight="1">
      <c r="A44" s="796"/>
      <c r="B44" s="58"/>
      <c r="C44" s="75"/>
      <c r="D44" s="60" t="str">
        <f>+IFERROR(INDEX([5]CONSOLIDADO!$D$4:$D$91,MATCH('EXP GEN. 20-26'!B44,[5]CONSOLIDADO!$C$4:$C$91,0)),"")</f>
        <v/>
      </c>
      <c r="E44" s="61"/>
      <c r="F44" s="61"/>
      <c r="G44" s="277"/>
      <c r="H44" s="277"/>
      <c r="I44" s="73"/>
      <c r="J44" s="64"/>
      <c r="K44" s="64"/>
      <c r="L44" s="65" t="str">
        <f t="shared" si="0"/>
        <v/>
      </c>
      <c r="M44" s="66" t="str">
        <f>+IFERROR(INDEX([5]PARÁMETROS!$B$11:$B$37,MATCH(L44,[5]PARÁMETROS!$A$11:$A$37,0)),"")</f>
        <v/>
      </c>
      <c r="N44" s="74"/>
      <c r="O44" s="66"/>
      <c r="P44" s="58"/>
      <c r="Q44" s="69"/>
      <c r="R44" s="70"/>
      <c r="S44" s="66" t="str">
        <f t="shared" si="3"/>
        <v/>
      </c>
      <c r="T44" s="55" t="str">
        <f t="shared" si="1"/>
        <v/>
      </c>
      <c r="U44" s="55" t="str">
        <f t="shared" si="2"/>
        <v/>
      </c>
      <c r="V44" s="55"/>
      <c r="W44" s="799"/>
      <c r="X44" s="799"/>
      <c r="Y44" s="799"/>
      <c r="Z44" s="799"/>
      <c r="AA44" s="799"/>
      <c r="AB44" s="799"/>
      <c r="AC44" s="799"/>
      <c r="AD44" s="799"/>
      <c r="AE44" s="799"/>
      <c r="AF44" s="290"/>
      <c r="AG44" s="799"/>
      <c r="AH44" s="799"/>
      <c r="AI44" s="277" t="str">
        <f>+IF(U44="","",IF(U44&gt;=[5]PARÁMETROS!$F$5,"CUMPLE","NO CUMPLE"))</f>
        <v/>
      </c>
      <c r="AJ44" s="139"/>
      <c r="AK44" s="109"/>
    </row>
    <row r="45" spans="1:37" s="72" customFormat="1" ht="30" customHeight="1" thickBot="1">
      <c r="A45" s="806"/>
      <c r="B45" s="141"/>
      <c r="C45" s="142"/>
      <c r="D45" s="143" t="str">
        <f>+IFERROR(INDEX([5]CONSOLIDADO!$D$4:$D$91,MATCH('EXP GEN. 20-26'!B45,[5]CONSOLIDADO!$C$4:$C$91,0)),"")</f>
        <v/>
      </c>
      <c r="E45" s="144"/>
      <c r="F45" s="144"/>
      <c r="G45" s="278"/>
      <c r="H45" s="278"/>
      <c r="I45" s="164"/>
      <c r="J45" s="147"/>
      <c r="K45" s="147"/>
      <c r="L45" s="148" t="str">
        <f t="shared" si="0"/>
        <v/>
      </c>
      <c r="M45" s="149" t="str">
        <f>+IFERROR(INDEX([5]PARÁMETROS!$B$11:$B$37,MATCH(L45,[5]PARÁMETROS!$A$11:$A$37,0)),"")</f>
        <v/>
      </c>
      <c r="N45" s="165"/>
      <c r="O45" s="149"/>
      <c r="P45" s="141"/>
      <c r="Q45" s="152"/>
      <c r="R45" s="153"/>
      <c r="S45" s="149" t="str">
        <f t="shared" si="3"/>
        <v/>
      </c>
      <c r="T45" s="154" t="str">
        <f t="shared" si="1"/>
        <v/>
      </c>
      <c r="U45" s="154" t="str">
        <f t="shared" si="2"/>
        <v/>
      </c>
      <c r="V45" s="154"/>
      <c r="W45" s="801"/>
      <c r="X45" s="801"/>
      <c r="Y45" s="801"/>
      <c r="Z45" s="801"/>
      <c r="AA45" s="801"/>
      <c r="AB45" s="801"/>
      <c r="AC45" s="801"/>
      <c r="AD45" s="801"/>
      <c r="AE45" s="801"/>
      <c r="AF45" s="289"/>
      <c r="AG45" s="801"/>
      <c r="AH45" s="801"/>
      <c r="AI45" s="278" t="str">
        <f>+IF(U45="","",IF(U45&gt;=[5]PARÁMETROS!$F$5,"CUMPLE","NO CUMPLE"))</f>
        <v/>
      </c>
      <c r="AJ45" s="155"/>
      <c r="AK45" s="109"/>
    </row>
    <row r="46" spans="1:37" s="72" customFormat="1" ht="30" customHeight="1">
      <c r="A46" s="795"/>
      <c r="B46" s="123"/>
      <c r="C46" s="157"/>
      <c r="D46" s="125" t="str">
        <f>+IFERROR(INDEX([5]CONSOLIDADO!$D$4:$D$91,MATCH('EXP GEN. 20-26'!B46,[5]CONSOLIDADO!$C$4:$C$91,0)),"")</f>
        <v/>
      </c>
      <c r="E46" s="126"/>
      <c r="F46" s="126"/>
      <c r="G46" s="279"/>
      <c r="H46" s="279"/>
      <c r="I46" s="162"/>
      <c r="J46" s="129"/>
      <c r="K46" s="129"/>
      <c r="L46" s="130" t="str">
        <f t="shared" si="0"/>
        <v/>
      </c>
      <c r="M46" s="131" t="str">
        <f>+IFERROR(INDEX([5]PARÁMETROS!$B$11:$B$37,MATCH(L46,[5]PARÁMETROS!$A$11:$A$37,0)),"")</f>
        <v/>
      </c>
      <c r="N46" s="163"/>
      <c r="O46" s="131"/>
      <c r="P46" s="123"/>
      <c r="Q46" s="134"/>
      <c r="R46" s="135"/>
      <c r="S46" s="131" t="str">
        <f t="shared" si="3"/>
        <v/>
      </c>
      <c r="T46" s="136" t="str">
        <f t="shared" si="1"/>
        <v/>
      </c>
      <c r="U46" s="136" t="str">
        <f t="shared" si="2"/>
        <v/>
      </c>
      <c r="V46" s="136"/>
      <c r="W46" s="798"/>
      <c r="X46" s="798"/>
      <c r="Y46" s="798"/>
      <c r="Z46" s="798"/>
      <c r="AA46" s="798"/>
      <c r="AB46" s="798"/>
      <c r="AC46" s="798"/>
      <c r="AD46" s="798"/>
      <c r="AE46" s="798"/>
      <c r="AF46" s="291"/>
      <c r="AG46" s="798" t="str">
        <f>IF(U46="","",IF(SUM(U46:U48)&gt;=[5]PARÁMETROS!$H$5,"HÁBIL","NO HÁBIL"))</f>
        <v/>
      </c>
      <c r="AH46" s="798" t="str">
        <f>IF(U46="","",IF(U46&gt;=[5]PARÁMETROS!$F$5,"HÁBIL","NO HÁBIL"))</f>
        <v/>
      </c>
      <c r="AI46" s="279" t="str">
        <f>+IF(U46="","",IF(U46&gt;=[5]PARÁMETROS!$D$5,"CUMPLE","NO CUMPLE"))</f>
        <v/>
      </c>
      <c r="AJ46" s="138"/>
      <c r="AK46" s="109"/>
    </row>
    <row r="47" spans="1:37" s="72" customFormat="1" ht="30" customHeight="1">
      <c r="A47" s="796"/>
      <c r="B47" s="58"/>
      <c r="C47" s="75"/>
      <c r="D47" s="60" t="str">
        <f>+IFERROR(INDEX([5]CONSOLIDADO!$D$4:$D$91,MATCH('EXP GEN. 20-26'!B47,[5]CONSOLIDADO!$C$4:$C$91,0)),"")</f>
        <v/>
      </c>
      <c r="E47" s="61"/>
      <c r="F47" s="61"/>
      <c r="G47" s="277"/>
      <c r="H47" s="277"/>
      <c r="I47" s="73"/>
      <c r="J47" s="64"/>
      <c r="K47" s="64"/>
      <c r="L47" s="65" t="str">
        <f t="shared" si="0"/>
        <v/>
      </c>
      <c r="M47" s="66" t="str">
        <f>+IFERROR(INDEX([5]PARÁMETROS!$B$11:$B$37,MATCH(L47,[5]PARÁMETROS!$A$11:$A$37,0)),"")</f>
        <v/>
      </c>
      <c r="N47" s="74"/>
      <c r="O47" s="66"/>
      <c r="P47" s="58"/>
      <c r="Q47" s="69"/>
      <c r="R47" s="70"/>
      <c r="S47" s="66" t="str">
        <f t="shared" si="3"/>
        <v/>
      </c>
      <c r="T47" s="55" t="str">
        <f t="shared" si="1"/>
        <v/>
      </c>
      <c r="U47" s="55" t="str">
        <f t="shared" si="2"/>
        <v/>
      </c>
      <c r="V47" s="55"/>
      <c r="W47" s="799"/>
      <c r="X47" s="799"/>
      <c r="Y47" s="799"/>
      <c r="Z47" s="799"/>
      <c r="AA47" s="799"/>
      <c r="AB47" s="799"/>
      <c r="AC47" s="799"/>
      <c r="AD47" s="799"/>
      <c r="AE47" s="799"/>
      <c r="AF47" s="290"/>
      <c r="AG47" s="799"/>
      <c r="AH47" s="799"/>
      <c r="AI47" s="277" t="str">
        <f>+IF(U47="","",IF(U47&gt;=[5]PARÁMETROS!$D$5,"CUMPLE","NO CUMPLE"))</f>
        <v/>
      </c>
      <c r="AJ47" s="139"/>
      <c r="AK47" s="109"/>
    </row>
    <row r="48" spans="1:37" s="72" customFormat="1" ht="30" customHeight="1">
      <c r="A48" s="796"/>
      <c r="B48" s="58"/>
      <c r="C48" s="75"/>
      <c r="D48" s="60" t="str">
        <f>+IFERROR(INDEX([5]CONSOLIDADO!$D$4:$D$91,MATCH('EXP GEN. 20-26'!B48,[5]CONSOLIDADO!$C$4:$C$91,0)),"")</f>
        <v/>
      </c>
      <c r="E48" s="61"/>
      <c r="F48" s="61"/>
      <c r="G48" s="277"/>
      <c r="H48" s="277"/>
      <c r="I48" s="73"/>
      <c r="J48" s="64"/>
      <c r="K48" s="64"/>
      <c r="L48" s="65" t="str">
        <f t="shared" si="0"/>
        <v/>
      </c>
      <c r="M48" s="66" t="str">
        <f>+IFERROR(INDEX([5]PARÁMETROS!$B$11:$B$37,MATCH(L48,[5]PARÁMETROS!$A$11:$A$37,0)),"")</f>
        <v/>
      </c>
      <c r="N48" s="74"/>
      <c r="O48" s="66"/>
      <c r="P48" s="58"/>
      <c r="Q48" s="69"/>
      <c r="R48" s="70"/>
      <c r="S48" s="66" t="str">
        <f t="shared" si="3"/>
        <v/>
      </c>
      <c r="T48" s="55" t="str">
        <f t="shared" si="1"/>
        <v/>
      </c>
      <c r="U48" s="55" t="str">
        <f t="shared" si="2"/>
        <v/>
      </c>
      <c r="V48" s="55"/>
      <c r="W48" s="799"/>
      <c r="X48" s="799"/>
      <c r="Y48" s="799"/>
      <c r="Z48" s="799"/>
      <c r="AA48" s="799"/>
      <c r="AB48" s="799"/>
      <c r="AC48" s="799"/>
      <c r="AD48" s="799"/>
      <c r="AE48" s="799"/>
      <c r="AF48" s="290"/>
      <c r="AG48" s="799"/>
      <c r="AH48" s="799"/>
      <c r="AI48" s="277" t="str">
        <f>+IF(U48="","",IF(U48&gt;=[5]PARÁMETROS!$D$5,"CUMPLE","NO CUMPLE"))</f>
        <v/>
      </c>
      <c r="AJ48" s="139"/>
      <c r="AK48" s="109"/>
    </row>
    <row r="49" spans="1:37" s="72" customFormat="1" ht="30" customHeight="1">
      <c r="A49" s="796"/>
      <c r="B49" s="58"/>
      <c r="C49" s="75"/>
      <c r="D49" s="60" t="str">
        <f>+IFERROR(INDEX([5]CONSOLIDADO!$D$4:$D$91,MATCH('EXP GEN. 20-26'!B49,[5]CONSOLIDADO!$C$4:$C$91,0)),"")</f>
        <v/>
      </c>
      <c r="E49" s="61"/>
      <c r="F49" s="61"/>
      <c r="G49" s="277"/>
      <c r="H49" s="277"/>
      <c r="I49" s="73"/>
      <c r="J49" s="64"/>
      <c r="K49" s="64"/>
      <c r="L49" s="65" t="str">
        <f t="shared" si="0"/>
        <v/>
      </c>
      <c r="M49" s="66" t="str">
        <f>+IFERROR(INDEX([5]PARÁMETROS!$B$11:$B$37,MATCH(L49,[5]PARÁMETROS!$A$11:$A$37,0)),"")</f>
        <v/>
      </c>
      <c r="N49" s="74"/>
      <c r="O49" s="66"/>
      <c r="P49" s="58"/>
      <c r="Q49" s="69"/>
      <c r="R49" s="70"/>
      <c r="S49" s="66" t="str">
        <f t="shared" si="3"/>
        <v/>
      </c>
      <c r="T49" s="55" t="str">
        <f t="shared" si="1"/>
        <v/>
      </c>
      <c r="U49" s="55" t="str">
        <f t="shared" si="2"/>
        <v/>
      </c>
      <c r="V49" s="55"/>
      <c r="W49" s="799"/>
      <c r="X49" s="799"/>
      <c r="Y49" s="799"/>
      <c r="Z49" s="799"/>
      <c r="AA49" s="799"/>
      <c r="AB49" s="799"/>
      <c r="AC49" s="799"/>
      <c r="AD49" s="799"/>
      <c r="AE49" s="799"/>
      <c r="AF49" s="290"/>
      <c r="AG49" s="799"/>
      <c r="AH49" s="799"/>
      <c r="AI49" s="277" t="str">
        <f>+IF(U49="","",IF(U49&gt;=[5]PARÁMETROS!$D$5,"CUMPLE","NO CUMPLE"))</f>
        <v/>
      </c>
      <c r="AJ49" s="139"/>
      <c r="AK49" s="109"/>
    </row>
    <row r="50" spans="1:37" s="72" customFormat="1" ht="30" customHeight="1">
      <c r="A50" s="796"/>
      <c r="B50" s="58"/>
      <c r="C50" s="75"/>
      <c r="D50" s="60" t="str">
        <f>+IFERROR(INDEX([5]CONSOLIDADO!$D$4:$D$91,MATCH('EXP GEN. 20-26'!B50,[5]CONSOLIDADO!$C$4:$C$91,0)),"")</f>
        <v/>
      </c>
      <c r="E50" s="61"/>
      <c r="F50" s="61"/>
      <c r="G50" s="277"/>
      <c r="H50" s="277"/>
      <c r="I50" s="73"/>
      <c r="J50" s="64"/>
      <c r="K50" s="64"/>
      <c r="L50" s="65" t="str">
        <f t="shared" si="0"/>
        <v/>
      </c>
      <c r="M50" s="66" t="str">
        <f>+IFERROR(INDEX([5]PARÁMETROS!$B$11:$B$37,MATCH(L50,[5]PARÁMETROS!$A$11:$A$37,0)),"")</f>
        <v/>
      </c>
      <c r="N50" s="74"/>
      <c r="O50" s="66"/>
      <c r="P50" s="58"/>
      <c r="Q50" s="69"/>
      <c r="R50" s="70"/>
      <c r="S50" s="66" t="str">
        <f t="shared" si="3"/>
        <v/>
      </c>
      <c r="T50" s="55" t="str">
        <f t="shared" si="1"/>
        <v/>
      </c>
      <c r="U50" s="55" t="str">
        <f t="shared" si="2"/>
        <v/>
      </c>
      <c r="V50" s="55"/>
      <c r="W50" s="799"/>
      <c r="X50" s="799"/>
      <c r="Y50" s="799"/>
      <c r="Z50" s="799"/>
      <c r="AA50" s="799"/>
      <c r="AB50" s="799"/>
      <c r="AC50" s="799"/>
      <c r="AD50" s="799"/>
      <c r="AE50" s="799"/>
      <c r="AF50" s="290"/>
      <c r="AG50" s="799"/>
      <c r="AH50" s="799"/>
      <c r="AI50" s="277" t="str">
        <f>+IF(U50="","",IF(U50&gt;=[5]PARÁMETROS!$D$5,"CUMPLE","NO CUMPLE"))</f>
        <v/>
      </c>
      <c r="AJ50" s="139"/>
      <c r="AK50" s="109"/>
    </row>
    <row r="51" spans="1:37" s="72" customFormat="1" ht="30" customHeight="1" thickBot="1">
      <c r="A51" s="806"/>
      <c r="B51" s="141"/>
      <c r="C51" s="142"/>
      <c r="D51" s="143" t="str">
        <f>+IFERROR(INDEX([5]CONSOLIDADO!$D$4:$D$91,MATCH('EXP GEN. 20-26'!B51,[5]CONSOLIDADO!$C$4:$C$91,0)),"")</f>
        <v/>
      </c>
      <c r="E51" s="144"/>
      <c r="F51" s="144"/>
      <c r="G51" s="278"/>
      <c r="H51" s="278"/>
      <c r="I51" s="164"/>
      <c r="J51" s="147"/>
      <c r="K51" s="147"/>
      <c r="L51" s="148" t="str">
        <f t="shared" si="0"/>
        <v/>
      </c>
      <c r="M51" s="149" t="str">
        <f>+IFERROR(INDEX([5]PARÁMETROS!$B$11:$B$37,MATCH(L51,[5]PARÁMETROS!$A$11:$A$37,0)),"")</f>
        <v/>
      </c>
      <c r="N51" s="165"/>
      <c r="O51" s="149"/>
      <c r="P51" s="141"/>
      <c r="Q51" s="152"/>
      <c r="R51" s="153"/>
      <c r="S51" s="149" t="str">
        <f t="shared" si="3"/>
        <v/>
      </c>
      <c r="T51" s="154" t="str">
        <f t="shared" si="1"/>
        <v/>
      </c>
      <c r="U51" s="154" t="str">
        <f t="shared" si="2"/>
        <v/>
      </c>
      <c r="V51" s="154"/>
      <c r="W51" s="801"/>
      <c r="X51" s="801"/>
      <c r="Y51" s="801"/>
      <c r="Z51" s="801"/>
      <c r="AA51" s="801"/>
      <c r="AB51" s="801"/>
      <c r="AC51" s="801"/>
      <c r="AD51" s="801"/>
      <c r="AE51" s="801"/>
      <c r="AF51" s="289"/>
      <c r="AG51" s="801"/>
      <c r="AH51" s="801"/>
      <c r="AI51" s="278" t="str">
        <f>+IF(U51="","",IF(U51&gt;=[5]PARÁMETROS!$D$5,"CUMPLE","NO CUMPLE"))</f>
        <v/>
      </c>
      <c r="AJ51" s="155"/>
      <c r="AK51" s="109"/>
    </row>
    <row r="52" spans="1:37" s="72" customFormat="1" ht="30" customHeight="1">
      <c r="A52" s="795"/>
      <c r="B52" s="123"/>
      <c r="C52" s="157"/>
      <c r="D52" s="125" t="str">
        <f>+IFERROR(INDEX([5]CONSOLIDADO!$D$4:$D$91,MATCH('EXP GEN. 20-26'!B52,[5]CONSOLIDADO!$C$4:$C$91,0)),"")</f>
        <v/>
      </c>
      <c r="E52" s="126"/>
      <c r="F52" s="126"/>
      <c r="G52" s="279"/>
      <c r="H52" s="279"/>
      <c r="I52" s="162"/>
      <c r="J52" s="129"/>
      <c r="K52" s="129"/>
      <c r="L52" s="130" t="str">
        <f t="shared" si="0"/>
        <v/>
      </c>
      <c r="M52" s="131" t="str">
        <f>+IFERROR(INDEX([5]PARÁMETROS!$B$11:$B$37,MATCH(L52,[5]PARÁMETROS!$A$11:$A$37,0)),"")</f>
        <v/>
      </c>
      <c r="N52" s="163"/>
      <c r="O52" s="131"/>
      <c r="P52" s="123"/>
      <c r="Q52" s="134"/>
      <c r="R52" s="135"/>
      <c r="S52" s="131" t="str">
        <f t="shared" si="3"/>
        <v/>
      </c>
      <c r="T52" s="136" t="str">
        <f t="shared" si="1"/>
        <v/>
      </c>
      <c r="U52" s="136" t="str">
        <f t="shared" si="2"/>
        <v/>
      </c>
      <c r="V52" s="136"/>
      <c r="W52" s="798"/>
      <c r="X52" s="798"/>
      <c r="Y52" s="798"/>
      <c r="Z52" s="798"/>
      <c r="AA52" s="798"/>
      <c r="AB52" s="798"/>
      <c r="AC52" s="798"/>
      <c r="AD52" s="798"/>
      <c r="AE52" s="798"/>
      <c r="AF52" s="291"/>
      <c r="AG52" s="798" t="str">
        <f>IF(U52="","",IF(SUM(U52:U54)&gt;=[5]PARÁMETROS!$H$5,"HÁBIL","NO HÁBIL"))</f>
        <v/>
      </c>
      <c r="AH52" s="798" t="str">
        <f>IF(U52="","",IF(U52&gt;=[5]PARÁMETROS!$F$5,"HÁBIL","NO HÁBIL"))</f>
        <v/>
      </c>
      <c r="AI52" s="279" t="str">
        <f>+IF(U52="","",IF(U52&gt;=[5]PARÁMETROS!$D$5,"CUMPLE","NO CUMPLE"))</f>
        <v/>
      </c>
      <c r="AJ52" s="138"/>
      <c r="AK52" s="109"/>
    </row>
    <row r="53" spans="1:37" s="72" customFormat="1" ht="30" customHeight="1">
      <c r="A53" s="796"/>
      <c r="B53" s="58"/>
      <c r="C53" s="75"/>
      <c r="D53" s="60" t="str">
        <f>+IFERROR(INDEX([5]CONSOLIDADO!$D$4:$D$91,MATCH('EXP GEN. 20-26'!B53,[5]CONSOLIDADO!$C$4:$C$91,0)),"")</f>
        <v/>
      </c>
      <c r="E53" s="61"/>
      <c r="F53" s="61"/>
      <c r="G53" s="277"/>
      <c r="H53" s="277"/>
      <c r="I53" s="73"/>
      <c r="J53" s="64"/>
      <c r="K53" s="64"/>
      <c r="L53" s="65" t="str">
        <f t="shared" si="0"/>
        <v/>
      </c>
      <c r="M53" s="66" t="str">
        <f>+IFERROR(INDEX([5]PARÁMETROS!$B$11:$B$37,MATCH(L53,[5]PARÁMETROS!$A$11:$A$37,0)),"")</f>
        <v/>
      </c>
      <c r="N53" s="74"/>
      <c r="O53" s="66"/>
      <c r="P53" s="58"/>
      <c r="Q53" s="69"/>
      <c r="R53" s="70"/>
      <c r="S53" s="66" t="str">
        <f t="shared" si="3"/>
        <v/>
      </c>
      <c r="T53" s="55" t="str">
        <f t="shared" si="1"/>
        <v/>
      </c>
      <c r="U53" s="55" t="str">
        <f t="shared" si="2"/>
        <v/>
      </c>
      <c r="V53" s="55"/>
      <c r="W53" s="799"/>
      <c r="X53" s="799"/>
      <c r="Y53" s="799"/>
      <c r="Z53" s="799"/>
      <c r="AA53" s="799"/>
      <c r="AB53" s="799"/>
      <c r="AC53" s="799"/>
      <c r="AD53" s="799"/>
      <c r="AE53" s="799"/>
      <c r="AF53" s="290"/>
      <c r="AG53" s="799"/>
      <c r="AH53" s="799"/>
      <c r="AI53" s="277" t="str">
        <f>+IF(U53="","",IF(U53&gt;=[5]PARÁMETROS!$D$5,"CUMPLE","NO CUMPLE"))</f>
        <v/>
      </c>
      <c r="AJ53" s="139"/>
      <c r="AK53" s="109"/>
    </row>
    <row r="54" spans="1:37" s="72" customFormat="1" ht="30" customHeight="1">
      <c r="A54" s="796"/>
      <c r="B54" s="58"/>
      <c r="C54" s="75"/>
      <c r="D54" s="60" t="str">
        <f>+IFERROR(INDEX([5]CONSOLIDADO!$D$4:$D$91,MATCH('EXP GEN. 20-26'!B54,[5]CONSOLIDADO!$C$4:$C$91,0)),"")</f>
        <v/>
      </c>
      <c r="E54" s="61"/>
      <c r="F54" s="61"/>
      <c r="G54" s="277"/>
      <c r="H54" s="277"/>
      <c r="I54" s="73"/>
      <c r="J54" s="64"/>
      <c r="K54" s="64"/>
      <c r="L54" s="65" t="str">
        <f t="shared" si="0"/>
        <v/>
      </c>
      <c r="M54" s="66" t="str">
        <f>+IFERROR(INDEX([5]PARÁMETROS!$B$11:$B$37,MATCH(L54,[5]PARÁMETROS!$A$11:$A$37,0)),"")</f>
        <v/>
      </c>
      <c r="N54" s="74"/>
      <c r="O54" s="66"/>
      <c r="P54" s="58"/>
      <c r="Q54" s="69"/>
      <c r="R54" s="70"/>
      <c r="S54" s="66" t="str">
        <f t="shared" si="3"/>
        <v/>
      </c>
      <c r="T54" s="55" t="str">
        <f t="shared" si="1"/>
        <v/>
      </c>
      <c r="U54" s="55" t="str">
        <f t="shared" si="2"/>
        <v/>
      </c>
      <c r="V54" s="55"/>
      <c r="W54" s="799"/>
      <c r="X54" s="799"/>
      <c r="Y54" s="799"/>
      <c r="Z54" s="799"/>
      <c r="AA54" s="799"/>
      <c r="AB54" s="799"/>
      <c r="AC54" s="799"/>
      <c r="AD54" s="799"/>
      <c r="AE54" s="799"/>
      <c r="AF54" s="290"/>
      <c r="AG54" s="799"/>
      <c r="AH54" s="799"/>
      <c r="AI54" s="277" t="str">
        <f>+IF(U54="","",IF(U54&gt;=[5]PARÁMETROS!$D$5,"CUMPLE","NO CUMPLE"))</f>
        <v/>
      </c>
      <c r="AJ54" s="139"/>
      <c r="AK54" s="109"/>
    </row>
    <row r="55" spans="1:37" s="72" customFormat="1" ht="30" customHeight="1">
      <c r="A55" s="796"/>
      <c r="B55" s="58"/>
      <c r="C55" s="75"/>
      <c r="D55" s="60" t="str">
        <f>+IFERROR(INDEX([5]CONSOLIDADO!$D$4:$D$91,MATCH('EXP GEN. 20-26'!B55,[5]CONSOLIDADO!$C$4:$C$91,0)),"")</f>
        <v/>
      </c>
      <c r="E55" s="61"/>
      <c r="F55" s="61"/>
      <c r="G55" s="277"/>
      <c r="H55" s="277"/>
      <c r="I55" s="73"/>
      <c r="J55" s="64"/>
      <c r="K55" s="64"/>
      <c r="L55" s="65" t="str">
        <f t="shared" si="0"/>
        <v/>
      </c>
      <c r="M55" s="66" t="str">
        <f>+IFERROR(INDEX([5]PARÁMETROS!$B$11:$B$37,MATCH(L55,[5]PARÁMETROS!$A$11:$A$37,0)),"")</f>
        <v/>
      </c>
      <c r="N55" s="74"/>
      <c r="O55" s="66"/>
      <c r="P55" s="58"/>
      <c r="Q55" s="69"/>
      <c r="R55" s="70"/>
      <c r="S55" s="66" t="str">
        <f t="shared" si="3"/>
        <v/>
      </c>
      <c r="T55" s="55" t="str">
        <f t="shared" si="1"/>
        <v/>
      </c>
      <c r="U55" s="55" t="str">
        <f t="shared" si="2"/>
        <v/>
      </c>
      <c r="V55" s="55"/>
      <c r="W55" s="799"/>
      <c r="X55" s="799"/>
      <c r="Y55" s="799"/>
      <c r="Z55" s="799"/>
      <c r="AA55" s="799"/>
      <c r="AB55" s="799"/>
      <c r="AC55" s="799"/>
      <c r="AD55" s="799"/>
      <c r="AE55" s="799"/>
      <c r="AF55" s="290"/>
      <c r="AG55" s="799"/>
      <c r="AH55" s="799"/>
      <c r="AI55" s="277" t="str">
        <f>+IF(U55="","",IF(U55&gt;=[5]PARÁMETROS!$D$5,"CUMPLE","NO CUMPLE"))</f>
        <v/>
      </c>
      <c r="AJ55" s="139"/>
      <c r="AK55" s="109"/>
    </row>
    <row r="56" spans="1:37" s="72" customFormat="1" ht="30" customHeight="1">
      <c r="A56" s="796"/>
      <c r="B56" s="58"/>
      <c r="C56" s="75"/>
      <c r="D56" s="60" t="str">
        <f>+IFERROR(INDEX([5]CONSOLIDADO!$D$4:$D$91,MATCH('EXP GEN. 20-26'!B56,[5]CONSOLIDADO!$C$4:$C$91,0)),"")</f>
        <v/>
      </c>
      <c r="E56" s="61"/>
      <c r="F56" s="61"/>
      <c r="G56" s="277"/>
      <c r="H56" s="277"/>
      <c r="I56" s="73"/>
      <c r="J56" s="64"/>
      <c r="K56" s="64"/>
      <c r="L56" s="65" t="str">
        <f t="shared" si="0"/>
        <v/>
      </c>
      <c r="M56" s="66" t="str">
        <f>+IFERROR(INDEX([5]PARÁMETROS!$B$11:$B$37,MATCH(L56,[5]PARÁMETROS!$A$11:$A$37,0)),"")</f>
        <v/>
      </c>
      <c r="N56" s="74"/>
      <c r="O56" s="66"/>
      <c r="P56" s="58"/>
      <c r="Q56" s="69"/>
      <c r="R56" s="70"/>
      <c r="S56" s="66" t="str">
        <f t="shared" si="3"/>
        <v/>
      </c>
      <c r="T56" s="55" t="str">
        <f t="shared" si="1"/>
        <v/>
      </c>
      <c r="U56" s="55" t="str">
        <f t="shared" si="2"/>
        <v/>
      </c>
      <c r="V56" s="55"/>
      <c r="W56" s="799"/>
      <c r="X56" s="799"/>
      <c r="Y56" s="799"/>
      <c r="Z56" s="799"/>
      <c r="AA56" s="799"/>
      <c r="AB56" s="799"/>
      <c r="AC56" s="799"/>
      <c r="AD56" s="799"/>
      <c r="AE56" s="799"/>
      <c r="AF56" s="290"/>
      <c r="AG56" s="799"/>
      <c r="AH56" s="799"/>
      <c r="AI56" s="277" t="str">
        <f>+IF(U56="","",IF(U56&gt;=[5]PARÁMETROS!$D$5,"CUMPLE","NO CUMPLE"))</f>
        <v/>
      </c>
      <c r="AJ56" s="139"/>
      <c r="AK56" s="109"/>
    </row>
    <row r="57" spans="1:37" s="72" customFormat="1" ht="30" customHeight="1" thickBot="1">
      <c r="A57" s="806"/>
      <c r="B57" s="141"/>
      <c r="C57" s="142"/>
      <c r="D57" s="143" t="str">
        <f>+IFERROR(INDEX([5]CONSOLIDADO!$D$4:$D$91,MATCH('EXP GEN. 20-26'!B57,[5]CONSOLIDADO!$C$4:$C$91,0)),"")</f>
        <v/>
      </c>
      <c r="E57" s="144"/>
      <c r="F57" s="144"/>
      <c r="G57" s="278"/>
      <c r="H57" s="278"/>
      <c r="I57" s="164"/>
      <c r="J57" s="147"/>
      <c r="K57" s="147"/>
      <c r="L57" s="148" t="str">
        <f t="shared" ref="L57:L69" si="8">IF(K57="","",YEAR(K57))</f>
        <v/>
      </c>
      <c r="M57" s="149" t="str">
        <f>+IFERROR(INDEX([5]PARÁMETROS!$B$11:$B$37,MATCH(L57,[5]PARÁMETROS!$A$11:$A$37,0)),"")</f>
        <v/>
      </c>
      <c r="N57" s="165"/>
      <c r="O57" s="149"/>
      <c r="P57" s="141"/>
      <c r="Q57" s="152"/>
      <c r="R57" s="153"/>
      <c r="S57" s="149" t="str">
        <f t="shared" si="3"/>
        <v/>
      </c>
      <c r="T57" s="154" t="str">
        <f t="shared" ref="T57:T69" si="9">+IFERROR(S57/M57,"")</f>
        <v/>
      </c>
      <c r="U57" s="154" t="str">
        <f t="shared" ref="U57:U69" si="10">IFERROR(T57*I57,"")</f>
        <v/>
      </c>
      <c r="V57" s="154"/>
      <c r="W57" s="801"/>
      <c r="X57" s="801"/>
      <c r="Y57" s="801"/>
      <c r="Z57" s="801"/>
      <c r="AA57" s="801"/>
      <c r="AB57" s="801"/>
      <c r="AC57" s="801"/>
      <c r="AD57" s="801"/>
      <c r="AE57" s="801"/>
      <c r="AF57" s="289"/>
      <c r="AG57" s="801"/>
      <c r="AH57" s="801"/>
      <c r="AI57" s="278" t="str">
        <f>+IF(U57="","",IF(U57&gt;=[5]PARÁMETROS!$D$5,"CUMPLE","NO CUMPLE"))</f>
        <v/>
      </c>
      <c r="AJ57" s="155"/>
      <c r="AK57" s="109"/>
    </row>
    <row r="58" spans="1:37" s="72" customFormat="1" ht="30" customHeight="1">
      <c r="A58" s="795"/>
      <c r="B58" s="123"/>
      <c r="C58" s="157"/>
      <c r="D58" s="125" t="str">
        <f>+IFERROR(INDEX([5]CONSOLIDADO!$D$4:$D$91,MATCH('EXP GEN. 20-26'!B58,[5]CONSOLIDADO!$C$4:$C$91,0)),"")</f>
        <v/>
      </c>
      <c r="E58" s="126"/>
      <c r="F58" s="126"/>
      <c r="G58" s="279"/>
      <c r="H58" s="279"/>
      <c r="I58" s="162"/>
      <c r="J58" s="129"/>
      <c r="K58" s="129"/>
      <c r="L58" s="130" t="str">
        <f t="shared" si="8"/>
        <v/>
      </c>
      <c r="M58" s="131" t="str">
        <f>+IFERROR(INDEX([5]PARÁMETROS!$B$11:$B$37,MATCH(L58,[5]PARÁMETROS!$A$11:$A$37,0)),"")</f>
        <v/>
      </c>
      <c r="N58" s="163"/>
      <c r="O58" s="131"/>
      <c r="P58" s="123"/>
      <c r="Q58" s="134"/>
      <c r="R58" s="135"/>
      <c r="S58" s="131" t="str">
        <f t="shared" ref="S58:S69" si="11">IF(R58&lt;&gt;"",N58*R58,"")</f>
        <v/>
      </c>
      <c r="T58" s="136" t="str">
        <f t="shared" si="9"/>
        <v/>
      </c>
      <c r="U58" s="136" t="str">
        <f t="shared" si="10"/>
        <v/>
      </c>
      <c r="V58" s="136"/>
      <c r="W58" s="798"/>
      <c r="X58" s="798"/>
      <c r="Y58" s="798"/>
      <c r="Z58" s="798"/>
      <c r="AA58" s="798"/>
      <c r="AB58" s="798"/>
      <c r="AC58" s="798"/>
      <c r="AD58" s="798"/>
      <c r="AE58" s="798"/>
      <c r="AF58" s="291"/>
      <c r="AG58" s="798" t="str">
        <f>IF(U58="","",IF(SUM(U58:U60)&gt;=[5]PARÁMETROS!$H$5,"HÁBIL","NO HÁBIL"))</f>
        <v/>
      </c>
      <c r="AH58" s="798" t="str">
        <f>IF(U58="","",IF(U58&gt;=[5]PARÁMETROS!$F$5,"HÁBIL","NO HÁBIL"))</f>
        <v/>
      </c>
      <c r="AI58" s="279" t="str">
        <f>+IF(U58="","",IF(U58&gt;=[5]PARÁMETROS!$D$5,"CUMPLE","NO CUMPLE"))</f>
        <v/>
      </c>
      <c r="AJ58" s="138"/>
      <c r="AK58" s="109"/>
    </row>
    <row r="59" spans="1:37" s="72" customFormat="1" ht="30" customHeight="1">
      <c r="A59" s="796"/>
      <c r="B59" s="58"/>
      <c r="C59" s="75"/>
      <c r="D59" s="60" t="str">
        <f>+IFERROR(INDEX([5]CONSOLIDADO!$D$4:$D$91,MATCH('EXP GEN. 20-26'!B59,[5]CONSOLIDADO!$C$4:$C$91,0)),"")</f>
        <v/>
      </c>
      <c r="E59" s="61"/>
      <c r="F59" s="61"/>
      <c r="G59" s="277"/>
      <c r="H59" s="277"/>
      <c r="I59" s="73"/>
      <c r="J59" s="64"/>
      <c r="K59" s="64"/>
      <c r="L59" s="65" t="str">
        <f t="shared" si="8"/>
        <v/>
      </c>
      <c r="M59" s="66" t="str">
        <f>+IFERROR(INDEX([5]PARÁMETROS!$B$11:$B$37,MATCH(L59,[5]PARÁMETROS!$A$11:$A$37,0)),"")</f>
        <v/>
      </c>
      <c r="N59" s="74"/>
      <c r="O59" s="66"/>
      <c r="P59" s="58"/>
      <c r="Q59" s="69"/>
      <c r="R59" s="70"/>
      <c r="S59" s="66" t="str">
        <f t="shared" si="11"/>
        <v/>
      </c>
      <c r="T59" s="55" t="str">
        <f t="shared" si="9"/>
        <v/>
      </c>
      <c r="U59" s="55" t="str">
        <f t="shared" si="10"/>
        <v/>
      </c>
      <c r="V59" s="55"/>
      <c r="W59" s="799"/>
      <c r="X59" s="799"/>
      <c r="Y59" s="799"/>
      <c r="Z59" s="799"/>
      <c r="AA59" s="799"/>
      <c r="AB59" s="799"/>
      <c r="AC59" s="799"/>
      <c r="AD59" s="799"/>
      <c r="AE59" s="799"/>
      <c r="AF59" s="290"/>
      <c r="AG59" s="799"/>
      <c r="AH59" s="799"/>
      <c r="AI59" s="277" t="str">
        <f>+IF(U59="","",IF(U59&gt;=[5]PARÁMETROS!$D$5,"CUMPLE","NO CUMPLE"))</f>
        <v/>
      </c>
      <c r="AJ59" s="139"/>
      <c r="AK59" s="109"/>
    </row>
    <row r="60" spans="1:37" s="72" customFormat="1" ht="30" customHeight="1">
      <c r="A60" s="796"/>
      <c r="B60" s="58"/>
      <c r="C60" s="75"/>
      <c r="D60" s="60" t="str">
        <f>+IFERROR(INDEX([5]CONSOLIDADO!$D$4:$D$91,MATCH('EXP GEN. 20-26'!B60,[5]CONSOLIDADO!$C$4:$C$91,0)),"")</f>
        <v/>
      </c>
      <c r="E60" s="61"/>
      <c r="F60" s="61"/>
      <c r="G60" s="277"/>
      <c r="H60" s="277"/>
      <c r="I60" s="73"/>
      <c r="J60" s="64"/>
      <c r="K60" s="64"/>
      <c r="L60" s="65" t="str">
        <f t="shared" si="8"/>
        <v/>
      </c>
      <c r="M60" s="66" t="str">
        <f>+IFERROR(INDEX([5]PARÁMETROS!$B$11:$B$37,MATCH(L60,[5]PARÁMETROS!$A$11:$A$37,0)),"")</f>
        <v/>
      </c>
      <c r="N60" s="74"/>
      <c r="O60" s="66"/>
      <c r="P60" s="58"/>
      <c r="Q60" s="69"/>
      <c r="R60" s="70"/>
      <c r="S60" s="66" t="str">
        <f t="shared" si="11"/>
        <v/>
      </c>
      <c r="T60" s="55" t="str">
        <f t="shared" si="9"/>
        <v/>
      </c>
      <c r="U60" s="55" t="str">
        <f t="shared" si="10"/>
        <v/>
      </c>
      <c r="V60" s="55"/>
      <c r="W60" s="799"/>
      <c r="X60" s="799"/>
      <c r="Y60" s="799"/>
      <c r="Z60" s="799"/>
      <c r="AA60" s="799"/>
      <c r="AB60" s="799"/>
      <c r="AC60" s="799"/>
      <c r="AD60" s="799"/>
      <c r="AE60" s="799"/>
      <c r="AF60" s="290"/>
      <c r="AG60" s="799"/>
      <c r="AH60" s="799"/>
      <c r="AI60" s="277" t="str">
        <f>+IF(U60="","",IF(U60&gt;=[5]PARÁMETROS!$D$5,"CUMPLE","NO CUMPLE"))</f>
        <v/>
      </c>
      <c r="AJ60" s="139"/>
      <c r="AK60" s="109"/>
    </row>
    <row r="61" spans="1:37" s="72" customFormat="1" ht="30" customHeight="1">
      <c r="A61" s="796"/>
      <c r="B61" s="58"/>
      <c r="C61" s="75"/>
      <c r="D61" s="60" t="str">
        <f>+IFERROR(INDEX([5]CONSOLIDADO!$D$4:$D$91,MATCH('EXP GEN. 20-26'!B61,[5]CONSOLIDADO!$C$4:$C$91,0)),"")</f>
        <v/>
      </c>
      <c r="E61" s="61"/>
      <c r="F61" s="61"/>
      <c r="G61" s="277"/>
      <c r="H61" s="277"/>
      <c r="I61" s="73"/>
      <c r="J61" s="64"/>
      <c r="K61" s="64"/>
      <c r="L61" s="65" t="str">
        <f t="shared" si="8"/>
        <v/>
      </c>
      <c r="M61" s="66" t="str">
        <f>+IFERROR(INDEX([5]PARÁMETROS!$B$11:$B$37,MATCH(L61,[5]PARÁMETROS!$A$11:$A$37,0)),"")</f>
        <v/>
      </c>
      <c r="N61" s="74"/>
      <c r="O61" s="66"/>
      <c r="P61" s="58"/>
      <c r="Q61" s="69"/>
      <c r="R61" s="70"/>
      <c r="S61" s="66" t="str">
        <f t="shared" si="11"/>
        <v/>
      </c>
      <c r="T61" s="55" t="str">
        <f t="shared" si="9"/>
        <v/>
      </c>
      <c r="U61" s="55" t="str">
        <f t="shared" si="10"/>
        <v/>
      </c>
      <c r="V61" s="55"/>
      <c r="W61" s="799"/>
      <c r="X61" s="799"/>
      <c r="Y61" s="799"/>
      <c r="Z61" s="799"/>
      <c r="AA61" s="799"/>
      <c r="AB61" s="799"/>
      <c r="AC61" s="799"/>
      <c r="AD61" s="799"/>
      <c r="AE61" s="799"/>
      <c r="AF61" s="290"/>
      <c r="AG61" s="799"/>
      <c r="AH61" s="799"/>
      <c r="AI61" s="277" t="str">
        <f>+IF(U61="","",IF(U61&gt;=[5]PARÁMETROS!$D$5,"CUMPLE","NO CUMPLE"))</f>
        <v/>
      </c>
      <c r="AJ61" s="139"/>
      <c r="AK61" s="109"/>
    </row>
    <row r="62" spans="1:37" s="72" customFormat="1" ht="30" customHeight="1">
      <c r="A62" s="796"/>
      <c r="B62" s="58"/>
      <c r="C62" s="75"/>
      <c r="D62" s="60" t="str">
        <f>+IFERROR(INDEX([5]CONSOLIDADO!$D$4:$D$91,MATCH('EXP GEN. 20-26'!B62,[5]CONSOLIDADO!$C$4:$C$91,0)),"")</f>
        <v/>
      </c>
      <c r="E62" s="61"/>
      <c r="F62" s="61"/>
      <c r="G62" s="277"/>
      <c r="H62" s="277"/>
      <c r="I62" s="73"/>
      <c r="J62" s="64"/>
      <c r="K62" s="64"/>
      <c r="L62" s="65" t="str">
        <f t="shared" si="8"/>
        <v/>
      </c>
      <c r="M62" s="66" t="str">
        <f>+IFERROR(INDEX([5]PARÁMETROS!$B$11:$B$37,MATCH(L62,[5]PARÁMETROS!$A$11:$A$37,0)),"")</f>
        <v/>
      </c>
      <c r="N62" s="74"/>
      <c r="O62" s="66"/>
      <c r="P62" s="58"/>
      <c r="Q62" s="69"/>
      <c r="R62" s="70"/>
      <c r="S62" s="66" t="str">
        <f t="shared" si="11"/>
        <v/>
      </c>
      <c r="T62" s="55" t="str">
        <f t="shared" si="9"/>
        <v/>
      </c>
      <c r="U62" s="55" t="str">
        <f t="shared" si="10"/>
        <v/>
      </c>
      <c r="V62" s="55"/>
      <c r="W62" s="799"/>
      <c r="X62" s="799"/>
      <c r="Y62" s="799"/>
      <c r="Z62" s="799"/>
      <c r="AA62" s="799"/>
      <c r="AB62" s="799"/>
      <c r="AC62" s="799"/>
      <c r="AD62" s="799"/>
      <c r="AE62" s="799"/>
      <c r="AF62" s="290"/>
      <c r="AG62" s="799"/>
      <c r="AH62" s="799"/>
      <c r="AI62" s="277" t="str">
        <f>+IF(U62="","",IF(U62&gt;=[5]PARÁMETROS!$D$5,"CUMPLE","NO CUMPLE"))</f>
        <v/>
      </c>
      <c r="AJ62" s="139"/>
      <c r="AK62" s="109"/>
    </row>
    <row r="63" spans="1:37" s="72" customFormat="1" ht="30" customHeight="1" thickBot="1">
      <c r="A63" s="806"/>
      <c r="B63" s="141"/>
      <c r="C63" s="142"/>
      <c r="D63" s="143" t="str">
        <f>+IFERROR(INDEX([5]CONSOLIDADO!$D$4:$D$91,MATCH('EXP GEN. 20-26'!B63,[5]CONSOLIDADO!$C$4:$C$91,0)),"")</f>
        <v/>
      </c>
      <c r="E63" s="144"/>
      <c r="F63" s="144"/>
      <c r="G63" s="278"/>
      <c r="H63" s="278"/>
      <c r="I63" s="164"/>
      <c r="J63" s="147"/>
      <c r="K63" s="147"/>
      <c r="L63" s="148" t="str">
        <f t="shared" si="8"/>
        <v/>
      </c>
      <c r="M63" s="149" t="str">
        <f>+IFERROR(INDEX([5]PARÁMETROS!$B$11:$B$37,MATCH(L63,[5]PARÁMETROS!$A$11:$A$37,0)),"")</f>
        <v/>
      </c>
      <c r="N63" s="165"/>
      <c r="O63" s="149"/>
      <c r="P63" s="141"/>
      <c r="Q63" s="152"/>
      <c r="R63" s="153"/>
      <c r="S63" s="149" t="str">
        <f t="shared" si="11"/>
        <v/>
      </c>
      <c r="T63" s="154" t="str">
        <f t="shared" si="9"/>
        <v/>
      </c>
      <c r="U63" s="154" t="str">
        <f t="shared" si="10"/>
        <v/>
      </c>
      <c r="V63" s="154"/>
      <c r="W63" s="801"/>
      <c r="X63" s="801"/>
      <c r="Y63" s="801"/>
      <c r="Z63" s="801"/>
      <c r="AA63" s="801"/>
      <c r="AB63" s="801"/>
      <c r="AC63" s="801"/>
      <c r="AD63" s="801"/>
      <c r="AE63" s="801"/>
      <c r="AF63" s="289"/>
      <c r="AG63" s="801"/>
      <c r="AH63" s="801"/>
      <c r="AI63" s="278" t="str">
        <f>+IF(U63="","",IF(U63&gt;=[5]PARÁMETROS!$D$5,"CUMPLE","NO CUMPLE"))</f>
        <v/>
      </c>
      <c r="AJ63" s="155"/>
      <c r="AK63" s="109"/>
    </row>
    <row r="64" spans="1:37" s="72" customFormat="1" ht="30" customHeight="1">
      <c r="A64" s="795"/>
      <c r="B64" s="123"/>
      <c r="C64" s="157"/>
      <c r="D64" s="125" t="str">
        <f>+IFERROR(INDEX([5]CONSOLIDADO!$D$4:$D$91,MATCH('EXP GEN. 20-26'!B64,[5]CONSOLIDADO!$C$4:$C$91,0)),"")</f>
        <v/>
      </c>
      <c r="E64" s="126"/>
      <c r="F64" s="126"/>
      <c r="G64" s="279"/>
      <c r="H64" s="279"/>
      <c r="I64" s="162"/>
      <c r="J64" s="129"/>
      <c r="K64" s="129"/>
      <c r="L64" s="130" t="str">
        <f t="shared" si="8"/>
        <v/>
      </c>
      <c r="M64" s="131" t="str">
        <f>+IFERROR(INDEX([5]PARÁMETROS!$B$11:$B$37,MATCH(L64,[5]PARÁMETROS!$A$11:$A$37,0)),"")</f>
        <v/>
      </c>
      <c r="N64" s="163"/>
      <c r="O64" s="131"/>
      <c r="P64" s="123"/>
      <c r="Q64" s="134"/>
      <c r="R64" s="135"/>
      <c r="S64" s="131" t="str">
        <f t="shared" si="11"/>
        <v/>
      </c>
      <c r="T64" s="136" t="str">
        <f t="shared" si="9"/>
        <v/>
      </c>
      <c r="U64" s="136" t="str">
        <f t="shared" si="10"/>
        <v/>
      </c>
      <c r="V64" s="136"/>
      <c r="W64" s="798"/>
      <c r="X64" s="798"/>
      <c r="Y64" s="798"/>
      <c r="Z64" s="798"/>
      <c r="AA64" s="798"/>
      <c r="AB64" s="798"/>
      <c r="AC64" s="798"/>
      <c r="AD64" s="798"/>
      <c r="AE64" s="798"/>
      <c r="AF64" s="291"/>
      <c r="AG64" s="798" t="str">
        <f>IF(U64="","",IF(SUM(U64:U66)&gt;=[5]PARÁMETROS!$H$5,"HÁBIL","NO HÁBIL"))</f>
        <v/>
      </c>
      <c r="AH64" s="798" t="str">
        <f>IF(U64="","",IF(U64&gt;=[5]PARÁMETROS!$F$5,"HÁBIL","NO HÁBIL"))</f>
        <v/>
      </c>
      <c r="AI64" s="279" t="str">
        <f>+IF(U64="","",IF(U64&gt;=[5]PARÁMETROS!$D$5,"CUMPLE","NO CUMPLE"))</f>
        <v/>
      </c>
      <c r="AJ64" s="138"/>
      <c r="AK64" s="109"/>
    </row>
    <row r="65" spans="1:37" s="72" customFormat="1" ht="30" customHeight="1">
      <c r="A65" s="796"/>
      <c r="B65" s="58"/>
      <c r="C65" s="75"/>
      <c r="D65" s="60" t="str">
        <f>+IFERROR(INDEX([5]CONSOLIDADO!$D$4:$D$91,MATCH('EXP GEN. 20-26'!B65,[5]CONSOLIDADO!$C$4:$C$91,0)),"")</f>
        <v/>
      </c>
      <c r="E65" s="61"/>
      <c r="F65" s="61"/>
      <c r="G65" s="277"/>
      <c r="H65" s="277"/>
      <c r="I65" s="73"/>
      <c r="J65" s="64"/>
      <c r="K65" s="64"/>
      <c r="L65" s="65" t="str">
        <f t="shared" si="8"/>
        <v/>
      </c>
      <c r="M65" s="66" t="str">
        <f>+IFERROR(INDEX([5]PARÁMETROS!$B$11:$B$37,MATCH(L65,[5]PARÁMETROS!$A$11:$A$37,0)),"")</f>
        <v/>
      </c>
      <c r="N65" s="74"/>
      <c r="O65" s="66"/>
      <c r="P65" s="58"/>
      <c r="Q65" s="69"/>
      <c r="R65" s="70"/>
      <c r="S65" s="66" t="str">
        <f t="shared" si="11"/>
        <v/>
      </c>
      <c r="T65" s="55" t="str">
        <f t="shared" si="9"/>
        <v/>
      </c>
      <c r="U65" s="55" t="str">
        <f t="shared" si="10"/>
        <v/>
      </c>
      <c r="V65" s="55"/>
      <c r="W65" s="799"/>
      <c r="X65" s="799"/>
      <c r="Y65" s="799"/>
      <c r="Z65" s="799"/>
      <c r="AA65" s="799"/>
      <c r="AB65" s="799"/>
      <c r="AC65" s="799"/>
      <c r="AD65" s="799"/>
      <c r="AE65" s="799"/>
      <c r="AF65" s="290"/>
      <c r="AG65" s="799"/>
      <c r="AH65" s="799"/>
      <c r="AI65" s="277" t="str">
        <f>+IF(U65="","",IF(U65&gt;=[5]PARÁMETROS!$D$5,"CUMPLE","NO CUMPLE"))</f>
        <v/>
      </c>
      <c r="AJ65" s="139"/>
      <c r="AK65" s="109"/>
    </row>
    <row r="66" spans="1:37" s="72" customFormat="1" ht="30" customHeight="1">
      <c r="A66" s="796"/>
      <c r="B66" s="58"/>
      <c r="C66" s="75"/>
      <c r="D66" s="60" t="str">
        <f>+IFERROR(INDEX([5]CONSOLIDADO!$D$4:$D$91,MATCH('EXP GEN. 20-26'!B66,[5]CONSOLIDADO!$C$4:$C$91,0)),"")</f>
        <v/>
      </c>
      <c r="E66" s="61"/>
      <c r="F66" s="61"/>
      <c r="G66" s="277"/>
      <c r="H66" s="277"/>
      <c r="I66" s="73"/>
      <c r="J66" s="64"/>
      <c r="K66" s="64"/>
      <c r="L66" s="65" t="str">
        <f t="shared" si="8"/>
        <v/>
      </c>
      <c r="M66" s="66" t="str">
        <f>+IFERROR(INDEX([5]PARÁMETROS!$B$11:$B$37,MATCH(L66,[5]PARÁMETROS!$A$11:$A$37,0)),"")</f>
        <v/>
      </c>
      <c r="N66" s="74"/>
      <c r="O66" s="66"/>
      <c r="P66" s="58"/>
      <c r="Q66" s="69"/>
      <c r="R66" s="70"/>
      <c r="S66" s="66" t="str">
        <f t="shared" si="11"/>
        <v/>
      </c>
      <c r="T66" s="55" t="str">
        <f t="shared" si="9"/>
        <v/>
      </c>
      <c r="U66" s="55" t="str">
        <f t="shared" si="10"/>
        <v/>
      </c>
      <c r="V66" s="55"/>
      <c r="W66" s="799"/>
      <c r="X66" s="799"/>
      <c r="Y66" s="799"/>
      <c r="Z66" s="799"/>
      <c r="AA66" s="799"/>
      <c r="AB66" s="799"/>
      <c r="AC66" s="799"/>
      <c r="AD66" s="799"/>
      <c r="AE66" s="799"/>
      <c r="AF66" s="290"/>
      <c r="AG66" s="799"/>
      <c r="AH66" s="799"/>
      <c r="AI66" s="277" t="str">
        <f>+IF(U66="","",IF(U66&gt;=[5]PARÁMETROS!$D$5,"CUMPLE","NO CUMPLE"))</f>
        <v/>
      </c>
      <c r="AJ66" s="139"/>
      <c r="AK66" s="109"/>
    </row>
    <row r="67" spans="1:37" s="72" customFormat="1" ht="30" customHeight="1">
      <c r="A67" s="796"/>
      <c r="B67" s="58"/>
      <c r="C67" s="75"/>
      <c r="D67" s="60" t="str">
        <f>+IFERROR(INDEX([5]CONSOLIDADO!$D$4:$D$91,MATCH('EXP GEN. 20-26'!B67,[5]CONSOLIDADO!$C$4:$C$91,0)),"")</f>
        <v/>
      </c>
      <c r="E67" s="61"/>
      <c r="F67" s="61"/>
      <c r="G67" s="277"/>
      <c r="H67" s="277"/>
      <c r="I67" s="73"/>
      <c r="J67" s="64"/>
      <c r="K67" s="64"/>
      <c r="L67" s="65" t="str">
        <f t="shared" si="8"/>
        <v/>
      </c>
      <c r="M67" s="66" t="str">
        <f>+IFERROR(INDEX([5]PARÁMETROS!$B$11:$B$37,MATCH(L67,[5]PARÁMETROS!$A$11:$A$37,0)),"")</f>
        <v/>
      </c>
      <c r="N67" s="74"/>
      <c r="O67" s="66"/>
      <c r="P67" s="58"/>
      <c r="Q67" s="69"/>
      <c r="R67" s="70"/>
      <c r="S67" s="66" t="str">
        <f t="shared" si="11"/>
        <v/>
      </c>
      <c r="T67" s="55" t="str">
        <f t="shared" si="9"/>
        <v/>
      </c>
      <c r="U67" s="55" t="str">
        <f t="shared" si="10"/>
        <v/>
      </c>
      <c r="V67" s="55"/>
      <c r="W67" s="799"/>
      <c r="X67" s="799"/>
      <c r="Y67" s="799"/>
      <c r="Z67" s="799"/>
      <c r="AA67" s="799"/>
      <c r="AB67" s="799"/>
      <c r="AC67" s="799"/>
      <c r="AD67" s="799"/>
      <c r="AE67" s="799"/>
      <c r="AF67" s="290"/>
      <c r="AG67" s="799"/>
      <c r="AH67" s="799"/>
      <c r="AI67" s="277" t="str">
        <f>+IF(U67="","",IF(U67&gt;=[5]PARÁMETROS!$D$5,"CUMPLE","NO CUMPLE"))</f>
        <v/>
      </c>
      <c r="AJ67" s="139"/>
      <c r="AK67" s="109"/>
    </row>
    <row r="68" spans="1:37" s="72" customFormat="1" ht="30" customHeight="1">
      <c r="A68" s="796"/>
      <c r="B68" s="58"/>
      <c r="C68" s="75"/>
      <c r="D68" s="60" t="str">
        <f>+IFERROR(INDEX([5]CONSOLIDADO!$D$4:$D$91,MATCH('EXP GEN. 20-26'!B68,[5]CONSOLIDADO!$C$4:$C$91,0)),"")</f>
        <v/>
      </c>
      <c r="E68" s="61"/>
      <c r="F68" s="61"/>
      <c r="G68" s="277"/>
      <c r="H68" s="277"/>
      <c r="I68" s="73"/>
      <c r="J68" s="64"/>
      <c r="K68" s="64"/>
      <c r="L68" s="65" t="str">
        <f t="shared" si="8"/>
        <v/>
      </c>
      <c r="M68" s="66" t="str">
        <f>+IFERROR(INDEX([5]PARÁMETROS!$B$11:$B$37,MATCH(L68,[5]PARÁMETROS!$A$11:$A$37,0)),"")</f>
        <v/>
      </c>
      <c r="N68" s="74"/>
      <c r="O68" s="66"/>
      <c r="P68" s="58"/>
      <c r="Q68" s="69"/>
      <c r="R68" s="70"/>
      <c r="S68" s="66" t="str">
        <f t="shared" si="11"/>
        <v/>
      </c>
      <c r="T68" s="55" t="str">
        <f t="shared" si="9"/>
        <v/>
      </c>
      <c r="U68" s="55" t="str">
        <f t="shared" si="10"/>
        <v/>
      </c>
      <c r="V68" s="55"/>
      <c r="W68" s="799"/>
      <c r="X68" s="799"/>
      <c r="Y68" s="799"/>
      <c r="Z68" s="799"/>
      <c r="AA68" s="799"/>
      <c r="AB68" s="799"/>
      <c r="AC68" s="799"/>
      <c r="AD68" s="799"/>
      <c r="AE68" s="799"/>
      <c r="AF68" s="290"/>
      <c r="AG68" s="799"/>
      <c r="AH68" s="799"/>
      <c r="AI68" s="277" t="str">
        <f>+IF(U68="","",IF(U68&gt;=[5]PARÁMETROS!$D$5,"CUMPLE","NO CUMPLE"))</f>
        <v/>
      </c>
      <c r="AJ68" s="139"/>
      <c r="AK68" s="109"/>
    </row>
    <row r="69" spans="1:37" s="72" customFormat="1" ht="30" customHeight="1" thickBot="1">
      <c r="A69" s="806"/>
      <c r="B69" s="141"/>
      <c r="C69" s="142"/>
      <c r="D69" s="143" t="str">
        <f>+IFERROR(INDEX([5]CONSOLIDADO!$D$4:$D$91,MATCH('EXP GEN. 20-26'!B69,[5]CONSOLIDADO!$C$4:$C$91,0)),"")</f>
        <v/>
      </c>
      <c r="E69" s="144"/>
      <c r="F69" s="144"/>
      <c r="G69" s="278"/>
      <c r="H69" s="278"/>
      <c r="I69" s="164"/>
      <c r="J69" s="147"/>
      <c r="K69" s="147"/>
      <c r="L69" s="148" t="str">
        <f t="shared" si="8"/>
        <v/>
      </c>
      <c r="M69" s="149" t="str">
        <f>+IFERROR(INDEX([5]PARÁMETROS!$B$11:$B$37,MATCH(L69,[5]PARÁMETROS!$A$11:$A$37,0)),"")</f>
        <v/>
      </c>
      <c r="N69" s="165"/>
      <c r="O69" s="149"/>
      <c r="P69" s="141"/>
      <c r="Q69" s="152"/>
      <c r="R69" s="153"/>
      <c r="S69" s="149" t="str">
        <f t="shared" si="11"/>
        <v/>
      </c>
      <c r="T69" s="154" t="str">
        <f t="shared" si="9"/>
        <v/>
      </c>
      <c r="U69" s="154" t="str">
        <f t="shared" si="10"/>
        <v/>
      </c>
      <c r="V69" s="154"/>
      <c r="W69" s="801"/>
      <c r="X69" s="801"/>
      <c r="Y69" s="801"/>
      <c r="Z69" s="801"/>
      <c r="AA69" s="801"/>
      <c r="AB69" s="801"/>
      <c r="AC69" s="801"/>
      <c r="AD69" s="801"/>
      <c r="AE69" s="801"/>
      <c r="AF69" s="289"/>
      <c r="AG69" s="801"/>
      <c r="AH69" s="801"/>
      <c r="AI69" s="278" t="str">
        <f>+IF(U69="","",IF(U69&gt;=[5]PARÁMETROS!$D$5,"CUMPLE","NO CUMPLE"))</f>
        <v/>
      </c>
      <c r="AJ69" s="155"/>
      <c r="AK69" s="109"/>
    </row>
    <row r="70" spans="1:37" s="72" customFormat="1" ht="30" customHeight="1">
      <c r="A70" s="58"/>
      <c r="B70" s="58"/>
      <c r="C70" s="75"/>
      <c r="D70" s="60"/>
      <c r="E70" s="61"/>
      <c r="F70" s="61"/>
      <c r="G70" s="61"/>
      <c r="H70" s="61"/>
      <c r="I70" s="73"/>
      <c r="J70" s="64"/>
      <c r="K70" s="64"/>
      <c r="L70" s="65"/>
      <c r="M70" s="66"/>
      <c r="N70" s="74"/>
      <c r="O70" s="66"/>
      <c r="P70" s="58"/>
      <c r="Q70" s="69"/>
      <c r="R70" s="70"/>
      <c r="S70" s="66"/>
      <c r="T70" s="55"/>
      <c r="U70" s="55"/>
      <c r="V70" s="55"/>
      <c r="W70" s="277"/>
      <c r="X70" s="277"/>
      <c r="Y70" s="277"/>
      <c r="Z70" s="277"/>
      <c r="AA70" s="277"/>
      <c r="AB70" s="277"/>
      <c r="AC70" s="277"/>
      <c r="AD70" s="277"/>
      <c r="AE70" s="277"/>
      <c r="AF70" s="277"/>
      <c r="AG70" s="277"/>
      <c r="AH70" s="277"/>
      <c r="AI70" s="277"/>
      <c r="AJ70" s="61"/>
    </row>
    <row r="71" spans="1:37" s="72" customFormat="1" ht="30" customHeight="1">
      <c r="A71" s="58"/>
      <c r="B71" s="58"/>
      <c r="C71" s="75"/>
      <c r="D71" s="60"/>
      <c r="E71" s="61"/>
      <c r="F71" s="61"/>
      <c r="G71" s="61"/>
      <c r="H71" s="61"/>
      <c r="I71" s="73"/>
      <c r="J71" s="64"/>
      <c r="K71" s="64"/>
      <c r="L71" s="65"/>
      <c r="M71" s="66"/>
      <c r="N71" s="74"/>
      <c r="O71" s="66"/>
      <c r="P71" s="58"/>
      <c r="Q71" s="69"/>
      <c r="R71" s="70"/>
      <c r="S71" s="66"/>
      <c r="T71" s="55"/>
      <c r="U71" s="55"/>
      <c r="V71" s="55"/>
      <c r="W71" s="277"/>
      <c r="X71" s="277"/>
      <c r="Y71" s="277"/>
      <c r="Z71" s="277"/>
      <c r="AA71" s="277"/>
      <c r="AB71" s="277"/>
      <c r="AC71" s="277"/>
      <c r="AD71" s="277"/>
      <c r="AE71" s="277"/>
      <c r="AF71" s="277"/>
      <c r="AG71" s="277"/>
      <c r="AH71" s="277"/>
      <c r="AI71" s="277"/>
      <c r="AJ71" s="61"/>
    </row>
    <row r="72" spans="1:37" s="72" customFormat="1" ht="30" customHeight="1">
      <c r="A72" s="58"/>
      <c r="B72" s="58"/>
      <c r="C72" s="75"/>
      <c r="D72" s="60"/>
      <c r="E72" s="61"/>
      <c r="F72" s="61"/>
      <c r="G72" s="61"/>
      <c r="H72" s="61"/>
      <c r="I72" s="73"/>
      <c r="J72" s="64"/>
      <c r="K72" s="64"/>
      <c r="L72" s="65"/>
      <c r="M72" s="66"/>
      <c r="N72" s="74"/>
      <c r="O72" s="66"/>
      <c r="P72" s="58"/>
      <c r="Q72" s="69"/>
      <c r="R72" s="70"/>
      <c r="S72" s="66"/>
      <c r="T72" s="55"/>
      <c r="U72" s="55"/>
      <c r="V72" s="55"/>
      <c r="W72" s="277"/>
      <c r="X72" s="277"/>
      <c r="Y72" s="277"/>
      <c r="Z72" s="277"/>
      <c r="AA72" s="277"/>
      <c r="AB72" s="277"/>
      <c r="AC72" s="277"/>
      <c r="AD72" s="277"/>
      <c r="AE72" s="277"/>
      <c r="AF72" s="277"/>
      <c r="AG72" s="277"/>
      <c r="AH72" s="277"/>
      <c r="AI72" s="277"/>
      <c r="AJ72" s="61"/>
    </row>
    <row r="73" spans="1:37" s="72" customFormat="1" ht="30" customHeight="1">
      <c r="A73" s="58"/>
      <c r="B73" s="58"/>
      <c r="C73" s="75"/>
      <c r="D73" s="60"/>
      <c r="E73" s="61"/>
      <c r="F73" s="61"/>
      <c r="G73" s="61"/>
      <c r="H73" s="61"/>
      <c r="I73" s="73"/>
      <c r="J73" s="64"/>
      <c r="K73" s="64"/>
      <c r="L73" s="65"/>
      <c r="M73" s="66"/>
      <c r="N73" s="74"/>
      <c r="O73" s="66"/>
      <c r="P73" s="58"/>
      <c r="Q73" s="69"/>
      <c r="R73" s="70"/>
      <c r="S73" s="66"/>
      <c r="T73" s="55"/>
      <c r="U73" s="55"/>
      <c r="V73" s="55"/>
      <c r="W73" s="277"/>
      <c r="X73" s="277"/>
      <c r="Y73" s="277"/>
      <c r="Z73" s="277"/>
      <c r="AA73" s="277"/>
      <c r="AB73" s="277"/>
      <c r="AC73" s="277"/>
      <c r="AD73" s="277"/>
      <c r="AE73" s="277"/>
      <c r="AF73" s="277"/>
      <c r="AG73" s="277"/>
      <c r="AH73" s="277"/>
      <c r="AI73" s="277"/>
      <c r="AJ73" s="61"/>
    </row>
    <row r="74" spans="1:37" s="72" customFormat="1" ht="30" customHeight="1">
      <c r="A74" s="58"/>
      <c r="B74" s="58"/>
      <c r="C74" s="75"/>
      <c r="D74" s="60"/>
      <c r="E74" s="61"/>
      <c r="F74" s="61"/>
      <c r="G74" s="61"/>
      <c r="H74" s="61"/>
      <c r="I74" s="73"/>
      <c r="J74" s="64"/>
      <c r="K74" s="64"/>
      <c r="L74" s="65"/>
      <c r="M74" s="66"/>
      <c r="N74" s="74"/>
      <c r="O74" s="66"/>
      <c r="P74" s="58"/>
      <c r="Q74" s="69"/>
      <c r="R74" s="70"/>
      <c r="S74" s="66"/>
      <c r="T74" s="55"/>
      <c r="U74" s="55"/>
      <c r="V74" s="55"/>
      <c r="W74" s="277"/>
      <c r="X74" s="277"/>
      <c r="Y74" s="277"/>
      <c r="Z74" s="277"/>
      <c r="AA74" s="277"/>
      <c r="AB74" s="277"/>
      <c r="AC74" s="277"/>
      <c r="AD74" s="277"/>
      <c r="AE74" s="277"/>
      <c r="AF74" s="277"/>
      <c r="AG74" s="277"/>
      <c r="AH74" s="277"/>
      <c r="AI74" s="277"/>
      <c r="AJ74" s="61"/>
    </row>
    <row r="75" spans="1:37" s="72" customFormat="1" ht="30" customHeight="1">
      <c r="A75" s="58"/>
      <c r="B75" s="58"/>
      <c r="C75" s="75"/>
      <c r="D75" s="60"/>
      <c r="E75" s="61"/>
      <c r="F75" s="61"/>
      <c r="G75" s="61"/>
      <c r="H75" s="61"/>
      <c r="I75" s="73"/>
      <c r="J75" s="64"/>
      <c r="K75" s="64"/>
      <c r="L75" s="65"/>
      <c r="M75" s="66"/>
      <c r="N75" s="74"/>
      <c r="O75" s="66"/>
      <c r="P75" s="58"/>
      <c r="Q75" s="69"/>
      <c r="R75" s="70"/>
      <c r="S75" s="66"/>
      <c r="T75" s="55"/>
      <c r="U75" s="55"/>
      <c r="V75" s="55"/>
      <c r="W75" s="277"/>
      <c r="X75" s="277"/>
      <c r="Y75" s="277"/>
      <c r="Z75" s="277"/>
      <c r="AA75" s="277"/>
      <c r="AB75" s="277"/>
      <c r="AC75" s="277"/>
      <c r="AD75" s="277"/>
      <c r="AE75" s="277"/>
      <c r="AF75" s="277"/>
      <c r="AG75" s="277"/>
      <c r="AH75" s="277"/>
      <c r="AI75" s="277"/>
      <c r="AJ75" s="61"/>
    </row>
    <row r="76" spans="1:37" s="72" customFormat="1" ht="30" customHeight="1">
      <c r="A76" s="58"/>
      <c r="B76" s="58"/>
      <c r="C76" s="75"/>
      <c r="D76" s="60"/>
      <c r="E76" s="61"/>
      <c r="F76" s="61"/>
      <c r="G76" s="61"/>
      <c r="H76" s="61"/>
      <c r="I76" s="73"/>
      <c r="J76" s="64"/>
      <c r="K76" s="64"/>
      <c r="L76" s="65"/>
      <c r="M76" s="66"/>
      <c r="N76" s="74"/>
      <c r="O76" s="66"/>
      <c r="P76" s="58"/>
      <c r="Q76" s="69"/>
      <c r="R76" s="70"/>
      <c r="S76" s="66"/>
      <c r="T76" s="55"/>
      <c r="U76" s="55"/>
      <c r="V76" s="55"/>
      <c r="W76" s="277"/>
      <c r="X76" s="277"/>
      <c r="Y76" s="277"/>
      <c r="Z76" s="277"/>
      <c r="AA76" s="277"/>
      <c r="AB76" s="277"/>
      <c r="AC76" s="277"/>
      <c r="AD76" s="277"/>
      <c r="AE76" s="277"/>
      <c r="AF76" s="277"/>
      <c r="AG76" s="277"/>
      <c r="AH76" s="277"/>
      <c r="AI76" s="277"/>
      <c r="AJ76" s="61"/>
    </row>
    <row r="77" spans="1:37" s="72" customFormat="1" ht="30" customHeight="1">
      <c r="A77" s="58"/>
      <c r="B77" s="58"/>
      <c r="C77" s="75"/>
      <c r="D77" s="60"/>
      <c r="E77" s="61"/>
      <c r="F77" s="61"/>
      <c r="G77" s="61"/>
      <c r="H77" s="61"/>
      <c r="I77" s="73"/>
      <c r="J77" s="64"/>
      <c r="K77" s="64"/>
      <c r="L77" s="65"/>
      <c r="M77" s="66"/>
      <c r="N77" s="74"/>
      <c r="O77" s="66"/>
      <c r="P77" s="58"/>
      <c r="Q77" s="69"/>
      <c r="R77" s="70"/>
      <c r="S77" s="66"/>
      <c r="T77" s="55"/>
      <c r="U77" s="55"/>
      <c r="V77" s="55"/>
      <c r="W77" s="277"/>
      <c r="X77" s="277"/>
      <c r="Y77" s="277"/>
      <c r="Z77" s="277"/>
      <c r="AA77" s="277"/>
      <c r="AB77" s="277"/>
      <c r="AC77" s="277"/>
      <c r="AD77" s="277"/>
      <c r="AE77" s="277"/>
      <c r="AF77" s="277"/>
      <c r="AG77" s="277"/>
      <c r="AH77" s="277"/>
      <c r="AI77" s="277"/>
      <c r="AJ77" s="61"/>
    </row>
    <row r="78" spans="1:37" s="72" customFormat="1" ht="30" customHeight="1">
      <c r="A78" s="58"/>
      <c r="B78" s="58"/>
      <c r="C78" s="75"/>
      <c r="D78" s="60"/>
      <c r="E78" s="61"/>
      <c r="F78" s="61"/>
      <c r="G78" s="61"/>
      <c r="H78" s="61"/>
      <c r="I78" s="73"/>
      <c r="J78" s="64"/>
      <c r="K78" s="64"/>
      <c r="L78" s="65"/>
      <c r="M78" s="66"/>
      <c r="N78" s="74"/>
      <c r="O78" s="66"/>
      <c r="P78" s="58"/>
      <c r="Q78" s="69"/>
      <c r="R78" s="70"/>
      <c r="S78" s="66"/>
      <c r="T78" s="55"/>
      <c r="U78" s="55"/>
      <c r="V78" s="55"/>
      <c r="W78" s="277"/>
      <c r="X78" s="277"/>
      <c r="Y78" s="277"/>
      <c r="Z78" s="277"/>
      <c r="AA78" s="277"/>
      <c r="AB78" s="277"/>
      <c r="AC78" s="277"/>
      <c r="AD78" s="277"/>
      <c r="AE78" s="277"/>
      <c r="AF78" s="277"/>
      <c r="AG78" s="277"/>
      <c r="AH78" s="277"/>
      <c r="AI78" s="277"/>
      <c r="AJ78" s="61"/>
    </row>
    <row r="79" spans="1:37" s="72" customFormat="1" ht="30" customHeight="1">
      <c r="A79" s="58"/>
      <c r="B79" s="58"/>
      <c r="C79" s="75"/>
      <c r="D79" s="60"/>
      <c r="E79" s="61"/>
      <c r="F79" s="61"/>
      <c r="G79" s="61"/>
      <c r="H79" s="61"/>
      <c r="I79" s="73"/>
      <c r="J79" s="64"/>
      <c r="K79" s="64"/>
      <c r="L79" s="65"/>
      <c r="M79" s="66"/>
      <c r="N79" s="74"/>
      <c r="O79" s="66"/>
      <c r="P79" s="58"/>
      <c r="Q79" s="69"/>
      <c r="R79" s="70"/>
      <c r="S79" s="66"/>
      <c r="T79" s="55"/>
      <c r="U79" s="55"/>
      <c r="V79" s="55"/>
      <c r="W79" s="277"/>
      <c r="X79" s="277"/>
      <c r="Y79" s="277"/>
      <c r="Z79" s="277"/>
      <c r="AA79" s="277"/>
      <c r="AB79" s="277"/>
      <c r="AC79" s="277"/>
      <c r="AD79" s="277"/>
      <c r="AE79" s="277"/>
      <c r="AF79" s="277"/>
      <c r="AG79" s="277"/>
      <c r="AH79" s="277"/>
      <c r="AI79" s="277"/>
      <c r="AJ79" s="61"/>
    </row>
    <row r="80" spans="1:37" s="72" customFormat="1" ht="30" customHeight="1">
      <c r="A80" s="58"/>
      <c r="B80" s="58"/>
      <c r="C80" s="75"/>
      <c r="D80" s="60"/>
      <c r="E80" s="61"/>
      <c r="F80" s="61"/>
      <c r="G80" s="61"/>
      <c r="H80" s="61"/>
      <c r="I80" s="73"/>
      <c r="J80" s="64"/>
      <c r="K80" s="64"/>
      <c r="L80" s="65"/>
      <c r="M80" s="66"/>
      <c r="N80" s="74"/>
      <c r="O80" s="66"/>
      <c r="P80" s="58"/>
      <c r="Q80" s="69"/>
      <c r="R80" s="70"/>
      <c r="S80" s="66"/>
      <c r="T80" s="55"/>
      <c r="U80" s="55"/>
      <c r="V80" s="55"/>
      <c r="W80" s="277"/>
      <c r="X80" s="277"/>
      <c r="Y80" s="277"/>
      <c r="Z80" s="277"/>
      <c r="AA80" s="277"/>
      <c r="AB80" s="277"/>
      <c r="AC80" s="277"/>
      <c r="AD80" s="277"/>
      <c r="AE80" s="277"/>
      <c r="AF80" s="277"/>
      <c r="AG80" s="277"/>
      <c r="AH80" s="277"/>
      <c r="AI80" s="277"/>
      <c r="AJ80" s="61"/>
    </row>
    <row r="81" spans="1:36" s="72" customFormat="1" ht="30" customHeight="1">
      <c r="A81" s="58"/>
      <c r="B81" s="58"/>
      <c r="C81" s="75"/>
      <c r="D81" s="60"/>
      <c r="E81" s="61"/>
      <c r="F81" s="61"/>
      <c r="G81" s="61"/>
      <c r="H81" s="61"/>
      <c r="I81" s="73"/>
      <c r="J81" s="64"/>
      <c r="K81" s="64"/>
      <c r="L81" s="65"/>
      <c r="M81" s="66"/>
      <c r="N81" s="74"/>
      <c r="O81" s="66"/>
      <c r="P81" s="58"/>
      <c r="Q81" s="69"/>
      <c r="R81" s="70"/>
      <c r="S81" s="66"/>
      <c r="T81" s="55"/>
      <c r="U81" s="55"/>
      <c r="V81" s="55"/>
      <c r="W81" s="277"/>
      <c r="X81" s="277"/>
      <c r="Y81" s="277"/>
      <c r="Z81" s="277"/>
      <c r="AA81" s="277"/>
      <c r="AB81" s="277"/>
      <c r="AC81" s="277"/>
      <c r="AD81" s="277"/>
      <c r="AE81" s="277"/>
      <c r="AF81" s="277"/>
      <c r="AG81" s="277"/>
      <c r="AH81" s="277"/>
      <c r="AI81" s="277"/>
      <c r="AJ81" s="61"/>
    </row>
    <row r="82" spans="1:36" s="99" customFormat="1" ht="30" customHeight="1">
      <c r="A82" s="89"/>
      <c r="B82" s="89"/>
      <c r="C82" s="90"/>
      <c r="D82" s="91"/>
      <c r="E82" s="92"/>
      <c r="F82" s="92"/>
      <c r="G82" s="92"/>
      <c r="H82" s="92"/>
      <c r="I82" s="93"/>
      <c r="J82" s="94"/>
      <c r="K82" s="94"/>
      <c r="L82" s="95"/>
      <c r="M82" s="66"/>
      <c r="N82" s="96"/>
      <c r="O82" s="97"/>
      <c r="P82" s="58"/>
      <c r="Q82" s="69"/>
      <c r="R82" s="70"/>
      <c r="S82" s="66"/>
      <c r="T82" s="55"/>
      <c r="U82" s="55"/>
      <c r="V82" s="55"/>
      <c r="W82" s="98"/>
      <c r="X82" s="98"/>
      <c r="Y82" s="98"/>
      <c r="Z82" s="98"/>
      <c r="AA82" s="98"/>
      <c r="AB82" s="98"/>
      <c r="AC82" s="98"/>
      <c r="AD82" s="98"/>
      <c r="AE82" s="98"/>
      <c r="AF82" s="98"/>
      <c r="AG82" s="277"/>
      <c r="AH82" s="277"/>
      <c r="AI82" s="277"/>
      <c r="AJ82" s="92"/>
    </row>
    <row r="83" spans="1:36" s="99" customFormat="1" ht="30" customHeight="1">
      <c r="A83" s="89"/>
      <c r="B83" s="89"/>
      <c r="C83" s="90"/>
      <c r="D83" s="91"/>
      <c r="E83" s="92"/>
      <c r="F83" s="92"/>
      <c r="G83" s="92"/>
      <c r="H83" s="92"/>
      <c r="I83" s="93"/>
      <c r="J83" s="94"/>
      <c r="K83" s="94"/>
      <c r="L83" s="95"/>
      <c r="M83" s="66"/>
      <c r="N83" s="96"/>
      <c r="O83" s="97"/>
      <c r="P83" s="58"/>
      <c r="Q83" s="69"/>
      <c r="R83" s="70"/>
      <c r="S83" s="66"/>
      <c r="T83" s="55"/>
      <c r="U83" s="55"/>
      <c r="V83" s="55"/>
      <c r="W83" s="98"/>
      <c r="X83" s="98"/>
      <c r="Y83" s="98"/>
      <c r="Z83" s="98"/>
      <c r="AA83" s="98"/>
      <c r="AB83" s="98"/>
      <c r="AC83" s="98"/>
      <c r="AD83" s="98"/>
      <c r="AE83" s="98"/>
      <c r="AF83" s="98"/>
      <c r="AG83" s="277"/>
      <c r="AH83" s="277"/>
      <c r="AI83" s="277"/>
      <c r="AJ83" s="92"/>
    </row>
    <row r="84" spans="1:36" s="99" customFormat="1" ht="30" customHeight="1">
      <c r="A84" s="89"/>
      <c r="B84" s="89"/>
      <c r="C84" s="90"/>
      <c r="D84" s="91"/>
      <c r="E84" s="92"/>
      <c r="F84" s="92"/>
      <c r="G84" s="92"/>
      <c r="H84" s="92"/>
      <c r="I84" s="93"/>
      <c r="J84" s="94"/>
      <c r="K84" s="94"/>
      <c r="L84" s="95"/>
      <c r="M84" s="66"/>
      <c r="N84" s="96"/>
      <c r="O84" s="97"/>
      <c r="P84" s="58"/>
      <c r="Q84" s="69"/>
      <c r="R84" s="70"/>
      <c r="S84" s="66"/>
      <c r="T84" s="55"/>
      <c r="U84" s="55"/>
      <c r="V84" s="55"/>
      <c r="W84" s="98"/>
      <c r="X84" s="98"/>
      <c r="Y84" s="98"/>
      <c r="Z84" s="98"/>
      <c r="AA84" s="98"/>
      <c r="AB84" s="98"/>
      <c r="AC84" s="98"/>
      <c r="AD84" s="98"/>
      <c r="AE84" s="98"/>
      <c r="AF84" s="98"/>
      <c r="AG84" s="277"/>
      <c r="AH84" s="277"/>
      <c r="AI84" s="277"/>
      <c r="AJ84" s="92"/>
    </row>
    <row r="85" spans="1:36" s="99" customFormat="1" ht="30" customHeight="1">
      <c r="A85" s="89"/>
      <c r="B85" s="89"/>
      <c r="C85" s="90"/>
      <c r="D85" s="91"/>
      <c r="E85" s="92"/>
      <c r="F85" s="92"/>
      <c r="G85" s="92"/>
      <c r="H85" s="92"/>
      <c r="I85" s="93"/>
      <c r="J85" s="94"/>
      <c r="K85" s="94"/>
      <c r="L85" s="95"/>
      <c r="M85" s="66"/>
      <c r="N85" s="96"/>
      <c r="O85" s="97"/>
      <c r="P85" s="58"/>
      <c r="Q85" s="69"/>
      <c r="R85" s="70"/>
      <c r="S85" s="66"/>
      <c r="T85" s="55"/>
      <c r="U85" s="55"/>
      <c r="V85" s="55"/>
      <c r="W85" s="98"/>
      <c r="X85" s="98"/>
      <c r="Y85" s="98"/>
      <c r="Z85" s="98"/>
      <c r="AA85" s="98"/>
      <c r="AB85" s="98"/>
      <c r="AC85" s="98"/>
      <c r="AD85" s="98"/>
      <c r="AE85" s="98"/>
      <c r="AF85" s="98"/>
      <c r="AG85" s="277"/>
      <c r="AH85" s="277"/>
      <c r="AI85" s="277"/>
      <c r="AJ85" s="92"/>
    </row>
    <row r="86" spans="1:36" s="99" customFormat="1" ht="30" customHeight="1">
      <c r="A86" s="89"/>
      <c r="B86" s="89"/>
      <c r="C86" s="90"/>
      <c r="D86" s="91"/>
      <c r="E86" s="92"/>
      <c r="F86" s="92"/>
      <c r="G86" s="92"/>
      <c r="H86" s="92"/>
      <c r="I86" s="93"/>
      <c r="J86" s="94"/>
      <c r="K86" s="94"/>
      <c r="L86" s="95"/>
      <c r="M86" s="66"/>
      <c r="N86" s="96"/>
      <c r="O86" s="97"/>
      <c r="P86" s="58"/>
      <c r="Q86" s="69"/>
      <c r="R86" s="70"/>
      <c r="S86" s="66"/>
      <c r="T86" s="55"/>
      <c r="U86" s="55"/>
      <c r="V86" s="55"/>
      <c r="W86" s="98"/>
      <c r="X86" s="98"/>
      <c r="Y86" s="98"/>
      <c r="Z86" s="98"/>
      <c r="AA86" s="98"/>
      <c r="AB86" s="98"/>
      <c r="AC86" s="98"/>
      <c r="AD86" s="98"/>
      <c r="AE86" s="98"/>
      <c r="AF86" s="98"/>
      <c r="AG86" s="277"/>
      <c r="AH86" s="277"/>
      <c r="AI86" s="277"/>
      <c r="AJ86" s="92"/>
    </row>
    <row r="87" spans="1:36" s="99" customFormat="1" ht="30" customHeight="1">
      <c r="A87" s="89"/>
      <c r="B87" s="89"/>
      <c r="C87" s="90"/>
      <c r="D87" s="91"/>
      <c r="E87" s="92"/>
      <c r="F87" s="92"/>
      <c r="G87" s="92"/>
      <c r="H87" s="92"/>
      <c r="I87" s="93"/>
      <c r="J87" s="94"/>
      <c r="K87" s="94"/>
      <c r="L87" s="95"/>
      <c r="M87" s="66"/>
      <c r="N87" s="96"/>
      <c r="O87" s="97"/>
      <c r="P87" s="58"/>
      <c r="Q87" s="69"/>
      <c r="R87" s="70"/>
      <c r="S87" s="66"/>
      <c r="T87" s="55"/>
      <c r="U87" s="55"/>
      <c r="V87" s="55"/>
      <c r="W87" s="98"/>
      <c r="X87" s="98"/>
      <c r="Y87" s="98"/>
      <c r="Z87" s="98"/>
      <c r="AA87" s="98"/>
      <c r="AB87" s="98"/>
      <c r="AC87" s="98"/>
      <c r="AD87" s="98"/>
      <c r="AE87" s="98"/>
      <c r="AF87" s="98"/>
      <c r="AG87" s="277"/>
      <c r="AH87" s="277"/>
      <c r="AI87" s="277"/>
      <c r="AJ87" s="92"/>
    </row>
    <row r="88" spans="1:36" s="99" customFormat="1" ht="30" customHeight="1">
      <c r="A88" s="89"/>
      <c r="B88" s="89"/>
      <c r="C88" s="90"/>
      <c r="D88" s="91"/>
      <c r="E88" s="92"/>
      <c r="F88" s="92"/>
      <c r="G88" s="92"/>
      <c r="H88" s="92"/>
      <c r="I88" s="93"/>
      <c r="J88" s="94"/>
      <c r="K88" s="94"/>
      <c r="L88" s="95"/>
      <c r="M88" s="66"/>
      <c r="N88" s="96"/>
      <c r="O88" s="97"/>
      <c r="P88" s="58"/>
      <c r="Q88" s="69"/>
      <c r="R88" s="70"/>
      <c r="S88" s="66"/>
      <c r="T88" s="55"/>
      <c r="U88" s="55"/>
      <c r="V88" s="55"/>
      <c r="W88" s="98"/>
      <c r="X88" s="98"/>
      <c r="Y88" s="98"/>
      <c r="Z88" s="98"/>
      <c r="AA88" s="98"/>
      <c r="AB88" s="98"/>
      <c r="AC88" s="98"/>
      <c r="AD88" s="98"/>
      <c r="AE88" s="98"/>
      <c r="AF88" s="98"/>
      <c r="AG88" s="277"/>
      <c r="AH88" s="277"/>
      <c r="AI88" s="277"/>
      <c r="AJ88" s="92"/>
    </row>
    <row r="89" spans="1:36" s="99" customFormat="1" ht="30" customHeight="1">
      <c r="A89" s="89"/>
      <c r="B89" s="89"/>
      <c r="C89" s="90"/>
      <c r="D89" s="91"/>
      <c r="E89" s="92"/>
      <c r="F89" s="92"/>
      <c r="G89" s="92"/>
      <c r="H89" s="92"/>
      <c r="I89" s="93"/>
      <c r="J89" s="94"/>
      <c r="K89" s="94"/>
      <c r="L89" s="95"/>
      <c r="M89" s="66"/>
      <c r="N89" s="96"/>
      <c r="O89" s="97"/>
      <c r="P89" s="58"/>
      <c r="Q89" s="69"/>
      <c r="R89" s="70"/>
      <c r="S89" s="66"/>
      <c r="T89" s="55"/>
      <c r="U89" s="55"/>
      <c r="V89" s="55"/>
      <c r="W89" s="98"/>
      <c r="X89" s="98"/>
      <c r="Y89" s="98"/>
      <c r="Z89" s="98"/>
      <c r="AA89" s="98"/>
      <c r="AB89" s="98"/>
      <c r="AC89" s="98"/>
      <c r="AD89" s="98"/>
      <c r="AE89" s="98"/>
      <c r="AF89" s="98"/>
      <c r="AG89" s="277"/>
      <c r="AH89" s="277"/>
      <c r="AI89" s="277"/>
      <c r="AJ89" s="92"/>
    </row>
    <row r="90" spans="1:36" s="99" customFormat="1" ht="30" customHeight="1">
      <c r="A90" s="89"/>
      <c r="B90" s="89"/>
      <c r="C90" s="90"/>
      <c r="D90" s="91"/>
      <c r="E90" s="92"/>
      <c r="F90" s="92"/>
      <c r="G90" s="92"/>
      <c r="H90" s="92"/>
      <c r="I90" s="93"/>
      <c r="J90" s="94"/>
      <c r="K90" s="94"/>
      <c r="L90" s="95"/>
      <c r="M90" s="66"/>
      <c r="N90" s="96"/>
      <c r="O90" s="97"/>
      <c r="P90" s="58"/>
      <c r="Q90" s="69"/>
      <c r="R90" s="70"/>
      <c r="S90" s="66"/>
      <c r="T90" s="55"/>
      <c r="U90" s="55"/>
      <c r="V90" s="55"/>
      <c r="W90" s="98"/>
      <c r="X90" s="98"/>
      <c r="Y90" s="98"/>
      <c r="Z90" s="98"/>
      <c r="AA90" s="98"/>
      <c r="AB90" s="98"/>
      <c r="AC90" s="98"/>
      <c r="AD90" s="98"/>
      <c r="AE90" s="98"/>
      <c r="AF90" s="98"/>
      <c r="AG90" s="277"/>
      <c r="AH90" s="277"/>
      <c r="AI90" s="277"/>
      <c r="AJ90" s="92"/>
    </row>
    <row r="91" spans="1:36" s="99" customFormat="1" ht="30" customHeight="1">
      <c r="A91" s="89"/>
      <c r="B91" s="89"/>
      <c r="C91" s="90"/>
      <c r="D91" s="91"/>
      <c r="E91" s="92"/>
      <c r="F91" s="92"/>
      <c r="G91" s="92"/>
      <c r="H91" s="92"/>
      <c r="I91" s="93"/>
      <c r="J91" s="94"/>
      <c r="K91" s="94"/>
      <c r="L91" s="95"/>
      <c r="M91" s="66"/>
      <c r="N91" s="96"/>
      <c r="O91" s="97"/>
      <c r="P91" s="58"/>
      <c r="Q91" s="69"/>
      <c r="R91" s="70"/>
      <c r="S91" s="66"/>
      <c r="T91" s="55"/>
      <c r="U91" s="55"/>
      <c r="V91" s="55"/>
      <c r="W91" s="98"/>
      <c r="X91" s="98"/>
      <c r="Y91" s="98"/>
      <c r="Z91" s="98"/>
      <c r="AA91" s="98"/>
      <c r="AB91" s="98"/>
      <c r="AC91" s="98"/>
      <c r="AD91" s="98"/>
      <c r="AE91" s="98"/>
      <c r="AF91" s="98"/>
      <c r="AG91" s="277"/>
      <c r="AH91" s="277"/>
      <c r="AI91" s="277"/>
      <c r="AJ91" s="92"/>
    </row>
    <row r="92" spans="1:36" s="99" customFormat="1" ht="30" customHeight="1">
      <c r="A92" s="89"/>
      <c r="B92" s="89"/>
      <c r="C92" s="90"/>
      <c r="D92" s="91"/>
      <c r="E92" s="92"/>
      <c r="F92" s="92"/>
      <c r="G92" s="92"/>
      <c r="H92" s="92"/>
      <c r="I92" s="93"/>
      <c r="J92" s="94"/>
      <c r="K92" s="94"/>
      <c r="L92" s="95"/>
      <c r="M92" s="66"/>
      <c r="N92" s="96"/>
      <c r="O92" s="97"/>
      <c r="P92" s="58"/>
      <c r="Q92" s="69"/>
      <c r="R92" s="70"/>
      <c r="S92" s="66"/>
      <c r="T92" s="55"/>
      <c r="U92" s="55"/>
      <c r="V92" s="55"/>
      <c r="W92" s="98"/>
      <c r="X92" s="98"/>
      <c r="Y92" s="98"/>
      <c r="Z92" s="98"/>
      <c r="AA92" s="98"/>
      <c r="AB92" s="98"/>
      <c r="AC92" s="98"/>
      <c r="AD92" s="98"/>
      <c r="AE92" s="98"/>
      <c r="AF92" s="98"/>
      <c r="AG92" s="277"/>
      <c r="AH92" s="277"/>
      <c r="AI92" s="277"/>
      <c r="AJ92" s="92"/>
    </row>
    <row r="93" spans="1:36" s="99" customFormat="1" ht="30" customHeight="1">
      <c r="A93" s="89"/>
      <c r="B93" s="89"/>
      <c r="C93" s="90"/>
      <c r="D93" s="91"/>
      <c r="E93" s="92"/>
      <c r="F93" s="92"/>
      <c r="G93" s="92"/>
      <c r="H93" s="92"/>
      <c r="I93" s="93"/>
      <c r="J93" s="94"/>
      <c r="K93" s="94"/>
      <c r="L93" s="95"/>
      <c r="M93" s="66"/>
      <c r="N93" s="96"/>
      <c r="O93" s="97"/>
      <c r="P93" s="58"/>
      <c r="Q93" s="69"/>
      <c r="R93" s="70"/>
      <c r="S93" s="66"/>
      <c r="T93" s="55"/>
      <c r="U93" s="55"/>
      <c r="V93" s="55"/>
      <c r="W93" s="98"/>
      <c r="X93" s="98"/>
      <c r="Y93" s="98"/>
      <c r="Z93" s="98"/>
      <c r="AA93" s="98"/>
      <c r="AB93" s="98"/>
      <c r="AC93" s="98"/>
      <c r="AD93" s="98"/>
      <c r="AE93" s="98"/>
      <c r="AF93" s="98"/>
      <c r="AG93" s="277"/>
      <c r="AH93" s="277"/>
      <c r="AI93" s="277"/>
      <c r="AJ93" s="92"/>
    </row>
    <row r="94" spans="1:36" s="99" customFormat="1" ht="30" customHeight="1">
      <c r="A94" s="89"/>
      <c r="B94" s="89"/>
      <c r="C94" s="90"/>
      <c r="D94" s="91"/>
      <c r="E94" s="92"/>
      <c r="F94" s="92"/>
      <c r="G94" s="92"/>
      <c r="H94" s="92"/>
      <c r="I94" s="93"/>
      <c r="J94" s="94"/>
      <c r="K94" s="94"/>
      <c r="L94" s="95"/>
      <c r="M94" s="66"/>
      <c r="N94" s="96"/>
      <c r="O94" s="97"/>
      <c r="P94" s="58"/>
      <c r="Q94" s="69"/>
      <c r="R94" s="70"/>
      <c r="S94" s="66"/>
      <c r="T94" s="55"/>
      <c r="U94" s="55"/>
      <c r="V94" s="55"/>
      <c r="W94" s="98"/>
      <c r="X94" s="98"/>
      <c r="Y94" s="98"/>
      <c r="Z94" s="98"/>
      <c r="AA94" s="98"/>
      <c r="AB94" s="98"/>
      <c r="AC94" s="98"/>
      <c r="AD94" s="98"/>
      <c r="AE94" s="98"/>
      <c r="AF94" s="98"/>
      <c r="AG94" s="277"/>
      <c r="AH94" s="277"/>
      <c r="AI94" s="277"/>
      <c r="AJ94" s="92"/>
    </row>
    <row r="95" spans="1:36" s="99" customFormat="1" ht="30" customHeight="1">
      <c r="A95" s="89"/>
      <c r="B95" s="89"/>
      <c r="C95" s="90"/>
      <c r="D95" s="91"/>
      <c r="E95" s="92"/>
      <c r="F95" s="92"/>
      <c r="G95" s="92"/>
      <c r="H95" s="92"/>
      <c r="I95" s="93"/>
      <c r="J95" s="94"/>
      <c r="K95" s="94"/>
      <c r="L95" s="95"/>
      <c r="M95" s="66"/>
      <c r="N95" s="96"/>
      <c r="O95" s="97"/>
      <c r="P95" s="58"/>
      <c r="Q95" s="69"/>
      <c r="R95" s="70"/>
      <c r="S95" s="66"/>
      <c r="T95" s="55"/>
      <c r="U95" s="55"/>
      <c r="V95" s="55"/>
      <c r="W95" s="98"/>
      <c r="X95" s="98"/>
      <c r="Y95" s="98"/>
      <c r="Z95" s="98"/>
      <c r="AA95" s="98"/>
      <c r="AB95" s="98"/>
      <c r="AC95" s="98"/>
      <c r="AD95" s="98"/>
      <c r="AE95" s="98"/>
      <c r="AF95" s="98"/>
      <c r="AG95" s="277"/>
      <c r="AH95" s="277"/>
      <c r="AI95" s="277"/>
      <c r="AJ95" s="92"/>
    </row>
    <row r="96" spans="1:36" s="99" customFormat="1" ht="30" customHeight="1">
      <c r="A96" s="89"/>
      <c r="B96" s="89"/>
      <c r="C96" s="90"/>
      <c r="D96" s="91"/>
      <c r="E96" s="92"/>
      <c r="F96" s="92"/>
      <c r="G96" s="92"/>
      <c r="H96" s="92"/>
      <c r="I96" s="93"/>
      <c r="J96" s="94"/>
      <c r="K96" s="94"/>
      <c r="L96" s="95"/>
      <c r="M96" s="66"/>
      <c r="N96" s="96"/>
      <c r="O96" s="97"/>
      <c r="P96" s="58"/>
      <c r="Q96" s="69"/>
      <c r="R96" s="70"/>
      <c r="S96" s="66"/>
      <c r="T96" s="55"/>
      <c r="U96" s="55"/>
      <c r="V96" s="55"/>
      <c r="W96" s="98"/>
      <c r="X96" s="98"/>
      <c r="Y96" s="98"/>
      <c r="Z96" s="98"/>
      <c r="AA96" s="98"/>
      <c r="AB96" s="98"/>
      <c r="AC96" s="98"/>
      <c r="AD96" s="98"/>
      <c r="AE96" s="98"/>
      <c r="AF96" s="98"/>
      <c r="AG96" s="277"/>
      <c r="AH96" s="277"/>
      <c r="AI96" s="277"/>
      <c r="AJ96" s="92"/>
    </row>
    <row r="97" spans="1:36" s="99" customFormat="1" ht="30" customHeight="1">
      <c r="A97" s="89"/>
      <c r="B97" s="89"/>
      <c r="C97" s="90"/>
      <c r="D97" s="91"/>
      <c r="E97" s="92"/>
      <c r="F97" s="92"/>
      <c r="G97" s="92"/>
      <c r="H97" s="92"/>
      <c r="I97" s="93"/>
      <c r="J97" s="94"/>
      <c r="K97" s="94"/>
      <c r="L97" s="95"/>
      <c r="M97" s="66"/>
      <c r="N97" s="96"/>
      <c r="O97" s="97"/>
      <c r="P97" s="58"/>
      <c r="Q97" s="69"/>
      <c r="R97" s="70"/>
      <c r="S97" s="66"/>
      <c r="T97" s="55"/>
      <c r="U97" s="55"/>
      <c r="V97" s="55"/>
      <c r="W97" s="98"/>
      <c r="X97" s="98"/>
      <c r="Y97" s="98"/>
      <c r="Z97" s="98"/>
      <c r="AA97" s="98"/>
      <c r="AB97" s="98"/>
      <c r="AC97" s="98"/>
      <c r="AD97" s="98"/>
      <c r="AE97" s="98"/>
      <c r="AF97" s="98"/>
      <c r="AG97" s="277"/>
      <c r="AH97" s="277"/>
      <c r="AI97" s="277"/>
      <c r="AJ97" s="92"/>
    </row>
    <row r="98" spans="1:36" s="99" customFormat="1" ht="30" customHeight="1">
      <c r="A98" s="89"/>
      <c r="B98" s="89"/>
      <c r="C98" s="90"/>
      <c r="D98" s="91"/>
      <c r="E98" s="92"/>
      <c r="F98" s="92"/>
      <c r="G98" s="92"/>
      <c r="H98" s="92"/>
      <c r="I98" s="93"/>
      <c r="J98" s="94"/>
      <c r="K98" s="94"/>
      <c r="L98" s="95"/>
      <c r="M98" s="66"/>
      <c r="N98" s="96"/>
      <c r="O98" s="97"/>
      <c r="P98" s="58"/>
      <c r="Q98" s="69"/>
      <c r="R98" s="70"/>
      <c r="S98" s="66"/>
      <c r="T98" s="55"/>
      <c r="U98" s="55"/>
      <c r="V98" s="55"/>
      <c r="W98" s="98"/>
      <c r="X98" s="98"/>
      <c r="Y98" s="98"/>
      <c r="Z98" s="98"/>
      <c r="AA98" s="98"/>
      <c r="AB98" s="98"/>
      <c r="AC98" s="98"/>
      <c r="AD98" s="98"/>
      <c r="AE98" s="98"/>
      <c r="AF98" s="98"/>
      <c r="AG98" s="277"/>
      <c r="AH98" s="277"/>
      <c r="AI98" s="277"/>
      <c r="AJ98" s="92"/>
    </row>
    <row r="99" spans="1:36" s="99" customFormat="1" ht="30" customHeight="1">
      <c r="A99" s="89"/>
      <c r="B99" s="89"/>
      <c r="C99" s="90"/>
      <c r="D99" s="91"/>
      <c r="E99" s="92"/>
      <c r="F99" s="92"/>
      <c r="G99" s="92"/>
      <c r="H99" s="92"/>
      <c r="I99" s="93"/>
      <c r="J99" s="94"/>
      <c r="K99" s="94"/>
      <c r="L99" s="95"/>
      <c r="M99" s="66"/>
      <c r="N99" s="96"/>
      <c r="O99" s="97"/>
      <c r="P99" s="58"/>
      <c r="Q99" s="69"/>
      <c r="R99" s="70"/>
      <c r="S99" s="66"/>
      <c r="T99" s="55"/>
      <c r="U99" s="55"/>
      <c r="V99" s="55"/>
      <c r="W99" s="98"/>
      <c r="X99" s="98"/>
      <c r="Y99" s="98"/>
      <c r="Z99" s="98"/>
      <c r="AA99" s="98"/>
      <c r="AB99" s="98"/>
      <c r="AC99" s="98"/>
      <c r="AD99" s="98"/>
      <c r="AE99" s="98"/>
      <c r="AF99" s="98"/>
      <c r="AG99" s="277"/>
      <c r="AH99" s="277"/>
      <c r="AI99" s="277"/>
      <c r="AJ99" s="92"/>
    </row>
    <row r="100" spans="1:36" s="99" customFormat="1" ht="30" customHeight="1">
      <c r="A100" s="89"/>
      <c r="B100" s="89"/>
      <c r="C100" s="90"/>
      <c r="D100" s="91"/>
      <c r="E100" s="92"/>
      <c r="F100" s="92"/>
      <c r="G100" s="92"/>
      <c r="H100" s="92"/>
      <c r="I100" s="93"/>
      <c r="J100" s="94"/>
      <c r="K100" s="94"/>
      <c r="L100" s="95"/>
      <c r="M100" s="66"/>
      <c r="N100" s="96"/>
      <c r="O100" s="97"/>
      <c r="P100" s="58"/>
      <c r="Q100" s="69"/>
      <c r="R100" s="70"/>
      <c r="S100" s="66"/>
      <c r="T100" s="55"/>
      <c r="U100" s="55"/>
      <c r="V100" s="55"/>
      <c r="W100" s="98"/>
      <c r="X100" s="98"/>
      <c r="Y100" s="98"/>
      <c r="Z100" s="98"/>
      <c r="AA100" s="98"/>
      <c r="AB100" s="98"/>
      <c r="AC100" s="98"/>
      <c r="AD100" s="98"/>
      <c r="AE100" s="98"/>
      <c r="AF100" s="98"/>
      <c r="AG100" s="277"/>
      <c r="AH100" s="277"/>
      <c r="AI100" s="277"/>
      <c r="AJ100" s="92"/>
    </row>
    <row r="101" spans="1:36" s="99" customFormat="1" ht="30" customHeight="1">
      <c r="A101" s="89"/>
      <c r="B101" s="89"/>
      <c r="C101" s="90"/>
      <c r="D101" s="91"/>
      <c r="E101" s="92"/>
      <c r="F101" s="92"/>
      <c r="G101" s="92"/>
      <c r="H101" s="92"/>
      <c r="I101" s="93"/>
      <c r="J101" s="94"/>
      <c r="K101" s="94"/>
      <c r="L101" s="95"/>
      <c r="M101" s="66"/>
      <c r="N101" s="96"/>
      <c r="O101" s="97"/>
      <c r="P101" s="58"/>
      <c r="Q101" s="69"/>
      <c r="R101" s="70"/>
      <c r="S101" s="66"/>
      <c r="T101" s="55"/>
      <c r="U101" s="55"/>
      <c r="V101" s="55"/>
      <c r="W101" s="98"/>
      <c r="X101" s="98"/>
      <c r="Y101" s="98"/>
      <c r="Z101" s="98"/>
      <c r="AA101" s="98"/>
      <c r="AB101" s="98"/>
      <c r="AC101" s="98"/>
      <c r="AD101" s="98"/>
      <c r="AE101" s="98"/>
      <c r="AF101" s="98"/>
      <c r="AG101" s="277"/>
      <c r="AH101" s="277"/>
      <c r="AI101" s="277"/>
      <c r="AJ101" s="92"/>
    </row>
    <row r="102" spans="1:36" s="99" customFormat="1" ht="30" customHeight="1">
      <c r="A102" s="89"/>
      <c r="B102" s="89"/>
      <c r="C102" s="90"/>
      <c r="D102" s="91"/>
      <c r="E102" s="92"/>
      <c r="F102" s="92"/>
      <c r="G102" s="92"/>
      <c r="H102" s="92"/>
      <c r="I102" s="93"/>
      <c r="J102" s="94"/>
      <c r="K102" s="94"/>
      <c r="L102" s="95"/>
      <c r="M102" s="66"/>
      <c r="N102" s="96"/>
      <c r="O102" s="97"/>
      <c r="P102" s="58"/>
      <c r="Q102" s="69"/>
      <c r="R102" s="70"/>
      <c r="S102" s="66"/>
      <c r="T102" s="55"/>
      <c r="U102" s="55"/>
      <c r="V102" s="55"/>
      <c r="W102" s="98"/>
      <c r="X102" s="98"/>
      <c r="Y102" s="98"/>
      <c r="Z102" s="98"/>
      <c r="AA102" s="98"/>
      <c r="AB102" s="98"/>
      <c r="AC102" s="98"/>
      <c r="AD102" s="98"/>
      <c r="AE102" s="98"/>
      <c r="AF102" s="98"/>
      <c r="AG102" s="277"/>
      <c r="AH102" s="277"/>
      <c r="AI102" s="277"/>
      <c r="AJ102" s="92"/>
    </row>
    <row r="103" spans="1:36" s="99" customFormat="1" ht="30" customHeight="1">
      <c r="A103" s="89"/>
      <c r="B103" s="89"/>
      <c r="C103" s="90"/>
      <c r="D103" s="91"/>
      <c r="E103" s="92"/>
      <c r="F103" s="92"/>
      <c r="G103" s="92"/>
      <c r="H103" s="92"/>
      <c r="I103" s="93"/>
      <c r="J103" s="94"/>
      <c r="K103" s="94"/>
      <c r="L103" s="95"/>
      <c r="M103" s="66"/>
      <c r="N103" s="96"/>
      <c r="O103" s="97"/>
      <c r="P103" s="58"/>
      <c r="Q103" s="69"/>
      <c r="R103" s="70"/>
      <c r="S103" s="66"/>
      <c r="T103" s="55"/>
      <c r="U103" s="55"/>
      <c r="V103" s="55"/>
      <c r="W103" s="98"/>
      <c r="X103" s="98"/>
      <c r="Y103" s="98"/>
      <c r="Z103" s="98"/>
      <c r="AA103" s="98"/>
      <c r="AB103" s="98"/>
      <c r="AC103" s="98"/>
      <c r="AD103" s="98"/>
      <c r="AE103" s="98"/>
      <c r="AF103" s="98"/>
      <c r="AG103" s="277"/>
      <c r="AH103" s="277"/>
      <c r="AI103" s="277"/>
      <c r="AJ103" s="92"/>
    </row>
    <row r="104" spans="1:36" s="99" customFormat="1" ht="30" customHeight="1">
      <c r="A104" s="89"/>
      <c r="B104" s="89"/>
      <c r="C104" s="90"/>
      <c r="D104" s="91"/>
      <c r="E104" s="92"/>
      <c r="F104" s="92"/>
      <c r="G104" s="92"/>
      <c r="H104" s="92"/>
      <c r="I104" s="93"/>
      <c r="J104" s="94"/>
      <c r="K104" s="94"/>
      <c r="L104" s="95"/>
      <c r="M104" s="66"/>
      <c r="N104" s="96"/>
      <c r="O104" s="97"/>
      <c r="P104" s="58"/>
      <c r="Q104" s="69"/>
      <c r="R104" s="70"/>
      <c r="S104" s="66"/>
      <c r="T104" s="55"/>
      <c r="U104" s="55"/>
      <c r="V104" s="55"/>
      <c r="W104" s="98"/>
      <c r="X104" s="98"/>
      <c r="Y104" s="98"/>
      <c r="Z104" s="98"/>
      <c r="AA104" s="98"/>
      <c r="AB104" s="98"/>
      <c r="AC104" s="98"/>
      <c r="AD104" s="98"/>
      <c r="AE104" s="98"/>
      <c r="AF104" s="98"/>
      <c r="AG104" s="277"/>
      <c r="AH104" s="277"/>
      <c r="AI104" s="277"/>
      <c r="AJ104" s="92"/>
    </row>
    <row r="105" spans="1:36" s="99" customFormat="1" ht="30" customHeight="1">
      <c r="A105" s="89"/>
      <c r="B105" s="89"/>
      <c r="C105" s="90"/>
      <c r="D105" s="91"/>
      <c r="E105" s="92"/>
      <c r="F105" s="92"/>
      <c r="G105" s="92"/>
      <c r="H105" s="92"/>
      <c r="I105" s="93"/>
      <c r="J105" s="94"/>
      <c r="K105" s="94"/>
      <c r="L105" s="95"/>
      <c r="M105" s="66"/>
      <c r="N105" s="96"/>
      <c r="O105" s="97"/>
      <c r="P105" s="58"/>
      <c r="Q105" s="69"/>
      <c r="R105" s="70"/>
      <c r="S105" s="66"/>
      <c r="T105" s="55"/>
      <c r="U105" s="55"/>
      <c r="V105" s="55"/>
      <c r="W105" s="98"/>
      <c r="X105" s="98"/>
      <c r="Y105" s="98"/>
      <c r="Z105" s="98"/>
      <c r="AA105" s="98"/>
      <c r="AB105" s="98"/>
      <c r="AC105" s="98"/>
      <c r="AD105" s="98"/>
      <c r="AE105" s="98"/>
      <c r="AF105" s="98"/>
      <c r="AG105" s="277"/>
      <c r="AH105" s="277"/>
      <c r="AI105" s="277"/>
      <c r="AJ105" s="92"/>
    </row>
    <row r="106" spans="1:36" s="99" customFormat="1" ht="30" customHeight="1">
      <c r="A106" s="89"/>
      <c r="B106" s="89"/>
      <c r="C106" s="90"/>
      <c r="D106" s="91"/>
      <c r="E106" s="92"/>
      <c r="F106" s="92"/>
      <c r="G106" s="92"/>
      <c r="H106" s="92"/>
      <c r="I106" s="93"/>
      <c r="J106" s="94"/>
      <c r="K106" s="94"/>
      <c r="L106" s="95"/>
      <c r="M106" s="66"/>
      <c r="N106" s="96"/>
      <c r="O106" s="97"/>
      <c r="P106" s="58"/>
      <c r="Q106" s="69"/>
      <c r="R106" s="70"/>
      <c r="S106" s="66"/>
      <c r="T106" s="55"/>
      <c r="U106" s="55"/>
      <c r="V106" s="55"/>
      <c r="W106" s="98"/>
      <c r="X106" s="98"/>
      <c r="Y106" s="98"/>
      <c r="Z106" s="98"/>
      <c r="AA106" s="98"/>
      <c r="AB106" s="98"/>
      <c r="AC106" s="98"/>
      <c r="AD106" s="98"/>
      <c r="AE106" s="98"/>
      <c r="AF106" s="98"/>
      <c r="AG106" s="277"/>
      <c r="AH106" s="277"/>
      <c r="AI106" s="277"/>
      <c r="AJ106" s="92"/>
    </row>
    <row r="107" spans="1:36" s="99" customFormat="1" ht="30" customHeight="1">
      <c r="A107" s="89"/>
      <c r="B107" s="89"/>
      <c r="C107" s="90"/>
      <c r="D107" s="91"/>
      <c r="E107" s="92"/>
      <c r="F107" s="92"/>
      <c r="G107" s="92"/>
      <c r="H107" s="92"/>
      <c r="I107" s="93"/>
      <c r="J107" s="94"/>
      <c r="K107" s="94"/>
      <c r="L107" s="95"/>
      <c r="M107" s="66"/>
      <c r="N107" s="96"/>
      <c r="O107" s="97"/>
      <c r="P107" s="58"/>
      <c r="Q107" s="69"/>
      <c r="R107" s="70"/>
      <c r="S107" s="66"/>
      <c r="T107" s="55"/>
      <c r="U107" s="55"/>
      <c r="V107" s="55"/>
      <c r="W107" s="98"/>
      <c r="X107" s="98"/>
      <c r="Y107" s="98"/>
      <c r="Z107" s="98"/>
      <c r="AA107" s="98"/>
      <c r="AB107" s="98"/>
      <c r="AC107" s="98"/>
      <c r="AD107" s="98"/>
      <c r="AE107" s="98"/>
      <c r="AF107" s="98"/>
      <c r="AG107" s="277"/>
      <c r="AH107" s="277"/>
      <c r="AI107" s="277"/>
      <c r="AJ107" s="92"/>
    </row>
    <row r="108" spans="1:36" s="99" customFormat="1" ht="30" customHeight="1">
      <c r="A108" s="89"/>
      <c r="B108" s="89"/>
      <c r="C108" s="90"/>
      <c r="D108" s="91"/>
      <c r="E108" s="92"/>
      <c r="F108" s="92"/>
      <c r="G108" s="92"/>
      <c r="H108" s="92"/>
      <c r="I108" s="93"/>
      <c r="J108" s="94"/>
      <c r="K108" s="94"/>
      <c r="L108" s="95"/>
      <c r="M108" s="66"/>
      <c r="N108" s="96"/>
      <c r="O108" s="97"/>
      <c r="P108" s="58"/>
      <c r="Q108" s="69"/>
      <c r="R108" s="70"/>
      <c r="S108" s="66"/>
      <c r="T108" s="55"/>
      <c r="U108" s="55"/>
      <c r="V108" s="55"/>
      <c r="W108" s="98"/>
      <c r="X108" s="98"/>
      <c r="Y108" s="98"/>
      <c r="Z108" s="98"/>
      <c r="AA108" s="98"/>
      <c r="AB108" s="98"/>
      <c r="AC108" s="98"/>
      <c r="AD108" s="98"/>
      <c r="AE108" s="98"/>
      <c r="AF108" s="98"/>
      <c r="AG108" s="277"/>
      <c r="AH108" s="277"/>
      <c r="AI108" s="277"/>
      <c r="AJ108" s="92"/>
    </row>
    <row r="109" spans="1:36" s="99" customFormat="1" ht="30" customHeight="1">
      <c r="A109" s="89"/>
      <c r="B109" s="89"/>
      <c r="C109" s="90"/>
      <c r="D109" s="91"/>
      <c r="E109" s="92"/>
      <c r="F109" s="92"/>
      <c r="G109" s="92"/>
      <c r="H109" s="92"/>
      <c r="I109" s="93"/>
      <c r="J109" s="94"/>
      <c r="K109" s="94"/>
      <c r="L109" s="95"/>
      <c r="M109" s="66"/>
      <c r="N109" s="96"/>
      <c r="O109" s="97"/>
      <c r="P109" s="58"/>
      <c r="Q109" s="69"/>
      <c r="R109" s="70"/>
      <c r="S109" s="66"/>
      <c r="T109" s="55"/>
      <c r="U109" s="55"/>
      <c r="V109" s="55"/>
      <c r="W109" s="98"/>
      <c r="X109" s="98"/>
      <c r="Y109" s="98"/>
      <c r="Z109" s="98"/>
      <c r="AA109" s="98"/>
      <c r="AB109" s="98"/>
      <c r="AC109" s="98"/>
      <c r="AD109" s="98"/>
      <c r="AE109" s="98"/>
      <c r="AF109" s="98"/>
      <c r="AG109" s="277"/>
      <c r="AH109" s="277"/>
      <c r="AI109" s="277"/>
      <c r="AJ109" s="92"/>
    </row>
    <row r="110" spans="1:36" s="99" customFormat="1" ht="30" customHeight="1">
      <c r="A110" s="89"/>
      <c r="B110" s="89"/>
      <c r="C110" s="90"/>
      <c r="D110" s="91"/>
      <c r="E110" s="92"/>
      <c r="F110" s="92"/>
      <c r="G110" s="92"/>
      <c r="H110" s="92"/>
      <c r="I110" s="93"/>
      <c r="J110" s="94"/>
      <c r="K110" s="94"/>
      <c r="L110" s="95"/>
      <c r="M110" s="66"/>
      <c r="N110" s="96"/>
      <c r="O110" s="97"/>
      <c r="P110" s="58"/>
      <c r="Q110" s="69"/>
      <c r="R110" s="70"/>
      <c r="S110" s="66"/>
      <c r="T110" s="55"/>
      <c r="U110" s="55"/>
      <c r="V110" s="55"/>
      <c r="W110" s="98"/>
      <c r="X110" s="98"/>
      <c r="Y110" s="98"/>
      <c r="Z110" s="98"/>
      <c r="AA110" s="98"/>
      <c r="AB110" s="98"/>
      <c r="AC110" s="98"/>
      <c r="AD110" s="98"/>
      <c r="AE110" s="98"/>
      <c r="AF110" s="98"/>
      <c r="AG110" s="277"/>
      <c r="AH110" s="277"/>
      <c r="AI110" s="277"/>
      <c r="AJ110" s="92"/>
    </row>
    <row r="111" spans="1:36" s="99" customFormat="1" ht="30" customHeight="1">
      <c r="A111" s="89"/>
      <c r="B111" s="89"/>
      <c r="C111" s="90"/>
      <c r="D111" s="91"/>
      <c r="E111" s="92"/>
      <c r="F111" s="92"/>
      <c r="G111" s="92"/>
      <c r="H111" s="92"/>
      <c r="I111" s="93"/>
      <c r="J111" s="94"/>
      <c r="K111" s="94"/>
      <c r="L111" s="95"/>
      <c r="M111" s="66"/>
      <c r="N111" s="96"/>
      <c r="O111" s="97"/>
      <c r="P111" s="58"/>
      <c r="Q111" s="69"/>
      <c r="R111" s="70"/>
      <c r="S111" s="66"/>
      <c r="T111" s="55"/>
      <c r="U111" s="55"/>
      <c r="V111" s="55"/>
      <c r="W111" s="98"/>
      <c r="X111" s="98"/>
      <c r="Y111" s="98"/>
      <c r="Z111" s="98"/>
      <c r="AA111" s="98"/>
      <c r="AB111" s="98"/>
      <c r="AC111" s="98"/>
      <c r="AD111" s="98"/>
      <c r="AE111" s="98"/>
      <c r="AF111" s="98"/>
      <c r="AG111" s="277"/>
      <c r="AH111" s="277"/>
      <c r="AI111" s="277"/>
      <c r="AJ111" s="92"/>
    </row>
    <row r="112" spans="1:36" s="99" customFormat="1" ht="30" customHeight="1">
      <c r="A112" s="89"/>
      <c r="B112" s="89"/>
      <c r="C112" s="90"/>
      <c r="D112" s="91"/>
      <c r="E112" s="92"/>
      <c r="F112" s="92"/>
      <c r="G112" s="92"/>
      <c r="H112" s="92"/>
      <c r="I112" s="93"/>
      <c r="J112" s="94"/>
      <c r="K112" s="94"/>
      <c r="L112" s="95"/>
      <c r="M112" s="66"/>
      <c r="N112" s="96"/>
      <c r="O112" s="97"/>
      <c r="P112" s="58"/>
      <c r="Q112" s="69"/>
      <c r="R112" s="70"/>
      <c r="S112" s="66"/>
      <c r="T112" s="55"/>
      <c r="U112" s="55"/>
      <c r="V112" s="55"/>
      <c r="W112" s="98"/>
      <c r="X112" s="98"/>
      <c r="Y112" s="98"/>
      <c r="Z112" s="98"/>
      <c r="AA112" s="98"/>
      <c r="AB112" s="98"/>
      <c r="AC112" s="98"/>
      <c r="AD112" s="98"/>
      <c r="AE112" s="98"/>
      <c r="AF112" s="98"/>
      <c r="AG112" s="277"/>
      <c r="AH112" s="277"/>
      <c r="AI112" s="277"/>
      <c r="AJ112" s="92"/>
    </row>
    <row r="113" spans="1:36" s="99" customFormat="1" ht="30" customHeight="1">
      <c r="A113" s="89"/>
      <c r="B113" s="89"/>
      <c r="C113" s="90"/>
      <c r="D113" s="91"/>
      <c r="E113" s="92"/>
      <c r="F113" s="92"/>
      <c r="G113" s="92"/>
      <c r="H113" s="92"/>
      <c r="I113" s="93"/>
      <c r="J113" s="94"/>
      <c r="K113" s="94"/>
      <c r="L113" s="95"/>
      <c r="M113" s="66"/>
      <c r="N113" s="96"/>
      <c r="O113" s="97"/>
      <c r="P113" s="58"/>
      <c r="Q113" s="69"/>
      <c r="R113" s="70"/>
      <c r="S113" s="66"/>
      <c r="T113" s="55"/>
      <c r="U113" s="55"/>
      <c r="V113" s="55"/>
      <c r="W113" s="98"/>
      <c r="X113" s="98"/>
      <c r="Y113" s="98"/>
      <c r="Z113" s="98"/>
      <c r="AA113" s="98"/>
      <c r="AB113" s="98"/>
      <c r="AC113" s="98"/>
      <c r="AD113" s="98"/>
      <c r="AE113" s="98"/>
      <c r="AF113" s="98"/>
      <c r="AG113" s="277"/>
      <c r="AH113" s="277"/>
      <c r="AI113" s="277"/>
      <c r="AJ113" s="92"/>
    </row>
    <row r="114" spans="1:36" s="99" customFormat="1" ht="30" customHeight="1">
      <c r="A114" s="89"/>
      <c r="B114" s="89"/>
      <c r="C114" s="90"/>
      <c r="D114" s="91"/>
      <c r="E114" s="92"/>
      <c r="F114" s="92"/>
      <c r="G114" s="92"/>
      <c r="H114" s="92"/>
      <c r="I114" s="93"/>
      <c r="J114" s="94"/>
      <c r="K114" s="94"/>
      <c r="L114" s="95"/>
      <c r="M114" s="66"/>
      <c r="N114" s="96"/>
      <c r="O114" s="97"/>
      <c r="P114" s="58"/>
      <c r="Q114" s="69"/>
      <c r="R114" s="70"/>
      <c r="S114" s="66"/>
      <c r="T114" s="55"/>
      <c r="U114" s="55"/>
      <c r="V114" s="55"/>
      <c r="W114" s="98"/>
      <c r="X114" s="98"/>
      <c r="Y114" s="98"/>
      <c r="Z114" s="98"/>
      <c r="AA114" s="98"/>
      <c r="AB114" s="98"/>
      <c r="AC114" s="98"/>
      <c r="AD114" s="98"/>
      <c r="AE114" s="98"/>
      <c r="AF114" s="98"/>
      <c r="AG114" s="277"/>
      <c r="AH114" s="277"/>
      <c r="AI114" s="277"/>
      <c r="AJ114" s="92"/>
    </row>
    <row r="115" spans="1:36" s="99" customFormat="1" ht="30" customHeight="1">
      <c r="A115" s="89"/>
      <c r="B115" s="89"/>
      <c r="C115" s="90"/>
      <c r="D115" s="91"/>
      <c r="E115" s="92"/>
      <c r="F115" s="92"/>
      <c r="G115" s="92"/>
      <c r="H115" s="92"/>
      <c r="I115" s="93"/>
      <c r="J115" s="94"/>
      <c r="K115" s="94"/>
      <c r="L115" s="95"/>
      <c r="M115" s="66"/>
      <c r="N115" s="96"/>
      <c r="O115" s="97"/>
      <c r="P115" s="58"/>
      <c r="Q115" s="69"/>
      <c r="R115" s="70"/>
      <c r="S115" s="66"/>
      <c r="T115" s="55"/>
      <c r="U115" s="55"/>
      <c r="V115" s="55"/>
      <c r="W115" s="98"/>
      <c r="X115" s="98"/>
      <c r="Y115" s="98"/>
      <c r="Z115" s="98"/>
      <c r="AA115" s="98"/>
      <c r="AB115" s="98"/>
      <c r="AC115" s="98"/>
      <c r="AD115" s="98"/>
      <c r="AE115" s="98"/>
      <c r="AF115" s="98"/>
      <c r="AG115" s="277"/>
      <c r="AH115" s="277"/>
      <c r="AI115" s="277"/>
      <c r="AJ115" s="92"/>
    </row>
    <row r="116" spans="1:36" s="99" customFormat="1" ht="30" customHeight="1">
      <c r="A116" s="89"/>
      <c r="B116" s="89"/>
      <c r="C116" s="90"/>
      <c r="D116" s="91"/>
      <c r="E116" s="92"/>
      <c r="F116" s="92"/>
      <c r="G116" s="92"/>
      <c r="H116" s="92"/>
      <c r="I116" s="93"/>
      <c r="J116" s="94"/>
      <c r="K116" s="94"/>
      <c r="L116" s="95"/>
      <c r="M116" s="66"/>
      <c r="N116" s="96"/>
      <c r="O116" s="97"/>
      <c r="P116" s="58"/>
      <c r="Q116" s="69"/>
      <c r="R116" s="70"/>
      <c r="S116" s="66"/>
      <c r="T116" s="55"/>
      <c r="U116" s="55"/>
      <c r="V116" s="55"/>
      <c r="W116" s="98"/>
      <c r="X116" s="98"/>
      <c r="Y116" s="98"/>
      <c r="Z116" s="98"/>
      <c r="AA116" s="98"/>
      <c r="AB116" s="98"/>
      <c r="AC116" s="98"/>
      <c r="AD116" s="98"/>
      <c r="AE116" s="98"/>
      <c r="AF116" s="98"/>
      <c r="AG116" s="277"/>
      <c r="AH116" s="277"/>
      <c r="AI116" s="277"/>
      <c r="AJ116" s="92"/>
    </row>
    <row r="117" spans="1:36" s="99" customFormat="1" ht="30" customHeight="1">
      <c r="A117" s="89"/>
      <c r="B117" s="89"/>
      <c r="C117" s="90"/>
      <c r="D117" s="91"/>
      <c r="E117" s="92"/>
      <c r="F117" s="92"/>
      <c r="G117" s="92"/>
      <c r="H117" s="92"/>
      <c r="I117" s="93"/>
      <c r="J117" s="94"/>
      <c r="K117" s="94"/>
      <c r="L117" s="95"/>
      <c r="M117" s="66"/>
      <c r="N117" s="96"/>
      <c r="O117" s="97"/>
      <c r="P117" s="58"/>
      <c r="Q117" s="69"/>
      <c r="R117" s="70"/>
      <c r="S117" s="66"/>
      <c r="T117" s="55"/>
      <c r="U117" s="55"/>
      <c r="V117" s="55"/>
      <c r="W117" s="98"/>
      <c r="X117" s="98"/>
      <c r="Y117" s="98"/>
      <c r="Z117" s="98"/>
      <c r="AA117" s="98"/>
      <c r="AB117" s="98"/>
      <c r="AC117" s="98"/>
      <c r="AD117" s="98"/>
      <c r="AE117" s="98"/>
      <c r="AF117" s="98"/>
      <c r="AG117" s="277"/>
      <c r="AH117" s="277"/>
      <c r="AI117" s="277"/>
      <c r="AJ117" s="92"/>
    </row>
    <row r="118" spans="1:36" s="99" customFormat="1" ht="30" customHeight="1">
      <c r="A118" s="89"/>
      <c r="B118" s="89"/>
      <c r="C118" s="90"/>
      <c r="D118" s="91"/>
      <c r="E118" s="92"/>
      <c r="F118" s="92"/>
      <c r="G118" s="92"/>
      <c r="H118" s="92"/>
      <c r="I118" s="93"/>
      <c r="J118" s="94"/>
      <c r="K118" s="94"/>
      <c r="L118" s="95"/>
      <c r="M118" s="66"/>
      <c r="N118" s="96"/>
      <c r="O118" s="97"/>
      <c r="P118" s="58"/>
      <c r="Q118" s="69"/>
      <c r="R118" s="70"/>
      <c r="S118" s="66"/>
      <c r="T118" s="55"/>
      <c r="U118" s="55"/>
      <c r="V118" s="55"/>
      <c r="W118" s="98"/>
      <c r="X118" s="98"/>
      <c r="Y118" s="98"/>
      <c r="Z118" s="98"/>
      <c r="AA118" s="98"/>
      <c r="AB118" s="98"/>
      <c r="AC118" s="98"/>
      <c r="AD118" s="98"/>
      <c r="AE118" s="98"/>
      <c r="AF118" s="98"/>
      <c r="AG118" s="277"/>
      <c r="AH118" s="277"/>
      <c r="AI118" s="277"/>
      <c r="AJ118" s="92"/>
    </row>
    <row r="119" spans="1:36" s="99" customFormat="1" ht="30" customHeight="1">
      <c r="A119" s="89"/>
      <c r="B119" s="89"/>
      <c r="C119" s="90"/>
      <c r="D119" s="91"/>
      <c r="E119" s="92"/>
      <c r="F119" s="92"/>
      <c r="G119" s="92"/>
      <c r="H119" s="92"/>
      <c r="I119" s="93"/>
      <c r="J119" s="94"/>
      <c r="K119" s="94"/>
      <c r="L119" s="95"/>
      <c r="M119" s="66"/>
      <c r="N119" s="96"/>
      <c r="O119" s="97"/>
      <c r="P119" s="58"/>
      <c r="Q119" s="69"/>
      <c r="R119" s="70"/>
      <c r="S119" s="66"/>
      <c r="T119" s="55"/>
      <c r="U119" s="55"/>
      <c r="V119" s="55"/>
      <c r="W119" s="98"/>
      <c r="X119" s="98"/>
      <c r="Y119" s="98"/>
      <c r="Z119" s="98"/>
      <c r="AA119" s="98"/>
      <c r="AB119" s="98"/>
      <c r="AC119" s="98"/>
      <c r="AD119" s="98"/>
      <c r="AE119" s="98"/>
      <c r="AF119" s="98"/>
      <c r="AG119" s="277"/>
      <c r="AH119" s="277"/>
      <c r="AI119" s="277"/>
      <c r="AJ119" s="92"/>
    </row>
    <row r="120" spans="1:36" s="99" customFormat="1" ht="30" customHeight="1">
      <c r="A120" s="89"/>
      <c r="B120" s="89"/>
      <c r="C120" s="90"/>
      <c r="D120" s="91"/>
      <c r="E120" s="92"/>
      <c r="F120" s="92"/>
      <c r="G120" s="92"/>
      <c r="H120" s="92"/>
      <c r="I120" s="93"/>
      <c r="J120" s="94"/>
      <c r="K120" s="94"/>
      <c r="L120" s="95"/>
      <c r="M120" s="66"/>
      <c r="N120" s="96"/>
      <c r="O120" s="97"/>
      <c r="P120" s="58"/>
      <c r="Q120" s="69"/>
      <c r="R120" s="70"/>
      <c r="S120" s="66"/>
      <c r="T120" s="55"/>
      <c r="U120" s="55"/>
      <c r="V120" s="55"/>
      <c r="W120" s="98"/>
      <c r="X120" s="98"/>
      <c r="Y120" s="98"/>
      <c r="Z120" s="98"/>
      <c r="AA120" s="98"/>
      <c r="AB120" s="98"/>
      <c r="AC120" s="98"/>
      <c r="AD120" s="98"/>
      <c r="AE120" s="98"/>
      <c r="AF120" s="98"/>
      <c r="AG120" s="277"/>
      <c r="AH120" s="277"/>
      <c r="AI120" s="277"/>
      <c r="AJ120" s="92"/>
    </row>
    <row r="121" spans="1:36" s="99" customFormat="1" ht="30" customHeight="1">
      <c r="A121" s="89"/>
      <c r="B121" s="89"/>
      <c r="C121" s="90"/>
      <c r="D121" s="91"/>
      <c r="E121" s="92"/>
      <c r="F121" s="92"/>
      <c r="G121" s="92"/>
      <c r="H121" s="92"/>
      <c r="I121" s="93"/>
      <c r="J121" s="94"/>
      <c r="K121" s="94"/>
      <c r="L121" s="95"/>
      <c r="M121" s="66"/>
      <c r="N121" s="96"/>
      <c r="O121" s="97"/>
      <c r="P121" s="58"/>
      <c r="Q121" s="69"/>
      <c r="R121" s="70"/>
      <c r="S121" s="66"/>
      <c r="T121" s="55"/>
      <c r="U121" s="55"/>
      <c r="V121" s="55"/>
      <c r="W121" s="98"/>
      <c r="X121" s="98"/>
      <c r="Y121" s="98"/>
      <c r="Z121" s="98"/>
      <c r="AA121" s="98"/>
      <c r="AB121" s="98"/>
      <c r="AC121" s="98"/>
      <c r="AD121" s="98"/>
      <c r="AE121" s="98"/>
      <c r="AF121" s="98"/>
      <c r="AG121" s="277"/>
      <c r="AH121" s="277"/>
      <c r="AI121" s="277"/>
      <c r="AJ121" s="92"/>
    </row>
    <row r="122" spans="1:36" s="99" customFormat="1" ht="30" customHeight="1">
      <c r="A122" s="89"/>
      <c r="B122" s="89"/>
      <c r="C122" s="90"/>
      <c r="D122" s="91"/>
      <c r="E122" s="92"/>
      <c r="F122" s="92"/>
      <c r="G122" s="92"/>
      <c r="H122" s="92"/>
      <c r="I122" s="93"/>
      <c r="J122" s="94"/>
      <c r="K122" s="94"/>
      <c r="L122" s="95"/>
      <c r="M122" s="66"/>
      <c r="N122" s="96"/>
      <c r="O122" s="97"/>
      <c r="P122" s="58"/>
      <c r="Q122" s="69"/>
      <c r="R122" s="70"/>
      <c r="S122" s="66"/>
      <c r="T122" s="55"/>
      <c r="U122" s="55"/>
      <c r="V122" s="55"/>
      <c r="W122" s="98"/>
      <c r="X122" s="98"/>
      <c r="Y122" s="98"/>
      <c r="Z122" s="98"/>
      <c r="AA122" s="98"/>
      <c r="AB122" s="98"/>
      <c r="AC122" s="98"/>
      <c r="AD122" s="98"/>
      <c r="AE122" s="98"/>
      <c r="AF122" s="98"/>
      <c r="AG122" s="277"/>
      <c r="AH122" s="277"/>
      <c r="AI122" s="277"/>
      <c r="AJ122" s="92"/>
    </row>
    <row r="123" spans="1:36" s="99" customFormat="1" ht="30" customHeight="1">
      <c r="A123" s="89"/>
      <c r="B123" s="89"/>
      <c r="C123" s="90"/>
      <c r="D123" s="91"/>
      <c r="E123" s="92"/>
      <c r="F123" s="92"/>
      <c r="G123" s="92"/>
      <c r="H123" s="92"/>
      <c r="I123" s="93"/>
      <c r="J123" s="94"/>
      <c r="K123" s="94"/>
      <c r="L123" s="95"/>
      <c r="M123" s="66"/>
      <c r="N123" s="96"/>
      <c r="O123" s="97"/>
      <c r="P123" s="58"/>
      <c r="Q123" s="69"/>
      <c r="R123" s="70"/>
      <c r="S123" s="66"/>
      <c r="T123" s="55"/>
      <c r="U123" s="55"/>
      <c r="V123" s="55"/>
      <c r="W123" s="98"/>
      <c r="X123" s="98"/>
      <c r="Y123" s="98"/>
      <c r="Z123" s="98"/>
      <c r="AA123" s="98"/>
      <c r="AB123" s="98"/>
      <c r="AC123" s="98"/>
      <c r="AD123" s="98"/>
      <c r="AE123" s="98"/>
      <c r="AF123" s="98"/>
      <c r="AG123" s="277"/>
      <c r="AH123" s="277"/>
      <c r="AI123" s="277"/>
      <c r="AJ123" s="92"/>
    </row>
    <row r="124" spans="1:36" s="99" customFormat="1" ht="30" customHeight="1">
      <c r="A124" s="89"/>
      <c r="B124" s="89"/>
      <c r="C124" s="90"/>
      <c r="D124" s="91"/>
      <c r="E124" s="92"/>
      <c r="F124" s="92"/>
      <c r="G124" s="92"/>
      <c r="H124" s="92"/>
      <c r="I124" s="93"/>
      <c r="J124" s="94"/>
      <c r="K124" s="94"/>
      <c r="L124" s="95"/>
      <c r="M124" s="66"/>
      <c r="N124" s="96"/>
      <c r="O124" s="97"/>
      <c r="P124" s="58"/>
      <c r="Q124" s="69"/>
      <c r="R124" s="70"/>
      <c r="S124" s="66"/>
      <c r="T124" s="55"/>
      <c r="U124" s="55"/>
      <c r="V124" s="55"/>
      <c r="W124" s="98"/>
      <c r="X124" s="98"/>
      <c r="Y124" s="98"/>
      <c r="Z124" s="98"/>
      <c r="AA124" s="98"/>
      <c r="AB124" s="98"/>
      <c r="AC124" s="98"/>
      <c r="AD124" s="98"/>
      <c r="AE124" s="98"/>
      <c r="AF124" s="98"/>
      <c r="AG124" s="277"/>
      <c r="AH124" s="277"/>
      <c r="AI124" s="277"/>
      <c r="AJ124" s="92"/>
    </row>
    <row r="125" spans="1:36" s="99" customFormat="1" ht="65.099999999999994" customHeight="1">
      <c r="A125" s="89"/>
      <c r="B125" s="89"/>
      <c r="C125" s="90"/>
      <c r="D125" s="91"/>
      <c r="E125" s="92"/>
      <c r="F125" s="92"/>
      <c r="G125" s="92"/>
      <c r="H125" s="92"/>
      <c r="I125" s="93"/>
      <c r="J125" s="94"/>
      <c r="K125" s="94"/>
      <c r="L125" s="95"/>
      <c r="M125" s="66"/>
      <c r="N125" s="96"/>
      <c r="O125" s="97"/>
      <c r="P125" s="58"/>
      <c r="Q125" s="69"/>
      <c r="R125" s="70"/>
      <c r="S125" s="66"/>
      <c r="T125" s="55"/>
      <c r="U125" s="55"/>
      <c r="V125" s="55"/>
      <c r="W125" s="98"/>
      <c r="X125" s="98"/>
      <c r="Y125" s="98"/>
      <c r="Z125" s="98"/>
      <c r="AA125" s="98"/>
      <c r="AB125" s="98"/>
      <c r="AC125" s="98"/>
      <c r="AD125" s="98"/>
      <c r="AE125" s="98"/>
      <c r="AF125" s="98"/>
      <c r="AG125" s="277"/>
      <c r="AH125" s="277"/>
      <c r="AI125" s="277"/>
      <c r="AJ125" s="92"/>
    </row>
    <row r="126" spans="1:36" s="99" customFormat="1" ht="65.099999999999994" customHeight="1">
      <c r="A126" s="89"/>
      <c r="B126" s="89"/>
      <c r="C126" s="90"/>
      <c r="D126" s="91"/>
      <c r="E126" s="92"/>
      <c r="F126" s="92"/>
      <c r="G126" s="92"/>
      <c r="H126" s="92"/>
      <c r="I126" s="93"/>
      <c r="J126" s="94"/>
      <c r="K126" s="94"/>
      <c r="L126" s="95"/>
      <c r="M126" s="66"/>
      <c r="N126" s="96"/>
      <c r="O126" s="97"/>
      <c r="P126" s="58"/>
      <c r="Q126" s="69"/>
      <c r="R126" s="70"/>
      <c r="S126" s="66"/>
      <c r="T126" s="55"/>
      <c r="U126" s="55"/>
      <c r="V126" s="55"/>
      <c r="W126" s="98"/>
      <c r="X126" s="98"/>
      <c r="Y126" s="98"/>
      <c r="Z126" s="98"/>
      <c r="AA126" s="98"/>
      <c r="AB126" s="98"/>
      <c r="AC126" s="98"/>
      <c r="AD126" s="98"/>
      <c r="AE126" s="98"/>
      <c r="AF126" s="98"/>
      <c r="AG126" s="277"/>
      <c r="AH126" s="277"/>
      <c r="AI126" s="277"/>
      <c r="AJ126" s="92"/>
    </row>
    <row r="127" spans="1:36" s="99" customFormat="1" ht="65.099999999999994" customHeight="1">
      <c r="A127" s="89"/>
      <c r="B127" s="89"/>
      <c r="C127" s="90"/>
      <c r="D127" s="91"/>
      <c r="E127" s="92"/>
      <c r="F127" s="92"/>
      <c r="G127" s="92"/>
      <c r="H127" s="92"/>
      <c r="I127" s="93"/>
      <c r="J127" s="94"/>
      <c r="K127" s="94"/>
      <c r="L127" s="95"/>
      <c r="M127" s="66"/>
      <c r="N127" s="96"/>
      <c r="O127" s="97"/>
      <c r="P127" s="58"/>
      <c r="Q127" s="69"/>
      <c r="R127" s="70"/>
      <c r="S127" s="66"/>
      <c r="T127" s="55"/>
      <c r="U127" s="55"/>
      <c r="V127" s="55"/>
      <c r="W127" s="98"/>
      <c r="X127" s="98"/>
      <c r="Y127" s="98"/>
      <c r="Z127" s="98"/>
      <c r="AA127" s="98"/>
      <c r="AB127" s="98"/>
      <c r="AC127" s="98"/>
      <c r="AD127" s="98"/>
      <c r="AE127" s="98"/>
      <c r="AF127" s="98"/>
      <c r="AG127" s="277"/>
      <c r="AH127" s="277"/>
      <c r="AI127" s="277"/>
      <c r="AJ127" s="92"/>
    </row>
    <row r="128" spans="1:36" s="99" customFormat="1" ht="65.099999999999994" customHeight="1">
      <c r="A128" s="89"/>
      <c r="B128" s="89"/>
      <c r="C128" s="90"/>
      <c r="D128" s="91"/>
      <c r="E128" s="92"/>
      <c r="F128" s="92"/>
      <c r="G128" s="92"/>
      <c r="H128" s="92"/>
      <c r="I128" s="93"/>
      <c r="J128" s="94"/>
      <c r="K128" s="94"/>
      <c r="L128" s="95"/>
      <c r="M128" s="66"/>
      <c r="N128" s="96"/>
      <c r="O128" s="97"/>
      <c r="P128" s="58"/>
      <c r="Q128" s="69"/>
      <c r="R128" s="70"/>
      <c r="S128" s="66"/>
      <c r="T128" s="55"/>
      <c r="U128" s="55"/>
      <c r="V128" s="55"/>
      <c r="W128" s="98"/>
      <c r="X128" s="98"/>
      <c r="Y128" s="98"/>
      <c r="Z128" s="98"/>
      <c r="AA128" s="98"/>
      <c r="AB128" s="98"/>
      <c r="AC128" s="98"/>
      <c r="AD128" s="98"/>
      <c r="AE128" s="98"/>
      <c r="AF128" s="98"/>
      <c r="AG128" s="277"/>
      <c r="AH128" s="277"/>
      <c r="AI128" s="277"/>
      <c r="AJ128" s="92"/>
    </row>
    <row r="129" spans="1:36" s="99" customFormat="1" ht="65.099999999999994" customHeight="1">
      <c r="A129" s="89"/>
      <c r="B129" s="89"/>
      <c r="C129" s="90"/>
      <c r="D129" s="91"/>
      <c r="E129" s="92"/>
      <c r="F129" s="92"/>
      <c r="G129" s="92"/>
      <c r="H129" s="92"/>
      <c r="I129" s="93"/>
      <c r="J129" s="94"/>
      <c r="K129" s="94"/>
      <c r="L129" s="95"/>
      <c r="M129" s="66"/>
      <c r="N129" s="96"/>
      <c r="O129" s="97"/>
      <c r="P129" s="58"/>
      <c r="Q129" s="69"/>
      <c r="R129" s="70"/>
      <c r="S129" s="66"/>
      <c r="T129" s="55"/>
      <c r="U129" s="55"/>
      <c r="V129" s="55"/>
      <c r="W129" s="98"/>
      <c r="X129" s="98"/>
      <c r="Y129" s="98"/>
      <c r="Z129" s="98"/>
      <c r="AA129" s="98"/>
      <c r="AB129" s="98"/>
      <c r="AC129" s="98"/>
      <c r="AD129" s="98"/>
      <c r="AE129" s="98"/>
      <c r="AF129" s="98"/>
      <c r="AG129" s="277"/>
      <c r="AH129" s="277"/>
      <c r="AI129" s="277"/>
      <c r="AJ129" s="92"/>
    </row>
    <row r="130" spans="1:36" s="99" customFormat="1" ht="65.099999999999994" customHeight="1">
      <c r="A130" s="89"/>
      <c r="B130" s="89"/>
      <c r="C130" s="90"/>
      <c r="D130" s="91"/>
      <c r="E130" s="92"/>
      <c r="F130" s="92"/>
      <c r="G130" s="92"/>
      <c r="H130" s="92"/>
      <c r="I130" s="93"/>
      <c r="J130" s="94"/>
      <c r="K130" s="94"/>
      <c r="L130" s="95"/>
      <c r="M130" s="66"/>
      <c r="N130" s="96"/>
      <c r="O130" s="97"/>
      <c r="P130" s="58"/>
      <c r="Q130" s="69"/>
      <c r="R130" s="70"/>
      <c r="S130" s="66"/>
      <c r="T130" s="55"/>
      <c r="U130" s="55"/>
      <c r="V130" s="55"/>
      <c r="W130" s="98"/>
      <c r="X130" s="98"/>
      <c r="Y130" s="98"/>
      <c r="Z130" s="98"/>
      <c r="AA130" s="98"/>
      <c r="AB130" s="98"/>
      <c r="AC130" s="98"/>
      <c r="AD130" s="98"/>
      <c r="AE130" s="98"/>
      <c r="AF130" s="98"/>
      <c r="AG130" s="277"/>
      <c r="AH130" s="277"/>
      <c r="AI130" s="277"/>
      <c r="AJ130" s="92"/>
    </row>
    <row r="131" spans="1:36" s="99" customFormat="1" ht="65.099999999999994" customHeight="1">
      <c r="A131" s="89"/>
      <c r="B131" s="89"/>
      <c r="C131" s="90"/>
      <c r="D131" s="91"/>
      <c r="E131" s="92"/>
      <c r="F131" s="92"/>
      <c r="G131" s="92"/>
      <c r="H131" s="92"/>
      <c r="I131" s="93"/>
      <c r="J131" s="94"/>
      <c r="K131" s="94"/>
      <c r="L131" s="95"/>
      <c r="M131" s="66"/>
      <c r="N131" s="96"/>
      <c r="O131" s="97"/>
      <c r="P131" s="58"/>
      <c r="Q131" s="69"/>
      <c r="R131" s="70"/>
      <c r="S131" s="66"/>
      <c r="T131" s="55"/>
      <c r="U131" s="55"/>
      <c r="V131" s="55"/>
      <c r="W131" s="98"/>
      <c r="X131" s="98"/>
      <c r="Y131" s="98"/>
      <c r="Z131" s="98"/>
      <c r="AA131" s="98"/>
      <c r="AB131" s="98"/>
      <c r="AC131" s="98"/>
      <c r="AD131" s="98"/>
      <c r="AE131" s="98"/>
      <c r="AF131" s="98"/>
      <c r="AG131" s="277"/>
      <c r="AH131" s="277"/>
      <c r="AI131" s="277"/>
      <c r="AJ131" s="92"/>
    </row>
    <row r="132" spans="1:36" s="99" customFormat="1" ht="65.099999999999994" customHeight="1">
      <c r="A132" s="89"/>
      <c r="B132" s="89"/>
      <c r="C132" s="90"/>
      <c r="D132" s="91"/>
      <c r="E132" s="92"/>
      <c r="F132" s="92"/>
      <c r="G132" s="92"/>
      <c r="H132" s="92"/>
      <c r="I132" s="93"/>
      <c r="J132" s="94"/>
      <c r="K132" s="94"/>
      <c r="L132" s="95"/>
      <c r="M132" s="66"/>
      <c r="N132" s="96"/>
      <c r="O132" s="97"/>
      <c r="P132" s="58"/>
      <c r="Q132" s="69"/>
      <c r="R132" s="70"/>
      <c r="S132" s="66"/>
      <c r="T132" s="55"/>
      <c r="U132" s="55"/>
      <c r="V132" s="55"/>
      <c r="W132" s="98"/>
      <c r="X132" s="98"/>
      <c r="Y132" s="98"/>
      <c r="Z132" s="98"/>
      <c r="AA132" s="98"/>
      <c r="AB132" s="98"/>
      <c r="AC132" s="98"/>
      <c r="AD132" s="98"/>
      <c r="AE132" s="98"/>
      <c r="AF132" s="98"/>
      <c r="AG132" s="277"/>
      <c r="AH132" s="277"/>
      <c r="AI132" s="277"/>
      <c r="AJ132" s="92"/>
    </row>
    <row r="133" spans="1:36" s="99" customFormat="1" ht="65.099999999999994" customHeight="1">
      <c r="A133" s="89"/>
      <c r="B133" s="89"/>
      <c r="C133" s="90"/>
      <c r="D133" s="91"/>
      <c r="E133" s="92"/>
      <c r="F133" s="92"/>
      <c r="G133" s="92"/>
      <c r="H133" s="92"/>
      <c r="I133" s="93"/>
      <c r="J133" s="94"/>
      <c r="K133" s="94"/>
      <c r="L133" s="95"/>
      <c r="M133" s="66"/>
      <c r="N133" s="96"/>
      <c r="O133" s="97"/>
      <c r="P133" s="58"/>
      <c r="Q133" s="69"/>
      <c r="R133" s="70"/>
      <c r="S133" s="66"/>
      <c r="T133" s="55"/>
      <c r="U133" s="55"/>
      <c r="V133" s="55"/>
      <c r="W133" s="98"/>
      <c r="X133" s="98"/>
      <c r="Y133" s="98"/>
      <c r="Z133" s="98"/>
      <c r="AA133" s="98"/>
      <c r="AB133" s="98"/>
      <c r="AC133" s="98"/>
      <c r="AD133" s="98"/>
      <c r="AE133" s="98"/>
      <c r="AF133" s="98"/>
      <c r="AG133" s="277"/>
      <c r="AH133" s="277"/>
      <c r="AI133" s="277"/>
      <c r="AJ133" s="92"/>
    </row>
    <row r="134" spans="1:36" s="99" customFormat="1" ht="65.099999999999994" customHeight="1">
      <c r="A134" s="89"/>
      <c r="B134" s="89"/>
      <c r="C134" s="90"/>
      <c r="D134" s="91"/>
      <c r="E134" s="92"/>
      <c r="F134" s="92"/>
      <c r="G134" s="92"/>
      <c r="H134" s="92"/>
      <c r="I134" s="93"/>
      <c r="J134" s="94"/>
      <c r="K134" s="94"/>
      <c r="L134" s="95"/>
      <c r="M134" s="66"/>
      <c r="N134" s="96"/>
      <c r="O134" s="97"/>
      <c r="P134" s="58"/>
      <c r="Q134" s="69"/>
      <c r="R134" s="70"/>
      <c r="S134" s="66"/>
      <c r="T134" s="55"/>
      <c r="U134" s="55"/>
      <c r="V134" s="55"/>
      <c r="W134" s="98"/>
      <c r="X134" s="98"/>
      <c r="Y134" s="98"/>
      <c r="Z134" s="98"/>
      <c r="AA134" s="98"/>
      <c r="AB134" s="98"/>
      <c r="AC134" s="98"/>
      <c r="AD134" s="98"/>
      <c r="AE134" s="98"/>
      <c r="AF134" s="98"/>
      <c r="AG134" s="277"/>
      <c r="AH134" s="277"/>
      <c r="AI134" s="277"/>
      <c r="AJ134" s="92"/>
    </row>
    <row r="135" spans="1:36" s="99" customFormat="1" ht="65.099999999999994" customHeight="1">
      <c r="A135" s="89"/>
      <c r="B135" s="89"/>
      <c r="C135" s="90"/>
      <c r="D135" s="91"/>
      <c r="E135" s="92"/>
      <c r="F135" s="92"/>
      <c r="G135" s="92"/>
      <c r="H135" s="92"/>
      <c r="I135" s="93"/>
      <c r="J135" s="94"/>
      <c r="K135" s="94"/>
      <c r="L135" s="95"/>
      <c r="M135" s="66"/>
      <c r="N135" s="96"/>
      <c r="O135" s="97"/>
      <c r="P135" s="58"/>
      <c r="Q135" s="69"/>
      <c r="R135" s="70"/>
      <c r="S135" s="66"/>
      <c r="T135" s="55"/>
      <c r="U135" s="55"/>
      <c r="V135" s="55"/>
      <c r="W135" s="98"/>
      <c r="X135" s="98"/>
      <c r="Y135" s="98"/>
      <c r="Z135" s="98"/>
      <c r="AA135" s="98"/>
      <c r="AB135" s="98"/>
      <c r="AC135" s="98"/>
      <c r="AD135" s="98"/>
      <c r="AE135" s="98"/>
      <c r="AF135" s="98"/>
      <c r="AG135" s="277"/>
      <c r="AH135" s="277"/>
      <c r="AI135" s="277"/>
      <c r="AJ135" s="92"/>
    </row>
    <row r="136" spans="1:36" s="99" customFormat="1" ht="65.099999999999994" customHeight="1">
      <c r="A136" s="89"/>
      <c r="B136" s="89"/>
      <c r="C136" s="90"/>
      <c r="D136" s="91"/>
      <c r="E136" s="92"/>
      <c r="F136" s="92"/>
      <c r="G136" s="92"/>
      <c r="H136" s="92"/>
      <c r="I136" s="93"/>
      <c r="J136" s="94"/>
      <c r="K136" s="94"/>
      <c r="L136" s="95"/>
      <c r="M136" s="66"/>
      <c r="N136" s="96"/>
      <c r="O136" s="97"/>
      <c r="P136" s="58"/>
      <c r="Q136" s="69"/>
      <c r="R136" s="70"/>
      <c r="S136" s="66"/>
      <c r="T136" s="55"/>
      <c r="U136" s="55"/>
      <c r="V136" s="55"/>
      <c r="W136" s="98"/>
      <c r="X136" s="98"/>
      <c r="Y136" s="98"/>
      <c r="Z136" s="98"/>
      <c r="AA136" s="98"/>
      <c r="AB136" s="98"/>
      <c r="AC136" s="98"/>
      <c r="AD136" s="98"/>
      <c r="AE136" s="98"/>
      <c r="AF136" s="98"/>
      <c r="AG136" s="277"/>
      <c r="AH136" s="277"/>
      <c r="AI136" s="277"/>
      <c r="AJ136" s="92"/>
    </row>
    <row r="137" spans="1:36" s="99" customFormat="1" ht="65.099999999999994" customHeight="1">
      <c r="A137" s="89"/>
      <c r="B137" s="89"/>
      <c r="C137" s="90"/>
      <c r="D137" s="91"/>
      <c r="E137" s="92"/>
      <c r="F137" s="92"/>
      <c r="G137" s="92"/>
      <c r="H137" s="92"/>
      <c r="I137" s="93"/>
      <c r="J137" s="94"/>
      <c r="K137" s="94"/>
      <c r="L137" s="95"/>
      <c r="M137" s="66"/>
      <c r="N137" s="96"/>
      <c r="O137" s="97"/>
      <c r="P137" s="58"/>
      <c r="Q137" s="69"/>
      <c r="R137" s="70"/>
      <c r="S137" s="66"/>
      <c r="T137" s="55"/>
      <c r="U137" s="55"/>
      <c r="V137" s="55"/>
      <c r="W137" s="98"/>
      <c r="X137" s="98"/>
      <c r="Y137" s="98"/>
      <c r="Z137" s="98"/>
      <c r="AA137" s="98"/>
      <c r="AB137" s="98"/>
      <c r="AC137" s="98"/>
      <c r="AD137" s="98"/>
      <c r="AE137" s="98"/>
      <c r="AF137" s="98"/>
      <c r="AG137" s="277"/>
      <c r="AH137" s="277"/>
      <c r="AI137" s="277"/>
      <c r="AJ137" s="92"/>
    </row>
    <row r="138" spans="1:36" s="99" customFormat="1" ht="65.099999999999994" customHeight="1">
      <c r="A138" s="89"/>
      <c r="B138" s="89"/>
      <c r="C138" s="90"/>
      <c r="D138" s="91"/>
      <c r="E138" s="92"/>
      <c r="F138" s="92"/>
      <c r="G138" s="92"/>
      <c r="H138" s="92"/>
      <c r="I138" s="93"/>
      <c r="J138" s="94"/>
      <c r="K138" s="94"/>
      <c r="L138" s="95"/>
      <c r="M138" s="66"/>
      <c r="N138" s="96"/>
      <c r="O138" s="97"/>
      <c r="P138" s="58"/>
      <c r="Q138" s="69"/>
      <c r="R138" s="70"/>
      <c r="S138" s="66"/>
      <c r="T138" s="55"/>
      <c r="U138" s="55"/>
      <c r="V138" s="55"/>
      <c r="W138" s="98"/>
      <c r="X138" s="98"/>
      <c r="Y138" s="98"/>
      <c r="Z138" s="98"/>
      <c r="AA138" s="98"/>
      <c r="AB138" s="98"/>
      <c r="AC138" s="98"/>
      <c r="AD138" s="98"/>
      <c r="AE138" s="98"/>
      <c r="AF138" s="98"/>
      <c r="AG138" s="277"/>
      <c r="AH138" s="277"/>
      <c r="AI138" s="277"/>
      <c r="AJ138" s="92"/>
    </row>
    <row r="139" spans="1:36" s="99" customFormat="1" ht="65.099999999999994" customHeight="1">
      <c r="A139" s="89"/>
      <c r="B139" s="89"/>
      <c r="C139" s="90"/>
      <c r="D139" s="91"/>
      <c r="E139" s="92"/>
      <c r="F139" s="92"/>
      <c r="G139" s="92"/>
      <c r="H139" s="92"/>
      <c r="I139" s="93"/>
      <c r="J139" s="94"/>
      <c r="K139" s="94"/>
      <c r="L139" s="95"/>
      <c r="M139" s="66"/>
      <c r="N139" s="96"/>
      <c r="O139" s="97"/>
      <c r="P139" s="58"/>
      <c r="Q139" s="69"/>
      <c r="R139" s="70"/>
      <c r="S139" s="66"/>
      <c r="T139" s="55"/>
      <c r="U139" s="55"/>
      <c r="V139" s="55"/>
      <c r="W139" s="98"/>
      <c r="X139" s="98"/>
      <c r="Y139" s="98"/>
      <c r="Z139" s="98"/>
      <c r="AA139" s="98"/>
      <c r="AB139" s="98"/>
      <c r="AC139" s="98"/>
      <c r="AD139" s="98"/>
      <c r="AE139" s="98"/>
      <c r="AF139" s="98"/>
      <c r="AG139" s="277"/>
      <c r="AH139" s="277"/>
      <c r="AI139" s="277"/>
      <c r="AJ139" s="92"/>
    </row>
    <row r="140" spans="1:36" s="99" customFormat="1" ht="65.099999999999994" customHeight="1">
      <c r="A140" s="89"/>
      <c r="B140" s="89"/>
      <c r="C140" s="90"/>
      <c r="D140" s="91"/>
      <c r="E140" s="92"/>
      <c r="F140" s="92"/>
      <c r="G140" s="92"/>
      <c r="H140" s="92"/>
      <c r="I140" s="93"/>
      <c r="J140" s="94"/>
      <c r="K140" s="94"/>
      <c r="L140" s="95"/>
      <c r="M140" s="66"/>
      <c r="N140" s="96"/>
      <c r="O140" s="97"/>
      <c r="P140" s="58"/>
      <c r="Q140" s="69"/>
      <c r="R140" s="70"/>
      <c r="S140" s="66"/>
      <c r="T140" s="55"/>
      <c r="U140" s="55"/>
      <c r="V140" s="55"/>
      <c r="W140" s="98"/>
      <c r="X140" s="98"/>
      <c r="Y140" s="98"/>
      <c r="Z140" s="98"/>
      <c r="AA140" s="98"/>
      <c r="AB140" s="98"/>
      <c r="AC140" s="98"/>
      <c r="AD140" s="98"/>
      <c r="AE140" s="98"/>
      <c r="AF140" s="98"/>
      <c r="AG140" s="277"/>
      <c r="AH140" s="277"/>
      <c r="AI140" s="277"/>
      <c r="AJ140" s="92"/>
    </row>
    <row r="141" spans="1:36" s="99" customFormat="1" ht="65.099999999999994" customHeight="1">
      <c r="A141" s="89"/>
      <c r="B141" s="89"/>
      <c r="C141" s="90"/>
      <c r="D141" s="91"/>
      <c r="E141" s="92"/>
      <c r="F141" s="92"/>
      <c r="G141" s="92"/>
      <c r="H141" s="92"/>
      <c r="I141" s="93"/>
      <c r="J141" s="94"/>
      <c r="K141" s="94"/>
      <c r="L141" s="95"/>
      <c r="M141" s="66"/>
      <c r="N141" s="96"/>
      <c r="O141" s="97"/>
      <c r="P141" s="58"/>
      <c r="Q141" s="69"/>
      <c r="R141" s="70"/>
      <c r="S141" s="66"/>
      <c r="T141" s="55"/>
      <c r="U141" s="55"/>
      <c r="V141" s="55"/>
      <c r="W141" s="98"/>
      <c r="X141" s="98"/>
      <c r="Y141" s="98"/>
      <c r="Z141" s="98"/>
      <c r="AA141" s="98"/>
      <c r="AB141" s="98"/>
      <c r="AC141" s="98"/>
      <c r="AD141" s="98"/>
      <c r="AE141" s="98"/>
      <c r="AF141" s="98"/>
      <c r="AG141" s="277"/>
      <c r="AH141" s="277"/>
      <c r="AI141" s="277"/>
      <c r="AJ141" s="92"/>
    </row>
    <row r="142" spans="1:36" s="99" customFormat="1" ht="65.099999999999994" customHeight="1">
      <c r="A142" s="89"/>
      <c r="B142" s="89"/>
      <c r="C142" s="90"/>
      <c r="D142" s="91"/>
      <c r="E142" s="92"/>
      <c r="F142" s="92"/>
      <c r="G142" s="92"/>
      <c r="H142" s="92"/>
      <c r="I142" s="93"/>
      <c r="J142" s="94"/>
      <c r="K142" s="94"/>
      <c r="L142" s="95"/>
      <c r="M142" s="66"/>
      <c r="N142" s="96"/>
      <c r="O142" s="97"/>
      <c r="P142" s="58"/>
      <c r="Q142" s="69"/>
      <c r="R142" s="70"/>
      <c r="S142" s="66"/>
      <c r="T142" s="55"/>
      <c r="U142" s="55"/>
      <c r="V142" s="55"/>
      <c r="W142" s="98"/>
      <c r="X142" s="98"/>
      <c r="Y142" s="98"/>
      <c r="Z142" s="98"/>
      <c r="AA142" s="98"/>
      <c r="AB142" s="98"/>
      <c r="AC142" s="98"/>
      <c r="AD142" s="98"/>
      <c r="AE142" s="98"/>
      <c r="AF142" s="98"/>
      <c r="AG142" s="277"/>
      <c r="AH142" s="277"/>
      <c r="AI142" s="277"/>
      <c r="AJ142" s="92"/>
    </row>
    <row r="143" spans="1:36" s="99" customFormat="1" ht="65.099999999999994" customHeight="1">
      <c r="A143" s="89"/>
      <c r="B143" s="89"/>
      <c r="C143" s="90"/>
      <c r="D143" s="91"/>
      <c r="E143" s="92"/>
      <c r="F143" s="92"/>
      <c r="G143" s="92"/>
      <c r="H143" s="92"/>
      <c r="I143" s="93"/>
      <c r="J143" s="94"/>
      <c r="K143" s="94"/>
      <c r="L143" s="95"/>
      <c r="M143" s="66"/>
      <c r="N143" s="96"/>
      <c r="O143" s="97"/>
      <c r="P143" s="58"/>
      <c r="Q143" s="69"/>
      <c r="R143" s="70"/>
      <c r="S143" s="66"/>
      <c r="T143" s="55"/>
      <c r="U143" s="55"/>
      <c r="V143" s="55"/>
      <c r="W143" s="98"/>
      <c r="X143" s="98"/>
      <c r="Y143" s="98"/>
      <c r="Z143" s="98"/>
      <c r="AA143" s="98"/>
      <c r="AB143" s="98"/>
      <c r="AC143" s="98"/>
      <c r="AD143" s="98"/>
      <c r="AE143" s="98"/>
      <c r="AF143" s="98"/>
      <c r="AG143" s="277"/>
      <c r="AH143" s="277"/>
      <c r="AI143" s="277"/>
      <c r="AJ143" s="92"/>
    </row>
    <row r="144" spans="1:36" s="99" customFormat="1" ht="65.099999999999994" customHeight="1">
      <c r="A144" s="89"/>
      <c r="B144" s="89"/>
      <c r="C144" s="90"/>
      <c r="D144" s="91"/>
      <c r="E144" s="92"/>
      <c r="F144" s="92"/>
      <c r="G144" s="92"/>
      <c r="H144" s="92"/>
      <c r="I144" s="93"/>
      <c r="J144" s="94"/>
      <c r="K144" s="94"/>
      <c r="L144" s="95"/>
      <c r="M144" s="66"/>
      <c r="N144" s="96"/>
      <c r="O144" s="97"/>
      <c r="P144" s="58"/>
      <c r="Q144" s="69"/>
      <c r="R144" s="70"/>
      <c r="S144" s="66"/>
      <c r="T144" s="55"/>
      <c r="U144" s="55"/>
      <c r="V144" s="55"/>
      <c r="W144" s="98"/>
      <c r="X144" s="98"/>
      <c r="Y144" s="98"/>
      <c r="Z144" s="98"/>
      <c r="AA144" s="98"/>
      <c r="AB144" s="98"/>
      <c r="AC144" s="98"/>
      <c r="AD144" s="98"/>
      <c r="AE144" s="98"/>
      <c r="AF144" s="98"/>
      <c r="AG144" s="277"/>
      <c r="AH144" s="277"/>
      <c r="AI144" s="277"/>
      <c r="AJ144" s="92"/>
    </row>
    <row r="145" spans="1:36" s="99" customFormat="1" ht="65.099999999999994" customHeight="1">
      <c r="A145" s="89"/>
      <c r="B145" s="89"/>
      <c r="C145" s="90"/>
      <c r="D145" s="91"/>
      <c r="E145" s="92"/>
      <c r="F145" s="92"/>
      <c r="G145" s="92"/>
      <c r="H145" s="92"/>
      <c r="I145" s="93"/>
      <c r="J145" s="94"/>
      <c r="K145" s="94"/>
      <c r="L145" s="95"/>
      <c r="M145" s="66"/>
      <c r="N145" s="96"/>
      <c r="O145" s="97"/>
      <c r="P145" s="58"/>
      <c r="Q145" s="69"/>
      <c r="R145" s="70"/>
      <c r="S145" s="66"/>
      <c r="T145" s="55"/>
      <c r="U145" s="55"/>
      <c r="V145" s="55"/>
      <c r="W145" s="98"/>
      <c r="X145" s="98"/>
      <c r="Y145" s="98"/>
      <c r="Z145" s="98"/>
      <c r="AA145" s="98"/>
      <c r="AB145" s="98"/>
      <c r="AC145" s="98"/>
      <c r="AD145" s="98"/>
      <c r="AE145" s="98"/>
      <c r="AF145" s="98"/>
      <c r="AG145" s="277"/>
      <c r="AH145" s="277"/>
      <c r="AI145" s="277"/>
      <c r="AJ145" s="92"/>
    </row>
    <row r="146" spans="1:36" s="99" customFormat="1" ht="65.099999999999994" customHeight="1">
      <c r="A146" s="89"/>
      <c r="B146" s="89"/>
      <c r="C146" s="90"/>
      <c r="D146" s="91"/>
      <c r="E146" s="92"/>
      <c r="F146" s="92"/>
      <c r="G146" s="92"/>
      <c r="H146" s="92"/>
      <c r="I146" s="93"/>
      <c r="J146" s="94"/>
      <c r="K146" s="94"/>
      <c r="L146" s="95"/>
      <c r="M146" s="66"/>
      <c r="N146" s="96"/>
      <c r="O146" s="97"/>
      <c r="P146" s="58"/>
      <c r="Q146" s="69"/>
      <c r="R146" s="70"/>
      <c r="S146" s="66"/>
      <c r="T146" s="55"/>
      <c r="U146" s="55"/>
      <c r="V146" s="55"/>
      <c r="W146" s="98"/>
      <c r="X146" s="98"/>
      <c r="Y146" s="98"/>
      <c r="Z146" s="98"/>
      <c r="AA146" s="98"/>
      <c r="AB146" s="98"/>
      <c r="AC146" s="98"/>
      <c r="AD146" s="98"/>
      <c r="AE146" s="98"/>
      <c r="AF146" s="98"/>
      <c r="AG146" s="277"/>
      <c r="AH146" s="277"/>
      <c r="AI146" s="277"/>
      <c r="AJ146" s="92"/>
    </row>
    <row r="147" spans="1:36" s="99" customFormat="1" ht="65.099999999999994" customHeight="1">
      <c r="A147" s="89"/>
      <c r="B147" s="89"/>
      <c r="C147" s="90"/>
      <c r="D147" s="91"/>
      <c r="E147" s="92"/>
      <c r="F147" s="92"/>
      <c r="G147" s="92"/>
      <c r="H147" s="92"/>
      <c r="I147" s="93"/>
      <c r="J147" s="94"/>
      <c r="K147" s="94"/>
      <c r="L147" s="95"/>
      <c r="M147" s="66"/>
      <c r="N147" s="96"/>
      <c r="O147" s="97"/>
      <c r="P147" s="58"/>
      <c r="Q147" s="69"/>
      <c r="R147" s="70"/>
      <c r="S147" s="66"/>
      <c r="T147" s="55"/>
      <c r="U147" s="55"/>
      <c r="V147" s="55"/>
      <c r="W147" s="98"/>
      <c r="X147" s="98"/>
      <c r="Y147" s="98"/>
      <c r="Z147" s="98"/>
      <c r="AA147" s="98"/>
      <c r="AB147" s="98"/>
      <c r="AC147" s="98"/>
      <c r="AD147" s="98"/>
      <c r="AE147" s="98"/>
      <c r="AF147" s="98"/>
      <c r="AG147" s="277"/>
      <c r="AH147" s="277"/>
      <c r="AI147" s="277"/>
      <c r="AJ147" s="92"/>
    </row>
    <row r="148" spans="1:36" s="99" customFormat="1" ht="65.099999999999994" customHeight="1">
      <c r="A148" s="89"/>
      <c r="B148" s="89"/>
      <c r="C148" s="90"/>
      <c r="D148" s="91"/>
      <c r="E148" s="92"/>
      <c r="F148" s="92"/>
      <c r="G148" s="92"/>
      <c r="H148" s="92"/>
      <c r="I148" s="93"/>
      <c r="J148" s="94"/>
      <c r="K148" s="94"/>
      <c r="L148" s="95"/>
      <c r="M148" s="66"/>
      <c r="N148" s="96"/>
      <c r="O148" s="97"/>
      <c r="P148" s="58"/>
      <c r="Q148" s="69"/>
      <c r="R148" s="70"/>
      <c r="S148" s="66"/>
      <c r="T148" s="55"/>
      <c r="U148" s="55"/>
      <c r="V148" s="55"/>
      <c r="W148" s="98"/>
      <c r="X148" s="98"/>
      <c r="Y148" s="98"/>
      <c r="Z148" s="98"/>
      <c r="AA148" s="98"/>
      <c r="AB148" s="98"/>
      <c r="AC148" s="98"/>
      <c r="AD148" s="98"/>
      <c r="AE148" s="98"/>
      <c r="AF148" s="98"/>
      <c r="AG148" s="277"/>
      <c r="AH148" s="277"/>
      <c r="AI148" s="277"/>
      <c r="AJ148" s="92"/>
    </row>
    <row r="149" spans="1:36" s="99" customFormat="1" ht="65.099999999999994" customHeight="1">
      <c r="A149" s="89"/>
      <c r="B149" s="89"/>
      <c r="C149" s="90"/>
      <c r="D149" s="91"/>
      <c r="E149" s="92"/>
      <c r="F149" s="92"/>
      <c r="G149" s="92"/>
      <c r="H149" s="92"/>
      <c r="I149" s="93"/>
      <c r="J149" s="94"/>
      <c r="K149" s="94"/>
      <c r="L149" s="95"/>
      <c r="M149" s="66"/>
      <c r="N149" s="96"/>
      <c r="O149" s="97"/>
      <c r="P149" s="58"/>
      <c r="Q149" s="69"/>
      <c r="R149" s="70"/>
      <c r="S149" s="66"/>
      <c r="T149" s="55"/>
      <c r="U149" s="55"/>
      <c r="V149" s="55"/>
      <c r="W149" s="98"/>
      <c r="X149" s="98"/>
      <c r="Y149" s="98"/>
      <c r="Z149" s="98"/>
      <c r="AA149" s="98"/>
      <c r="AB149" s="98"/>
      <c r="AC149" s="98"/>
      <c r="AD149" s="98"/>
      <c r="AE149" s="98"/>
      <c r="AF149" s="98"/>
      <c r="AG149" s="277"/>
      <c r="AH149" s="277"/>
      <c r="AI149" s="277"/>
      <c r="AJ149" s="92"/>
    </row>
    <row r="150" spans="1:36" s="99" customFormat="1" ht="65.099999999999994" customHeight="1">
      <c r="A150" s="89"/>
      <c r="B150" s="89"/>
      <c r="C150" s="90"/>
      <c r="D150" s="91"/>
      <c r="E150" s="92"/>
      <c r="F150" s="92"/>
      <c r="G150" s="92"/>
      <c r="H150" s="92"/>
      <c r="I150" s="93"/>
      <c r="J150" s="94"/>
      <c r="K150" s="94"/>
      <c r="L150" s="95"/>
      <c r="M150" s="66"/>
      <c r="N150" s="96"/>
      <c r="O150" s="97"/>
      <c r="P150" s="58"/>
      <c r="Q150" s="69"/>
      <c r="R150" s="70"/>
      <c r="S150" s="66"/>
      <c r="T150" s="55"/>
      <c r="U150" s="55"/>
      <c r="V150" s="55"/>
      <c r="W150" s="98"/>
      <c r="X150" s="98"/>
      <c r="Y150" s="98"/>
      <c r="Z150" s="98"/>
      <c r="AA150" s="98"/>
      <c r="AB150" s="98"/>
      <c r="AC150" s="98"/>
      <c r="AD150" s="98"/>
      <c r="AE150" s="98"/>
      <c r="AF150" s="98"/>
      <c r="AG150" s="277"/>
      <c r="AH150" s="277"/>
      <c r="AI150" s="277"/>
      <c r="AJ150" s="92"/>
    </row>
    <row r="151" spans="1:36" s="99" customFormat="1" ht="65.099999999999994" customHeight="1">
      <c r="A151" s="89"/>
      <c r="B151" s="89"/>
      <c r="C151" s="90"/>
      <c r="D151" s="91"/>
      <c r="E151" s="92"/>
      <c r="F151" s="92"/>
      <c r="G151" s="92"/>
      <c r="H151" s="92"/>
      <c r="I151" s="93"/>
      <c r="J151" s="94"/>
      <c r="K151" s="94"/>
      <c r="L151" s="95"/>
      <c r="M151" s="66"/>
      <c r="N151" s="96"/>
      <c r="O151" s="97"/>
      <c r="P151" s="58"/>
      <c r="Q151" s="69"/>
      <c r="R151" s="70"/>
      <c r="S151" s="66"/>
      <c r="T151" s="55"/>
      <c r="U151" s="55"/>
      <c r="V151" s="55"/>
      <c r="W151" s="98"/>
      <c r="X151" s="98"/>
      <c r="Y151" s="98"/>
      <c r="Z151" s="98"/>
      <c r="AA151" s="98"/>
      <c r="AB151" s="98"/>
      <c r="AC151" s="98"/>
      <c r="AD151" s="98"/>
      <c r="AE151" s="98"/>
      <c r="AF151" s="98"/>
      <c r="AG151" s="277"/>
      <c r="AH151" s="277"/>
      <c r="AI151" s="277"/>
      <c r="AJ151" s="92"/>
    </row>
    <row r="152" spans="1:36" s="99" customFormat="1" ht="65.099999999999994" customHeight="1">
      <c r="A152" s="89"/>
      <c r="B152" s="89"/>
      <c r="C152" s="90"/>
      <c r="D152" s="91"/>
      <c r="E152" s="92"/>
      <c r="F152" s="92"/>
      <c r="G152" s="92"/>
      <c r="H152" s="92"/>
      <c r="I152" s="93"/>
      <c r="J152" s="94"/>
      <c r="K152" s="94"/>
      <c r="L152" s="95"/>
      <c r="M152" s="66"/>
      <c r="N152" s="96"/>
      <c r="O152" s="97"/>
      <c r="P152" s="58"/>
      <c r="Q152" s="69"/>
      <c r="R152" s="70"/>
      <c r="S152" s="66"/>
      <c r="T152" s="55"/>
      <c r="U152" s="55"/>
      <c r="V152" s="55"/>
      <c r="W152" s="98"/>
      <c r="X152" s="98"/>
      <c r="Y152" s="98"/>
      <c r="Z152" s="98"/>
      <c r="AA152" s="98"/>
      <c r="AB152" s="98"/>
      <c r="AC152" s="98"/>
      <c r="AD152" s="98"/>
      <c r="AE152" s="98"/>
      <c r="AF152" s="98"/>
      <c r="AG152" s="277"/>
      <c r="AH152" s="277"/>
      <c r="AI152" s="277"/>
      <c r="AJ152" s="92"/>
    </row>
    <row r="153" spans="1:36" s="99" customFormat="1" ht="65.099999999999994" customHeight="1">
      <c r="A153" s="89"/>
      <c r="B153" s="89"/>
      <c r="C153" s="90"/>
      <c r="D153" s="91"/>
      <c r="E153" s="92"/>
      <c r="F153" s="92"/>
      <c r="G153" s="92"/>
      <c r="H153" s="92"/>
      <c r="I153" s="93"/>
      <c r="J153" s="94"/>
      <c r="K153" s="94"/>
      <c r="L153" s="95"/>
      <c r="M153" s="66"/>
      <c r="N153" s="96"/>
      <c r="O153" s="97"/>
      <c r="P153" s="58"/>
      <c r="Q153" s="69"/>
      <c r="R153" s="70"/>
      <c r="S153" s="66"/>
      <c r="T153" s="55"/>
      <c r="U153" s="55"/>
      <c r="V153" s="55"/>
      <c r="W153" s="98"/>
      <c r="X153" s="98"/>
      <c r="Y153" s="98"/>
      <c r="Z153" s="98"/>
      <c r="AA153" s="98"/>
      <c r="AB153" s="98"/>
      <c r="AC153" s="98"/>
      <c r="AD153" s="98"/>
      <c r="AE153" s="98"/>
      <c r="AF153" s="98"/>
      <c r="AG153" s="277"/>
      <c r="AH153" s="277"/>
      <c r="AI153" s="277"/>
      <c r="AJ153" s="92"/>
    </row>
    <row r="154" spans="1:36" s="99" customFormat="1" ht="65.099999999999994" customHeight="1">
      <c r="A154" s="89"/>
      <c r="B154" s="89"/>
      <c r="C154" s="90"/>
      <c r="D154" s="91"/>
      <c r="E154" s="92"/>
      <c r="F154" s="92"/>
      <c r="G154" s="92"/>
      <c r="H154" s="92"/>
      <c r="I154" s="93"/>
      <c r="J154" s="94"/>
      <c r="K154" s="94"/>
      <c r="L154" s="95"/>
      <c r="M154" s="66"/>
      <c r="N154" s="96"/>
      <c r="O154" s="97"/>
      <c r="P154" s="58"/>
      <c r="Q154" s="69"/>
      <c r="R154" s="70"/>
      <c r="S154" s="66"/>
      <c r="T154" s="55"/>
      <c r="U154" s="55"/>
      <c r="V154" s="55"/>
      <c r="W154" s="98"/>
      <c r="X154" s="98"/>
      <c r="Y154" s="98"/>
      <c r="Z154" s="98"/>
      <c r="AA154" s="98"/>
      <c r="AB154" s="98"/>
      <c r="AC154" s="98"/>
      <c r="AD154" s="98"/>
      <c r="AE154" s="98"/>
      <c r="AF154" s="98"/>
      <c r="AG154" s="277"/>
      <c r="AH154" s="277"/>
      <c r="AI154" s="277"/>
      <c r="AJ154" s="92"/>
    </row>
    <row r="155" spans="1:36" s="99" customFormat="1" ht="65.099999999999994" customHeight="1">
      <c r="A155" s="89"/>
      <c r="B155" s="89"/>
      <c r="C155" s="90"/>
      <c r="D155" s="91"/>
      <c r="E155" s="92"/>
      <c r="F155" s="92"/>
      <c r="G155" s="92"/>
      <c r="H155" s="92"/>
      <c r="I155" s="93"/>
      <c r="J155" s="94"/>
      <c r="K155" s="94"/>
      <c r="L155" s="95"/>
      <c r="M155" s="66"/>
      <c r="N155" s="96"/>
      <c r="O155" s="97"/>
      <c r="P155" s="58"/>
      <c r="Q155" s="69"/>
      <c r="R155" s="70"/>
      <c r="S155" s="66"/>
      <c r="T155" s="55"/>
      <c r="U155" s="55"/>
      <c r="V155" s="55"/>
      <c r="W155" s="98"/>
      <c r="X155" s="98"/>
      <c r="Y155" s="98"/>
      <c r="Z155" s="98"/>
      <c r="AA155" s="98"/>
      <c r="AB155" s="98"/>
      <c r="AC155" s="98"/>
      <c r="AD155" s="98"/>
      <c r="AE155" s="98"/>
      <c r="AF155" s="98"/>
      <c r="AG155" s="277"/>
      <c r="AH155" s="277"/>
      <c r="AI155" s="277"/>
      <c r="AJ155" s="92"/>
    </row>
    <row r="156" spans="1:36" s="99" customFormat="1" ht="65.099999999999994" customHeight="1">
      <c r="A156" s="89"/>
      <c r="B156" s="89"/>
      <c r="C156" s="90"/>
      <c r="D156" s="91"/>
      <c r="E156" s="92"/>
      <c r="F156" s="92"/>
      <c r="G156" s="92"/>
      <c r="H156" s="92"/>
      <c r="I156" s="93"/>
      <c r="J156" s="94"/>
      <c r="K156" s="94"/>
      <c r="L156" s="95"/>
      <c r="M156" s="66"/>
      <c r="N156" s="96"/>
      <c r="O156" s="97"/>
      <c r="P156" s="58"/>
      <c r="Q156" s="69"/>
      <c r="R156" s="70"/>
      <c r="S156" s="66"/>
      <c r="T156" s="55"/>
      <c r="U156" s="55"/>
      <c r="V156" s="55"/>
      <c r="W156" s="98"/>
      <c r="X156" s="98"/>
      <c r="Y156" s="98"/>
      <c r="Z156" s="98"/>
      <c r="AA156" s="98"/>
      <c r="AB156" s="98"/>
      <c r="AC156" s="98"/>
      <c r="AD156" s="98"/>
      <c r="AE156" s="98"/>
      <c r="AF156" s="98"/>
      <c r="AG156" s="277"/>
      <c r="AH156" s="277"/>
      <c r="AI156" s="277"/>
      <c r="AJ156" s="92"/>
    </row>
    <row r="157" spans="1:36" s="99" customFormat="1" ht="65.099999999999994" customHeight="1">
      <c r="A157" s="89"/>
      <c r="B157" s="89"/>
      <c r="C157" s="90"/>
      <c r="D157" s="91"/>
      <c r="E157" s="92"/>
      <c r="F157" s="92"/>
      <c r="G157" s="92"/>
      <c r="H157" s="92"/>
      <c r="I157" s="93"/>
      <c r="J157" s="94"/>
      <c r="K157" s="94"/>
      <c r="L157" s="95"/>
      <c r="M157" s="66"/>
      <c r="N157" s="96"/>
      <c r="O157" s="97"/>
      <c r="P157" s="58"/>
      <c r="Q157" s="69"/>
      <c r="R157" s="70"/>
      <c r="S157" s="66"/>
      <c r="T157" s="55"/>
      <c r="U157" s="55"/>
      <c r="V157" s="55"/>
      <c r="W157" s="98"/>
      <c r="X157" s="98"/>
      <c r="Y157" s="98"/>
      <c r="Z157" s="98"/>
      <c r="AA157" s="98"/>
      <c r="AB157" s="98"/>
      <c r="AC157" s="98"/>
      <c r="AD157" s="98"/>
      <c r="AE157" s="98"/>
      <c r="AF157" s="98"/>
      <c r="AG157" s="277"/>
      <c r="AH157" s="277"/>
      <c r="AI157" s="277"/>
      <c r="AJ157" s="92"/>
    </row>
    <row r="158" spans="1:36" s="99" customFormat="1" ht="65.099999999999994" customHeight="1">
      <c r="A158" s="89"/>
      <c r="B158" s="89"/>
      <c r="C158" s="90"/>
      <c r="D158" s="91"/>
      <c r="E158" s="92"/>
      <c r="F158" s="92"/>
      <c r="G158" s="92"/>
      <c r="H158" s="92"/>
      <c r="I158" s="93"/>
      <c r="J158" s="94"/>
      <c r="K158" s="94"/>
      <c r="L158" s="95"/>
      <c r="M158" s="66"/>
      <c r="N158" s="96"/>
      <c r="O158" s="97"/>
      <c r="P158" s="58"/>
      <c r="Q158" s="69"/>
      <c r="R158" s="70"/>
      <c r="S158" s="66"/>
      <c r="T158" s="55"/>
      <c r="U158" s="55"/>
      <c r="V158" s="55"/>
      <c r="W158" s="98"/>
      <c r="X158" s="98"/>
      <c r="Y158" s="98"/>
      <c r="Z158" s="98"/>
      <c r="AA158" s="98"/>
      <c r="AB158" s="98"/>
      <c r="AC158" s="98"/>
      <c r="AD158" s="98"/>
      <c r="AE158" s="98"/>
      <c r="AF158" s="98"/>
      <c r="AG158" s="277"/>
      <c r="AH158" s="277"/>
      <c r="AI158" s="277"/>
      <c r="AJ158" s="92"/>
    </row>
    <row r="159" spans="1:36" s="99" customFormat="1" ht="65.099999999999994" customHeight="1">
      <c r="A159" s="89"/>
      <c r="B159" s="89"/>
      <c r="C159" s="90"/>
      <c r="D159" s="91"/>
      <c r="E159" s="92"/>
      <c r="F159" s="92"/>
      <c r="G159" s="92"/>
      <c r="H159" s="92"/>
      <c r="I159" s="93"/>
      <c r="J159" s="94"/>
      <c r="K159" s="94"/>
      <c r="L159" s="95"/>
      <c r="M159" s="66"/>
      <c r="N159" s="96"/>
      <c r="O159" s="97"/>
      <c r="P159" s="58"/>
      <c r="Q159" s="69"/>
      <c r="R159" s="70"/>
      <c r="S159" s="66"/>
      <c r="T159" s="55"/>
      <c r="U159" s="55"/>
      <c r="V159" s="55"/>
      <c r="W159" s="98"/>
      <c r="X159" s="98"/>
      <c r="Y159" s="98"/>
      <c r="Z159" s="98"/>
      <c r="AA159" s="98"/>
      <c r="AB159" s="98"/>
      <c r="AC159" s="98"/>
      <c r="AD159" s="98"/>
      <c r="AE159" s="98"/>
      <c r="AF159" s="98"/>
      <c r="AG159" s="277"/>
      <c r="AH159" s="277"/>
      <c r="AI159" s="277"/>
      <c r="AJ159" s="92"/>
    </row>
    <row r="160" spans="1:36" s="99" customFormat="1" ht="65.099999999999994" customHeight="1">
      <c r="A160" s="89"/>
      <c r="B160" s="89"/>
      <c r="C160" s="90"/>
      <c r="D160" s="91"/>
      <c r="E160" s="92"/>
      <c r="F160" s="92"/>
      <c r="G160" s="92"/>
      <c r="H160" s="92"/>
      <c r="I160" s="93"/>
      <c r="J160" s="94"/>
      <c r="K160" s="94"/>
      <c r="L160" s="95"/>
      <c r="M160" s="66"/>
      <c r="N160" s="96"/>
      <c r="O160" s="97"/>
      <c r="P160" s="58"/>
      <c r="Q160" s="69"/>
      <c r="R160" s="70"/>
      <c r="S160" s="66"/>
      <c r="T160" s="55"/>
      <c r="U160" s="55"/>
      <c r="V160" s="55"/>
      <c r="W160" s="98"/>
      <c r="X160" s="98"/>
      <c r="Y160" s="98"/>
      <c r="Z160" s="98"/>
      <c r="AA160" s="98"/>
      <c r="AB160" s="98"/>
      <c r="AC160" s="98"/>
      <c r="AD160" s="98"/>
      <c r="AE160" s="98"/>
      <c r="AF160" s="98"/>
      <c r="AG160" s="277"/>
      <c r="AH160" s="277"/>
      <c r="AI160" s="277"/>
      <c r="AJ160" s="92"/>
    </row>
    <row r="161" spans="1:36" s="99" customFormat="1" ht="65.099999999999994" customHeight="1">
      <c r="A161" s="89"/>
      <c r="B161" s="89"/>
      <c r="C161" s="90"/>
      <c r="D161" s="91"/>
      <c r="E161" s="92"/>
      <c r="F161" s="92"/>
      <c r="G161" s="92"/>
      <c r="H161" s="92"/>
      <c r="I161" s="93"/>
      <c r="J161" s="94"/>
      <c r="K161" s="94"/>
      <c r="L161" s="95"/>
      <c r="M161" s="66"/>
      <c r="N161" s="96"/>
      <c r="O161" s="97"/>
      <c r="P161" s="58"/>
      <c r="Q161" s="69"/>
      <c r="R161" s="70"/>
      <c r="S161" s="66"/>
      <c r="T161" s="55"/>
      <c r="U161" s="55"/>
      <c r="V161" s="55"/>
      <c r="W161" s="98"/>
      <c r="X161" s="98"/>
      <c r="Y161" s="98"/>
      <c r="Z161" s="98"/>
      <c r="AA161" s="98"/>
      <c r="AB161" s="98"/>
      <c r="AC161" s="98"/>
      <c r="AD161" s="98"/>
      <c r="AE161" s="98"/>
      <c r="AF161" s="98"/>
      <c r="AG161" s="277"/>
      <c r="AH161" s="277"/>
      <c r="AI161" s="277"/>
      <c r="AJ161" s="92"/>
    </row>
    <row r="162" spans="1:36" s="99" customFormat="1" ht="65.099999999999994" customHeight="1">
      <c r="A162" s="89"/>
      <c r="B162" s="89"/>
      <c r="C162" s="90"/>
      <c r="D162" s="91"/>
      <c r="E162" s="92"/>
      <c r="F162" s="92"/>
      <c r="G162" s="92"/>
      <c r="H162" s="92"/>
      <c r="I162" s="93"/>
      <c r="J162" s="94"/>
      <c r="K162" s="94"/>
      <c r="L162" s="95"/>
      <c r="M162" s="66"/>
      <c r="N162" s="96"/>
      <c r="O162" s="97"/>
      <c r="P162" s="58"/>
      <c r="Q162" s="69"/>
      <c r="R162" s="70"/>
      <c r="S162" s="66"/>
      <c r="T162" s="55"/>
      <c r="U162" s="55"/>
      <c r="V162" s="55"/>
      <c r="W162" s="98"/>
      <c r="X162" s="98"/>
      <c r="Y162" s="98"/>
      <c r="Z162" s="98"/>
      <c r="AA162" s="98"/>
      <c r="AB162" s="98"/>
      <c r="AC162" s="98"/>
      <c r="AD162" s="98"/>
      <c r="AE162" s="98"/>
      <c r="AF162" s="98"/>
      <c r="AG162" s="277"/>
      <c r="AH162" s="277"/>
      <c r="AI162" s="277"/>
      <c r="AJ162" s="92"/>
    </row>
    <row r="163" spans="1:36" s="99" customFormat="1" ht="65.099999999999994" customHeight="1">
      <c r="A163" s="89"/>
      <c r="B163" s="89"/>
      <c r="C163" s="90"/>
      <c r="D163" s="91"/>
      <c r="E163" s="92"/>
      <c r="F163" s="92"/>
      <c r="G163" s="92"/>
      <c r="H163" s="92"/>
      <c r="I163" s="93"/>
      <c r="J163" s="94"/>
      <c r="K163" s="94"/>
      <c r="L163" s="95"/>
      <c r="M163" s="66"/>
      <c r="N163" s="96"/>
      <c r="O163" s="97"/>
      <c r="P163" s="58"/>
      <c r="Q163" s="69"/>
      <c r="R163" s="70"/>
      <c r="S163" s="66"/>
      <c r="T163" s="55"/>
      <c r="U163" s="55"/>
      <c r="V163" s="55"/>
      <c r="W163" s="98"/>
      <c r="X163" s="98"/>
      <c r="Y163" s="98"/>
      <c r="Z163" s="98"/>
      <c r="AA163" s="98"/>
      <c r="AB163" s="98"/>
      <c r="AC163" s="98"/>
      <c r="AD163" s="98"/>
      <c r="AE163" s="98"/>
      <c r="AF163" s="98"/>
      <c r="AG163" s="277"/>
      <c r="AH163" s="277"/>
      <c r="AI163" s="277"/>
      <c r="AJ163" s="92"/>
    </row>
    <row r="164" spans="1:36" s="99" customFormat="1" ht="65.099999999999994" customHeight="1">
      <c r="A164" s="89"/>
      <c r="B164" s="89"/>
      <c r="C164" s="90"/>
      <c r="D164" s="91"/>
      <c r="E164" s="92"/>
      <c r="F164" s="92"/>
      <c r="G164" s="92"/>
      <c r="H164" s="92"/>
      <c r="I164" s="93"/>
      <c r="J164" s="94"/>
      <c r="K164" s="94"/>
      <c r="L164" s="95"/>
      <c r="M164" s="66"/>
      <c r="N164" s="96"/>
      <c r="O164" s="97"/>
      <c r="P164" s="58"/>
      <c r="Q164" s="69"/>
      <c r="R164" s="70"/>
      <c r="S164" s="66"/>
      <c r="T164" s="55"/>
      <c r="U164" s="55"/>
      <c r="V164" s="55"/>
      <c r="W164" s="98"/>
      <c r="X164" s="98"/>
      <c r="Y164" s="98"/>
      <c r="Z164" s="98"/>
      <c r="AA164" s="98"/>
      <c r="AB164" s="98"/>
      <c r="AC164" s="98"/>
      <c r="AD164" s="98"/>
      <c r="AE164" s="98"/>
      <c r="AF164" s="98"/>
      <c r="AG164" s="277"/>
      <c r="AH164" s="277"/>
      <c r="AI164" s="277"/>
      <c r="AJ164" s="92"/>
    </row>
    <row r="165" spans="1:36" s="99" customFormat="1" ht="65.099999999999994" customHeight="1">
      <c r="A165" s="89"/>
      <c r="B165" s="89"/>
      <c r="C165" s="90"/>
      <c r="D165" s="91"/>
      <c r="E165" s="92"/>
      <c r="F165" s="92"/>
      <c r="G165" s="92"/>
      <c r="H165" s="92"/>
      <c r="I165" s="93"/>
      <c r="J165" s="94"/>
      <c r="K165" s="94"/>
      <c r="L165" s="95"/>
      <c r="M165" s="66"/>
      <c r="N165" s="96"/>
      <c r="O165" s="97"/>
      <c r="P165" s="58"/>
      <c r="Q165" s="69"/>
      <c r="R165" s="70"/>
      <c r="S165" s="66"/>
      <c r="T165" s="55"/>
      <c r="U165" s="55"/>
      <c r="V165" s="55"/>
      <c r="W165" s="98"/>
      <c r="X165" s="98"/>
      <c r="Y165" s="98"/>
      <c r="Z165" s="98"/>
      <c r="AA165" s="98"/>
      <c r="AB165" s="98"/>
      <c r="AC165" s="98"/>
      <c r="AD165" s="98"/>
      <c r="AE165" s="98"/>
      <c r="AF165" s="98"/>
      <c r="AG165" s="277"/>
      <c r="AH165" s="277"/>
      <c r="AI165" s="277"/>
      <c r="AJ165" s="92"/>
    </row>
    <row r="166" spans="1:36" s="99" customFormat="1" ht="65.099999999999994" customHeight="1">
      <c r="A166" s="89"/>
      <c r="B166" s="89"/>
      <c r="C166" s="90"/>
      <c r="D166" s="91"/>
      <c r="E166" s="92"/>
      <c r="F166" s="92"/>
      <c r="G166" s="92"/>
      <c r="H166" s="92"/>
      <c r="I166" s="93"/>
      <c r="J166" s="94"/>
      <c r="K166" s="94"/>
      <c r="L166" s="95"/>
      <c r="M166" s="66"/>
      <c r="N166" s="96"/>
      <c r="O166" s="97"/>
      <c r="P166" s="58"/>
      <c r="Q166" s="69"/>
      <c r="R166" s="70"/>
      <c r="S166" s="66"/>
      <c r="T166" s="55"/>
      <c r="U166" s="55"/>
      <c r="V166" s="55"/>
      <c r="W166" s="98"/>
      <c r="X166" s="98"/>
      <c r="Y166" s="98"/>
      <c r="Z166" s="98"/>
      <c r="AA166" s="98"/>
      <c r="AB166" s="98"/>
      <c r="AC166" s="98"/>
      <c r="AD166" s="98"/>
      <c r="AE166" s="98"/>
      <c r="AF166" s="98"/>
      <c r="AG166" s="277"/>
      <c r="AH166" s="277"/>
      <c r="AI166" s="277"/>
      <c r="AJ166" s="92"/>
    </row>
    <row r="167" spans="1:36" s="99" customFormat="1" ht="65.099999999999994" customHeight="1">
      <c r="A167" s="89"/>
      <c r="B167" s="89"/>
      <c r="C167" s="90"/>
      <c r="D167" s="91"/>
      <c r="E167" s="92"/>
      <c r="F167" s="92"/>
      <c r="G167" s="92"/>
      <c r="H167" s="92"/>
      <c r="I167" s="93"/>
      <c r="J167" s="94"/>
      <c r="K167" s="94"/>
      <c r="L167" s="95"/>
      <c r="M167" s="66"/>
      <c r="N167" s="96"/>
      <c r="O167" s="97"/>
      <c r="P167" s="58"/>
      <c r="Q167" s="69"/>
      <c r="R167" s="70"/>
      <c r="S167" s="66"/>
      <c r="T167" s="55"/>
      <c r="U167" s="55"/>
      <c r="V167" s="55"/>
      <c r="W167" s="98"/>
      <c r="X167" s="98"/>
      <c r="Y167" s="98"/>
      <c r="Z167" s="98"/>
      <c r="AA167" s="98"/>
      <c r="AB167" s="98"/>
      <c r="AC167" s="98"/>
      <c r="AD167" s="98"/>
      <c r="AE167" s="98"/>
      <c r="AF167" s="98"/>
      <c r="AG167" s="277"/>
      <c r="AH167" s="277"/>
      <c r="AI167" s="277"/>
      <c r="AJ167" s="92"/>
    </row>
    <row r="168" spans="1:36" s="99" customFormat="1" ht="65.099999999999994" customHeight="1">
      <c r="A168" s="89"/>
      <c r="B168" s="89"/>
      <c r="C168" s="90"/>
      <c r="D168" s="91"/>
      <c r="E168" s="92"/>
      <c r="F168" s="92"/>
      <c r="G168" s="92"/>
      <c r="H168" s="92"/>
      <c r="I168" s="93"/>
      <c r="J168" s="94"/>
      <c r="K168" s="94"/>
      <c r="L168" s="95"/>
      <c r="M168" s="66"/>
      <c r="N168" s="96"/>
      <c r="O168" s="97"/>
      <c r="P168" s="58"/>
      <c r="Q168" s="69"/>
      <c r="R168" s="70"/>
      <c r="S168" s="66"/>
      <c r="T168" s="55"/>
      <c r="U168" s="55"/>
      <c r="V168" s="55"/>
      <c r="W168" s="98"/>
      <c r="X168" s="98"/>
      <c r="Y168" s="98"/>
      <c r="Z168" s="98"/>
      <c r="AA168" s="98"/>
      <c r="AB168" s="98"/>
      <c r="AC168" s="98"/>
      <c r="AD168" s="98"/>
      <c r="AE168" s="98"/>
      <c r="AF168" s="98"/>
      <c r="AG168" s="277"/>
      <c r="AH168" s="277"/>
      <c r="AI168" s="277"/>
      <c r="AJ168" s="92"/>
    </row>
    <row r="169" spans="1:36" s="99" customFormat="1" ht="65.099999999999994" customHeight="1">
      <c r="A169" s="89"/>
      <c r="B169" s="89"/>
      <c r="C169" s="90"/>
      <c r="D169" s="91"/>
      <c r="E169" s="92"/>
      <c r="F169" s="92"/>
      <c r="G169" s="92"/>
      <c r="H169" s="92"/>
      <c r="I169" s="93"/>
      <c r="J169" s="94"/>
      <c r="K169" s="94"/>
      <c r="L169" s="95"/>
      <c r="M169" s="66"/>
      <c r="N169" s="96"/>
      <c r="O169" s="97"/>
      <c r="P169" s="58"/>
      <c r="Q169" s="69"/>
      <c r="R169" s="70"/>
      <c r="S169" s="66"/>
      <c r="T169" s="55"/>
      <c r="U169" s="55"/>
      <c r="V169" s="55"/>
      <c r="W169" s="98"/>
      <c r="X169" s="98"/>
      <c r="Y169" s="98"/>
      <c r="Z169" s="98"/>
      <c r="AA169" s="98"/>
      <c r="AB169" s="98"/>
      <c r="AC169" s="98"/>
      <c r="AD169" s="98"/>
      <c r="AE169" s="98"/>
      <c r="AF169" s="98"/>
      <c r="AG169" s="277"/>
      <c r="AH169" s="277"/>
      <c r="AI169" s="277"/>
      <c r="AJ169" s="92"/>
    </row>
    <row r="170" spans="1:36" s="99" customFormat="1" ht="65.099999999999994" customHeight="1">
      <c r="A170" s="89"/>
      <c r="B170" s="89"/>
      <c r="C170" s="90"/>
      <c r="D170" s="91"/>
      <c r="E170" s="92"/>
      <c r="F170" s="92"/>
      <c r="G170" s="92"/>
      <c r="H170" s="92"/>
      <c r="I170" s="93"/>
      <c r="J170" s="94"/>
      <c r="K170" s="94"/>
      <c r="L170" s="95"/>
      <c r="M170" s="66"/>
      <c r="N170" s="96"/>
      <c r="O170" s="97"/>
      <c r="P170" s="58"/>
      <c r="Q170" s="69"/>
      <c r="R170" s="70"/>
      <c r="S170" s="66"/>
      <c r="T170" s="55"/>
      <c r="U170" s="55"/>
      <c r="V170" s="55"/>
      <c r="W170" s="98"/>
      <c r="X170" s="98"/>
      <c r="Y170" s="98"/>
      <c r="Z170" s="98"/>
      <c r="AA170" s="98"/>
      <c r="AB170" s="98"/>
      <c r="AC170" s="98"/>
      <c r="AD170" s="98"/>
      <c r="AE170" s="98"/>
      <c r="AF170" s="98"/>
      <c r="AG170" s="277"/>
      <c r="AH170" s="277"/>
      <c r="AI170" s="277"/>
      <c r="AJ170" s="92"/>
    </row>
    <row r="171" spans="1:36" s="99" customFormat="1" ht="65.099999999999994" customHeight="1">
      <c r="A171" s="89"/>
      <c r="B171" s="89"/>
      <c r="C171" s="90"/>
      <c r="D171" s="91"/>
      <c r="E171" s="92"/>
      <c r="F171" s="92"/>
      <c r="G171" s="92"/>
      <c r="H171" s="92"/>
      <c r="I171" s="93"/>
      <c r="J171" s="94"/>
      <c r="K171" s="94"/>
      <c r="L171" s="95"/>
      <c r="M171" s="66"/>
      <c r="N171" s="96"/>
      <c r="O171" s="97"/>
      <c r="P171" s="58"/>
      <c r="Q171" s="69"/>
      <c r="R171" s="70"/>
      <c r="S171" s="66"/>
      <c r="T171" s="55"/>
      <c r="U171" s="55"/>
      <c r="V171" s="55"/>
      <c r="W171" s="98"/>
      <c r="X171" s="98"/>
      <c r="Y171" s="98"/>
      <c r="Z171" s="98"/>
      <c r="AA171" s="98"/>
      <c r="AB171" s="98"/>
      <c r="AC171" s="98"/>
      <c r="AD171" s="98"/>
      <c r="AE171" s="98"/>
      <c r="AF171" s="98"/>
      <c r="AG171" s="277"/>
      <c r="AH171" s="277"/>
      <c r="AI171" s="277"/>
      <c r="AJ171" s="92"/>
    </row>
    <row r="172" spans="1:36" s="99" customFormat="1" ht="65.099999999999994" customHeight="1">
      <c r="A172" s="89"/>
      <c r="B172" s="89"/>
      <c r="C172" s="90"/>
      <c r="D172" s="91"/>
      <c r="E172" s="92"/>
      <c r="F172" s="92"/>
      <c r="G172" s="92"/>
      <c r="H172" s="92"/>
      <c r="I172" s="93"/>
      <c r="J172" s="94"/>
      <c r="K172" s="94"/>
      <c r="L172" s="95"/>
      <c r="M172" s="66"/>
      <c r="N172" s="96"/>
      <c r="O172" s="97"/>
      <c r="P172" s="58"/>
      <c r="Q172" s="69"/>
      <c r="R172" s="70"/>
      <c r="S172" s="66"/>
      <c r="T172" s="55"/>
      <c r="U172" s="55"/>
      <c r="V172" s="55"/>
      <c r="W172" s="98"/>
      <c r="X172" s="98"/>
      <c r="Y172" s="98"/>
      <c r="Z172" s="98"/>
      <c r="AA172" s="98"/>
      <c r="AB172" s="98"/>
      <c r="AC172" s="98"/>
      <c r="AD172" s="98"/>
      <c r="AE172" s="98"/>
      <c r="AF172" s="98"/>
      <c r="AG172" s="277"/>
      <c r="AH172" s="277"/>
      <c r="AI172" s="277"/>
      <c r="AJ172" s="92"/>
    </row>
    <row r="173" spans="1:36" s="99" customFormat="1" ht="65.099999999999994" customHeight="1">
      <c r="A173" s="89"/>
      <c r="B173" s="89"/>
      <c r="C173" s="90"/>
      <c r="D173" s="91"/>
      <c r="E173" s="92"/>
      <c r="F173" s="92"/>
      <c r="G173" s="92"/>
      <c r="H173" s="92"/>
      <c r="I173" s="93"/>
      <c r="J173" s="94"/>
      <c r="K173" s="94"/>
      <c r="L173" s="95"/>
      <c r="M173" s="66"/>
      <c r="N173" s="96"/>
      <c r="O173" s="97"/>
      <c r="P173" s="58"/>
      <c r="Q173" s="69"/>
      <c r="R173" s="70"/>
      <c r="S173" s="66"/>
      <c r="T173" s="55"/>
      <c r="U173" s="55"/>
      <c r="V173" s="55"/>
      <c r="W173" s="98"/>
      <c r="X173" s="98"/>
      <c r="Y173" s="98"/>
      <c r="Z173" s="98"/>
      <c r="AA173" s="98"/>
      <c r="AB173" s="98"/>
      <c r="AC173" s="98"/>
      <c r="AD173" s="98"/>
      <c r="AE173" s="98"/>
      <c r="AF173" s="98"/>
      <c r="AG173" s="277"/>
      <c r="AH173" s="277"/>
      <c r="AI173" s="277"/>
      <c r="AJ173" s="92"/>
    </row>
    <row r="174" spans="1:36" s="99" customFormat="1" ht="65.099999999999994" customHeight="1">
      <c r="A174" s="89"/>
      <c r="B174" s="89"/>
      <c r="C174" s="90"/>
      <c r="D174" s="91"/>
      <c r="E174" s="92"/>
      <c r="F174" s="92"/>
      <c r="G174" s="92"/>
      <c r="H174" s="92"/>
      <c r="I174" s="93"/>
      <c r="J174" s="94"/>
      <c r="K174" s="94"/>
      <c r="L174" s="95"/>
      <c r="M174" s="66"/>
      <c r="N174" s="96"/>
      <c r="O174" s="97"/>
      <c r="P174" s="58"/>
      <c r="Q174" s="69"/>
      <c r="R174" s="70"/>
      <c r="S174" s="66"/>
      <c r="T174" s="55"/>
      <c r="U174" s="55"/>
      <c r="V174" s="55"/>
      <c r="W174" s="98"/>
      <c r="X174" s="98"/>
      <c r="Y174" s="98"/>
      <c r="Z174" s="98"/>
      <c r="AA174" s="98"/>
      <c r="AB174" s="98"/>
      <c r="AC174" s="98"/>
      <c r="AD174" s="98"/>
      <c r="AE174" s="98"/>
      <c r="AF174" s="98"/>
      <c r="AG174" s="277"/>
      <c r="AH174" s="277"/>
      <c r="AI174" s="277"/>
      <c r="AJ174" s="92"/>
    </row>
    <row r="175" spans="1:36" s="99" customFormat="1" ht="65.099999999999994" customHeight="1">
      <c r="A175" s="89"/>
      <c r="B175" s="89"/>
      <c r="C175" s="90"/>
      <c r="D175" s="91"/>
      <c r="E175" s="92"/>
      <c r="F175" s="92"/>
      <c r="G175" s="92"/>
      <c r="H175" s="92"/>
      <c r="I175" s="93"/>
      <c r="J175" s="94"/>
      <c r="K175" s="94"/>
      <c r="L175" s="95"/>
      <c r="M175" s="66"/>
      <c r="N175" s="96"/>
      <c r="O175" s="97"/>
      <c r="P175" s="58"/>
      <c r="Q175" s="69"/>
      <c r="R175" s="70"/>
      <c r="S175" s="66"/>
      <c r="T175" s="55"/>
      <c r="U175" s="55"/>
      <c r="V175" s="55"/>
      <c r="W175" s="98"/>
      <c r="X175" s="98"/>
      <c r="Y175" s="98"/>
      <c r="Z175" s="98"/>
      <c r="AA175" s="98"/>
      <c r="AB175" s="98"/>
      <c r="AC175" s="98"/>
      <c r="AD175" s="98"/>
      <c r="AE175" s="98"/>
      <c r="AF175" s="98"/>
      <c r="AG175" s="277"/>
      <c r="AH175" s="277"/>
      <c r="AI175" s="277"/>
      <c r="AJ175" s="92"/>
    </row>
    <row r="176" spans="1:36" s="99" customFormat="1" ht="65.099999999999994" customHeight="1">
      <c r="A176" s="89"/>
      <c r="B176" s="89"/>
      <c r="C176" s="90"/>
      <c r="D176" s="91"/>
      <c r="E176" s="92"/>
      <c r="F176" s="92"/>
      <c r="G176" s="92"/>
      <c r="H176" s="92"/>
      <c r="I176" s="93"/>
      <c r="J176" s="94"/>
      <c r="K176" s="94"/>
      <c r="L176" s="95"/>
      <c r="M176" s="66"/>
      <c r="N176" s="96"/>
      <c r="O176" s="97"/>
      <c r="P176" s="58"/>
      <c r="Q176" s="69"/>
      <c r="R176" s="70"/>
      <c r="S176" s="66"/>
      <c r="T176" s="55"/>
      <c r="U176" s="55"/>
      <c r="V176" s="55"/>
      <c r="W176" s="98"/>
      <c r="X176" s="98"/>
      <c r="Y176" s="98"/>
      <c r="Z176" s="98"/>
      <c r="AA176" s="98"/>
      <c r="AB176" s="98"/>
      <c r="AC176" s="98"/>
      <c r="AD176" s="98"/>
      <c r="AE176" s="98"/>
      <c r="AF176" s="98"/>
      <c r="AG176" s="277"/>
      <c r="AH176" s="277"/>
      <c r="AI176" s="277"/>
      <c r="AJ176" s="92"/>
    </row>
    <row r="177" spans="1:36" s="99" customFormat="1" ht="65.099999999999994" customHeight="1">
      <c r="A177" s="89"/>
      <c r="B177" s="89"/>
      <c r="C177" s="90"/>
      <c r="D177" s="91"/>
      <c r="E177" s="92"/>
      <c r="F177" s="92"/>
      <c r="G177" s="92"/>
      <c r="H177" s="92"/>
      <c r="I177" s="93"/>
      <c r="J177" s="94"/>
      <c r="K177" s="94"/>
      <c r="L177" s="95"/>
      <c r="M177" s="66"/>
      <c r="N177" s="96"/>
      <c r="O177" s="97"/>
      <c r="P177" s="58"/>
      <c r="Q177" s="69"/>
      <c r="R177" s="70"/>
      <c r="S177" s="66"/>
      <c r="T177" s="55"/>
      <c r="U177" s="55"/>
      <c r="V177" s="55"/>
      <c r="W177" s="98"/>
      <c r="X177" s="98"/>
      <c r="Y177" s="98"/>
      <c r="Z177" s="98"/>
      <c r="AA177" s="98"/>
      <c r="AB177" s="98"/>
      <c r="AC177" s="98"/>
      <c r="AD177" s="98"/>
      <c r="AE177" s="98"/>
      <c r="AF177" s="98"/>
      <c r="AG177" s="277"/>
      <c r="AH177" s="277"/>
      <c r="AI177" s="277"/>
      <c r="AJ177" s="92"/>
    </row>
    <row r="178" spans="1:36" s="99" customFormat="1" ht="65.099999999999994" customHeight="1">
      <c r="A178" s="89"/>
      <c r="B178" s="89"/>
      <c r="C178" s="90"/>
      <c r="D178" s="91"/>
      <c r="E178" s="92"/>
      <c r="F178" s="92"/>
      <c r="G178" s="92"/>
      <c r="H178" s="92"/>
      <c r="I178" s="93"/>
      <c r="J178" s="94"/>
      <c r="K178" s="94"/>
      <c r="L178" s="95"/>
      <c r="M178" s="66"/>
      <c r="N178" s="96"/>
      <c r="O178" s="97"/>
      <c r="P178" s="58"/>
      <c r="Q178" s="69"/>
      <c r="R178" s="70"/>
      <c r="S178" s="66"/>
      <c r="T178" s="55"/>
      <c r="U178" s="55"/>
      <c r="V178" s="55"/>
      <c r="W178" s="98"/>
      <c r="X178" s="98"/>
      <c r="Y178" s="98"/>
      <c r="Z178" s="98"/>
      <c r="AA178" s="98"/>
      <c r="AB178" s="98"/>
      <c r="AC178" s="98"/>
      <c r="AD178" s="98"/>
      <c r="AE178" s="98"/>
      <c r="AF178" s="98"/>
      <c r="AG178" s="277"/>
      <c r="AH178" s="277"/>
      <c r="AI178" s="277"/>
      <c r="AJ178" s="92"/>
    </row>
    <row r="179" spans="1:36" s="99" customFormat="1" ht="65.099999999999994" customHeight="1">
      <c r="A179" s="89"/>
      <c r="B179" s="89"/>
      <c r="C179" s="90"/>
      <c r="D179" s="91"/>
      <c r="E179" s="92"/>
      <c r="F179" s="92"/>
      <c r="G179" s="92"/>
      <c r="H179" s="92"/>
      <c r="I179" s="93"/>
      <c r="J179" s="94"/>
      <c r="K179" s="94"/>
      <c r="L179" s="95"/>
      <c r="M179" s="66"/>
      <c r="N179" s="96"/>
      <c r="O179" s="97"/>
      <c r="P179" s="58"/>
      <c r="Q179" s="69"/>
      <c r="R179" s="70"/>
      <c r="S179" s="66"/>
      <c r="T179" s="55"/>
      <c r="U179" s="55"/>
      <c r="V179" s="55"/>
      <c r="W179" s="98"/>
      <c r="X179" s="98"/>
      <c r="Y179" s="98"/>
      <c r="Z179" s="98"/>
      <c r="AA179" s="98"/>
      <c r="AB179" s="98"/>
      <c r="AC179" s="98"/>
      <c r="AD179" s="98"/>
      <c r="AE179" s="98"/>
      <c r="AF179" s="98"/>
      <c r="AG179" s="277"/>
      <c r="AH179" s="277"/>
      <c r="AI179" s="277"/>
      <c r="AJ179" s="92"/>
    </row>
    <row r="180" spans="1:36" s="99" customFormat="1" ht="65.099999999999994" customHeight="1">
      <c r="A180" s="89"/>
      <c r="B180" s="89"/>
      <c r="C180" s="90"/>
      <c r="D180" s="91"/>
      <c r="E180" s="92"/>
      <c r="F180" s="92"/>
      <c r="G180" s="92"/>
      <c r="H180" s="92"/>
      <c r="I180" s="93"/>
      <c r="J180" s="94"/>
      <c r="K180" s="94"/>
      <c r="L180" s="95"/>
      <c r="M180" s="66"/>
      <c r="N180" s="96"/>
      <c r="O180" s="97"/>
      <c r="P180" s="58"/>
      <c r="Q180" s="69"/>
      <c r="R180" s="70"/>
      <c r="S180" s="66"/>
      <c r="T180" s="55"/>
      <c r="U180" s="55"/>
      <c r="V180" s="55"/>
      <c r="W180" s="98"/>
      <c r="X180" s="98"/>
      <c r="Y180" s="98"/>
      <c r="Z180" s="98"/>
      <c r="AA180" s="98"/>
      <c r="AB180" s="98"/>
      <c r="AC180" s="98"/>
      <c r="AD180" s="98"/>
      <c r="AE180" s="98"/>
      <c r="AF180" s="98"/>
      <c r="AG180" s="277"/>
      <c r="AH180" s="277"/>
      <c r="AI180" s="277"/>
      <c r="AJ180" s="92"/>
    </row>
    <row r="181" spans="1:36" s="99" customFormat="1" ht="65.099999999999994" customHeight="1">
      <c r="A181" s="89"/>
      <c r="B181" s="89"/>
      <c r="C181" s="90"/>
      <c r="D181" s="91"/>
      <c r="E181" s="92"/>
      <c r="F181" s="92"/>
      <c r="G181" s="92"/>
      <c r="H181" s="92"/>
      <c r="I181" s="93"/>
      <c r="J181" s="94"/>
      <c r="K181" s="94"/>
      <c r="L181" s="95"/>
      <c r="M181" s="66"/>
      <c r="N181" s="96"/>
      <c r="O181" s="97"/>
      <c r="P181" s="58"/>
      <c r="Q181" s="69"/>
      <c r="R181" s="70"/>
      <c r="S181" s="66"/>
      <c r="T181" s="55"/>
      <c r="U181" s="55"/>
      <c r="V181" s="55"/>
      <c r="W181" s="98"/>
      <c r="X181" s="98"/>
      <c r="Y181" s="98"/>
      <c r="Z181" s="98"/>
      <c r="AA181" s="98"/>
      <c r="AB181" s="98"/>
      <c r="AC181" s="98"/>
      <c r="AD181" s="98"/>
      <c r="AE181" s="98"/>
      <c r="AF181" s="98"/>
      <c r="AG181" s="277"/>
      <c r="AH181" s="277"/>
      <c r="AI181" s="277"/>
      <c r="AJ181" s="92"/>
    </row>
    <row r="182" spans="1:36" s="99" customFormat="1" ht="65.099999999999994" customHeight="1">
      <c r="A182" s="89"/>
      <c r="B182" s="89"/>
      <c r="C182" s="90"/>
      <c r="D182" s="91"/>
      <c r="E182" s="92"/>
      <c r="F182" s="92"/>
      <c r="G182" s="92"/>
      <c r="H182" s="92"/>
      <c r="I182" s="93"/>
      <c r="J182" s="94"/>
      <c r="K182" s="94"/>
      <c r="L182" s="95"/>
      <c r="M182" s="66"/>
      <c r="N182" s="96"/>
      <c r="O182" s="97"/>
      <c r="P182" s="58"/>
      <c r="Q182" s="69"/>
      <c r="R182" s="70"/>
      <c r="S182" s="66"/>
      <c r="T182" s="55"/>
      <c r="U182" s="55"/>
      <c r="V182" s="55"/>
      <c r="W182" s="98"/>
      <c r="X182" s="98"/>
      <c r="Y182" s="98"/>
      <c r="Z182" s="98"/>
      <c r="AA182" s="98"/>
      <c r="AB182" s="98"/>
      <c r="AC182" s="98"/>
      <c r="AD182" s="98"/>
      <c r="AE182" s="98"/>
      <c r="AF182" s="98"/>
      <c r="AG182" s="277"/>
      <c r="AH182" s="277"/>
      <c r="AI182" s="277"/>
      <c r="AJ182" s="92"/>
    </row>
    <row r="183" spans="1:36" s="99" customFormat="1" ht="65.099999999999994" customHeight="1">
      <c r="A183" s="89"/>
      <c r="B183" s="89"/>
      <c r="C183" s="90"/>
      <c r="D183" s="91"/>
      <c r="E183" s="92"/>
      <c r="F183" s="92"/>
      <c r="G183" s="92"/>
      <c r="H183" s="92"/>
      <c r="I183" s="93"/>
      <c r="J183" s="94"/>
      <c r="K183" s="94"/>
      <c r="L183" s="95"/>
      <c r="M183" s="66"/>
      <c r="N183" s="96"/>
      <c r="O183" s="97"/>
      <c r="P183" s="58"/>
      <c r="Q183" s="69"/>
      <c r="R183" s="70"/>
      <c r="S183" s="66"/>
      <c r="T183" s="55"/>
      <c r="U183" s="55"/>
      <c r="V183" s="55"/>
      <c r="W183" s="98"/>
      <c r="X183" s="98"/>
      <c r="Y183" s="98"/>
      <c r="Z183" s="98"/>
      <c r="AA183" s="98"/>
      <c r="AB183" s="98"/>
      <c r="AC183" s="98"/>
      <c r="AD183" s="98"/>
      <c r="AE183" s="98"/>
      <c r="AF183" s="98"/>
      <c r="AG183" s="277"/>
      <c r="AH183" s="277"/>
      <c r="AI183" s="277"/>
      <c r="AJ183" s="92"/>
    </row>
    <row r="184" spans="1:36" s="99" customFormat="1" ht="65.099999999999994" customHeight="1">
      <c r="A184" s="89"/>
      <c r="B184" s="89"/>
      <c r="C184" s="90"/>
      <c r="D184" s="91"/>
      <c r="E184" s="92"/>
      <c r="F184" s="92"/>
      <c r="G184" s="92"/>
      <c r="H184" s="92"/>
      <c r="I184" s="93"/>
      <c r="J184" s="94"/>
      <c r="K184" s="94"/>
      <c r="L184" s="95"/>
      <c r="M184" s="66"/>
      <c r="N184" s="96"/>
      <c r="O184" s="97"/>
      <c r="P184" s="58"/>
      <c r="Q184" s="69"/>
      <c r="R184" s="70"/>
      <c r="S184" s="66"/>
      <c r="T184" s="55"/>
      <c r="U184" s="55"/>
      <c r="V184" s="55"/>
      <c r="W184" s="98"/>
      <c r="X184" s="98"/>
      <c r="Y184" s="98"/>
      <c r="Z184" s="98"/>
      <c r="AA184" s="98"/>
      <c r="AB184" s="98"/>
      <c r="AC184" s="98"/>
      <c r="AD184" s="98"/>
      <c r="AE184" s="98"/>
      <c r="AF184" s="98"/>
      <c r="AG184" s="277"/>
      <c r="AH184" s="277"/>
      <c r="AI184" s="277"/>
      <c r="AJ184" s="92"/>
    </row>
    <row r="185" spans="1:36" s="99" customFormat="1" ht="65.099999999999994" customHeight="1">
      <c r="A185" s="89"/>
      <c r="B185" s="89"/>
      <c r="C185" s="90"/>
      <c r="D185" s="91"/>
      <c r="E185" s="92"/>
      <c r="F185" s="92"/>
      <c r="G185" s="92"/>
      <c r="H185" s="92"/>
      <c r="I185" s="93"/>
      <c r="J185" s="94"/>
      <c r="K185" s="94"/>
      <c r="L185" s="95"/>
      <c r="M185" s="66"/>
      <c r="N185" s="96"/>
      <c r="O185" s="97"/>
      <c r="P185" s="58"/>
      <c r="Q185" s="69"/>
      <c r="R185" s="70"/>
      <c r="S185" s="66"/>
      <c r="T185" s="55"/>
      <c r="U185" s="55"/>
      <c r="V185" s="55"/>
      <c r="W185" s="98"/>
      <c r="X185" s="98"/>
      <c r="Y185" s="98"/>
      <c r="Z185" s="98"/>
      <c r="AA185" s="98"/>
      <c r="AB185" s="98"/>
      <c r="AC185" s="98"/>
      <c r="AD185" s="98"/>
      <c r="AE185" s="98"/>
      <c r="AF185" s="98"/>
      <c r="AG185" s="277"/>
      <c r="AH185" s="277"/>
      <c r="AI185" s="277"/>
      <c r="AJ185" s="92"/>
    </row>
    <row r="186" spans="1:36" s="99" customFormat="1" ht="65.099999999999994" customHeight="1">
      <c r="A186" s="89"/>
      <c r="B186" s="89"/>
      <c r="C186" s="90"/>
      <c r="D186" s="91"/>
      <c r="E186" s="92"/>
      <c r="F186" s="92"/>
      <c r="G186" s="92"/>
      <c r="H186" s="92"/>
      <c r="I186" s="93"/>
      <c r="J186" s="94"/>
      <c r="K186" s="94"/>
      <c r="L186" s="95"/>
      <c r="M186" s="66"/>
      <c r="N186" s="96"/>
      <c r="O186" s="97"/>
      <c r="P186" s="58"/>
      <c r="Q186" s="69"/>
      <c r="R186" s="70"/>
      <c r="S186" s="66"/>
      <c r="T186" s="55"/>
      <c r="U186" s="55"/>
      <c r="V186" s="55"/>
      <c r="W186" s="98"/>
      <c r="X186" s="98"/>
      <c r="Y186" s="98"/>
      <c r="Z186" s="98"/>
      <c r="AA186" s="98"/>
      <c r="AB186" s="98"/>
      <c r="AC186" s="98"/>
      <c r="AD186" s="98"/>
      <c r="AE186" s="98"/>
      <c r="AF186" s="98"/>
      <c r="AG186" s="277"/>
      <c r="AH186" s="277"/>
      <c r="AI186" s="277"/>
      <c r="AJ186" s="92"/>
    </row>
    <row r="187" spans="1:36" s="99" customFormat="1" ht="65.099999999999994" customHeight="1">
      <c r="A187" s="89"/>
      <c r="B187" s="89"/>
      <c r="C187" s="90"/>
      <c r="D187" s="91"/>
      <c r="E187" s="92"/>
      <c r="F187" s="92"/>
      <c r="G187" s="92"/>
      <c r="H187" s="92"/>
      <c r="I187" s="93"/>
      <c r="J187" s="94"/>
      <c r="K187" s="94"/>
      <c r="L187" s="95"/>
      <c r="M187" s="66"/>
      <c r="N187" s="96"/>
      <c r="O187" s="97"/>
      <c r="P187" s="58"/>
      <c r="Q187" s="69"/>
      <c r="R187" s="70"/>
      <c r="S187" s="66"/>
      <c r="T187" s="55"/>
      <c r="U187" s="55"/>
      <c r="V187" s="55"/>
      <c r="W187" s="98"/>
      <c r="X187" s="98"/>
      <c r="Y187" s="98"/>
      <c r="Z187" s="98"/>
      <c r="AA187" s="98"/>
      <c r="AB187" s="98"/>
      <c r="AC187" s="98"/>
      <c r="AD187" s="98"/>
      <c r="AE187" s="98"/>
      <c r="AF187" s="98"/>
      <c r="AG187" s="277"/>
      <c r="AH187" s="277"/>
      <c r="AI187" s="277"/>
      <c r="AJ187" s="92"/>
    </row>
    <row r="188" spans="1:36" s="99" customFormat="1" ht="65.099999999999994" customHeight="1">
      <c r="A188" s="89"/>
      <c r="B188" s="89"/>
      <c r="C188" s="90"/>
      <c r="D188" s="91"/>
      <c r="E188" s="92"/>
      <c r="F188" s="92"/>
      <c r="G188" s="92"/>
      <c r="H188" s="92"/>
      <c r="I188" s="93"/>
      <c r="J188" s="94"/>
      <c r="K188" s="94"/>
      <c r="L188" s="95"/>
      <c r="M188" s="66"/>
      <c r="N188" s="96"/>
      <c r="O188" s="97"/>
      <c r="P188" s="58"/>
      <c r="Q188" s="69"/>
      <c r="R188" s="70"/>
      <c r="S188" s="66"/>
      <c r="T188" s="55"/>
      <c r="U188" s="55"/>
      <c r="V188" s="55"/>
      <c r="W188" s="98"/>
      <c r="X188" s="98"/>
      <c r="Y188" s="98"/>
      <c r="Z188" s="98"/>
      <c r="AA188" s="98"/>
      <c r="AB188" s="98"/>
      <c r="AC188" s="98"/>
      <c r="AD188" s="98"/>
      <c r="AE188" s="98"/>
      <c r="AF188" s="98"/>
      <c r="AG188" s="277"/>
      <c r="AH188" s="277"/>
      <c r="AI188" s="277"/>
      <c r="AJ188" s="92"/>
    </row>
    <row r="189" spans="1:36" s="99" customFormat="1" ht="65.099999999999994" customHeight="1">
      <c r="A189" s="89"/>
      <c r="B189" s="89"/>
      <c r="C189" s="90"/>
      <c r="D189" s="91"/>
      <c r="E189" s="92"/>
      <c r="F189" s="92"/>
      <c r="G189" s="92"/>
      <c r="H189" s="92"/>
      <c r="I189" s="93"/>
      <c r="J189" s="94"/>
      <c r="K189" s="94"/>
      <c r="L189" s="95"/>
      <c r="M189" s="66"/>
      <c r="N189" s="96"/>
      <c r="O189" s="97"/>
      <c r="P189" s="58"/>
      <c r="Q189" s="69"/>
      <c r="R189" s="70"/>
      <c r="S189" s="66"/>
      <c r="T189" s="55"/>
      <c r="U189" s="55"/>
      <c r="V189" s="55"/>
      <c r="W189" s="98"/>
      <c r="X189" s="98"/>
      <c r="Y189" s="98"/>
      <c r="Z189" s="98"/>
      <c r="AA189" s="98"/>
      <c r="AB189" s="98"/>
      <c r="AC189" s="98"/>
      <c r="AD189" s="98"/>
      <c r="AE189" s="98"/>
      <c r="AF189" s="98"/>
      <c r="AG189" s="277"/>
      <c r="AH189" s="277"/>
      <c r="AI189" s="277"/>
      <c r="AJ189" s="92"/>
    </row>
    <row r="190" spans="1:36" s="99" customFormat="1" ht="65.099999999999994" customHeight="1">
      <c r="A190" s="89"/>
      <c r="B190" s="89"/>
      <c r="C190" s="90"/>
      <c r="D190" s="91"/>
      <c r="E190" s="92"/>
      <c r="F190" s="92"/>
      <c r="G190" s="92"/>
      <c r="H190" s="92"/>
      <c r="I190" s="93"/>
      <c r="J190" s="94"/>
      <c r="K190" s="94"/>
      <c r="L190" s="95"/>
      <c r="M190" s="66"/>
      <c r="N190" s="96"/>
      <c r="O190" s="97"/>
      <c r="P190" s="58"/>
      <c r="Q190" s="69"/>
      <c r="R190" s="70"/>
      <c r="S190" s="66"/>
      <c r="T190" s="55"/>
      <c r="U190" s="55"/>
      <c r="V190" s="55"/>
      <c r="W190" s="98"/>
      <c r="X190" s="98"/>
      <c r="Y190" s="98"/>
      <c r="Z190" s="98"/>
      <c r="AA190" s="98"/>
      <c r="AB190" s="98"/>
      <c r="AC190" s="98"/>
      <c r="AD190" s="98"/>
      <c r="AE190" s="98"/>
      <c r="AF190" s="98"/>
      <c r="AG190" s="277"/>
      <c r="AH190" s="277"/>
      <c r="AI190" s="277"/>
      <c r="AJ190" s="92"/>
    </row>
    <row r="191" spans="1:36" s="99" customFormat="1" ht="65.099999999999994" customHeight="1">
      <c r="A191" s="89"/>
      <c r="B191" s="89"/>
      <c r="C191" s="90"/>
      <c r="D191" s="91"/>
      <c r="E191" s="92"/>
      <c r="F191" s="92"/>
      <c r="G191" s="92"/>
      <c r="H191" s="92"/>
      <c r="I191" s="93"/>
      <c r="J191" s="94"/>
      <c r="K191" s="94"/>
      <c r="L191" s="95"/>
      <c r="M191" s="66"/>
      <c r="N191" s="96"/>
      <c r="O191" s="97"/>
      <c r="P191" s="58"/>
      <c r="Q191" s="69"/>
      <c r="R191" s="70"/>
      <c r="S191" s="66"/>
      <c r="T191" s="55"/>
      <c r="U191" s="55"/>
      <c r="V191" s="55"/>
      <c r="W191" s="98"/>
      <c r="X191" s="98"/>
      <c r="Y191" s="98"/>
      <c r="Z191" s="98"/>
      <c r="AA191" s="98"/>
      <c r="AB191" s="98"/>
      <c r="AC191" s="98"/>
      <c r="AD191" s="98"/>
      <c r="AE191" s="98"/>
      <c r="AF191" s="98"/>
      <c r="AG191" s="277"/>
      <c r="AH191" s="277"/>
      <c r="AI191" s="277"/>
      <c r="AJ191" s="92"/>
    </row>
    <row r="192" spans="1:36" s="99" customFormat="1" ht="65.099999999999994" customHeight="1">
      <c r="A192" s="89"/>
      <c r="B192" s="89"/>
      <c r="C192" s="90"/>
      <c r="D192" s="91"/>
      <c r="E192" s="92"/>
      <c r="F192" s="92"/>
      <c r="G192" s="92"/>
      <c r="H192" s="92"/>
      <c r="I192" s="93"/>
      <c r="J192" s="94"/>
      <c r="K192" s="94"/>
      <c r="L192" s="95"/>
      <c r="M192" s="66"/>
      <c r="N192" s="96"/>
      <c r="O192" s="97"/>
      <c r="P192" s="58"/>
      <c r="Q192" s="69"/>
      <c r="R192" s="70"/>
      <c r="S192" s="66"/>
      <c r="T192" s="55"/>
      <c r="U192" s="55"/>
      <c r="V192" s="55"/>
      <c r="W192" s="98"/>
      <c r="X192" s="98"/>
      <c r="Y192" s="98"/>
      <c r="Z192" s="98"/>
      <c r="AA192" s="98"/>
      <c r="AB192" s="98"/>
      <c r="AC192" s="98"/>
      <c r="AD192" s="98"/>
      <c r="AE192" s="98"/>
      <c r="AF192" s="98"/>
      <c r="AG192" s="277"/>
      <c r="AH192" s="277"/>
      <c r="AI192" s="277"/>
      <c r="AJ192" s="92"/>
    </row>
    <row r="193" spans="1:36" s="99" customFormat="1" ht="65.099999999999994" customHeight="1">
      <c r="A193" s="89"/>
      <c r="B193" s="89"/>
      <c r="C193" s="90"/>
      <c r="D193" s="91"/>
      <c r="E193" s="92"/>
      <c r="F193" s="92"/>
      <c r="G193" s="92"/>
      <c r="H193" s="92"/>
      <c r="I193" s="93"/>
      <c r="J193" s="94"/>
      <c r="K193" s="94"/>
      <c r="L193" s="95"/>
      <c r="M193" s="66"/>
      <c r="N193" s="96"/>
      <c r="O193" s="97"/>
      <c r="P193" s="58"/>
      <c r="Q193" s="69"/>
      <c r="R193" s="70"/>
      <c r="S193" s="66"/>
      <c r="T193" s="55"/>
      <c r="U193" s="55"/>
      <c r="V193" s="55"/>
      <c r="W193" s="98"/>
      <c r="X193" s="98"/>
      <c r="Y193" s="98"/>
      <c r="Z193" s="98"/>
      <c r="AA193" s="98"/>
      <c r="AB193" s="98"/>
      <c r="AC193" s="98"/>
      <c r="AD193" s="98"/>
      <c r="AE193" s="98"/>
      <c r="AF193" s="98"/>
      <c r="AG193" s="277"/>
      <c r="AH193" s="277"/>
      <c r="AI193" s="277"/>
      <c r="AJ193" s="92"/>
    </row>
    <row r="194" spans="1:36" s="99" customFormat="1" ht="65.099999999999994" customHeight="1">
      <c r="A194" s="89"/>
      <c r="B194" s="89"/>
      <c r="C194" s="90"/>
      <c r="D194" s="91"/>
      <c r="E194" s="92"/>
      <c r="F194" s="92"/>
      <c r="G194" s="92"/>
      <c r="H194" s="92"/>
      <c r="I194" s="93"/>
      <c r="J194" s="94"/>
      <c r="K194" s="94"/>
      <c r="L194" s="95"/>
      <c r="M194" s="66"/>
      <c r="N194" s="96"/>
      <c r="O194" s="97"/>
      <c r="P194" s="58"/>
      <c r="Q194" s="69"/>
      <c r="R194" s="70"/>
      <c r="S194" s="66"/>
      <c r="T194" s="55"/>
      <c r="U194" s="55"/>
      <c r="V194" s="55"/>
      <c r="W194" s="98"/>
      <c r="X194" s="98"/>
      <c r="Y194" s="98"/>
      <c r="Z194" s="98"/>
      <c r="AA194" s="98"/>
      <c r="AB194" s="98"/>
      <c r="AC194" s="98"/>
      <c r="AD194" s="98"/>
      <c r="AE194" s="98"/>
      <c r="AF194" s="98"/>
      <c r="AG194" s="277"/>
      <c r="AH194" s="277"/>
      <c r="AI194" s="277"/>
      <c r="AJ194" s="92"/>
    </row>
    <row r="195" spans="1:36" s="99" customFormat="1" ht="65.099999999999994" customHeight="1">
      <c r="A195" s="89"/>
      <c r="B195" s="89"/>
      <c r="C195" s="90"/>
      <c r="D195" s="91"/>
      <c r="E195" s="92"/>
      <c r="F195" s="92"/>
      <c r="G195" s="92"/>
      <c r="H195" s="92"/>
      <c r="I195" s="93"/>
      <c r="J195" s="94"/>
      <c r="K195" s="94"/>
      <c r="L195" s="95"/>
      <c r="M195" s="66"/>
      <c r="N195" s="96"/>
      <c r="O195" s="97"/>
      <c r="P195" s="58"/>
      <c r="Q195" s="69"/>
      <c r="R195" s="70"/>
      <c r="S195" s="66"/>
      <c r="T195" s="55"/>
      <c r="U195" s="55"/>
      <c r="V195" s="55"/>
      <c r="W195" s="98"/>
      <c r="X195" s="98"/>
      <c r="Y195" s="98"/>
      <c r="Z195" s="98"/>
      <c r="AA195" s="98"/>
      <c r="AB195" s="98"/>
      <c r="AC195" s="98"/>
      <c r="AD195" s="98"/>
      <c r="AE195" s="98"/>
      <c r="AF195" s="98"/>
      <c r="AG195" s="277"/>
      <c r="AH195" s="277"/>
      <c r="AI195" s="277"/>
      <c r="AJ195" s="92"/>
    </row>
    <row r="196" spans="1:36" s="99" customFormat="1" ht="65.099999999999994" customHeight="1">
      <c r="A196" s="89"/>
      <c r="B196" s="89"/>
      <c r="C196" s="90"/>
      <c r="D196" s="91"/>
      <c r="E196" s="92"/>
      <c r="F196" s="92"/>
      <c r="G196" s="92"/>
      <c r="H196" s="92"/>
      <c r="I196" s="93"/>
      <c r="J196" s="94"/>
      <c r="K196" s="94"/>
      <c r="L196" s="95"/>
      <c r="M196" s="66"/>
      <c r="N196" s="96"/>
      <c r="O196" s="97"/>
      <c r="P196" s="58"/>
      <c r="Q196" s="69"/>
      <c r="R196" s="70"/>
      <c r="S196" s="66"/>
      <c r="T196" s="55"/>
      <c r="U196" s="55"/>
      <c r="V196" s="55"/>
      <c r="W196" s="98"/>
      <c r="X196" s="98"/>
      <c r="Y196" s="98"/>
      <c r="Z196" s="98"/>
      <c r="AA196" s="98"/>
      <c r="AB196" s="98"/>
      <c r="AC196" s="98"/>
      <c r="AD196" s="98"/>
      <c r="AE196" s="98"/>
      <c r="AF196" s="98"/>
      <c r="AG196" s="277"/>
      <c r="AH196" s="277"/>
      <c r="AI196" s="277"/>
      <c r="AJ196" s="92"/>
    </row>
    <row r="197" spans="1:36" s="99" customFormat="1" ht="65.099999999999994" customHeight="1">
      <c r="A197" s="89"/>
      <c r="B197" s="89"/>
      <c r="C197" s="90"/>
      <c r="D197" s="91"/>
      <c r="E197" s="92"/>
      <c r="F197" s="92"/>
      <c r="G197" s="92"/>
      <c r="H197" s="92"/>
      <c r="I197" s="93"/>
      <c r="J197" s="94"/>
      <c r="K197" s="94"/>
      <c r="L197" s="95"/>
      <c r="M197" s="66"/>
      <c r="N197" s="96"/>
      <c r="O197" s="97"/>
      <c r="P197" s="58"/>
      <c r="Q197" s="69"/>
      <c r="R197" s="70"/>
      <c r="S197" s="66"/>
      <c r="T197" s="55"/>
      <c r="U197" s="55"/>
      <c r="V197" s="55"/>
      <c r="W197" s="98"/>
      <c r="X197" s="98"/>
      <c r="Y197" s="98"/>
      <c r="Z197" s="98"/>
      <c r="AA197" s="98"/>
      <c r="AB197" s="98"/>
      <c r="AC197" s="98"/>
      <c r="AD197" s="98"/>
      <c r="AE197" s="98"/>
      <c r="AF197" s="98"/>
      <c r="AG197" s="277"/>
      <c r="AH197" s="277"/>
      <c r="AI197" s="277"/>
      <c r="AJ197" s="92"/>
    </row>
    <row r="198" spans="1:36" s="99" customFormat="1" ht="65.099999999999994" customHeight="1">
      <c r="A198" s="89"/>
      <c r="B198" s="89"/>
      <c r="C198" s="90"/>
      <c r="D198" s="91"/>
      <c r="E198" s="92"/>
      <c r="F198" s="92"/>
      <c r="G198" s="92"/>
      <c r="H198" s="92"/>
      <c r="I198" s="93"/>
      <c r="J198" s="94"/>
      <c r="K198" s="94"/>
      <c r="L198" s="95"/>
      <c r="M198" s="66"/>
      <c r="N198" s="96"/>
      <c r="O198" s="97"/>
      <c r="P198" s="58"/>
      <c r="Q198" s="69"/>
      <c r="R198" s="70"/>
      <c r="S198" s="66"/>
      <c r="T198" s="55"/>
      <c r="U198" s="55"/>
      <c r="V198" s="55"/>
      <c r="W198" s="98"/>
      <c r="X198" s="98"/>
      <c r="Y198" s="98"/>
      <c r="Z198" s="98"/>
      <c r="AA198" s="98"/>
      <c r="AB198" s="98"/>
      <c r="AC198" s="98"/>
      <c r="AD198" s="98"/>
      <c r="AE198" s="98"/>
      <c r="AF198" s="98"/>
      <c r="AG198" s="277"/>
      <c r="AH198" s="277"/>
      <c r="AI198" s="277"/>
      <c r="AJ198" s="92"/>
    </row>
    <row r="199" spans="1:36" s="99" customFormat="1" ht="65.099999999999994" customHeight="1">
      <c r="A199" s="89"/>
      <c r="B199" s="89"/>
      <c r="C199" s="90"/>
      <c r="D199" s="91"/>
      <c r="E199" s="92"/>
      <c r="F199" s="92"/>
      <c r="G199" s="92"/>
      <c r="H199" s="92"/>
      <c r="I199" s="93"/>
      <c r="J199" s="94"/>
      <c r="K199" s="94"/>
      <c r="L199" s="95"/>
      <c r="M199" s="66"/>
      <c r="N199" s="96"/>
      <c r="O199" s="97"/>
      <c r="P199" s="58"/>
      <c r="Q199" s="69"/>
      <c r="R199" s="70"/>
      <c r="S199" s="66"/>
      <c r="T199" s="55"/>
      <c r="U199" s="55"/>
      <c r="V199" s="55"/>
      <c r="W199" s="98"/>
      <c r="X199" s="98"/>
      <c r="Y199" s="98"/>
      <c r="Z199" s="98"/>
      <c r="AA199" s="98"/>
      <c r="AB199" s="98"/>
      <c r="AC199" s="98"/>
      <c r="AD199" s="98"/>
      <c r="AE199" s="98"/>
      <c r="AF199" s="98"/>
      <c r="AG199" s="277"/>
      <c r="AH199" s="277"/>
      <c r="AI199" s="277"/>
      <c r="AJ199" s="92"/>
    </row>
    <row r="200" spans="1:36" s="99" customFormat="1" ht="65.099999999999994" customHeight="1">
      <c r="A200" s="89"/>
      <c r="B200" s="89"/>
      <c r="C200" s="90"/>
      <c r="D200" s="91"/>
      <c r="E200" s="92"/>
      <c r="F200" s="92"/>
      <c r="G200" s="92"/>
      <c r="H200" s="92"/>
      <c r="I200" s="93"/>
      <c r="J200" s="94"/>
      <c r="K200" s="94"/>
      <c r="L200" s="95"/>
      <c r="M200" s="66"/>
      <c r="N200" s="96"/>
      <c r="O200" s="97"/>
      <c r="P200" s="58"/>
      <c r="Q200" s="69"/>
      <c r="R200" s="70"/>
      <c r="S200" s="66"/>
      <c r="T200" s="55"/>
      <c r="U200" s="55"/>
      <c r="V200" s="55"/>
      <c r="W200" s="98"/>
      <c r="X200" s="98"/>
      <c r="Y200" s="98"/>
      <c r="Z200" s="98"/>
      <c r="AA200" s="98"/>
      <c r="AB200" s="98"/>
      <c r="AC200" s="98"/>
      <c r="AD200" s="98"/>
      <c r="AE200" s="98"/>
      <c r="AF200" s="98"/>
      <c r="AG200" s="277"/>
      <c r="AH200" s="277"/>
      <c r="AI200" s="277"/>
      <c r="AJ200" s="92"/>
    </row>
    <row r="201" spans="1:36" s="99" customFormat="1" ht="65.099999999999994" customHeight="1">
      <c r="A201" s="89"/>
      <c r="B201" s="89"/>
      <c r="C201" s="90"/>
      <c r="D201" s="91"/>
      <c r="E201" s="92"/>
      <c r="F201" s="92"/>
      <c r="G201" s="92"/>
      <c r="H201" s="92"/>
      <c r="I201" s="93"/>
      <c r="J201" s="94"/>
      <c r="K201" s="94"/>
      <c r="L201" s="95"/>
      <c r="M201" s="66"/>
      <c r="N201" s="96"/>
      <c r="O201" s="97"/>
      <c r="P201" s="58"/>
      <c r="Q201" s="69"/>
      <c r="R201" s="70"/>
      <c r="S201" s="66"/>
      <c r="T201" s="55"/>
      <c r="U201" s="55"/>
      <c r="V201" s="55"/>
      <c r="W201" s="98"/>
      <c r="X201" s="98"/>
      <c r="Y201" s="98"/>
      <c r="Z201" s="98"/>
      <c r="AA201" s="98"/>
      <c r="AB201" s="98"/>
      <c r="AC201" s="98"/>
      <c r="AD201" s="98"/>
      <c r="AE201" s="98"/>
      <c r="AF201" s="98"/>
      <c r="AG201" s="277"/>
      <c r="AH201" s="277"/>
      <c r="AI201" s="277"/>
      <c r="AJ201" s="92"/>
    </row>
    <row r="202" spans="1:36" s="99" customFormat="1" ht="65.099999999999994" customHeight="1">
      <c r="A202" s="89"/>
      <c r="B202" s="89"/>
      <c r="C202" s="90"/>
      <c r="D202" s="91"/>
      <c r="E202" s="92"/>
      <c r="F202" s="92"/>
      <c r="G202" s="92"/>
      <c r="H202" s="92"/>
      <c r="I202" s="93"/>
      <c r="J202" s="94"/>
      <c r="K202" s="94"/>
      <c r="L202" s="95"/>
      <c r="M202" s="66"/>
      <c r="N202" s="96"/>
      <c r="O202" s="97"/>
      <c r="P202" s="58"/>
      <c r="Q202" s="69"/>
      <c r="R202" s="70"/>
      <c r="S202" s="66"/>
      <c r="T202" s="55"/>
      <c r="U202" s="55"/>
      <c r="V202" s="55"/>
      <c r="W202" s="98"/>
      <c r="X202" s="98"/>
      <c r="Y202" s="98"/>
      <c r="Z202" s="98"/>
      <c r="AA202" s="98"/>
      <c r="AB202" s="98"/>
      <c r="AC202" s="98"/>
      <c r="AD202" s="98"/>
      <c r="AE202" s="98"/>
      <c r="AF202" s="98"/>
      <c r="AG202" s="277"/>
      <c r="AH202" s="277"/>
      <c r="AI202" s="277"/>
      <c r="AJ202" s="92"/>
    </row>
    <row r="203" spans="1:36" s="99" customFormat="1" ht="65.099999999999994" customHeight="1">
      <c r="A203" s="89"/>
      <c r="B203" s="89"/>
      <c r="C203" s="90"/>
      <c r="D203" s="91"/>
      <c r="E203" s="92"/>
      <c r="F203" s="92"/>
      <c r="G203" s="92"/>
      <c r="H203" s="92"/>
      <c r="I203" s="93"/>
      <c r="J203" s="94"/>
      <c r="K203" s="94"/>
      <c r="L203" s="95"/>
      <c r="M203" s="66"/>
      <c r="N203" s="96"/>
      <c r="O203" s="97"/>
      <c r="P203" s="58"/>
      <c r="Q203" s="69"/>
      <c r="R203" s="70"/>
      <c r="S203" s="66"/>
      <c r="T203" s="55"/>
      <c r="U203" s="55"/>
      <c r="V203" s="55"/>
      <c r="W203" s="98"/>
      <c r="X203" s="98"/>
      <c r="Y203" s="98"/>
      <c r="Z203" s="98"/>
      <c r="AA203" s="98"/>
      <c r="AB203" s="98"/>
      <c r="AC203" s="98"/>
      <c r="AD203" s="98"/>
      <c r="AE203" s="98"/>
      <c r="AF203" s="98"/>
      <c r="AG203" s="277"/>
      <c r="AH203" s="277"/>
      <c r="AI203" s="277"/>
      <c r="AJ203" s="92"/>
    </row>
    <row r="204" spans="1:36" s="99" customFormat="1" ht="65.099999999999994" customHeight="1">
      <c r="A204" s="89"/>
      <c r="B204" s="89"/>
      <c r="C204" s="90"/>
      <c r="D204" s="91"/>
      <c r="E204" s="92"/>
      <c r="F204" s="92"/>
      <c r="G204" s="92"/>
      <c r="H204" s="92"/>
      <c r="I204" s="93"/>
      <c r="J204" s="94"/>
      <c r="K204" s="94"/>
      <c r="L204" s="95"/>
      <c r="M204" s="66"/>
      <c r="N204" s="96"/>
      <c r="O204" s="97"/>
      <c r="P204" s="58"/>
      <c r="Q204" s="69"/>
      <c r="R204" s="70"/>
      <c r="S204" s="66"/>
      <c r="T204" s="55"/>
      <c r="U204" s="55"/>
      <c r="V204" s="55"/>
      <c r="W204" s="98"/>
      <c r="X204" s="98"/>
      <c r="Y204" s="98"/>
      <c r="Z204" s="98"/>
      <c r="AA204" s="98"/>
      <c r="AB204" s="98"/>
      <c r="AC204" s="98"/>
      <c r="AD204" s="98"/>
      <c r="AE204" s="98"/>
      <c r="AF204" s="98"/>
      <c r="AG204" s="277"/>
      <c r="AH204" s="277"/>
      <c r="AI204" s="277"/>
      <c r="AJ204" s="92"/>
    </row>
    <row r="205" spans="1:36" s="99" customFormat="1" ht="65.099999999999994" customHeight="1">
      <c r="A205" s="89"/>
      <c r="B205" s="89"/>
      <c r="C205" s="90"/>
      <c r="D205" s="91"/>
      <c r="E205" s="92"/>
      <c r="F205" s="92"/>
      <c r="G205" s="92"/>
      <c r="H205" s="92"/>
      <c r="I205" s="93"/>
      <c r="J205" s="94"/>
      <c r="K205" s="94"/>
      <c r="L205" s="95"/>
      <c r="M205" s="66"/>
      <c r="N205" s="96"/>
      <c r="O205" s="97"/>
      <c r="P205" s="58"/>
      <c r="Q205" s="69"/>
      <c r="R205" s="70"/>
      <c r="S205" s="66"/>
      <c r="T205" s="55"/>
      <c r="U205" s="55"/>
      <c r="V205" s="55"/>
      <c r="W205" s="98"/>
      <c r="X205" s="98"/>
      <c r="Y205" s="98"/>
      <c r="Z205" s="98"/>
      <c r="AA205" s="98"/>
      <c r="AB205" s="98"/>
      <c r="AC205" s="98"/>
      <c r="AD205" s="98"/>
      <c r="AE205" s="98"/>
      <c r="AF205" s="98"/>
      <c r="AG205" s="277"/>
      <c r="AH205" s="277"/>
      <c r="AI205" s="277"/>
      <c r="AJ205" s="92"/>
    </row>
    <row r="206" spans="1:36" s="99" customFormat="1" ht="65.099999999999994" customHeight="1">
      <c r="A206" s="89"/>
      <c r="B206" s="89"/>
      <c r="C206" s="90"/>
      <c r="D206" s="91"/>
      <c r="E206" s="92"/>
      <c r="F206" s="92"/>
      <c r="G206" s="92"/>
      <c r="H206" s="92"/>
      <c r="I206" s="93"/>
      <c r="J206" s="94"/>
      <c r="K206" s="94"/>
      <c r="L206" s="95"/>
      <c r="M206" s="66"/>
      <c r="N206" s="96"/>
      <c r="O206" s="97"/>
      <c r="P206" s="58"/>
      <c r="Q206" s="69"/>
      <c r="R206" s="70"/>
      <c r="S206" s="66"/>
      <c r="T206" s="55"/>
      <c r="U206" s="55"/>
      <c r="V206" s="55"/>
      <c r="W206" s="98"/>
      <c r="X206" s="98"/>
      <c r="Y206" s="98"/>
      <c r="Z206" s="98"/>
      <c r="AA206" s="98"/>
      <c r="AB206" s="98"/>
      <c r="AC206" s="98"/>
      <c r="AD206" s="98"/>
      <c r="AE206" s="98"/>
      <c r="AF206" s="98"/>
      <c r="AG206" s="277"/>
      <c r="AH206" s="277"/>
      <c r="AI206" s="277"/>
      <c r="AJ206" s="92"/>
    </row>
    <row r="207" spans="1:36" s="99" customFormat="1" ht="65.099999999999994" customHeight="1">
      <c r="A207" s="89"/>
      <c r="B207" s="89"/>
      <c r="C207" s="90"/>
      <c r="D207" s="91"/>
      <c r="E207" s="92"/>
      <c r="F207" s="92"/>
      <c r="G207" s="92"/>
      <c r="H207" s="92"/>
      <c r="I207" s="93"/>
      <c r="J207" s="94"/>
      <c r="K207" s="94"/>
      <c r="L207" s="95"/>
      <c r="M207" s="66"/>
      <c r="N207" s="96"/>
      <c r="O207" s="97"/>
      <c r="P207" s="58"/>
      <c r="Q207" s="69"/>
      <c r="R207" s="70"/>
      <c r="S207" s="66"/>
      <c r="T207" s="55"/>
      <c r="U207" s="55"/>
      <c r="V207" s="55"/>
      <c r="W207" s="98"/>
      <c r="X207" s="98"/>
      <c r="Y207" s="98"/>
      <c r="Z207" s="98"/>
      <c r="AA207" s="98"/>
      <c r="AB207" s="98"/>
      <c r="AC207" s="98"/>
      <c r="AD207" s="98"/>
      <c r="AE207" s="98"/>
      <c r="AF207" s="98"/>
      <c r="AG207" s="277"/>
      <c r="AH207" s="277"/>
      <c r="AI207" s="277"/>
      <c r="AJ207" s="92"/>
    </row>
    <row r="208" spans="1:36" s="99" customFormat="1" ht="65.099999999999994" customHeight="1">
      <c r="A208" s="89"/>
      <c r="B208" s="89"/>
      <c r="C208" s="90"/>
      <c r="D208" s="91"/>
      <c r="E208" s="92"/>
      <c r="F208" s="92"/>
      <c r="G208" s="92"/>
      <c r="H208" s="92"/>
      <c r="I208" s="93"/>
      <c r="J208" s="94"/>
      <c r="K208" s="94"/>
      <c r="L208" s="95"/>
      <c r="M208" s="66"/>
      <c r="N208" s="96"/>
      <c r="O208" s="97"/>
      <c r="P208" s="58"/>
      <c r="Q208" s="69"/>
      <c r="R208" s="70"/>
      <c r="S208" s="66"/>
      <c r="T208" s="55"/>
      <c r="U208" s="55"/>
      <c r="V208" s="55"/>
      <c r="W208" s="98"/>
      <c r="X208" s="98"/>
      <c r="Y208" s="98"/>
      <c r="Z208" s="98"/>
      <c r="AA208" s="98"/>
      <c r="AB208" s="98"/>
      <c r="AC208" s="98"/>
      <c r="AD208" s="98"/>
      <c r="AE208" s="98"/>
      <c r="AF208" s="98"/>
      <c r="AG208" s="277"/>
      <c r="AH208" s="277"/>
      <c r="AI208" s="277"/>
      <c r="AJ208" s="92"/>
    </row>
    <row r="209" spans="1:36" s="99" customFormat="1" ht="65.099999999999994" customHeight="1">
      <c r="A209" s="89"/>
      <c r="B209" s="89"/>
      <c r="C209" s="90"/>
      <c r="D209" s="91"/>
      <c r="E209" s="92"/>
      <c r="F209" s="92"/>
      <c r="G209" s="92"/>
      <c r="H209" s="92"/>
      <c r="I209" s="93"/>
      <c r="J209" s="94"/>
      <c r="K209" s="94"/>
      <c r="L209" s="95"/>
      <c r="M209" s="66"/>
      <c r="N209" s="96"/>
      <c r="O209" s="97"/>
      <c r="P209" s="58"/>
      <c r="Q209" s="69"/>
      <c r="R209" s="70"/>
      <c r="S209" s="66"/>
      <c r="T209" s="55"/>
      <c r="U209" s="55"/>
      <c r="V209" s="55"/>
      <c r="W209" s="98"/>
      <c r="X209" s="98"/>
      <c r="Y209" s="98"/>
      <c r="Z209" s="98"/>
      <c r="AA209" s="98"/>
      <c r="AB209" s="98"/>
      <c r="AC209" s="98"/>
      <c r="AD209" s="98"/>
      <c r="AE209" s="98"/>
      <c r="AF209" s="98"/>
      <c r="AG209" s="277"/>
      <c r="AH209" s="277"/>
      <c r="AI209" s="277"/>
      <c r="AJ209" s="92"/>
    </row>
    <row r="210" spans="1:36" s="99" customFormat="1" ht="65.099999999999994" customHeight="1">
      <c r="A210" s="89"/>
      <c r="B210" s="89"/>
      <c r="C210" s="90"/>
      <c r="D210" s="91"/>
      <c r="E210" s="92"/>
      <c r="F210" s="92"/>
      <c r="G210" s="92"/>
      <c r="H210" s="92"/>
      <c r="I210" s="93"/>
      <c r="J210" s="94"/>
      <c r="K210" s="94"/>
      <c r="L210" s="95"/>
      <c r="M210" s="66"/>
      <c r="N210" s="96"/>
      <c r="O210" s="97"/>
      <c r="P210" s="58"/>
      <c r="Q210" s="69"/>
      <c r="R210" s="70"/>
      <c r="S210" s="66"/>
      <c r="T210" s="55"/>
      <c r="U210" s="55"/>
      <c r="V210" s="55"/>
      <c r="W210" s="98"/>
      <c r="X210" s="98"/>
      <c r="Y210" s="98"/>
      <c r="Z210" s="98"/>
      <c r="AA210" s="98"/>
      <c r="AB210" s="98"/>
      <c r="AC210" s="98"/>
      <c r="AD210" s="98"/>
      <c r="AE210" s="98"/>
      <c r="AF210" s="98"/>
      <c r="AG210" s="277"/>
      <c r="AH210" s="277"/>
      <c r="AI210" s="277"/>
      <c r="AJ210" s="92"/>
    </row>
    <row r="211" spans="1:36" s="99" customFormat="1" ht="65.099999999999994" customHeight="1">
      <c r="A211" s="89"/>
      <c r="B211" s="89"/>
      <c r="C211" s="90"/>
      <c r="D211" s="91"/>
      <c r="E211" s="92"/>
      <c r="F211" s="92"/>
      <c r="G211" s="92"/>
      <c r="H211" s="92"/>
      <c r="I211" s="93"/>
      <c r="J211" s="94"/>
      <c r="K211" s="94"/>
      <c r="L211" s="95"/>
      <c r="M211" s="66"/>
      <c r="N211" s="96"/>
      <c r="O211" s="97"/>
      <c r="P211" s="58"/>
      <c r="Q211" s="69"/>
      <c r="R211" s="70"/>
      <c r="S211" s="66"/>
      <c r="T211" s="55"/>
      <c r="U211" s="55"/>
      <c r="V211" s="55"/>
      <c r="W211" s="98"/>
      <c r="X211" s="98"/>
      <c r="Y211" s="98"/>
      <c r="Z211" s="98"/>
      <c r="AA211" s="98"/>
      <c r="AB211" s="98"/>
      <c r="AC211" s="98"/>
      <c r="AD211" s="98"/>
      <c r="AE211" s="98"/>
      <c r="AF211" s="98"/>
      <c r="AG211" s="277"/>
      <c r="AH211" s="277"/>
      <c r="AI211" s="277"/>
      <c r="AJ211" s="92"/>
    </row>
    <row r="212" spans="1:36" s="99" customFormat="1" ht="65.099999999999994" customHeight="1">
      <c r="A212" s="89"/>
      <c r="B212" s="89"/>
      <c r="C212" s="90"/>
      <c r="D212" s="91"/>
      <c r="E212" s="92"/>
      <c r="F212" s="92"/>
      <c r="G212" s="92"/>
      <c r="H212" s="92"/>
      <c r="I212" s="93"/>
      <c r="J212" s="94"/>
      <c r="K212" s="94"/>
      <c r="L212" s="95"/>
      <c r="M212" s="66"/>
      <c r="N212" s="96"/>
      <c r="O212" s="97"/>
      <c r="P212" s="58"/>
      <c r="Q212" s="69"/>
      <c r="R212" s="70"/>
      <c r="S212" s="66"/>
      <c r="T212" s="55"/>
      <c r="U212" s="55"/>
      <c r="V212" s="55"/>
      <c r="W212" s="98"/>
      <c r="X212" s="98"/>
      <c r="Y212" s="98"/>
      <c r="Z212" s="98"/>
      <c r="AA212" s="98"/>
      <c r="AB212" s="98"/>
      <c r="AC212" s="98"/>
      <c r="AD212" s="98"/>
      <c r="AE212" s="98"/>
      <c r="AF212" s="98"/>
      <c r="AG212" s="277"/>
      <c r="AH212" s="277"/>
      <c r="AI212" s="277"/>
      <c r="AJ212" s="92"/>
    </row>
    <row r="213" spans="1:36" s="99" customFormat="1" ht="65.099999999999994" customHeight="1">
      <c r="A213" s="89"/>
      <c r="B213" s="89"/>
      <c r="C213" s="90"/>
      <c r="D213" s="91"/>
      <c r="E213" s="92"/>
      <c r="F213" s="92"/>
      <c r="G213" s="92"/>
      <c r="H213" s="92"/>
      <c r="I213" s="93"/>
      <c r="J213" s="94"/>
      <c r="K213" s="94"/>
      <c r="L213" s="95"/>
      <c r="M213" s="66"/>
      <c r="N213" s="96"/>
      <c r="O213" s="97"/>
      <c r="P213" s="58"/>
      <c r="Q213" s="69"/>
      <c r="R213" s="70"/>
      <c r="S213" s="66"/>
      <c r="T213" s="55"/>
      <c r="U213" s="55"/>
      <c r="V213" s="55"/>
      <c r="W213" s="98"/>
      <c r="X213" s="98"/>
      <c r="Y213" s="98"/>
      <c r="Z213" s="98"/>
      <c r="AA213" s="98"/>
      <c r="AB213" s="98"/>
      <c r="AC213" s="98"/>
      <c r="AD213" s="98"/>
      <c r="AE213" s="98"/>
      <c r="AF213" s="98"/>
      <c r="AG213" s="277"/>
      <c r="AH213" s="277"/>
      <c r="AI213" s="277"/>
      <c r="AJ213" s="92"/>
    </row>
  </sheetData>
  <autoFilter ref="A1:AJ17">
    <filterColumn colId="22" showButton="0"/>
    <filterColumn colId="23" showButton="0"/>
    <filterColumn colId="25" showButton="0"/>
    <filterColumn colId="26" showButton="0"/>
    <filterColumn colId="28" showButton="0"/>
    <filterColumn colId="29" showButton="0"/>
  </autoFilter>
  <mergeCells count="270">
    <mergeCell ref="AF1:AF2"/>
    <mergeCell ref="Z67:AB67"/>
    <mergeCell ref="AC67:AE67"/>
    <mergeCell ref="W68:Y68"/>
    <mergeCell ref="Z68:AB68"/>
    <mergeCell ref="AC68:AE68"/>
    <mergeCell ref="W63:Y63"/>
    <mergeCell ref="Z63:AB63"/>
    <mergeCell ref="AC63:AE63"/>
    <mergeCell ref="W57:Y57"/>
    <mergeCell ref="Z57:AB57"/>
    <mergeCell ref="AC57:AE57"/>
    <mergeCell ref="Z55:AB55"/>
    <mergeCell ref="AC55:AE55"/>
    <mergeCell ref="Z31:AB31"/>
    <mergeCell ref="AC31:AE31"/>
    <mergeCell ref="AC6:AE6"/>
    <mergeCell ref="AC4:AE4"/>
    <mergeCell ref="W5:Y5"/>
    <mergeCell ref="Z5:AB5"/>
    <mergeCell ref="AC5:AE5"/>
    <mergeCell ref="W7:Y7"/>
    <mergeCell ref="Z7:AB7"/>
    <mergeCell ref="AC7:AE7"/>
    <mergeCell ref="AG64:AG69"/>
    <mergeCell ref="AH64:AH69"/>
    <mergeCell ref="W65:Y65"/>
    <mergeCell ref="Z65:AB65"/>
    <mergeCell ref="AC65:AE65"/>
    <mergeCell ref="W66:Y66"/>
    <mergeCell ref="Z66:AB66"/>
    <mergeCell ref="AC66:AE66"/>
    <mergeCell ref="W69:Y69"/>
    <mergeCell ref="Z69:AB69"/>
    <mergeCell ref="AC69:AE69"/>
    <mergeCell ref="A64:A69"/>
    <mergeCell ref="W64:Y64"/>
    <mergeCell ref="Z64:AB64"/>
    <mergeCell ref="AC64:AE64"/>
    <mergeCell ref="W67:Y67"/>
    <mergeCell ref="Z61:AB61"/>
    <mergeCell ref="AC61:AE61"/>
    <mergeCell ref="W62:Y62"/>
    <mergeCell ref="Z62:AB62"/>
    <mergeCell ref="AC62:AE62"/>
    <mergeCell ref="A58:A63"/>
    <mergeCell ref="AH52:AH57"/>
    <mergeCell ref="W53:Y53"/>
    <mergeCell ref="Z53:AB53"/>
    <mergeCell ref="AC53:AE53"/>
    <mergeCell ref="W54:Y54"/>
    <mergeCell ref="Z54:AB54"/>
    <mergeCell ref="AC54:AE54"/>
    <mergeCell ref="AG58:AG63"/>
    <mergeCell ref="AH58:AH63"/>
    <mergeCell ref="W59:Y59"/>
    <mergeCell ref="Z59:AB59"/>
    <mergeCell ref="AC59:AE59"/>
    <mergeCell ref="W60:Y60"/>
    <mergeCell ref="Z60:AB60"/>
    <mergeCell ref="AC60:AE60"/>
    <mergeCell ref="W58:Y58"/>
    <mergeCell ref="Z58:AB58"/>
    <mergeCell ref="AC58:AE58"/>
    <mergeCell ref="W61:Y61"/>
    <mergeCell ref="A52:A57"/>
    <mergeCell ref="W52:Y52"/>
    <mergeCell ref="Z52:AB52"/>
    <mergeCell ref="AC52:AE52"/>
    <mergeCell ref="W55:Y55"/>
    <mergeCell ref="W56:Y56"/>
    <mergeCell ref="Z56:AB56"/>
    <mergeCell ref="AC56:AE56"/>
    <mergeCell ref="AG52:AG57"/>
    <mergeCell ref="AG46:AG51"/>
    <mergeCell ref="AH46:AH51"/>
    <mergeCell ref="W47:Y47"/>
    <mergeCell ref="Z47:AB47"/>
    <mergeCell ref="AC47:AE47"/>
    <mergeCell ref="W48:Y48"/>
    <mergeCell ref="Z48:AB48"/>
    <mergeCell ref="AC48:AE48"/>
    <mergeCell ref="W51:Y51"/>
    <mergeCell ref="Z51:AB51"/>
    <mergeCell ref="AC51:AE51"/>
    <mergeCell ref="A46:A51"/>
    <mergeCell ref="W46:Y46"/>
    <mergeCell ref="Z46:AB46"/>
    <mergeCell ref="AC46:AE46"/>
    <mergeCell ref="W49:Y49"/>
    <mergeCell ref="Z49:AB49"/>
    <mergeCell ref="AC49:AE49"/>
    <mergeCell ref="W50:Y50"/>
    <mergeCell ref="Z50:AB50"/>
    <mergeCell ref="AC50:AE50"/>
    <mergeCell ref="AG40:AG45"/>
    <mergeCell ref="AH40:AH45"/>
    <mergeCell ref="W41:Y41"/>
    <mergeCell ref="Z41:AB41"/>
    <mergeCell ref="AC41:AE41"/>
    <mergeCell ref="W42:Y42"/>
    <mergeCell ref="Z42:AB42"/>
    <mergeCell ref="AC42:AE42"/>
    <mergeCell ref="W45:Y45"/>
    <mergeCell ref="Z45:AB45"/>
    <mergeCell ref="AC45:AE45"/>
    <mergeCell ref="A40:A45"/>
    <mergeCell ref="W40:Y40"/>
    <mergeCell ref="Z40:AB40"/>
    <mergeCell ref="AC40:AE40"/>
    <mergeCell ref="W43:Y43"/>
    <mergeCell ref="Z43:AB43"/>
    <mergeCell ref="AC43:AE43"/>
    <mergeCell ref="W44:Y44"/>
    <mergeCell ref="Z44:AB44"/>
    <mergeCell ref="AC44:AE44"/>
    <mergeCell ref="AG34:AG39"/>
    <mergeCell ref="AH34:AH39"/>
    <mergeCell ref="W35:Y35"/>
    <mergeCell ref="Z35:AB35"/>
    <mergeCell ref="AC35:AE35"/>
    <mergeCell ref="W36:Y36"/>
    <mergeCell ref="Z36:AB36"/>
    <mergeCell ref="AC36:AE36"/>
    <mergeCell ref="W39:Y39"/>
    <mergeCell ref="Z39:AB39"/>
    <mergeCell ref="AC39:AE39"/>
    <mergeCell ref="A34:A39"/>
    <mergeCell ref="W34:Y34"/>
    <mergeCell ref="Z34:AB34"/>
    <mergeCell ref="AC34:AE34"/>
    <mergeCell ref="W37:Y37"/>
    <mergeCell ref="Z37:AB37"/>
    <mergeCell ref="AC37:AE37"/>
    <mergeCell ref="W38:Y38"/>
    <mergeCell ref="Z38:AB38"/>
    <mergeCell ref="AC38:AE38"/>
    <mergeCell ref="AG24:AG28"/>
    <mergeCell ref="AH24:AH28"/>
    <mergeCell ref="W25:Y25"/>
    <mergeCell ref="Z25:AB25"/>
    <mergeCell ref="AC25:AE25"/>
    <mergeCell ref="W26:Y26"/>
    <mergeCell ref="Z26:AB26"/>
    <mergeCell ref="AC26:AE26"/>
    <mergeCell ref="A29:A33"/>
    <mergeCell ref="W29:Y29"/>
    <mergeCell ref="Z29:AB29"/>
    <mergeCell ref="AC29:AE29"/>
    <mergeCell ref="W32:Y32"/>
    <mergeCell ref="Z32:AB32"/>
    <mergeCell ref="AC32:AE32"/>
    <mergeCell ref="W33:Y33"/>
    <mergeCell ref="Z33:AB33"/>
    <mergeCell ref="AC33:AE33"/>
    <mergeCell ref="AG29:AG33"/>
    <mergeCell ref="AH29:AH33"/>
    <mergeCell ref="W30:Y30"/>
    <mergeCell ref="Z30:AB30"/>
    <mergeCell ref="AC30:AE30"/>
    <mergeCell ref="W31:Y31"/>
    <mergeCell ref="A24:A28"/>
    <mergeCell ref="W24:Y24"/>
    <mergeCell ref="Z24:AB24"/>
    <mergeCell ref="AC24:AE24"/>
    <mergeCell ref="W27:Y27"/>
    <mergeCell ref="Z27:AB27"/>
    <mergeCell ref="AC27:AE27"/>
    <mergeCell ref="W28:Y28"/>
    <mergeCell ref="Z28:AB28"/>
    <mergeCell ref="AC28:AE28"/>
    <mergeCell ref="AG18:AG23"/>
    <mergeCell ref="AH18:AH23"/>
    <mergeCell ref="W19:Y19"/>
    <mergeCell ref="Z19:AB19"/>
    <mergeCell ref="AC19:AE19"/>
    <mergeCell ref="W20:Y20"/>
    <mergeCell ref="Z20:AB20"/>
    <mergeCell ref="AC20:AE20"/>
    <mergeCell ref="W23:Y23"/>
    <mergeCell ref="Z23:AB23"/>
    <mergeCell ref="AC23:AE23"/>
    <mergeCell ref="A18:A23"/>
    <mergeCell ref="W18:Y18"/>
    <mergeCell ref="Z18:AB18"/>
    <mergeCell ref="AC18:AE18"/>
    <mergeCell ref="W21:Y21"/>
    <mergeCell ref="Z21:AB21"/>
    <mergeCell ref="AC21:AE21"/>
    <mergeCell ref="W22:Y22"/>
    <mergeCell ref="Z22:AB22"/>
    <mergeCell ref="AC22:AE22"/>
    <mergeCell ref="A15:A17"/>
    <mergeCell ref="W15:Y15"/>
    <mergeCell ref="Z15:AB15"/>
    <mergeCell ref="AC15:AE15"/>
    <mergeCell ref="AG15:AG17"/>
    <mergeCell ref="AH15:AH17"/>
    <mergeCell ref="W16:Y16"/>
    <mergeCell ref="Z16:AB16"/>
    <mergeCell ref="AC16:AE16"/>
    <mergeCell ref="W17:Y17"/>
    <mergeCell ref="Z17:AB17"/>
    <mergeCell ref="AC17:AE17"/>
    <mergeCell ref="AG7:AG10"/>
    <mergeCell ref="AH7:AH10"/>
    <mergeCell ref="W8:Y8"/>
    <mergeCell ref="Z8:AB8"/>
    <mergeCell ref="AC8:AE8"/>
    <mergeCell ref="W9:Y9"/>
    <mergeCell ref="Z9:AB9"/>
    <mergeCell ref="AC9:AE9"/>
    <mergeCell ref="A11:A14"/>
    <mergeCell ref="W11:Y11"/>
    <mergeCell ref="Z11:AB11"/>
    <mergeCell ref="AC11:AE11"/>
    <mergeCell ref="W14:Y14"/>
    <mergeCell ref="Z14:AB14"/>
    <mergeCell ref="AC14:AE14"/>
    <mergeCell ref="AG11:AG14"/>
    <mergeCell ref="AH11:AH14"/>
    <mergeCell ref="W12:Y12"/>
    <mergeCell ref="Z12:AB12"/>
    <mergeCell ref="AC12:AE12"/>
    <mergeCell ref="W13:Y13"/>
    <mergeCell ref="Z13:AB13"/>
    <mergeCell ref="AC13:AE13"/>
    <mergeCell ref="A7:A10"/>
    <mergeCell ref="W10:Y10"/>
    <mergeCell ref="Z10:AB10"/>
    <mergeCell ref="AC10:AE10"/>
    <mergeCell ref="AJ1:AJ2"/>
    <mergeCell ref="A3:A6"/>
    <mergeCell ref="W3:Y3"/>
    <mergeCell ref="Z3:AB3"/>
    <mergeCell ref="AC3:AE3"/>
    <mergeCell ref="AG3:AG6"/>
    <mergeCell ref="AH3:AH6"/>
    <mergeCell ref="W4:Y4"/>
    <mergeCell ref="Z4:AB4"/>
    <mergeCell ref="AC1:AE1"/>
    <mergeCell ref="AG1:AG2"/>
    <mergeCell ref="AH1:AH2"/>
    <mergeCell ref="AI1:AI2"/>
    <mergeCell ref="S1:S2"/>
    <mergeCell ref="T1:T2"/>
    <mergeCell ref="U1:U2"/>
    <mergeCell ref="V1:V2"/>
    <mergeCell ref="W1:Y1"/>
    <mergeCell ref="Z1:AB1"/>
    <mergeCell ref="M1:M2"/>
    <mergeCell ref="N1:N2"/>
    <mergeCell ref="O1:O2"/>
    <mergeCell ref="W6:Y6"/>
    <mergeCell ref="Z6:AB6"/>
    <mergeCell ref="A1:A2"/>
    <mergeCell ref="B1:B2"/>
    <mergeCell ref="C1:C2"/>
    <mergeCell ref="D1:D2"/>
    <mergeCell ref="E1:E2"/>
    <mergeCell ref="F1:F2"/>
    <mergeCell ref="P1:P2"/>
    <mergeCell ref="Q1:Q2"/>
    <mergeCell ref="R1:R2"/>
    <mergeCell ref="G1:G2"/>
    <mergeCell ref="H1:H2"/>
    <mergeCell ref="I1:I2"/>
    <mergeCell ref="J1:J2"/>
    <mergeCell ref="K1:K2"/>
    <mergeCell ref="L1:L2"/>
  </mergeCells>
  <conditionalFormatting sqref="AG3:AH3 G3:H69">
    <cfRule type="containsText" dxfId="103" priority="3" operator="containsText" text="NO">
      <formula>NOT(ISERROR(SEARCH("NO",G3)))</formula>
    </cfRule>
  </conditionalFormatting>
  <conditionalFormatting sqref="AG46:AH46 AG52:AH52 AG58:AH58 AG64:AH64 AG7:AH7 AG11:AH11 AG15:AH15 AG18:AH18 AG29:AH29 AG34:AH34 AG40:AH40 AG24:AH24">
    <cfRule type="containsText" dxfId="102" priority="1" operator="containsText" text="NO">
      <formula>NOT(ISERROR(SEARCH("NO",AG7)))</formula>
    </cfRule>
  </conditionalFormatting>
  <dataValidations count="1">
    <dataValidation type="list" allowBlank="1" showInputMessage="1" showErrorMessage="1" sqref="W3:Y6 G3:H69 Z3:AF69">
      <formula1>$AL$1:$AM$1</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CONSOLIDADO</vt:lpstr>
      <vt:lpstr>PARÁMETROS</vt:lpstr>
      <vt:lpstr>EXP GEN. 1-5</vt:lpstr>
      <vt:lpstr>EXP ESPEC. 1-5 </vt:lpstr>
      <vt:lpstr>EXP GEN. 6-12</vt:lpstr>
      <vt:lpstr>EXP ESPEC. 6-12</vt:lpstr>
      <vt:lpstr>EXP GEN. 13-19</vt:lpstr>
      <vt:lpstr>EXP ESPEC. 13-19</vt:lpstr>
      <vt:lpstr>EXP GEN. 20-26</vt:lpstr>
      <vt:lpstr>EXP ESPEC. 20-26</vt:lpstr>
      <vt:lpstr>EXP GEN. 27-33</vt:lpstr>
      <vt:lpstr>EXP ESPEC. 27-33</vt:lpstr>
      <vt:lpstr>EXP GEN. 34-40</vt:lpstr>
      <vt:lpstr>EXP ESPEC. 34-40</vt:lpstr>
      <vt:lpstr>EXP GEN. 41</vt:lpstr>
      <vt:lpstr>EXP ESPEC. 41</vt:lpstr>
      <vt:lpstr>DESEMPATE</vt:lpstr>
    </vt:vector>
  </TitlesOfParts>
  <Company>Snn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Javier Hernando Parada Sanchez</cp:lastModifiedBy>
  <dcterms:created xsi:type="dcterms:W3CDTF">2015-12-03T23:01:34Z</dcterms:created>
  <dcterms:modified xsi:type="dcterms:W3CDTF">2016-03-01T21:01:01Z</dcterms:modified>
</cp:coreProperties>
</file>